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44.xml" ContentType="application/vnd.openxmlformats-officedocument.spreadsheetml.worksheet+xml"/>
  <Override PartName="/xl/tables/table4.xml" ContentType="application/vnd.openxmlformats-officedocument.spreadsheetml.table+xml"/>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comments8.xml" ContentType="application/vnd.openxmlformats-officedocument.spreadsheetml.comments+xml"/>
  <Override PartName="/xl/charts/chart4.xml" ContentType="application/vnd.openxmlformats-officedocument.drawingml.chart+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comments6.xml" ContentType="application/vnd.openxmlformats-officedocument.spreadsheetml.comments+xml"/>
  <Override PartName="/xl/charts/chart2.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ml.chartshapes+xml"/>
  <Default Extension="rels" ContentType="application/vnd.openxmlformats-package.relationships+xml"/>
  <Default Extension="xml" ContentType="application/xml"/>
  <Override PartName="/xl/worksheets/sheet5.xml" ContentType="application/vnd.openxmlformats-officedocument.spreadsheetml.worksheet+xml"/>
  <Override PartName="/xl/comments4.xml" ContentType="application/vnd.openxmlformats-officedocument.spreadsheetml.comments+xml"/>
  <Override PartName="/xl/drawings/drawing2.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Override PartName="/xl/externalLinks/externalLink1.xml" ContentType="application/vnd.openxmlformats-officedocument.spreadsheetml.externalLink+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comments12.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tables/table5.xml" ContentType="application/vnd.openxmlformats-officedocument.spreadsheetml.table+xml"/>
  <Override PartName="/xl/comments10.xml" ContentType="application/vnd.openxmlformats-officedocument.spreadsheetml.comments+xml"/>
  <Override PartName="/xl/charts/chart9.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Override PartName="/xl/charts/chart7.xml" ContentType="application/vnd.openxmlformats-officedocument.drawingml.char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tables/table1.xml" ContentType="application/vnd.openxmlformats-officedocument.spreadsheetml.table+xml"/>
  <Override PartName="/xl/comments9.xml" ContentType="application/vnd.openxmlformats-officedocument.spreadsheetml.comments+xml"/>
  <Override PartName="/xl/charts/chart5.xml" ContentType="application/vnd.openxmlformats-officedocument.drawingml.chart+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charts/chart3.xml" ContentType="application/vnd.openxmlformats-officedocument.drawingml.chart+xml"/>
  <Override PartName="/xl/pivotTables/pivotTable1.xml" ContentType="application/vnd.openxmlformats-officedocument.spreadsheetml.pivotTable+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omments5.xml" ContentType="application/vnd.openxmlformats-officedocument.spreadsheetml.comments+xml"/>
  <Override PartName="/xl/charts/chart1.xml" ContentType="application/vnd.openxmlformats-officedocument.drawingml.chart+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comments3.xml" ContentType="application/vnd.openxmlformats-officedocument.spreadsheetml.comments+xml"/>
  <Override PartName="/xl/drawings/drawing1.xml" ContentType="application/vnd.openxmlformats-officedocument.drawing+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tables/table8.xml" ContentType="application/vnd.openxmlformats-officedocument.spreadsheetml.table+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xl/tables/table6.xml" ContentType="application/vnd.openxmlformats-officedocument.spreadsheetml.table+xml"/>
  <Override PartName="/xl/comments11.xml" ContentType="application/vnd.openxmlformats-officedocument.spreadsheetml.comments+xml"/>
  <Override PartName="/xl/charts/chart8.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hidePivotFieldList="1" defaultThemeVersion="124226"/>
  <bookViews>
    <workbookView xWindow="-12" yWindow="168" windowWidth="19212" windowHeight="3972" tabRatio="870" firstSheet="9" activeTab="13"/>
  </bookViews>
  <sheets>
    <sheet name="Instructions" sheetId="7" r:id="rId1"/>
    <sheet name="Infiltration Rates Reference" sheetId="15" r:id="rId2"/>
    <sheet name="Simulation Assumptions" sheetId="1" r:id="rId3"/>
    <sheet name="Proposed ECMs" sheetId="3" r:id="rId4"/>
    <sheet name="District Heating" sheetId="8" r:id="rId5"/>
    <sheet name="Demolition and New Construction" sheetId="5" r:id="rId6"/>
    <sheet name="Costs" sheetId="6" r:id="rId7"/>
    <sheet name="Planning" sheetId="9" r:id="rId8"/>
    <sheet name="Project team - assumptions" sheetId="11" r:id="rId9"/>
    <sheet name="Infiltration Rates" sheetId="4" r:id="rId10"/>
    <sheet name="Indexes" sheetId="12" r:id="rId11"/>
    <sheet name="Equipment_Efficiencies" sheetId="13" r:id="rId12"/>
    <sheet name="Schedules" sheetId="14" r:id="rId13"/>
    <sheet name="baseline" sheetId="2" r:id="rId14"/>
    <sheet name="ecm_cold_deck_reset_control" sheetId="33" r:id="rId15"/>
    <sheet name="ecm_cop" sheetId="29" r:id="rId16"/>
    <sheet name="ecm_dcv" sheetId="28" r:id="rId17"/>
    <sheet name="ecm_economizers" sheetId="27" r:id="rId18"/>
    <sheet name="ecm_envelope" sheetId="34" r:id="rId19"/>
    <sheet name="ecm_erv" sheetId="24" r:id="rId20"/>
    <sheet name="ecm_exhaust_fans" sheetId="26" r:id="rId21"/>
    <sheet name="ecm_fans_pumps" sheetId="21" r:id="rId22"/>
    <sheet name="ecm_hw_boiler" sheetId="30" r:id="rId23"/>
    <sheet name="ecm_infiltration" sheetId="23" r:id="rId24"/>
    <sheet name="ecm_lighting_reduction" sheetId="22" r:id="rId25"/>
    <sheet name="ecm_plug" sheetId="20" r:id="rId26"/>
    <sheet name="ecm_occ_temp_setback" sheetId="25" r:id="rId27"/>
    <sheet name="ecm_sat_reset" sheetId="18" r:id="rId28"/>
    <sheet name="ecm_elec_reduce" sheetId="47" r:id="rId29"/>
    <sheet name="ecm_infil_andsetback" sheetId="46" r:id="rId30"/>
    <sheet name="ecm_load_reduce" sheetId="48" r:id="rId31"/>
    <sheet name="ecm_payback" sheetId="49" r:id="rId32"/>
    <sheet name="constants" sheetId="39" r:id="rId33"/>
    <sheet name="sim_annual_output" sheetId="35" r:id="rId34"/>
    <sheet name="retro-x" sheetId="53" r:id="rId35"/>
    <sheet name="solar dhw ecm" sheetId="52" r:id="rId36"/>
    <sheet name="model_eui_end_uses" sheetId="37" r:id="rId37"/>
    <sheet name="base_building_arch_areas" sheetId="36" r:id="rId38"/>
    <sheet name="base_scenario_arch_measures" sheetId="40" r:id="rId39"/>
    <sheet name="base_energy_ecm" sheetId="41" r:id="rId40"/>
    <sheet name="base_scenario_arch_ghg" sheetId="51" r:id="rId41"/>
    <sheet name="ChartsAfterThis!" sheetId="44" r:id="rId42"/>
    <sheet name="ECM Base Cost Savings Intensity" sheetId="43" r:id="rId43"/>
    <sheet name="ECMBaseEnergySavingIntensity" sheetId="45" r:id="rId44"/>
  </sheets>
  <externalReferences>
    <externalReference r:id="rId45"/>
  </externalReferences>
  <definedNames>
    <definedName name="BTAPConstructionSets" localSheetId="40">Indexes!#REF!</definedName>
    <definedName name="BTAPConstructionSets" localSheetId="30">Indexes!#REF!</definedName>
    <definedName name="BTAPConstructionSets" localSheetId="31">Indexes!#REF!</definedName>
    <definedName name="BTAPConstructionSets" localSheetId="1">Indexes!#REF!</definedName>
    <definedName name="BTAPConstructionSets">Indexes!#REF!</definedName>
    <definedName name="BuildingData">Indexes!$B$2:$C$13</definedName>
    <definedName name="BuildingInformation">Indexes!$B$1:$C$1</definedName>
    <definedName name="CLBuildingTypes">Indexes!$A$2:$A$13</definedName>
    <definedName name="CLVintages">Indexes!$A$16:$A$19</definedName>
    <definedName name="ColdLakeBuidingTypes">Indexes!$A$2:$A$13</definedName>
    <definedName name="ColdLakeBuildingTypes">Indexes!$A$2:$A$13</definedName>
    <definedName name="EfficiencyVintages">Equipment_Efficiencies!$B$1:$E$1</definedName>
    <definedName name="equipment_efficiencies">Equipment_Efficiencies!$B$2:$E$5</definedName>
    <definedName name="InfiltrationBuildingType" localSheetId="1">'Infiltration Rates Reference'!$A$6:$A$30</definedName>
    <definedName name="InfiltrationBuildingType">'Infiltration Rates'!$A$6:$A$30</definedName>
    <definedName name="InfiltrationRates" localSheetId="1">'Infiltration Rates Reference'!$B$6:$E$30</definedName>
    <definedName name="InfiltrationRates">'Infiltration Rates'!$B$6:$E$30</definedName>
    <definedName name="InfiltrationVintages" localSheetId="1">'Infiltration Rates Reference'!$B$5:$E$5</definedName>
    <definedName name="InfiltrationVintages">'Infiltration Rates'!$B$5:$E$5</definedName>
    <definedName name="osm_file_names">Indexes!$C$2:$C$13</definedName>
    <definedName name="pump_fan_type">Equipment_Efficiencies!$A$2:$A$5</definedName>
    <definedName name="schedule_names">Schedules!$A$2:$A$5</definedName>
  </definedNames>
  <calcPr calcId="125725"/>
  <pivotCaches>
    <pivotCache cacheId="0" r:id="rId46"/>
  </pivotCaches>
</workbook>
</file>

<file path=xl/calcChain.xml><?xml version="1.0" encoding="utf-8"?>
<calcChain xmlns="http://schemas.openxmlformats.org/spreadsheetml/2006/main">
  <c r="P2" i="36"/>
  <c r="AJ611" i="40" l="1"/>
  <c r="AJ610"/>
  <c r="AJ609"/>
  <c r="AJ608"/>
  <c r="AJ607"/>
  <c r="AJ606"/>
  <c r="AJ605"/>
  <c r="AJ604"/>
  <c r="AJ603"/>
  <c r="AJ602"/>
  <c r="AJ601"/>
  <c r="AJ600"/>
  <c r="AJ599"/>
  <c r="AJ598"/>
  <c r="AJ597"/>
  <c r="AJ596"/>
  <c r="AJ595"/>
  <c r="AJ594"/>
  <c r="AJ593"/>
  <c r="AJ592"/>
  <c r="AJ591"/>
  <c r="AJ590"/>
  <c r="AJ589"/>
  <c r="AJ588"/>
  <c r="AJ587"/>
  <c r="AJ586"/>
  <c r="AJ585"/>
  <c r="AJ584"/>
  <c r="AJ583"/>
  <c r="AJ582"/>
  <c r="AJ581"/>
  <c r="AJ580"/>
  <c r="AJ579"/>
  <c r="AJ578"/>
  <c r="AJ577"/>
  <c r="AJ576"/>
  <c r="AJ575"/>
  <c r="AJ574"/>
  <c r="AJ573"/>
  <c r="AJ572"/>
  <c r="AJ571"/>
  <c r="AJ570"/>
  <c r="AJ569"/>
  <c r="AJ568"/>
  <c r="AJ567"/>
  <c r="AJ566"/>
  <c r="AJ565"/>
  <c r="AJ564"/>
  <c r="AJ563"/>
  <c r="AJ562"/>
  <c r="AJ561"/>
  <c r="AJ560"/>
  <c r="AJ559"/>
  <c r="AJ558"/>
  <c r="AJ557"/>
  <c r="AJ556"/>
  <c r="AJ555"/>
  <c r="AJ554"/>
  <c r="AJ553"/>
  <c r="AJ552"/>
  <c r="AJ551"/>
  <c r="AJ550"/>
  <c r="AJ549"/>
  <c r="AJ548"/>
  <c r="AJ547"/>
  <c r="AJ546"/>
  <c r="AJ545"/>
  <c r="AJ544"/>
  <c r="AJ543"/>
  <c r="AJ542"/>
  <c r="AJ541"/>
  <c r="AJ540"/>
  <c r="AJ539"/>
  <c r="AJ538"/>
  <c r="AJ537"/>
  <c r="AJ536"/>
  <c r="AJ535"/>
  <c r="AJ534"/>
  <c r="AJ533"/>
  <c r="AJ532"/>
  <c r="AJ531"/>
  <c r="AJ530"/>
  <c r="AJ529"/>
  <c r="AJ528"/>
  <c r="AJ527"/>
  <c r="AJ526"/>
  <c r="AJ525"/>
  <c r="AJ524"/>
  <c r="AJ523"/>
  <c r="AJ522"/>
  <c r="AJ521"/>
  <c r="AJ520"/>
  <c r="AJ519"/>
  <c r="AJ518"/>
  <c r="AJ517"/>
  <c r="AJ516"/>
  <c r="AJ515"/>
  <c r="AJ514"/>
  <c r="AJ513"/>
  <c r="AJ512"/>
  <c r="AJ511"/>
  <c r="AJ510"/>
  <c r="AJ509"/>
  <c r="AJ508"/>
  <c r="AJ507"/>
  <c r="AJ506"/>
  <c r="AJ505"/>
  <c r="AJ504"/>
  <c r="AJ503"/>
  <c r="AJ502"/>
  <c r="AJ501"/>
  <c r="AJ500"/>
  <c r="AJ499"/>
  <c r="AJ498"/>
  <c r="AJ497"/>
  <c r="AJ496"/>
  <c r="AJ495"/>
  <c r="AJ494"/>
  <c r="AJ493"/>
  <c r="AJ492"/>
  <c r="AJ491"/>
  <c r="AJ490"/>
  <c r="AJ489"/>
  <c r="AJ488"/>
  <c r="AJ487"/>
  <c r="AJ486"/>
  <c r="AJ485"/>
  <c r="AJ484"/>
  <c r="AJ483"/>
  <c r="AJ482"/>
  <c r="AJ481"/>
  <c r="AJ480"/>
  <c r="AJ479"/>
  <c r="AJ478"/>
  <c r="AJ477"/>
  <c r="AJ476"/>
  <c r="AJ475"/>
  <c r="AJ474"/>
  <c r="AJ473"/>
  <c r="AJ472"/>
  <c r="AJ471"/>
  <c r="AJ470"/>
  <c r="AJ469"/>
  <c r="AJ468"/>
  <c r="AJ467"/>
  <c r="AJ466"/>
  <c r="AJ465"/>
  <c r="AJ464"/>
  <c r="AJ463"/>
  <c r="AJ462"/>
  <c r="AJ461"/>
  <c r="AJ460"/>
  <c r="AJ459"/>
  <c r="AJ458"/>
  <c r="AJ457"/>
  <c r="AJ456"/>
  <c r="AJ455"/>
  <c r="AJ454"/>
  <c r="AJ453"/>
  <c r="AJ452"/>
  <c r="AJ451"/>
  <c r="AJ450"/>
  <c r="AJ449"/>
  <c r="AJ448"/>
  <c r="AJ447"/>
  <c r="AJ446"/>
  <c r="AJ445"/>
  <c r="AJ444"/>
  <c r="AJ443"/>
  <c r="AJ442"/>
  <c r="AJ441"/>
  <c r="AJ440"/>
  <c r="AJ439"/>
  <c r="AJ438"/>
  <c r="AJ437"/>
  <c r="AJ436"/>
  <c r="AJ435"/>
  <c r="AJ434"/>
  <c r="AJ433"/>
  <c r="AJ432"/>
  <c r="AJ431"/>
  <c r="AJ430"/>
  <c r="AJ429"/>
  <c r="AJ428"/>
  <c r="AJ427"/>
  <c r="AJ426"/>
  <c r="AJ425"/>
  <c r="AJ424"/>
  <c r="AJ423"/>
  <c r="AJ422"/>
  <c r="AJ421"/>
  <c r="AJ420"/>
  <c r="AJ419"/>
  <c r="AJ418"/>
  <c r="AJ417"/>
  <c r="AJ416"/>
  <c r="AJ415"/>
  <c r="AJ414"/>
  <c r="AJ413"/>
  <c r="AJ412"/>
  <c r="AJ411"/>
  <c r="AJ410"/>
  <c r="AJ409"/>
  <c r="AJ408"/>
  <c r="AJ407"/>
  <c r="AJ406"/>
  <c r="AJ405"/>
  <c r="AJ404"/>
  <c r="AJ403"/>
  <c r="AJ402"/>
  <c r="AJ401"/>
  <c r="AJ400"/>
  <c r="AJ399"/>
  <c r="AJ398"/>
  <c r="AJ397"/>
  <c r="AJ396"/>
  <c r="AJ395"/>
  <c r="AJ394"/>
  <c r="AJ393"/>
  <c r="AJ392"/>
  <c r="AJ391"/>
  <c r="AJ390"/>
  <c r="AJ389"/>
  <c r="AJ388"/>
  <c r="AJ387"/>
  <c r="AJ386"/>
  <c r="AJ385"/>
  <c r="AJ384"/>
  <c r="AJ383"/>
  <c r="AJ382"/>
  <c r="AJ381"/>
  <c r="AJ380"/>
  <c r="AJ379"/>
  <c r="AJ378"/>
  <c r="AJ377"/>
  <c r="AJ376"/>
  <c r="AJ375"/>
  <c r="AJ374"/>
  <c r="AJ373"/>
  <c r="AJ372"/>
  <c r="AJ371"/>
  <c r="AJ370"/>
  <c r="AJ369"/>
  <c r="AJ368"/>
  <c r="AJ367"/>
  <c r="AJ366"/>
  <c r="AJ365"/>
  <c r="AJ364"/>
  <c r="AJ363"/>
  <c r="AJ362"/>
  <c r="AJ361"/>
  <c r="AJ360"/>
  <c r="AJ359"/>
  <c r="AJ358"/>
  <c r="AJ357"/>
  <c r="AJ356"/>
  <c r="AJ355"/>
  <c r="AJ354"/>
  <c r="AJ353"/>
  <c r="AJ352"/>
  <c r="AJ351"/>
  <c r="AJ350"/>
  <c r="AJ349"/>
  <c r="AJ348"/>
  <c r="AJ347"/>
  <c r="AJ346"/>
  <c r="AJ345"/>
  <c r="AJ344"/>
  <c r="AJ343"/>
  <c r="AJ342"/>
  <c r="AJ341"/>
  <c r="AJ340"/>
  <c r="AJ339"/>
  <c r="AJ338"/>
  <c r="AJ337"/>
  <c r="AJ336"/>
  <c r="AJ335"/>
  <c r="AJ334"/>
  <c r="AJ333"/>
  <c r="AJ332"/>
  <c r="AJ331"/>
  <c r="AJ330"/>
  <c r="AJ329"/>
  <c r="AJ328"/>
  <c r="AJ327"/>
  <c r="AJ326"/>
  <c r="AJ325"/>
  <c r="AJ324"/>
  <c r="AJ323"/>
  <c r="AJ322"/>
  <c r="AJ321"/>
  <c r="AJ320"/>
  <c r="AJ319"/>
  <c r="AJ318"/>
  <c r="AJ317"/>
  <c r="AJ316"/>
  <c r="AJ315"/>
  <c r="AJ314"/>
  <c r="AJ313"/>
  <c r="AJ312"/>
  <c r="AJ311"/>
  <c r="AJ310"/>
  <c r="AJ309"/>
  <c r="AJ308"/>
  <c r="AJ307"/>
  <c r="AJ306"/>
  <c r="AJ305"/>
  <c r="AJ304"/>
  <c r="AJ303"/>
  <c r="AJ302"/>
  <c r="AJ301"/>
  <c r="AJ300"/>
  <c r="AJ299"/>
  <c r="AJ298"/>
  <c r="AJ297"/>
  <c r="AJ296"/>
  <c r="AJ295"/>
  <c r="AJ294"/>
  <c r="AJ293"/>
  <c r="AJ292"/>
  <c r="AJ291"/>
  <c r="AJ290"/>
  <c r="AJ289"/>
  <c r="AJ288"/>
  <c r="AJ287"/>
  <c r="AJ286"/>
  <c r="AJ285"/>
  <c r="AJ284"/>
  <c r="AJ283"/>
  <c r="AJ282"/>
  <c r="AJ281"/>
  <c r="AJ280"/>
  <c r="AJ279"/>
  <c r="AJ278"/>
  <c r="AJ277"/>
  <c r="AJ276"/>
  <c r="AJ275"/>
  <c r="AJ274"/>
  <c r="AJ273"/>
  <c r="AJ272"/>
  <c r="AJ271"/>
  <c r="AJ270"/>
  <c r="AJ269"/>
  <c r="AJ268"/>
  <c r="AJ267"/>
  <c r="AJ266"/>
  <c r="AJ265"/>
  <c r="AJ264"/>
  <c r="AJ263"/>
  <c r="AJ262"/>
  <c r="AJ261"/>
  <c r="AJ260"/>
  <c r="AJ259"/>
  <c r="AJ258"/>
  <c r="AJ257"/>
  <c r="AJ256"/>
  <c r="AJ255"/>
  <c r="AJ254"/>
  <c r="AJ253"/>
  <c r="AJ252"/>
  <c r="AJ251"/>
  <c r="AJ250"/>
  <c r="AJ249"/>
  <c r="AJ248"/>
  <c r="AJ247"/>
  <c r="AJ246"/>
  <c r="AJ245"/>
  <c r="AJ244"/>
  <c r="AJ243"/>
  <c r="AJ242"/>
  <c r="AJ241"/>
  <c r="AJ240"/>
  <c r="AJ239"/>
  <c r="AJ238"/>
  <c r="AJ237"/>
  <c r="AJ236"/>
  <c r="AJ235"/>
  <c r="AJ234"/>
  <c r="AJ233"/>
  <c r="AJ232"/>
  <c r="AJ231"/>
  <c r="AJ230"/>
  <c r="AJ229"/>
  <c r="AJ228"/>
  <c r="AJ227"/>
  <c r="AJ226"/>
  <c r="AJ225"/>
  <c r="AJ224"/>
  <c r="AJ223"/>
  <c r="AJ222"/>
  <c r="AJ221"/>
  <c r="AJ220"/>
  <c r="AJ219"/>
  <c r="AJ218"/>
  <c r="AJ217"/>
  <c r="AJ216"/>
  <c r="AJ215"/>
  <c r="AJ214"/>
  <c r="AJ213"/>
  <c r="AJ212"/>
  <c r="AJ211"/>
  <c r="AJ210"/>
  <c r="AJ209"/>
  <c r="AJ208"/>
  <c r="AJ207"/>
  <c r="AJ206"/>
  <c r="AJ205"/>
  <c r="AJ204"/>
  <c r="AJ203"/>
  <c r="AJ202"/>
  <c r="AJ201"/>
  <c r="AJ200"/>
  <c r="AJ199"/>
  <c r="AJ198"/>
  <c r="AJ197"/>
  <c r="AJ196"/>
  <c r="AJ195"/>
  <c r="AJ194"/>
  <c r="AJ193"/>
  <c r="AJ192"/>
  <c r="AJ191"/>
  <c r="AJ190"/>
  <c r="AJ189"/>
  <c r="AJ188"/>
  <c r="AJ187"/>
  <c r="AJ186"/>
  <c r="AJ185"/>
  <c r="AJ184"/>
  <c r="AJ183"/>
  <c r="AJ182"/>
  <c r="AJ181"/>
  <c r="AJ180"/>
  <c r="AJ179"/>
  <c r="AJ178"/>
  <c r="AJ177"/>
  <c r="AJ176"/>
  <c r="AJ175"/>
  <c r="AJ174"/>
  <c r="AJ173"/>
  <c r="AJ172"/>
  <c r="AJ171"/>
  <c r="AJ170"/>
  <c r="AJ169"/>
  <c r="AJ168"/>
  <c r="AJ167"/>
  <c r="AJ166"/>
  <c r="AJ165"/>
  <c r="AJ164"/>
  <c r="AJ163"/>
  <c r="AJ162"/>
  <c r="AJ161"/>
  <c r="AJ160"/>
  <c r="AJ159"/>
  <c r="AJ158"/>
  <c r="AJ157"/>
  <c r="AJ156"/>
  <c r="AJ155"/>
  <c r="AJ154"/>
  <c r="AJ153"/>
  <c r="AJ152"/>
  <c r="AJ151"/>
  <c r="AJ150"/>
  <c r="AJ149"/>
  <c r="AJ148"/>
  <c r="AJ147"/>
  <c r="AJ146"/>
  <c r="AJ145"/>
  <c r="AJ144"/>
  <c r="AJ143"/>
  <c r="AJ142"/>
  <c r="AJ141"/>
  <c r="AJ140"/>
  <c r="AJ139"/>
  <c r="AJ138"/>
  <c r="AJ137"/>
  <c r="AJ136"/>
  <c r="AJ135"/>
  <c r="AJ134"/>
  <c r="AJ133"/>
  <c r="AJ132"/>
  <c r="AJ131"/>
  <c r="AJ130"/>
  <c r="AJ129"/>
  <c r="AJ128"/>
  <c r="AJ127"/>
  <c r="AJ126"/>
  <c r="AJ125"/>
  <c r="AJ124"/>
  <c r="AJ123"/>
  <c r="AJ122"/>
  <c r="AJ121"/>
  <c r="AJ120"/>
  <c r="AJ119"/>
  <c r="AJ118"/>
  <c r="AJ117"/>
  <c r="AJ116"/>
  <c r="AJ115"/>
  <c r="AJ114"/>
  <c r="AJ113"/>
  <c r="AJ112"/>
  <c r="AJ111"/>
  <c r="AJ110"/>
  <c r="AJ109"/>
  <c r="AJ108"/>
  <c r="AJ107"/>
  <c r="AJ106"/>
  <c r="AJ105"/>
  <c r="AJ104"/>
  <c r="AJ103"/>
  <c r="AJ102"/>
  <c r="AJ101"/>
  <c r="AJ100"/>
  <c r="AJ99"/>
  <c r="AJ98"/>
  <c r="AJ97"/>
  <c r="AJ96"/>
  <c r="AJ95"/>
  <c r="AJ94"/>
  <c r="AJ93"/>
  <c r="AJ92"/>
  <c r="AJ91"/>
  <c r="AJ90"/>
  <c r="AJ89"/>
  <c r="AJ88"/>
  <c r="AJ87"/>
  <c r="AJ86"/>
  <c r="AJ85"/>
  <c r="AJ84"/>
  <c r="AJ83"/>
  <c r="AJ82"/>
  <c r="AJ81"/>
  <c r="AJ80"/>
  <c r="AJ79"/>
  <c r="AJ78"/>
  <c r="AJ77"/>
  <c r="AJ76"/>
  <c r="AJ75"/>
  <c r="AJ74"/>
  <c r="AJ73"/>
  <c r="AJ72"/>
  <c r="AJ71"/>
  <c r="AJ70"/>
  <c r="AJ69"/>
  <c r="AJ68"/>
  <c r="AJ67"/>
  <c r="AJ66"/>
  <c r="AJ65"/>
  <c r="AJ64"/>
  <c r="AJ63"/>
  <c r="AJ62"/>
  <c r="AJ61"/>
  <c r="AJ60"/>
  <c r="AJ59"/>
  <c r="AJ58"/>
  <c r="AJ57"/>
  <c r="AJ56"/>
  <c r="AJ55"/>
  <c r="AJ54"/>
  <c r="AJ53"/>
  <c r="AJ52"/>
  <c r="AJ51"/>
  <c r="AJ50"/>
  <c r="AJ49"/>
  <c r="AJ48"/>
  <c r="AJ47"/>
  <c r="AJ46"/>
  <c r="AJ45"/>
  <c r="AJ44"/>
  <c r="AJ43"/>
  <c r="AJ42"/>
  <c r="AJ41"/>
  <c r="AJ40"/>
  <c r="AJ39"/>
  <c r="AJ38"/>
  <c r="AJ37"/>
  <c r="AJ36"/>
  <c r="AJ35"/>
  <c r="AJ34"/>
  <c r="AJ33"/>
  <c r="AJ32"/>
  <c r="AJ31"/>
  <c r="AJ30"/>
  <c r="AJ29"/>
  <c r="AJ28"/>
  <c r="AJ27"/>
  <c r="AJ26"/>
  <c r="AJ25"/>
  <c r="AJ24"/>
  <c r="AJ23"/>
  <c r="AJ22"/>
  <c r="AJ21"/>
  <c r="AJ20"/>
  <c r="AJ19"/>
  <c r="AJ18"/>
  <c r="AJ17"/>
  <c r="AJ16"/>
  <c r="AJ15"/>
  <c r="AJ14"/>
  <c r="AJ13"/>
  <c r="AJ12"/>
  <c r="AJ11"/>
  <c r="AJ10"/>
  <c r="AJ9"/>
  <c r="AJ8"/>
  <c r="AJ7"/>
  <c r="AJ6"/>
  <c r="AJ5"/>
  <c r="AJ4"/>
  <c r="AJ3"/>
  <c r="AJ2"/>
  <c r="F116" i="36" l="1"/>
  <c r="S10" l="1"/>
  <c r="R10"/>
  <c r="Q10"/>
  <c r="S9"/>
  <c r="R9"/>
  <c r="Q9"/>
  <c r="S8"/>
  <c r="R8"/>
  <c r="Q8"/>
  <c r="S7"/>
  <c r="R7"/>
  <c r="Q7"/>
  <c r="S6"/>
  <c r="R6"/>
  <c r="Q6"/>
  <c r="S5"/>
  <c r="R5"/>
  <c r="Q5"/>
  <c r="S4"/>
  <c r="R4"/>
  <c r="Q4"/>
  <c r="S3"/>
  <c r="R3"/>
  <c r="Q3"/>
  <c r="S2"/>
  <c r="R2"/>
  <c r="Q2"/>
  <c r="F294"/>
  <c r="F293"/>
  <c r="A293" a="1"/>
  <c r="A293" s="1"/>
  <c r="F292"/>
  <c r="A292" a="1"/>
  <c r="A292" s="1"/>
  <c r="F291"/>
  <c r="A291" a="1"/>
  <c r="A291" s="1"/>
  <c r="F290"/>
  <c r="M290" s="1"/>
  <c r="A290" a="1"/>
  <c r="A290" s="1"/>
  <c r="F289"/>
  <c r="M289" s="1"/>
  <c r="A289" a="1"/>
  <c r="A289" s="1"/>
  <c r="F288"/>
  <c r="A288" a="1"/>
  <c r="A288" s="1"/>
  <c r="F287"/>
  <c r="A287" a="1"/>
  <c r="A287" s="1"/>
  <c r="F286"/>
  <c r="M286" s="1"/>
  <c r="A286" a="1"/>
  <c r="A286" s="1"/>
  <c r="F285"/>
  <c r="F284"/>
  <c r="A284" a="1"/>
  <c r="A284" s="1"/>
  <c r="F283"/>
  <c r="A283" a="1"/>
  <c r="A283" s="1"/>
  <c r="F282"/>
  <c r="A282" a="1"/>
  <c r="A282" s="1"/>
  <c r="F281"/>
  <c r="A281" a="1"/>
  <c r="A281" s="1"/>
  <c r="F280"/>
  <c r="M280" s="1"/>
  <c r="A280" a="1"/>
  <c r="A280" s="1"/>
  <c r="F279"/>
  <c r="A279" a="1"/>
  <c r="A279" s="1"/>
  <c r="F278"/>
  <c r="M278" s="1"/>
  <c r="A278" a="1"/>
  <c r="A278" s="1"/>
  <c r="F277"/>
  <c r="A277" a="1"/>
  <c r="A277" s="1"/>
  <c r="F276"/>
  <c r="A276" a="1"/>
  <c r="A276" s="1"/>
  <c r="F275"/>
  <c r="A275" a="1"/>
  <c r="A275" s="1"/>
  <c r="F274"/>
  <c r="F273"/>
  <c r="M273" s="1"/>
  <c r="A273" a="1"/>
  <c r="A273" s="1"/>
  <c r="F272"/>
  <c r="M272" s="1"/>
  <c r="A272" a="1"/>
  <c r="A272" s="1"/>
  <c r="F271"/>
  <c r="A271" a="1"/>
  <c r="A271" s="1"/>
  <c r="F270"/>
  <c r="A270" a="1"/>
  <c r="A270" s="1"/>
  <c r="F269"/>
  <c r="A269" a="1"/>
  <c r="A269" s="1"/>
  <c r="F268"/>
  <c r="A268" a="1"/>
  <c r="A268" s="1"/>
  <c r="F267"/>
  <c r="A267" a="1"/>
  <c r="A267" s="1"/>
  <c r="F266"/>
  <c r="A266" a="1"/>
  <c r="A266" s="1"/>
  <c r="F265"/>
  <c r="M265" s="1"/>
  <c r="F264"/>
  <c r="A264" a="1"/>
  <c r="A264" s="1"/>
  <c r="F263"/>
  <c r="M263" s="1"/>
  <c r="A263" a="1"/>
  <c r="A263" s="1"/>
  <c r="F262"/>
  <c r="A262" a="1"/>
  <c r="A262" s="1"/>
  <c r="F261"/>
  <c r="F260"/>
  <c r="A260" a="1"/>
  <c r="A260" s="1"/>
  <c r="F259"/>
  <c r="A259" a="1"/>
  <c r="A259" s="1"/>
  <c r="F258"/>
  <c r="M258" s="1"/>
  <c r="A258" a="1"/>
  <c r="A258" s="1"/>
  <c r="F257"/>
  <c r="A257" a="1"/>
  <c r="A257" s="1"/>
  <c r="F256"/>
  <c r="M256" s="1"/>
  <c r="A256" a="1"/>
  <c r="A256" s="1"/>
  <c r="F255"/>
  <c r="A255" a="1"/>
  <c r="A255" s="1"/>
  <c r="F254"/>
  <c r="M254" s="1"/>
  <c r="A254" a="1"/>
  <c r="A254" s="1"/>
  <c r="F253"/>
  <c r="A253" a="1"/>
  <c r="A253" s="1"/>
  <c r="F252"/>
  <c r="F251"/>
  <c r="A251" a="1"/>
  <c r="A251" s="1"/>
  <c r="F250"/>
  <c r="M250" s="1"/>
  <c r="A250" a="1"/>
  <c r="A250" s="1"/>
  <c r="F249"/>
  <c r="A249" a="1"/>
  <c r="A249" s="1"/>
  <c r="F248"/>
  <c r="M248" s="1"/>
  <c r="A248" a="1"/>
  <c r="A248" s="1"/>
  <c r="F247"/>
  <c r="A247" a="1"/>
  <c r="A247" s="1"/>
  <c r="F246"/>
  <c r="M246" s="1"/>
  <c r="A246" a="1"/>
  <c r="A246" s="1"/>
  <c r="F245"/>
  <c r="A245" a="1"/>
  <c r="A245" s="1"/>
  <c r="F244"/>
  <c r="M244" s="1"/>
  <c r="A244" a="1"/>
  <c r="A244" s="1"/>
  <c r="F243"/>
  <c r="A243" a="1"/>
  <c r="A243" s="1"/>
  <c r="F242"/>
  <c r="M242" s="1"/>
  <c r="A242" a="1"/>
  <c r="A242" s="1"/>
  <c r="F241"/>
  <c r="F240"/>
  <c r="A240" a="1"/>
  <c r="A240" s="1"/>
  <c r="F239"/>
  <c r="A239" a="1"/>
  <c r="A239" s="1"/>
  <c r="F238"/>
  <c r="A238" a="1"/>
  <c r="A238" s="1"/>
  <c r="F237"/>
  <c r="A237" a="1"/>
  <c r="A237" s="1"/>
  <c r="F236"/>
  <c r="A236" a="1"/>
  <c r="A236" s="1"/>
  <c r="F235"/>
  <c r="A235" a="1"/>
  <c r="A235" s="1"/>
  <c r="F234"/>
  <c r="A234" a="1"/>
  <c r="A234" s="1"/>
  <c r="F233"/>
  <c r="M233" s="1"/>
  <c r="A233" a="1"/>
  <c r="A233" s="1"/>
  <c r="F232"/>
  <c r="F231"/>
  <c r="A231" a="1"/>
  <c r="A231" s="1"/>
  <c r="F230"/>
  <c r="A230" a="1"/>
  <c r="A230" s="1"/>
  <c r="F229"/>
  <c r="A229" a="1"/>
  <c r="A229" s="1"/>
  <c r="F228"/>
  <c r="F227"/>
  <c r="A227" a="1"/>
  <c r="A227" s="1"/>
  <c r="F226"/>
  <c r="M226" s="1"/>
  <c r="A226" a="1"/>
  <c r="A226" s="1"/>
  <c r="F225"/>
  <c r="M225" s="1"/>
  <c r="A225" a="1"/>
  <c r="A225" s="1"/>
  <c r="F224"/>
  <c r="M224" s="1"/>
  <c r="A224" a="1"/>
  <c r="A224" s="1"/>
  <c r="F223"/>
  <c r="A223" a="1"/>
  <c r="A223" s="1"/>
  <c r="F222"/>
  <c r="M222" s="1"/>
  <c r="A222" a="1"/>
  <c r="A222" s="1"/>
  <c r="F221"/>
  <c r="A221" a="1"/>
  <c r="A221" s="1"/>
  <c r="F220"/>
  <c r="M220" s="1"/>
  <c r="A220" a="1"/>
  <c r="A220" s="1"/>
  <c r="F219"/>
  <c r="F218"/>
  <c r="M218" s="1"/>
  <c r="A218" a="1"/>
  <c r="A218" s="1"/>
  <c r="F217"/>
  <c r="A217" a="1"/>
  <c r="A217" s="1"/>
  <c r="F216"/>
  <c r="M216" s="1"/>
  <c r="A216" a="1"/>
  <c r="A216" s="1"/>
  <c r="F215"/>
  <c r="A215" a="1"/>
  <c r="A215" s="1"/>
  <c r="F214"/>
  <c r="M214" s="1"/>
  <c r="A214" a="1"/>
  <c r="A214" s="1"/>
  <c r="F213"/>
  <c r="A213" a="1"/>
  <c r="A213" s="1"/>
  <c r="F212"/>
  <c r="A212" a="1"/>
  <c r="A212" s="1"/>
  <c r="F211"/>
  <c r="A211" a="1"/>
  <c r="A211" s="1"/>
  <c r="F210"/>
  <c r="M210" s="1"/>
  <c r="A210" a="1"/>
  <c r="A210" s="1"/>
  <c r="F209"/>
  <c r="A209" a="1"/>
  <c r="A209" s="1"/>
  <c r="F208"/>
  <c r="M208" s="1"/>
  <c r="F207"/>
  <c r="M207" s="1"/>
  <c r="A207" a="1"/>
  <c r="A207" s="1"/>
  <c r="F206"/>
  <c r="A206" a="1"/>
  <c r="A206" s="1"/>
  <c r="F205"/>
  <c r="A205" a="1"/>
  <c r="A205" s="1"/>
  <c r="F204"/>
  <c r="A204" a="1"/>
  <c r="A204" s="1"/>
  <c r="F203"/>
  <c r="A203" a="1"/>
  <c r="A203" s="1"/>
  <c r="F202"/>
  <c r="A202" a="1"/>
  <c r="A202" s="1"/>
  <c r="F201"/>
  <c r="M201" s="1"/>
  <c r="A201" a="1"/>
  <c r="A201" s="1"/>
  <c r="F200"/>
  <c r="M200" s="1"/>
  <c r="A200" a="1"/>
  <c r="A200" s="1"/>
  <c r="F199"/>
  <c r="M199" s="1"/>
  <c r="F198"/>
  <c r="A198" a="1"/>
  <c r="A198" s="1"/>
  <c r="F197"/>
  <c r="A197" a="1"/>
  <c r="A197" s="1"/>
  <c r="F196"/>
  <c r="A196" a="1"/>
  <c r="A196" s="1"/>
  <c r="F195"/>
  <c r="F194"/>
  <c r="A194" a="1"/>
  <c r="A194" s="1"/>
  <c r="F193"/>
  <c r="A193" a="1"/>
  <c r="A193" s="1"/>
  <c r="F192"/>
  <c r="A192" a="1"/>
  <c r="A192" s="1"/>
  <c r="F191"/>
  <c r="A191" a="1"/>
  <c r="A191" s="1"/>
  <c r="F190"/>
  <c r="A190" a="1"/>
  <c r="A190" s="1"/>
  <c r="F189"/>
  <c r="A189" a="1"/>
  <c r="A189" s="1"/>
  <c r="F188"/>
  <c r="A188" a="1"/>
  <c r="A188" s="1"/>
  <c r="F187"/>
  <c r="A187" a="1"/>
  <c r="A187" s="1"/>
  <c r="F186"/>
  <c r="F185"/>
  <c r="A185" a="1"/>
  <c r="A185" s="1"/>
  <c r="F184"/>
  <c r="A184" a="1"/>
  <c r="A184" s="1"/>
  <c r="F183"/>
  <c r="A183" a="1"/>
  <c r="A183" s="1"/>
  <c r="F182"/>
  <c r="A182" a="1"/>
  <c r="A182" s="1"/>
  <c r="F181"/>
  <c r="A181" a="1"/>
  <c r="A181" s="1"/>
  <c r="F180"/>
  <c r="A180" a="1"/>
  <c r="A180" s="1"/>
  <c r="F179"/>
  <c r="A179" a="1"/>
  <c r="A179" s="1"/>
  <c r="F178"/>
  <c r="A178" a="1"/>
  <c r="A178" s="1"/>
  <c r="F177"/>
  <c r="A177" a="1"/>
  <c r="A177" s="1"/>
  <c r="F176"/>
  <c r="A176" a="1"/>
  <c r="A176" s="1"/>
  <c r="F175"/>
  <c r="F174"/>
  <c r="A174" a="1"/>
  <c r="A174" s="1"/>
  <c r="F173"/>
  <c r="M173" s="1"/>
  <c r="A173" a="1"/>
  <c r="A173" s="1"/>
  <c r="F172"/>
  <c r="A172" a="1"/>
  <c r="A172" s="1"/>
  <c r="F171"/>
  <c r="A171" a="1"/>
  <c r="A171" s="1"/>
  <c r="F170"/>
  <c r="A170" a="1"/>
  <c r="A170" s="1"/>
  <c r="F169"/>
  <c r="M195" s="1"/>
  <c r="A169" a="1"/>
  <c r="A169" s="1"/>
  <c r="F168"/>
  <c r="A168" a="1"/>
  <c r="A168" s="1"/>
  <c r="F167"/>
  <c r="A167" a="1"/>
  <c r="A167" s="1"/>
  <c r="F166"/>
  <c r="F165"/>
  <c r="A165" a="1"/>
  <c r="A165" s="1"/>
  <c r="F164"/>
  <c r="A164" a="1"/>
  <c r="A164" s="1"/>
  <c r="F163"/>
  <c r="A163" a="1"/>
  <c r="A163" s="1"/>
  <c r="F162"/>
  <c r="F153"/>
  <c r="F142"/>
  <c r="F133"/>
  <c r="F129"/>
  <c r="F120"/>
  <c r="F109"/>
  <c r="F100"/>
  <c r="F96"/>
  <c r="F87"/>
  <c r="F76"/>
  <c r="F67"/>
  <c r="A67" a="1"/>
  <c r="A67" s="1"/>
  <c r="F55"/>
  <c r="F47"/>
  <c r="F44"/>
  <c r="F35"/>
  <c r="F32"/>
  <c r="A35" a="1"/>
  <c r="A35" s="1"/>
  <c r="M164" l="1"/>
  <c r="M171"/>
  <c r="M166"/>
  <c r="M170"/>
  <c r="M174"/>
  <c r="M234"/>
  <c r="M238"/>
  <c r="M179"/>
  <c r="M183"/>
  <c r="M223"/>
  <c r="M209"/>
  <c r="M213"/>
  <c r="M217"/>
  <c r="M230"/>
  <c r="M264"/>
  <c r="M281"/>
  <c r="M294"/>
  <c r="M187"/>
  <c r="M190"/>
  <c r="M182"/>
  <c r="M192"/>
  <c r="M176"/>
  <c r="M261"/>
  <c r="M274"/>
  <c r="M283"/>
  <c r="M275"/>
  <c r="M291"/>
  <c r="M267"/>
  <c r="M282"/>
  <c r="M168"/>
  <c r="M193"/>
  <c r="M202"/>
  <c r="M206"/>
  <c r="M227"/>
  <c r="M255"/>
  <c r="M231"/>
  <c r="M260"/>
  <c r="M251"/>
  <c r="M247"/>
  <c r="M243"/>
  <c r="M232"/>
  <c r="M239"/>
  <c r="M252"/>
  <c r="P9"/>
  <c r="M259"/>
  <c r="M235"/>
  <c r="M237"/>
  <c r="M229"/>
  <c r="M236"/>
  <c r="M240"/>
  <c r="M253"/>
  <c r="M257"/>
  <c r="M266"/>
  <c r="M270"/>
  <c r="M287"/>
  <c r="M169"/>
  <c r="P7"/>
  <c r="M186"/>
  <c r="M194"/>
  <c r="M163"/>
  <c r="M178"/>
  <c r="M167"/>
  <c r="M184"/>
  <c r="M177"/>
  <c r="M181"/>
  <c r="M185"/>
  <c r="M196"/>
  <c r="M203"/>
  <c r="M212"/>
  <c r="M198"/>
  <c r="M204"/>
  <c r="M219"/>
  <c r="M211"/>
  <c r="M215"/>
  <c r="M228"/>
  <c r="M241"/>
  <c r="M245"/>
  <c r="M249"/>
  <c r="M288"/>
  <c r="M279"/>
  <c r="M172"/>
  <c r="M276"/>
  <c r="M165"/>
  <c r="M189"/>
  <c r="M197"/>
  <c r="M205"/>
  <c r="M221"/>
  <c r="M269"/>
  <c r="M277"/>
  <c r="M285"/>
  <c r="M293"/>
  <c r="M262"/>
  <c r="M188"/>
  <c r="M284"/>
  <c r="M175"/>
  <c r="M191"/>
  <c r="M271"/>
  <c r="P8"/>
  <c r="P10"/>
  <c r="M180"/>
  <c r="M268"/>
  <c r="M292"/>
  <c r="F1" i="53" l="1"/>
  <c r="E1"/>
  <c r="D1"/>
  <c r="C1"/>
  <c r="B1"/>
  <c r="A1"/>
  <c r="Q1" i="52" l="1"/>
  <c r="AB1" s="1"/>
  <c r="P1"/>
  <c r="AA1" s="1"/>
  <c r="O1"/>
  <c r="Z1" s="1"/>
  <c r="N1"/>
  <c r="Y1" s="1"/>
  <c r="M1"/>
  <c r="X1" s="1"/>
  <c r="L1"/>
  <c r="W1" s="1"/>
  <c r="K1"/>
  <c r="V1" s="1"/>
  <c r="J1"/>
  <c r="U1" s="1"/>
  <c r="I1"/>
  <c r="T1" s="1"/>
  <c r="H1"/>
  <c r="S1" s="1"/>
  <c r="G1"/>
  <c r="R1" s="1"/>
  <c r="F1"/>
  <c r="E1"/>
  <c r="D1"/>
  <c r="C1"/>
  <c r="B1"/>
  <c r="A1"/>
  <c r="E611" i="51"/>
  <c r="C611"/>
  <c r="B611"/>
  <c r="E610"/>
  <c r="C610"/>
  <c r="B610"/>
  <c r="E609"/>
  <c r="C609"/>
  <c r="B609"/>
  <c r="E608"/>
  <c r="C608"/>
  <c r="B608"/>
  <c r="E607"/>
  <c r="C607"/>
  <c r="B607"/>
  <c r="E606"/>
  <c r="C606"/>
  <c r="B606"/>
  <c r="E605"/>
  <c r="C605"/>
  <c r="B605"/>
  <c r="E604"/>
  <c r="C604"/>
  <c r="B604"/>
  <c r="E603"/>
  <c r="C603"/>
  <c r="B603"/>
  <c r="E602"/>
  <c r="C602"/>
  <c r="B602"/>
  <c r="E601"/>
  <c r="C601"/>
  <c r="B601"/>
  <c r="E600"/>
  <c r="C600"/>
  <c r="B600"/>
  <c r="E599"/>
  <c r="C599"/>
  <c r="B599"/>
  <c r="E598"/>
  <c r="C598"/>
  <c r="B598"/>
  <c r="E597"/>
  <c r="C597"/>
  <c r="B597"/>
  <c r="E596"/>
  <c r="C596"/>
  <c r="B596"/>
  <c r="E595"/>
  <c r="C595"/>
  <c r="B595"/>
  <c r="E594"/>
  <c r="C594"/>
  <c r="B594"/>
  <c r="E593"/>
  <c r="C593"/>
  <c r="B593"/>
  <c r="E592"/>
  <c r="C592"/>
  <c r="B592"/>
  <c r="E591"/>
  <c r="C591"/>
  <c r="B591"/>
  <c r="E590"/>
  <c r="C590"/>
  <c r="B590"/>
  <c r="E589"/>
  <c r="C589"/>
  <c r="B589"/>
  <c r="E588"/>
  <c r="C588"/>
  <c r="B588"/>
  <c r="E587"/>
  <c r="C587"/>
  <c r="B587"/>
  <c r="E586"/>
  <c r="C586"/>
  <c r="B586"/>
  <c r="E585"/>
  <c r="C585"/>
  <c r="B585"/>
  <c r="E584"/>
  <c r="C584"/>
  <c r="B584"/>
  <c r="E583"/>
  <c r="C583"/>
  <c r="B583"/>
  <c r="E582"/>
  <c r="C582"/>
  <c r="B582"/>
  <c r="E581"/>
  <c r="C581"/>
  <c r="B581"/>
  <c r="E580"/>
  <c r="C580"/>
  <c r="B580"/>
  <c r="E579"/>
  <c r="C579"/>
  <c r="B579"/>
  <c r="E578"/>
  <c r="C578"/>
  <c r="B578"/>
  <c r="E577"/>
  <c r="C577"/>
  <c r="B577"/>
  <c r="E576"/>
  <c r="C576"/>
  <c r="B576"/>
  <c r="E575"/>
  <c r="C575"/>
  <c r="B575"/>
  <c r="E574"/>
  <c r="C574"/>
  <c r="B574"/>
  <c r="E573"/>
  <c r="C573"/>
  <c r="B573"/>
  <c r="E572"/>
  <c r="C572"/>
  <c r="B572"/>
  <c r="E571"/>
  <c r="C571"/>
  <c r="B571"/>
  <c r="E570"/>
  <c r="C570"/>
  <c r="B570"/>
  <c r="E569"/>
  <c r="C569"/>
  <c r="B569"/>
  <c r="E568"/>
  <c r="C568"/>
  <c r="B568"/>
  <c r="E567"/>
  <c r="C567"/>
  <c r="B567"/>
  <c r="E566"/>
  <c r="C566"/>
  <c r="B566"/>
  <c r="E565"/>
  <c r="C565"/>
  <c r="B565"/>
  <c r="E564"/>
  <c r="C564"/>
  <c r="B564"/>
  <c r="E563"/>
  <c r="C563"/>
  <c r="B563"/>
  <c r="E562"/>
  <c r="C562"/>
  <c r="B562"/>
  <c r="E561"/>
  <c r="C561"/>
  <c r="B561"/>
  <c r="E560"/>
  <c r="C560"/>
  <c r="B560"/>
  <c r="E559"/>
  <c r="C559"/>
  <c r="B559"/>
  <c r="E558"/>
  <c r="C558"/>
  <c r="B558"/>
  <c r="E557"/>
  <c r="C557"/>
  <c r="B557"/>
  <c r="E556"/>
  <c r="C556"/>
  <c r="B556"/>
  <c r="E555"/>
  <c r="C555"/>
  <c r="B555"/>
  <c r="E554"/>
  <c r="C554"/>
  <c r="B554"/>
  <c r="E553"/>
  <c r="C553"/>
  <c r="B553"/>
  <c r="E552"/>
  <c r="C552"/>
  <c r="B552"/>
  <c r="E551"/>
  <c r="C551"/>
  <c r="B551"/>
  <c r="E550"/>
  <c r="C550"/>
  <c r="B550"/>
  <c r="E549"/>
  <c r="C549"/>
  <c r="B549"/>
  <c r="E548"/>
  <c r="C548"/>
  <c r="B548"/>
  <c r="E547"/>
  <c r="C547"/>
  <c r="B547"/>
  <c r="E546"/>
  <c r="C546"/>
  <c r="B546"/>
  <c r="E545"/>
  <c r="C545"/>
  <c r="B545"/>
  <c r="E544"/>
  <c r="C544"/>
  <c r="B544"/>
  <c r="E543"/>
  <c r="C543"/>
  <c r="B543"/>
  <c r="E542"/>
  <c r="C542"/>
  <c r="B542"/>
  <c r="E541"/>
  <c r="C541"/>
  <c r="B541"/>
  <c r="E540"/>
  <c r="C540"/>
  <c r="B540"/>
  <c r="E539"/>
  <c r="C539"/>
  <c r="B539"/>
  <c r="E538"/>
  <c r="C538"/>
  <c r="B538"/>
  <c r="E537"/>
  <c r="C537"/>
  <c r="B537"/>
  <c r="E536"/>
  <c r="C536"/>
  <c r="B536"/>
  <c r="E535"/>
  <c r="C535"/>
  <c r="B535"/>
  <c r="E534"/>
  <c r="C534"/>
  <c r="B534"/>
  <c r="E533"/>
  <c r="C533"/>
  <c r="B533"/>
  <c r="E532"/>
  <c r="C532"/>
  <c r="B532"/>
  <c r="E531"/>
  <c r="C531"/>
  <c r="B531"/>
  <c r="E530"/>
  <c r="C530"/>
  <c r="B530"/>
  <c r="E529"/>
  <c r="C529"/>
  <c r="B529"/>
  <c r="E528"/>
  <c r="C528"/>
  <c r="B528"/>
  <c r="E527"/>
  <c r="C527"/>
  <c r="B527"/>
  <c r="E526"/>
  <c r="C526"/>
  <c r="B526"/>
  <c r="E525"/>
  <c r="C525"/>
  <c r="B525"/>
  <c r="E524"/>
  <c r="C524"/>
  <c r="B524"/>
  <c r="E523"/>
  <c r="C523"/>
  <c r="B523"/>
  <c r="E522"/>
  <c r="C522"/>
  <c r="B522"/>
  <c r="E521"/>
  <c r="C521"/>
  <c r="B521"/>
  <c r="E520"/>
  <c r="C520"/>
  <c r="B520"/>
  <c r="E519"/>
  <c r="C519"/>
  <c r="B519"/>
  <c r="E518"/>
  <c r="C518"/>
  <c r="B518"/>
  <c r="E517"/>
  <c r="C517"/>
  <c r="B517"/>
  <c r="E516"/>
  <c r="C516"/>
  <c r="B516"/>
  <c r="E515"/>
  <c r="C515"/>
  <c r="B515"/>
  <c r="E514"/>
  <c r="C514"/>
  <c r="B514"/>
  <c r="E513"/>
  <c r="C513"/>
  <c r="B513"/>
  <c r="E512"/>
  <c r="C512"/>
  <c r="B512"/>
  <c r="E511"/>
  <c r="C511"/>
  <c r="B511"/>
  <c r="E510"/>
  <c r="C510"/>
  <c r="B510"/>
  <c r="E509"/>
  <c r="C509"/>
  <c r="B509"/>
  <c r="E508"/>
  <c r="C508"/>
  <c r="B508"/>
  <c r="E507"/>
  <c r="C507"/>
  <c r="B507"/>
  <c r="E506"/>
  <c r="C506"/>
  <c r="B506"/>
  <c r="E505"/>
  <c r="C505"/>
  <c r="B505"/>
  <c r="E504"/>
  <c r="C504"/>
  <c r="B504"/>
  <c r="E503"/>
  <c r="C503"/>
  <c r="B503"/>
  <c r="E502"/>
  <c r="C502"/>
  <c r="B502"/>
  <c r="E501"/>
  <c r="C501"/>
  <c r="B501"/>
  <c r="E500"/>
  <c r="C500"/>
  <c r="B500"/>
  <c r="E499"/>
  <c r="C499"/>
  <c r="B499"/>
  <c r="E498"/>
  <c r="C498"/>
  <c r="B498"/>
  <c r="E497"/>
  <c r="C497"/>
  <c r="B497"/>
  <c r="E496"/>
  <c r="C496"/>
  <c r="B496"/>
  <c r="E495"/>
  <c r="C495"/>
  <c r="B495"/>
  <c r="E494"/>
  <c r="C494"/>
  <c r="B494"/>
  <c r="E493"/>
  <c r="C493"/>
  <c r="B493"/>
  <c r="E492"/>
  <c r="C492"/>
  <c r="B492"/>
  <c r="E491"/>
  <c r="C491"/>
  <c r="B491"/>
  <c r="E490"/>
  <c r="C490"/>
  <c r="B490"/>
  <c r="E489"/>
  <c r="C489"/>
  <c r="B489"/>
  <c r="E488"/>
  <c r="C488"/>
  <c r="B488"/>
  <c r="E487"/>
  <c r="C487"/>
  <c r="B487"/>
  <c r="E486"/>
  <c r="C486"/>
  <c r="B486"/>
  <c r="E485"/>
  <c r="C485"/>
  <c r="B485"/>
  <c r="E484"/>
  <c r="C484"/>
  <c r="B484"/>
  <c r="E483"/>
  <c r="C483"/>
  <c r="B483"/>
  <c r="E482"/>
  <c r="C482"/>
  <c r="B482"/>
  <c r="E481"/>
  <c r="C481"/>
  <c r="B481"/>
  <c r="E480"/>
  <c r="C480"/>
  <c r="B480"/>
  <c r="E479"/>
  <c r="C479"/>
  <c r="B479"/>
  <c r="E478"/>
  <c r="C478"/>
  <c r="B478"/>
  <c r="E477"/>
  <c r="C477"/>
  <c r="B477"/>
  <c r="E476"/>
  <c r="C476"/>
  <c r="B476"/>
  <c r="E475"/>
  <c r="C475"/>
  <c r="B475"/>
  <c r="E474"/>
  <c r="C474"/>
  <c r="B474"/>
  <c r="E473"/>
  <c r="C473"/>
  <c r="B473"/>
  <c r="E472"/>
  <c r="C472"/>
  <c r="B472"/>
  <c r="E471"/>
  <c r="C471"/>
  <c r="B471"/>
  <c r="E470"/>
  <c r="C470"/>
  <c r="B470"/>
  <c r="E469"/>
  <c r="C469"/>
  <c r="B469"/>
  <c r="E468"/>
  <c r="C468"/>
  <c r="B468"/>
  <c r="E467"/>
  <c r="C467"/>
  <c r="B467"/>
  <c r="E466"/>
  <c r="C466"/>
  <c r="B466"/>
  <c r="E465"/>
  <c r="C465"/>
  <c r="B465"/>
  <c r="E464"/>
  <c r="C464"/>
  <c r="B464"/>
  <c r="E463"/>
  <c r="C463"/>
  <c r="B463"/>
  <c r="E462"/>
  <c r="C462"/>
  <c r="B462"/>
  <c r="E461"/>
  <c r="C461"/>
  <c r="B461"/>
  <c r="E460"/>
  <c r="C460"/>
  <c r="B460"/>
  <c r="E459"/>
  <c r="C459"/>
  <c r="B459"/>
  <c r="E458"/>
  <c r="C458"/>
  <c r="B458"/>
  <c r="E457"/>
  <c r="C457"/>
  <c r="B457"/>
  <c r="E456"/>
  <c r="C456"/>
  <c r="B456"/>
  <c r="E455"/>
  <c r="C455"/>
  <c r="B455"/>
  <c r="E454"/>
  <c r="C454"/>
  <c r="B454"/>
  <c r="E453"/>
  <c r="C453"/>
  <c r="B453"/>
  <c r="E452"/>
  <c r="C452"/>
  <c r="B452"/>
  <c r="E451"/>
  <c r="C451"/>
  <c r="B451"/>
  <c r="E450"/>
  <c r="C450"/>
  <c r="B450"/>
  <c r="E449"/>
  <c r="C449"/>
  <c r="B449"/>
  <c r="E448"/>
  <c r="C448"/>
  <c r="B448"/>
  <c r="E447"/>
  <c r="C447"/>
  <c r="B447"/>
  <c r="E446"/>
  <c r="C446"/>
  <c r="B446"/>
  <c r="E445"/>
  <c r="C445"/>
  <c r="B445"/>
  <c r="E444"/>
  <c r="C444"/>
  <c r="B444"/>
  <c r="E443"/>
  <c r="C443"/>
  <c r="B443"/>
  <c r="E442"/>
  <c r="C442"/>
  <c r="B442"/>
  <c r="E441"/>
  <c r="C441"/>
  <c r="B441"/>
  <c r="E440"/>
  <c r="C440"/>
  <c r="B440"/>
  <c r="E439"/>
  <c r="C439"/>
  <c r="B439"/>
  <c r="E438"/>
  <c r="C438"/>
  <c r="B438"/>
  <c r="E437"/>
  <c r="C437"/>
  <c r="B437"/>
  <c r="E436"/>
  <c r="C436"/>
  <c r="B436"/>
  <c r="E435"/>
  <c r="C435"/>
  <c r="B435"/>
  <c r="E434"/>
  <c r="C434"/>
  <c r="B434"/>
  <c r="E433"/>
  <c r="C433"/>
  <c r="B433"/>
  <c r="E432"/>
  <c r="C432"/>
  <c r="B432"/>
  <c r="E431"/>
  <c r="C431"/>
  <c r="B431"/>
  <c r="E430"/>
  <c r="C430"/>
  <c r="B430"/>
  <c r="E429"/>
  <c r="C429"/>
  <c r="B429"/>
  <c r="E428"/>
  <c r="C428"/>
  <c r="B428"/>
  <c r="E427"/>
  <c r="C427"/>
  <c r="B427"/>
  <c r="E426"/>
  <c r="C426"/>
  <c r="B426"/>
  <c r="E425"/>
  <c r="C425"/>
  <c r="B425"/>
  <c r="E424"/>
  <c r="C424"/>
  <c r="B424"/>
  <c r="E423"/>
  <c r="C423"/>
  <c r="B423"/>
  <c r="E422"/>
  <c r="C422"/>
  <c r="B422"/>
  <c r="E421"/>
  <c r="C421"/>
  <c r="B421"/>
  <c r="E420"/>
  <c r="C420"/>
  <c r="B420"/>
  <c r="E419"/>
  <c r="C419"/>
  <c r="B419"/>
  <c r="E418"/>
  <c r="C418"/>
  <c r="B418"/>
  <c r="E417"/>
  <c r="C417"/>
  <c r="B417"/>
  <c r="E416"/>
  <c r="C416"/>
  <c r="B416"/>
  <c r="E415"/>
  <c r="C415"/>
  <c r="B415"/>
  <c r="E414"/>
  <c r="C414"/>
  <c r="B414"/>
  <c r="E413"/>
  <c r="C413"/>
  <c r="B413"/>
  <c r="E412"/>
  <c r="C412"/>
  <c r="B412"/>
  <c r="E411"/>
  <c r="C411"/>
  <c r="B411"/>
  <c r="E410"/>
  <c r="C410"/>
  <c r="B410"/>
  <c r="E409"/>
  <c r="C409"/>
  <c r="B409"/>
  <c r="E408"/>
  <c r="C408"/>
  <c r="B408"/>
  <c r="E407"/>
  <c r="C407"/>
  <c r="B407"/>
  <c r="E406"/>
  <c r="C406"/>
  <c r="B406"/>
  <c r="E405"/>
  <c r="C405"/>
  <c r="B405"/>
  <c r="E404"/>
  <c r="C404"/>
  <c r="B404"/>
  <c r="E403"/>
  <c r="C403"/>
  <c r="B403"/>
  <c r="E402"/>
  <c r="C402"/>
  <c r="B402"/>
  <c r="E401"/>
  <c r="C401"/>
  <c r="B401"/>
  <c r="E400"/>
  <c r="C400"/>
  <c r="B400"/>
  <c r="E399"/>
  <c r="C399"/>
  <c r="B399"/>
  <c r="E398"/>
  <c r="C398"/>
  <c r="B398"/>
  <c r="E397"/>
  <c r="C397"/>
  <c r="B397"/>
  <c r="E396"/>
  <c r="C396"/>
  <c r="B396"/>
  <c r="E395"/>
  <c r="C395"/>
  <c r="B395"/>
  <c r="E394"/>
  <c r="C394"/>
  <c r="B394"/>
  <c r="E393"/>
  <c r="C393"/>
  <c r="B393"/>
  <c r="E392"/>
  <c r="C392"/>
  <c r="B392"/>
  <c r="E391"/>
  <c r="C391"/>
  <c r="B391"/>
  <c r="E390"/>
  <c r="C390"/>
  <c r="B390"/>
  <c r="E389"/>
  <c r="C389"/>
  <c r="B389"/>
  <c r="E388"/>
  <c r="C388"/>
  <c r="B388"/>
  <c r="E387"/>
  <c r="C387"/>
  <c r="B387"/>
  <c r="E386"/>
  <c r="C386"/>
  <c r="B386"/>
  <c r="E385"/>
  <c r="C385"/>
  <c r="B385"/>
  <c r="E384"/>
  <c r="C384"/>
  <c r="B384"/>
  <c r="E383"/>
  <c r="C383"/>
  <c r="B383"/>
  <c r="E382"/>
  <c r="C382"/>
  <c r="B382"/>
  <c r="E381"/>
  <c r="C381"/>
  <c r="B381"/>
  <c r="E380"/>
  <c r="C380"/>
  <c r="B380"/>
  <c r="E379"/>
  <c r="C379"/>
  <c r="B379"/>
  <c r="E378"/>
  <c r="C378"/>
  <c r="B378"/>
  <c r="E377"/>
  <c r="C377"/>
  <c r="B377"/>
  <c r="E376"/>
  <c r="C376"/>
  <c r="B376"/>
  <c r="E375"/>
  <c r="C375"/>
  <c r="B375"/>
  <c r="E374"/>
  <c r="C374"/>
  <c r="B374"/>
  <c r="E373"/>
  <c r="C373"/>
  <c r="B373"/>
  <c r="E372"/>
  <c r="C372"/>
  <c r="B372"/>
  <c r="E371"/>
  <c r="C371"/>
  <c r="B371"/>
  <c r="E370"/>
  <c r="C370"/>
  <c r="B370"/>
  <c r="E369"/>
  <c r="C369"/>
  <c r="B369"/>
  <c r="E368"/>
  <c r="C368"/>
  <c r="B368"/>
  <c r="E367"/>
  <c r="C367"/>
  <c r="B367"/>
  <c r="E366"/>
  <c r="C366"/>
  <c r="B366"/>
  <c r="E365"/>
  <c r="C365"/>
  <c r="B365"/>
  <c r="E364"/>
  <c r="C364"/>
  <c r="B364"/>
  <c r="E363"/>
  <c r="C363"/>
  <c r="B363"/>
  <c r="E362"/>
  <c r="C362"/>
  <c r="B362"/>
  <c r="E361"/>
  <c r="C361"/>
  <c r="B361"/>
  <c r="E360"/>
  <c r="C360"/>
  <c r="B360"/>
  <c r="E359"/>
  <c r="C359"/>
  <c r="B359"/>
  <c r="E358"/>
  <c r="C358"/>
  <c r="B358"/>
  <c r="E357"/>
  <c r="C357"/>
  <c r="B357"/>
  <c r="E356"/>
  <c r="C356"/>
  <c r="B356"/>
  <c r="E355"/>
  <c r="C355"/>
  <c r="B355"/>
  <c r="E354"/>
  <c r="C354"/>
  <c r="B354"/>
  <c r="E353"/>
  <c r="C353"/>
  <c r="B353"/>
  <c r="E352"/>
  <c r="C352"/>
  <c r="B352"/>
  <c r="E351"/>
  <c r="C351"/>
  <c r="B351"/>
  <c r="E350"/>
  <c r="C350"/>
  <c r="B350"/>
  <c r="E349"/>
  <c r="C349"/>
  <c r="B349"/>
  <c r="E348"/>
  <c r="C348"/>
  <c r="B348"/>
  <c r="E347"/>
  <c r="C347"/>
  <c r="B347"/>
  <c r="E346"/>
  <c r="C346"/>
  <c r="B346"/>
  <c r="E345"/>
  <c r="C345"/>
  <c r="B345"/>
  <c r="E344"/>
  <c r="C344"/>
  <c r="B344"/>
  <c r="E343"/>
  <c r="C343"/>
  <c r="B343"/>
  <c r="E342"/>
  <c r="C342"/>
  <c r="B342"/>
  <c r="E341"/>
  <c r="C341"/>
  <c r="B341"/>
  <c r="E340"/>
  <c r="C340"/>
  <c r="B340"/>
  <c r="E339"/>
  <c r="C339"/>
  <c r="B339"/>
  <c r="E338"/>
  <c r="C338"/>
  <c r="B338"/>
  <c r="E337"/>
  <c r="C337"/>
  <c r="B337"/>
  <c r="E336"/>
  <c r="C336"/>
  <c r="B336"/>
  <c r="E335"/>
  <c r="C335"/>
  <c r="B335"/>
  <c r="E334"/>
  <c r="C334"/>
  <c r="B334"/>
  <c r="E333"/>
  <c r="C333"/>
  <c r="B333"/>
  <c r="E332"/>
  <c r="C332"/>
  <c r="B332"/>
  <c r="E331"/>
  <c r="C331"/>
  <c r="B331"/>
  <c r="E330"/>
  <c r="C330"/>
  <c r="B330"/>
  <c r="E329"/>
  <c r="C329"/>
  <c r="B329"/>
  <c r="E328"/>
  <c r="C328"/>
  <c r="B328"/>
  <c r="E327"/>
  <c r="C327"/>
  <c r="B327"/>
  <c r="E326"/>
  <c r="C326"/>
  <c r="B326"/>
  <c r="E325"/>
  <c r="C325"/>
  <c r="B325"/>
  <c r="E324"/>
  <c r="C324"/>
  <c r="B324"/>
  <c r="E323"/>
  <c r="C323"/>
  <c r="B323"/>
  <c r="E322"/>
  <c r="C322"/>
  <c r="B322"/>
  <c r="E321"/>
  <c r="C321"/>
  <c r="B321"/>
  <c r="E320"/>
  <c r="C320"/>
  <c r="B320"/>
  <c r="E319"/>
  <c r="C319"/>
  <c r="B319"/>
  <c r="E318"/>
  <c r="C318"/>
  <c r="B318"/>
  <c r="E317"/>
  <c r="C317"/>
  <c r="B317"/>
  <c r="E316"/>
  <c r="C316"/>
  <c r="B316"/>
  <c r="E315"/>
  <c r="C315"/>
  <c r="B315"/>
  <c r="E314"/>
  <c r="C314"/>
  <c r="B314"/>
  <c r="E313"/>
  <c r="C313"/>
  <c r="B313"/>
  <c r="E312"/>
  <c r="C312"/>
  <c r="B312"/>
  <c r="E311"/>
  <c r="C311"/>
  <c r="B311"/>
  <c r="E310"/>
  <c r="C310"/>
  <c r="B310"/>
  <c r="E309"/>
  <c r="C309"/>
  <c r="B309"/>
  <c r="E308"/>
  <c r="C308"/>
  <c r="B308"/>
  <c r="E307"/>
  <c r="C307"/>
  <c r="B307"/>
  <c r="E306"/>
  <c r="C306"/>
  <c r="B306"/>
  <c r="E305"/>
  <c r="C305"/>
  <c r="B305"/>
  <c r="E304"/>
  <c r="C304"/>
  <c r="B304"/>
  <c r="E303"/>
  <c r="C303"/>
  <c r="B303"/>
  <c r="E302"/>
  <c r="C302"/>
  <c r="B302"/>
  <c r="E301"/>
  <c r="C301"/>
  <c r="B301"/>
  <c r="E300"/>
  <c r="C300"/>
  <c r="B300"/>
  <c r="E299"/>
  <c r="C299"/>
  <c r="B299"/>
  <c r="E298"/>
  <c r="C298"/>
  <c r="B298"/>
  <c r="E297"/>
  <c r="C297"/>
  <c r="B297"/>
  <c r="E296"/>
  <c r="C296"/>
  <c r="B296"/>
  <c r="E295"/>
  <c r="C295"/>
  <c r="B295"/>
  <c r="E294"/>
  <c r="C294"/>
  <c r="B294"/>
  <c r="E293"/>
  <c r="C293"/>
  <c r="B293"/>
  <c r="E292"/>
  <c r="C292"/>
  <c r="B292"/>
  <c r="E291"/>
  <c r="C291"/>
  <c r="B291"/>
  <c r="E290"/>
  <c r="C290"/>
  <c r="B290"/>
  <c r="E289"/>
  <c r="C289"/>
  <c r="B289"/>
  <c r="E288"/>
  <c r="C288"/>
  <c r="B288"/>
  <c r="E287"/>
  <c r="C287"/>
  <c r="B287"/>
  <c r="E286"/>
  <c r="C286"/>
  <c r="B286"/>
  <c r="E285"/>
  <c r="C285"/>
  <c r="B285"/>
  <c r="E284"/>
  <c r="C284"/>
  <c r="B284"/>
  <c r="E283"/>
  <c r="C283"/>
  <c r="B283"/>
  <c r="E282"/>
  <c r="C282"/>
  <c r="B282"/>
  <c r="E281"/>
  <c r="C281"/>
  <c r="B281"/>
  <c r="E280"/>
  <c r="C280"/>
  <c r="B280"/>
  <c r="E279"/>
  <c r="C279"/>
  <c r="B279"/>
  <c r="E278"/>
  <c r="C278"/>
  <c r="B278"/>
  <c r="E277"/>
  <c r="C277"/>
  <c r="B277"/>
  <c r="E276"/>
  <c r="C276"/>
  <c r="B276"/>
  <c r="E275"/>
  <c r="C275"/>
  <c r="B275"/>
  <c r="E274"/>
  <c r="C274"/>
  <c r="B274"/>
  <c r="E273"/>
  <c r="C273"/>
  <c r="B273"/>
  <c r="E272"/>
  <c r="C272"/>
  <c r="B272"/>
  <c r="E271"/>
  <c r="C271"/>
  <c r="B271"/>
  <c r="E270"/>
  <c r="C270"/>
  <c r="B270"/>
  <c r="E269"/>
  <c r="C269"/>
  <c r="B269"/>
  <c r="E268"/>
  <c r="C268"/>
  <c r="B268"/>
  <c r="E267"/>
  <c r="C267"/>
  <c r="B267"/>
  <c r="E266"/>
  <c r="C266"/>
  <c r="B266"/>
  <c r="E265"/>
  <c r="C265"/>
  <c r="B265"/>
  <c r="E264"/>
  <c r="C264"/>
  <c r="B264"/>
  <c r="E263"/>
  <c r="C263"/>
  <c r="B263"/>
  <c r="E262"/>
  <c r="C262"/>
  <c r="B262"/>
  <c r="E261"/>
  <c r="C261"/>
  <c r="B261"/>
  <c r="E260"/>
  <c r="C260"/>
  <c r="B260"/>
  <c r="E259"/>
  <c r="C259"/>
  <c r="B259"/>
  <c r="E258"/>
  <c r="C258"/>
  <c r="B258"/>
  <c r="E257"/>
  <c r="C257"/>
  <c r="B257"/>
  <c r="E256"/>
  <c r="C256"/>
  <c r="B256"/>
  <c r="E255"/>
  <c r="C255"/>
  <c r="B255"/>
  <c r="E254"/>
  <c r="C254"/>
  <c r="B254"/>
  <c r="E253"/>
  <c r="C253"/>
  <c r="B253"/>
  <c r="E252"/>
  <c r="C252"/>
  <c r="B252"/>
  <c r="E251"/>
  <c r="C251"/>
  <c r="B251"/>
  <c r="E250"/>
  <c r="C250"/>
  <c r="B250"/>
  <c r="E249"/>
  <c r="C249"/>
  <c r="B249"/>
  <c r="E248"/>
  <c r="C248"/>
  <c r="B248"/>
  <c r="E247"/>
  <c r="C247"/>
  <c r="B247"/>
  <c r="E246"/>
  <c r="C246"/>
  <c r="B246"/>
  <c r="E245"/>
  <c r="C245"/>
  <c r="B245"/>
  <c r="E244"/>
  <c r="C244"/>
  <c r="B244"/>
  <c r="E243"/>
  <c r="C243"/>
  <c r="B243"/>
  <c r="E242"/>
  <c r="C242"/>
  <c r="B242"/>
  <c r="E241"/>
  <c r="C241"/>
  <c r="B241"/>
  <c r="E240"/>
  <c r="C240"/>
  <c r="B240"/>
  <c r="E239"/>
  <c r="C239"/>
  <c r="B239"/>
  <c r="E238"/>
  <c r="C238"/>
  <c r="B238"/>
  <c r="E237"/>
  <c r="C237"/>
  <c r="B237"/>
  <c r="E236"/>
  <c r="C236"/>
  <c r="B236"/>
  <c r="E235"/>
  <c r="C235"/>
  <c r="B235"/>
  <c r="E234"/>
  <c r="C234"/>
  <c r="B234"/>
  <c r="E233"/>
  <c r="C233"/>
  <c r="B233"/>
  <c r="E232"/>
  <c r="C232"/>
  <c r="B232"/>
  <c r="E231"/>
  <c r="C231"/>
  <c r="B231"/>
  <c r="E230"/>
  <c r="C230"/>
  <c r="B230"/>
  <c r="E229"/>
  <c r="C229"/>
  <c r="B229"/>
  <c r="E228"/>
  <c r="C228"/>
  <c r="B228"/>
  <c r="E227"/>
  <c r="C227"/>
  <c r="B227"/>
  <c r="E226"/>
  <c r="C226"/>
  <c r="B226"/>
  <c r="E225"/>
  <c r="C225"/>
  <c r="B225"/>
  <c r="E224"/>
  <c r="C224"/>
  <c r="B224"/>
  <c r="E223"/>
  <c r="C223"/>
  <c r="B223"/>
  <c r="E222"/>
  <c r="C222"/>
  <c r="B222"/>
  <c r="E221"/>
  <c r="C221"/>
  <c r="B221"/>
  <c r="E220"/>
  <c r="C220"/>
  <c r="B220"/>
  <c r="E219"/>
  <c r="C219"/>
  <c r="B219"/>
  <c r="E218"/>
  <c r="C218"/>
  <c r="B218"/>
  <c r="E217"/>
  <c r="C217"/>
  <c r="B217"/>
  <c r="E216"/>
  <c r="C216"/>
  <c r="B216"/>
  <c r="E215"/>
  <c r="C215"/>
  <c r="B215"/>
  <c r="E214"/>
  <c r="C214"/>
  <c r="B214"/>
  <c r="E213"/>
  <c r="C213"/>
  <c r="B213"/>
  <c r="E212"/>
  <c r="C212"/>
  <c r="B212"/>
  <c r="E211"/>
  <c r="C211"/>
  <c r="B211"/>
  <c r="E210"/>
  <c r="C210"/>
  <c r="B210"/>
  <c r="E209"/>
  <c r="C209"/>
  <c r="B209"/>
  <c r="E208"/>
  <c r="C208"/>
  <c r="B208"/>
  <c r="E207"/>
  <c r="C207"/>
  <c r="B207"/>
  <c r="E206"/>
  <c r="C206"/>
  <c r="B206"/>
  <c r="E205"/>
  <c r="C205"/>
  <c r="B205"/>
  <c r="E204"/>
  <c r="C204"/>
  <c r="B204"/>
  <c r="E203"/>
  <c r="C203"/>
  <c r="B203"/>
  <c r="E202"/>
  <c r="C202"/>
  <c r="B202"/>
  <c r="E201"/>
  <c r="C201"/>
  <c r="B201"/>
  <c r="E200"/>
  <c r="C200"/>
  <c r="B200"/>
  <c r="E199"/>
  <c r="C199"/>
  <c r="B199"/>
  <c r="E198"/>
  <c r="C198"/>
  <c r="B198"/>
  <c r="E197"/>
  <c r="C197"/>
  <c r="B197"/>
  <c r="E196"/>
  <c r="C196"/>
  <c r="B196"/>
  <c r="E195"/>
  <c r="C195"/>
  <c r="B195"/>
  <c r="E194"/>
  <c r="C194"/>
  <c r="B194"/>
  <c r="E193"/>
  <c r="C193"/>
  <c r="B193"/>
  <c r="E192"/>
  <c r="C192"/>
  <c r="B192"/>
  <c r="E191"/>
  <c r="C191"/>
  <c r="B191"/>
  <c r="E190"/>
  <c r="C190"/>
  <c r="B190"/>
  <c r="E189"/>
  <c r="C189"/>
  <c r="B189"/>
  <c r="E188"/>
  <c r="C188"/>
  <c r="B188"/>
  <c r="E187"/>
  <c r="C187"/>
  <c r="B187"/>
  <c r="E186"/>
  <c r="C186"/>
  <c r="B186"/>
  <c r="E185"/>
  <c r="C185"/>
  <c r="B185"/>
  <c r="E184"/>
  <c r="C184"/>
  <c r="B184"/>
  <c r="E183"/>
  <c r="C183"/>
  <c r="B183"/>
  <c r="E182"/>
  <c r="C182"/>
  <c r="B182"/>
  <c r="E181"/>
  <c r="C181"/>
  <c r="B181"/>
  <c r="E180"/>
  <c r="C180"/>
  <c r="B180"/>
  <c r="E179"/>
  <c r="C179"/>
  <c r="B179"/>
  <c r="E178"/>
  <c r="C178"/>
  <c r="B178"/>
  <c r="E177"/>
  <c r="C177"/>
  <c r="B177"/>
  <c r="E176"/>
  <c r="C176"/>
  <c r="B176"/>
  <c r="E175"/>
  <c r="C175"/>
  <c r="B175"/>
  <c r="E174"/>
  <c r="C174"/>
  <c r="B174"/>
  <c r="E173"/>
  <c r="C173"/>
  <c r="B173"/>
  <c r="E172"/>
  <c r="C172"/>
  <c r="B172"/>
  <c r="E171"/>
  <c r="C171"/>
  <c r="B171"/>
  <c r="E170"/>
  <c r="C170"/>
  <c r="B170"/>
  <c r="E169"/>
  <c r="C169"/>
  <c r="B169"/>
  <c r="E168"/>
  <c r="C168"/>
  <c r="B168"/>
  <c r="E167"/>
  <c r="C167"/>
  <c r="B167"/>
  <c r="E166"/>
  <c r="C166"/>
  <c r="B166"/>
  <c r="E165"/>
  <c r="C165"/>
  <c r="B165"/>
  <c r="E164"/>
  <c r="C164"/>
  <c r="B164"/>
  <c r="E163"/>
  <c r="C163"/>
  <c r="B163"/>
  <c r="E162"/>
  <c r="C162"/>
  <c r="B162"/>
  <c r="E161"/>
  <c r="C161"/>
  <c r="B161"/>
  <c r="E160"/>
  <c r="C160"/>
  <c r="B160"/>
  <c r="E159"/>
  <c r="C159"/>
  <c r="B159"/>
  <c r="E158"/>
  <c r="C158"/>
  <c r="B158"/>
  <c r="E157"/>
  <c r="C157"/>
  <c r="B157"/>
  <c r="E156"/>
  <c r="C156"/>
  <c r="B156"/>
  <c r="E155"/>
  <c r="C155"/>
  <c r="B155"/>
  <c r="E154"/>
  <c r="C154"/>
  <c r="B154"/>
  <c r="E153"/>
  <c r="C153"/>
  <c r="B153"/>
  <c r="E152"/>
  <c r="C152"/>
  <c r="B152"/>
  <c r="E151"/>
  <c r="C151"/>
  <c r="B151"/>
  <c r="E150"/>
  <c r="C150"/>
  <c r="B150"/>
  <c r="E149"/>
  <c r="C149"/>
  <c r="B149"/>
  <c r="E148"/>
  <c r="C148"/>
  <c r="B148"/>
  <c r="E147"/>
  <c r="C147"/>
  <c r="B147"/>
  <c r="E146"/>
  <c r="C146"/>
  <c r="B146"/>
  <c r="E145"/>
  <c r="C145"/>
  <c r="B145"/>
  <c r="E144"/>
  <c r="C144"/>
  <c r="B144"/>
  <c r="E143"/>
  <c r="C143"/>
  <c r="B143"/>
  <c r="E142"/>
  <c r="C142"/>
  <c r="B142"/>
  <c r="E141"/>
  <c r="C141"/>
  <c r="B141"/>
  <c r="E140"/>
  <c r="C140"/>
  <c r="B140"/>
  <c r="E139"/>
  <c r="C139"/>
  <c r="B139"/>
  <c r="E138"/>
  <c r="C138"/>
  <c r="B138"/>
  <c r="E137"/>
  <c r="C137"/>
  <c r="B137"/>
  <c r="E136"/>
  <c r="C136"/>
  <c r="B136"/>
  <c r="E135"/>
  <c r="C135"/>
  <c r="B135"/>
  <c r="E134"/>
  <c r="C134"/>
  <c r="B134"/>
  <c r="E133"/>
  <c r="C133"/>
  <c r="B133"/>
  <c r="E132"/>
  <c r="C132"/>
  <c r="B132"/>
  <c r="E131"/>
  <c r="C131"/>
  <c r="B131"/>
  <c r="E130"/>
  <c r="C130"/>
  <c r="B130"/>
  <c r="E129"/>
  <c r="C129"/>
  <c r="B129"/>
  <c r="E128"/>
  <c r="C128"/>
  <c r="B128"/>
  <c r="E127"/>
  <c r="C127"/>
  <c r="B127"/>
  <c r="E126"/>
  <c r="C126"/>
  <c r="B126"/>
  <c r="E125"/>
  <c r="C125"/>
  <c r="B125"/>
  <c r="E124"/>
  <c r="C124"/>
  <c r="B124"/>
  <c r="E123"/>
  <c r="C123"/>
  <c r="B123"/>
  <c r="E122"/>
  <c r="C122"/>
  <c r="B122"/>
  <c r="E121"/>
  <c r="C121"/>
  <c r="B121"/>
  <c r="E120"/>
  <c r="C120"/>
  <c r="B120"/>
  <c r="E119"/>
  <c r="C119"/>
  <c r="B119"/>
  <c r="E118"/>
  <c r="C118"/>
  <c r="B118"/>
  <c r="E117"/>
  <c r="C117"/>
  <c r="B117"/>
  <c r="E116"/>
  <c r="C116"/>
  <c r="B116"/>
  <c r="E115"/>
  <c r="C115"/>
  <c r="B115"/>
  <c r="E114"/>
  <c r="C114"/>
  <c r="B114"/>
  <c r="E113"/>
  <c r="C113"/>
  <c r="B113"/>
  <c r="E112"/>
  <c r="C112"/>
  <c r="B112"/>
  <c r="E111"/>
  <c r="C111"/>
  <c r="B111"/>
  <c r="E110"/>
  <c r="C110"/>
  <c r="B110"/>
  <c r="E109"/>
  <c r="C109"/>
  <c r="B109"/>
  <c r="E108"/>
  <c r="C108"/>
  <c r="B108"/>
  <c r="E107"/>
  <c r="C107"/>
  <c r="B107"/>
  <c r="E106"/>
  <c r="C106"/>
  <c r="B106"/>
  <c r="E105"/>
  <c r="C105"/>
  <c r="B105"/>
  <c r="E104"/>
  <c r="C104"/>
  <c r="B104"/>
  <c r="E103"/>
  <c r="C103"/>
  <c r="B103"/>
  <c r="E102"/>
  <c r="C102"/>
  <c r="B102"/>
  <c r="E101"/>
  <c r="C101"/>
  <c r="B101"/>
  <c r="E100"/>
  <c r="C100"/>
  <c r="B100"/>
  <c r="E99"/>
  <c r="C99"/>
  <c r="B99"/>
  <c r="E98"/>
  <c r="C98"/>
  <c r="B98"/>
  <c r="E97"/>
  <c r="C97"/>
  <c r="B97"/>
  <c r="E96"/>
  <c r="C96"/>
  <c r="B96"/>
  <c r="E95"/>
  <c r="C95"/>
  <c r="B95"/>
  <c r="E94"/>
  <c r="C94"/>
  <c r="B94"/>
  <c r="E93"/>
  <c r="C93"/>
  <c r="B93"/>
  <c r="E92"/>
  <c r="C92"/>
  <c r="B92"/>
  <c r="E91"/>
  <c r="C91"/>
  <c r="B91"/>
  <c r="E90"/>
  <c r="C90"/>
  <c r="B90"/>
  <c r="E89"/>
  <c r="C89"/>
  <c r="B89"/>
  <c r="E88"/>
  <c r="C88"/>
  <c r="B88"/>
  <c r="E87"/>
  <c r="C87"/>
  <c r="B87"/>
  <c r="E86"/>
  <c r="C86"/>
  <c r="B86"/>
  <c r="E85"/>
  <c r="C85"/>
  <c r="B85"/>
  <c r="E84"/>
  <c r="C84"/>
  <c r="B84"/>
  <c r="E83"/>
  <c r="C83"/>
  <c r="B83"/>
  <c r="E82"/>
  <c r="C82"/>
  <c r="B82"/>
  <c r="E81"/>
  <c r="C81"/>
  <c r="B81"/>
  <c r="E80"/>
  <c r="C80"/>
  <c r="B80"/>
  <c r="E79"/>
  <c r="C79"/>
  <c r="B79"/>
  <c r="E78"/>
  <c r="C78"/>
  <c r="B78"/>
  <c r="E77"/>
  <c r="C77"/>
  <c r="B77"/>
  <c r="E76"/>
  <c r="C76"/>
  <c r="B76"/>
  <c r="E75"/>
  <c r="C75"/>
  <c r="B75"/>
  <c r="E74"/>
  <c r="C74"/>
  <c r="B74"/>
  <c r="E73"/>
  <c r="C73"/>
  <c r="B73"/>
  <c r="E72"/>
  <c r="C72"/>
  <c r="B72"/>
  <c r="E71"/>
  <c r="C71"/>
  <c r="B71"/>
  <c r="E70"/>
  <c r="C70"/>
  <c r="B70"/>
  <c r="E69"/>
  <c r="C69"/>
  <c r="B69"/>
  <c r="E68"/>
  <c r="C68"/>
  <c r="B68"/>
  <c r="E67"/>
  <c r="C67"/>
  <c r="B67"/>
  <c r="E66"/>
  <c r="C66"/>
  <c r="B66"/>
  <c r="E65"/>
  <c r="C65"/>
  <c r="B65"/>
  <c r="E64"/>
  <c r="C64"/>
  <c r="B64"/>
  <c r="E63"/>
  <c r="C63"/>
  <c r="B63"/>
  <c r="E62"/>
  <c r="C62"/>
  <c r="B62"/>
  <c r="E61"/>
  <c r="C61"/>
  <c r="B61"/>
  <c r="E60"/>
  <c r="C60"/>
  <c r="B60"/>
  <c r="E59"/>
  <c r="C59"/>
  <c r="B59"/>
  <c r="E58"/>
  <c r="C58"/>
  <c r="B58"/>
  <c r="E57"/>
  <c r="C57"/>
  <c r="B57"/>
  <c r="E56"/>
  <c r="C56"/>
  <c r="B56"/>
  <c r="E55"/>
  <c r="C55"/>
  <c r="B55"/>
  <c r="E54"/>
  <c r="C54"/>
  <c r="B54"/>
  <c r="E53"/>
  <c r="C53"/>
  <c r="B53"/>
  <c r="E52"/>
  <c r="C52"/>
  <c r="B52"/>
  <c r="E51"/>
  <c r="C51"/>
  <c r="B51"/>
  <c r="E50"/>
  <c r="C50"/>
  <c r="B50"/>
  <c r="E49"/>
  <c r="C49"/>
  <c r="B49"/>
  <c r="E48"/>
  <c r="C48"/>
  <c r="B48"/>
  <c r="E47"/>
  <c r="C47"/>
  <c r="B47"/>
  <c r="E46"/>
  <c r="C46"/>
  <c r="B46"/>
  <c r="E45"/>
  <c r="C45"/>
  <c r="B45"/>
  <c r="E44"/>
  <c r="C44"/>
  <c r="B44"/>
  <c r="E43"/>
  <c r="C43"/>
  <c r="B43"/>
  <c r="E42"/>
  <c r="C42"/>
  <c r="B42"/>
  <c r="E41"/>
  <c r="C41"/>
  <c r="B41"/>
  <c r="E40"/>
  <c r="C40"/>
  <c r="B40"/>
  <c r="E39"/>
  <c r="C39"/>
  <c r="B39"/>
  <c r="E38"/>
  <c r="C38"/>
  <c r="B38"/>
  <c r="E37"/>
  <c r="C37"/>
  <c r="B37"/>
  <c r="E36"/>
  <c r="C36"/>
  <c r="B36"/>
  <c r="E35"/>
  <c r="C35"/>
  <c r="B35"/>
  <c r="E34"/>
  <c r="C34"/>
  <c r="B34"/>
  <c r="E33"/>
  <c r="C33"/>
  <c r="B33"/>
  <c r="E32"/>
  <c r="C32"/>
  <c r="B32"/>
  <c r="E31"/>
  <c r="C31"/>
  <c r="B31"/>
  <c r="E30"/>
  <c r="C30"/>
  <c r="B30"/>
  <c r="E29"/>
  <c r="C29"/>
  <c r="B29"/>
  <c r="E28"/>
  <c r="C28"/>
  <c r="B28"/>
  <c r="E27"/>
  <c r="C27"/>
  <c r="B27"/>
  <c r="E26"/>
  <c r="C26"/>
  <c r="B26"/>
  <c r="E25"/>
  <c r="C25"/>
  <c r="B25"/>
  <c r="E24"/>
  <c r="C24"/>
  <c r="B24"/>
  <c r="E23"/>
  <c r="C23"/>
  <c r="B23"/>
  <c r="E22"/>
  <c r="C22"/>
  <c r="B22"/>
  <c r="E21"/>
  <c r="C21"/>
  <c r="B21"/>
  <c r="E20"/>
  <c r="C20"/>
  <c r="B20"/>
  <c r="E19"/>
  <c r="C19"/>
  <c r="B19"/>
  <c r="E18"/>
  <c r="C18"/>
  <c r="B18"/>
  <c r="E17"/>
  <c r="C17"/>
  <c r="B17"/>
  <c r="E16"/>
  <c r="C16"/>
  <c r="B16"/>
  <c r="E15"/>
  <c r="C15"/>
  <c r="B15"/>
  <c r="E14"/>
  <c r="C14"/>
  <c r="B14"/>
  <c r="E13"/>
  <c r="C13"/>
  <c r="B13"/>
  <c r="E12"/>
  <c r="C12"/>
  <c r="B12"/>
  <c r="E11"/>
  <c r="C11"/>
  <c r="B11"/>
  <c r="E10"/>
  <c r="C10"/>
  <c r="B10"/>
  <c r="E9"/>
  <c r="C9"/>
  <c r="B9"/>
  <c r="E8"/>
  <c r="C8"/>
  <c r="B8"/>
  <c r="E7"/>
  <c r="C7"/>
  <c r="B7"/>
  <c r="E6"/>
  <c r="C6"/>
  <c r="B6"/>
  <c r="E5"/>
  <c r="C5"/>
  <c r="B5"/>
  <c r="E4"/>
  <c r="C4"/>
  <c r="B4"/>
  <c r="E3"/>
  <c r="C3"/>
  <c r="B3"/>
  <c r="E2"/>
  <c r="C2"/>
  <c r="B2"/>
  <c r="E1"/>
  <c r="C1"/>
  <c r="B1"/>
  <c r="A1"/>
  <c r="AB612" i="40" l="1"/>
  <c r="AA612"/>
  <c r="Z612"/>
  <c r="Y612"/>
  <c r="X612"/>
  <c r="W612"/>
  <c r="V612"/>
  <c r="U612"/>
  <c r="T612"/>
  <c r="S612"/>
  <c r="R612"/>
  <c r="E611" l="1"/>
  <c r="C611"/>
  <c r="B611"/>
  <c r="E610"/>
  <c r="C610"/>
  <c r="B610"/>
  <c r="E609"/>
  <c r="C609"/>
  <c r="B609"/>
  <c r="E608"/>
  <c r="C608"/>
  <c r="B608"/>
  <c r="E607"/>
  <c r="C607"/>
  <c r="B607"/>
  <c r="E606"/>
  <c r="C606"/>
  <c r="B606"/>
  <c r="E605"/>
  <c r="C605"/>
  <c r="B605"/>
  <c r="E604"/>
  <c r="C604"/>
  <c r="B604"/>
  <c r="E603"/>
  <c r="C603"/>
  <c r="B603"/>
  <c r="E602"/>
  <c r="C602"/>
  <c r="B602"/>
  <c r="E601"/>
  <c r="C601"/>
  <c r="B601"/>
  <c r="E600"/>
  <c r="C600"/>
  <c r="B600"/>
  <c r="E599"/>
  <c r="C599"/>
  <c r="B599"/>
  <c r="E598"/>
  <c r="C598"/>
  <c r="B598"/>
  <c r="E597"/>
  <c r="C597"/>
  <c r="B597"/>
  <c r="E596"/>
  <c r="C596"/>
  <c r="B596"/>
  <c r="E595"/>
  <c r="C595"/>
  <c r="B595"/>
  <c r="E594"/>
  <c r="C594"/>
  <c r="B594"/>
  <c r="E593"/>
  <c r="C593"/>
  <c r="B593"/>
  <c r="E592"/>
  <c r="C592"/>
  <c r="B592"/>
  <c r="E591"/>
  <c r="C591"/>
  <c r="B591"/>
  <c r="E590"/>
  <c r="C590"/>
  <c r="B590"/>
  <c r="E589"/>
  <c r="C589"/>
  <c r="B589"/>
  <c r="E588"/>
  <c r="C588"/>
  <c r="B588"/>
  <c r="E587"/>
  <c r="C587"/>
  <c r="B587"/>
  <c r="E586"/>
  <c r="C586"/>
  <c r="B586"/>
  <c r="E585"/>
  <c r="C585"/>
  <c r="B585"/>
  <c r="E584"/>
  <c r="C584"/>
  <c r="B584"/>
  <c r="E583"/>
  <c r="C583"/>
  <c r="B583"/>
  <c r="E582"/>
  <c r="C582"/>
  <c r="B582"/>
  <c r="E581"/>
  <c r="C581"/>
  <c r="B581"/>
  <c r="E580"/>
  <c r="C580"/>
  <c r="B580"/>
  <c r="J611" i="37"/>
  <c r="F611"/>
  <c r="E611"/>
  <c r="M611" s="1"/>
  <c r="E611" a="1"/>
  <c r="D611"/>
  <c r="C611"/>
  <c r="B611"/>
  <c r="Q610"/>
  <c r="J610"/>
  <c r="F610"/>
  <c r="E610" a="1"/>
  <c r="E610" s="1"/>
  <c r="D610"/>
  <c r="C610"/>
  <c r="B610"/>
  <c r="F609"/>
  <c r="F29" i="53" s="1"/>
  <c r="D609" i="37"/>
  <c r="C609"/>
  <c r="B609"/>
  <c r="F608"/>
  <c r="D608"/>
  <c r="C608"/>
  <c r="B608"/>
  <c r="A608"/>
  <c r="F607"/>
  <c r="D607"/>
  <c r="C607"/>
  <c r="B607"/>
  <c r="F606"/>
  <c r="D606"/>
  <c r="C606"/>
  <c r="B606"/>
  <c r="F605"/>
  <c r="D605"/>
  <c r="C605"/>
  <c r="B605"/>
  <c r="G604"/>
  <c r="F604"/>
  <c r="E604" a="1"/>
  <c r="E604" s="1"/>
  <c r="D604"/>
  <c r="C604"/>
  <c r="B604"/>
  <c r="F603"/>
  <c r="D603"/>
  <c r="C603"/>
  <c r="B603"/>
  <c r="F602"/>
  <c r="D602"/>
  <c r="C602"/>
  <c r="B602"/>
  <c r="F601"/>
  <c r="D601"/>
  <c r="C601"/>
  <c r="B601"/>
  <c r="F600"/>
  <c r="E600"/>
  <c r="K600" s="1"/>
  <c r="E600" a="1"/>
  <c r="D600"/>
  <c r="C600"/>
  <c r="B600"/>
  <c r="F599"/>
  <c r="D599"/>
  <c r="C599"/>
  <c r="B599"/>
  <c r="F598"/>
  <c r="D598"/>
  <c r="C598"/>
  <c r="B598"/>
  <c r="F597"/>
  <c r="D597"/>
  <c r="C597"/>
  <c r="B597"/>
  <c r="F596"/>
  <c r="D596"/>
  <c r="C596"/>
  <c r="E596" s="1" a="1"/>
  <c r="E596" s="1"/>
  <c r="B596"/>
  <c r="F595"/>
  <c r="D595"/>
  <c r="C595"/>
  <c r="B595"/>
  <c r="F594"/>
  <c r="D594"/>
  <c r="C594"/>
  <c r="B594"/>
  <c r="F593"/>
  <c r="D593"/>
  <c r="C593"/>
  <c r="B593"/>
  <c r="F592"/>
  <c r="D592"/>
  <c r="C592"/>
  <c r="B592"/>
  <c r="M591"/>
  <c r="M29" i="52" s="1"/>
  <c r="F591" i="37"/>
  <c r="F29" i="52" s="1"/>
  <c r="E591" i="37"/>
  <c r="E591" a="1"/>
  <c r="D591"/>
  <c r="C591"/>
  <c r="B591"/>
  <c r="F590"/>
  <c r="E590" a="1"/>
  <c r="E590" s="1"/>
  <c r="D590"/>
  <c r="C590"/>
  <c r="B590"/>
  <c r="F589"/>
  <c r="D589"/>
  <c r="C589"/>
  <c r="B589"/>
  <c r="F588"/>
  <c r="D588"/>
  <c r="C588"/>
  <c r="B588"/>
  <c r="F587"/>
  <c r="F28" i="53" s="1"/>
  <c r="D587" i="37"/>
  <c r="C587"/>
  <c r="B587"/>
  <c r="F586"/>
  <c r="D586"/>
  <c r="C586"/>
  <c r="B586"/>
  <c r="F585"/>
  <c r="D585"/>
  <c r="C585"/>
  <c r="B585"/>
  <c r="F584"/>
  <c r="D584"/>
  <c r="C584"/>
  <c r="B584"/>
  <c r="F583"/>
  <c r="D583"/>
  <c r="C583"/>
  <c r="B583"/>
  <c r="F582"/>
  <c r="D582"/>
  <c r="C582"/>
  <c r="B582"/>
  <c r="F581"/>
  <c r="D581"/>
  <c r="C581"/>
  <c r="B581"/>
  <c r="F580"/>
  <c r="E580" a="1"/>
  <c r="E580" s="1"/>
  <c r="D580"/>
  <c r="C580"/>
  <c r="B580"/>
  <c r="B4" i="35" a="1"/>
  <c r="B4" s="1"/>
  <c r="A4" i="51" s="1"/>
  <c r="B5" i="35" a="1"/>
  <c r="B5"/>
  <c r="A5" i="51" s="1"/>
  <c r="B6" i="35" a="1"/>
  <c r="B6" s="1"/>
  <c r="A6" i="51" s="1"/>
  <c r="B7" i="35" a="1"/>
  <c r="B7" s="1"/>
  <c r="A7" i="51" s="1"/>
  <c r="B8" i="35" a="1"/>
  <c r="B8" s="1"/>
  <c r="A8" i="51" s="1"/>
  <c r="B9" i="35" a="1"/>
  <c r="B9" s="1"/>
  <c r="A9" i="51" s="1"/>
  <c r="B10" i="35" a="1"/>
  <c r="B10"/>
  <c r="A10" i="51" s="1"/>
  <c r="B11" i="35" a="1"/>
  <c r="B11" s="1"/>
  <c r="A11" i="51" s="1"/>
  <c r="B12" i="35" a="1"/>
  <c r="B12" s="1"/>
  <c r="A12" i="51" s="1"/>
  <c r="B13" i="35" a="1"/>
  <c r="B13" s="1"/>
  <c r="A13" i="51" s="1"/>
  <c r="B14" i="35" a="1"/>
  <c r="B14" s="1"/>
  <c r="A14" i="51" s="1"/>
  <c r="B15" i="35" a="1"/>
  <c r="B15" s="1"/>
  <c r="A15" i="51" s="1"/>
  <c r="B16" i="35" a="1"/>
  <c r="B16" s="1"/>
  <c r="A16" i="51" s="1"/>
  <c r="B17" i="35" a="1"/>
  <c r="B17" s="1"/>
  <c r="A17" i="51" s="1"/>
  <c r="B18" i="35" a="1"/>
  <c r="B18" s="1"/>
  <c r="A18" i="51" s="1"/>
  <c r="B19" i="35" a="1"/>
  <c r="B19" s="1"/>
  <c r="A19" i="51" s="1"/>
  <c r="B20" i="35" a="1"/>
  <c r="B20" s="1"/>
  <c r="A20" i="51" s="1"/>
  <c r="B21" i="35" a="1"/>
  <c r="B21"/>
  <c r="A21" i="51" s="1"/>
  <c r="B22" i="35" a="1"/>
  <c r="B22" s="1"/>
  <c r="A22" i="51" s="1"/>
  <c r="B23" i="35" a="1"/>
  <c r="B23" s="1"/>
  <c r="A23" i="51" s="1"/>
  <c r="B24" i="35" a="1"/>
  <c r="B24" s="1"/>
  <c r="A24" i="51" s="1"/>
  <c r="B25" i="35" a="1"/>
  <c r="B25" s="1"/>
  <c r="A25" i="51" s="1"/>
  <c r="B26" i="35" a="1"/>
  <c r="B26"/>
  <c r="A26" i="51" s="1"/>
  <c r="B27" i="35" a="1"/>
  <c r="B27" s="1"/>
  <c r="A27" i="51" s="1"/>
  <c r="B28" i="35" a="1"/>
  <c r="B28" s="1"/>
  <c r="A28" i="51" s="1"/>
  <c r="B29" i="35" a="1"/>
  <c r="B29" s="1"/>
  <c r="A29" i="51" s="1"/>
  <c r="B30" i="35" a="1"/>
  <c r="B30" s="1"/>
  <c r="A30" i="51" s="1"/>
  <c r="B31" i="35" a="1"/>
  <c r="B31" s="1"/>
  <c r="A31" i="51" s="1"/>
  <c r="B32" i="35" a="1"/>
  <c r="B32" s="1"/>
  <c r="A32" i="51" s="1"/>
  <c r="B33" i="35" a="1"/>
  <c r="B33" s="1"/>
  <c r="A33" i="51" s="1"/>
  <c r="B34" i="35" a="1"/>
  <c r="B34" s="1"/>
  <c r="A34" i="51" s="1"/>
  <c r="B35" i="35" a="1"/>
  <c r="B35" s="1"/>
  <c r="A35" i="51" s="1"/>
  <c r="B36" i="35" a="1"/>
  <c r="B36" s="1"/>
  <c r="A36" i="51" s="1"/>
  <c r="B37" i="35" a="1"/>
  <c r="B37"/>
  <c r="A37" i="51" s="1"/>
  <c r="B38" i="35" a="1"/>
  <c r="B38" s="1"/>
  <c r="A38" i="51" s="1"/>
  <c r="B39" i="35" a="1"/>
  <c r="B39" s="1"/>
  <c r="A39" i="51" s="1"/>
  <c r="B40" i="35" a="1"/>
  <c r="B40" s="1"/>
  <c r="A40" i="51" s="1"/>
  <c r="B41" i="35" a="1"/>
  <c r="B41" s="1"/>
  <c r="A41" i="51" s="1"/>
  <c r="B42" i="35" a="1"/>
  <c r="B42" s="1"/>
  <c r="A42" i="51" s="1"/>
  <c r="B43" i="35" a="1"/>
  <c r="B43" s="1"/>
  <c r="A43" i="51" s="1"/>
  <c r="B44" i="35" a="1"/>
  <c r="B44" s="1"/>
  <c r="A44" i="51" s="1"/>
  <c r="B45" i="35" a="1"/>
  <c r="B45" s="1"/>
  <c r="A45" i="51" s="1"/>
  <c r="B46" i="35" a="1"/>
  <c r="B46" s="1"/>
  <c r="A46" i="51" s="1"/>
  <c r="B47" i="35" a="1"/>
  <c r="B47" s="1"/>
  <c r="A47" i="51" s="1"/>
  <c r="B48" i="35" a="1"/>
  <c r="B48"/>
  <c r="A48" i="51" s="1"/>
  <c r="B49" i="35" a="1"/>
  <c r="B49" s="1"/>
  <c r="A49" i="51" s="1"/>
  <c r="B50" i="35" a="1"/>
  <c r="B50" s="1"/>
  <c r="A50" i="51" s="1"/>
  <c r="B51" i="35" a="1"/>
  <c r="B51" s="1"/>
  <c r="A51" i="51" s="1"/>
  <c r="B52" i="35" a="1"/>
  <c r="B52" s="1"/>
  <c r="A52" i="51" s="1"/>
  <c r="B53" i="35" a="1"/>
  <c r="B53" s="1"/>
  <c r="A53" i="51" s="1"/>
  <c r="B54" i="35" a="1"/>
  <c r="B54" s="1"/>
  <c r="A54" i="51" s="1"/>
  <c r="B55" i="35" a="1"/>
  <c r="B55" s="1"/>
  <c r="A55" i="51" s="1"/>
  <c r="B56" i="35" a="1"/>
  <c r="B56" s="1"/>
  <c r="A56" i="51" s="1"/>
  <c r="B57" i="35" a="1"/>
  <c r="B57" s="1"/>
  <c r="A57" i="51" s="1"/>
  <c r="B58" i="35" a="1"/>
  <c r="B58" s="1"/>
  <c r="A58" i="51" s="1"/>
  <c r="B59" i="35" a="1"/>
  <c r="B59" s="1"/>
  <c r="A59" i="51" s="1"/>
  <c r="B60" i="35" a="1"/>
  <c r="B60" s="1"/>
  <c r="A60" i="51" s="1"/>
  <c r="B61" i="35" a="1"/>
  <c r="B61" s="1"/>
  <c r="A61" i="51" s="1"/>
  <c r="B62" i="35" a="1"/>
  <c r="B62" s="1"/>
  <c r="A62" i="51" s="1"/>
  <c r="B63" i="35" a="1"/>
  <c r="B63" s="1"/>
  <c r="A63" i="51" s="1"/>
  <c r="B64" i="35" a="1"/>
  <c r="B64"/>
  <c r="A64" i="51" s="1"/>
  <c r="B65" i="35" a="1"/>
  <c r="B65" s="1"/>
  <c r="A65" i="51" s="1"/>
  <c r="B66" i="35" a="1"/>
  <c r="B66" s="1"/>
  <c r="A66" i="51" s="1"/>
  <c r="B67" i="35" a="1"/>
  <c r="B67" s="1"/>
  <c r="A67" i="51" s="1"/>
  <c r="B68" i="35" a="1"/>
  <c r="B68" s="1"/>
  <c r="A68" i="51" s="1"/>
  <c r="B69" i="35" a="1"/>
  <c r="B69"/>
  <c r="A69" i="51" s="1"/>
  <c r="B70" i="35" a="1"/>
  <c r="B70" s="1"/>
  <c r="A70" i="51" s="1"/>
  <c r="B71" i="35" a="1"/>
  <c r="B71" s="1"/>
  <c r="A71" i="51" s="1"/>
  <c r="B72" i="35" a="1"/>
  <c r="B72" s="1"/>
  <c r="A72" i="51" s="1"/>
  <c r="B73" i="35" a="1"/>
  <c r="B73" s="1"/>
  <c r="A73" i="51" s="1"/>
  <c r="B74" i="35" a="1"/>
  <c r="B74" s="1"/>
  <c r="A74" i="51" s="1"/>
  <c r="B75" i="35" a="1"/>
  <c r="B75" s="1"/>
  <c r="A75" i="51" s="1"/>
  <c r="B76" i="35" a="1"/>
  <c r="B76" s="1"/>
  <c r="A76" i="51" s="1"/>
  <c r="B77" i="35" a="1"/>
  <c r="B77"/>
  <c r="A77" i="51" s="1"/>
  <c r="B78" i="35" a="1"/>
  <c r="B78" s="1"/>
  <c r="A78" i="51" s="1"/>
  <c r="B79" i="35" a="1"/>
  <c r="B79" s="1"/>
  <c r="A79" i="51" s="1"/>
  <c r="B80" i="35" a="1"/>
  <c r="B80" s="1"/>
  <c r="A80" i="51" s="1"/>
  <c r="B81" i="35" a="1"/>
  <c r="B81" s="1"/>
  <c r="A81" i="51" s="1"/>
  <c r="B82" i="35" a="1"/>
  <c r="B82" s="1"/>
  <c r="A82" i="51" s="1"/>
  <c r="B83" i="35" a="1"/>
  <c r="B83" s="1"/>
  <c r="A83" i="51" s="1"/>
  <c r="B84" i="35" a="1"/>
  <c r="B84" s="1"/>
  <c r="A84" i="51" s="1"/>
  <c r="B85" i="35" a="1"/>
  <c r="B85"/>
  <c r="A85" i="51" s="1"/>
  <c r="B86" i="35" a="1"/>
  <c r="B86" s="1"/>
  <c r="A86" i="51" s="1"/>
  <c r="B87" i="35" a="1"/>
  <c r="B87" s="1"/>
  <c r="A87" i="51" s="1"/>
  <c r="B88" i="35" a="1"/>
  <c r="B88" s="1"/>
  <c r="A88" i="51" s="1"/>
  <c r="B89" i="35" a="1"/>
  <c r="B89" s="1"/>
  <c r="A89" i="51" s="1"/>
  <c r="B90" i="35" a="1"/>
  <c r="B90" s="1"/>
  <c r="A90" i="51" s="1"/>
  <c r="B91" i="35" a="1"/>
  <c r="B91" s="1"/>
  <c r="A91" i="51" s="1"/>
  <c r="B92" i="35" a="1"/>
  <c r="B92" s="1"/>
  <c r="A92" i="51" s="1"/>
  <c r="B93" i="35" a="1"/>
  <c r="B93" s="1"/>
  <c r="A93" i="51" s="1"/>
  <c r="B94" i="35" a="1"/>
  <c r="B94" s="1"/>
  <c r="A94" i="51" s="1"/>
  <c r="B95" i="35" a="1"/>
  <c r="B95" s="1"/>
  <c r="A95" i="51" s="1"/>
  <c r="B96" i="35" a="1"/>
  <c r="B96" s="1"/>
  <c r="A96" i="51" s="1"/>
  <c r="B97" i="35" a="1"/>
  <c r="B97" s="1"/>
  <c r="A97" i="51" s="1"/>
  <c r="B98" i="35" a="1"/>
  <c r="B98" s="1"/>
  <c r="A98" i="51" s="1"/>
  <c r="B99" i="35" a="1"/>
  <c r="B99" s="1"/>
  <c r="A99" i="51" s="1"/>
  <c r="B100" i="35" a="1"/>
  <c r="B100" s="1"/>
  <c r="A100" i="51" s="1"/>
  <c r="B101" i="35" a="1"/>
  <c r="B101" s="1"/>
  <c r="A101" i="51" s="1"/>
  <c r="B102" i="35" a="1"/>
  <c r="B102" s="1"/>
  <c r="A102" i="51" s="1"/>
  <c r="B103" i="35" a="1"/>
  <c r="B103" s="1"/>
  <c r="A103" i="51" s="1"/>
  <c r="B104" i="35" a="1"/>
  <c r="B104"/>
  <c r="A104" i="51" s="1"/>
  <c r="B105" i="35" a="1"/>
  <c r="B105" s="1"/>
  <c r="A105" i="51" s="1"/>
  <c r="B106" i="35" a="1"/>
  <c r="B106" s="1"/>
  <c r="A106" i="51" s="1"/>
  <c r="B107" i="35" a="1"/>
  <c r="B107" s="1"/>
  <c r="A107" i="51" s="1"/>
  <c r="B108" i="35" a="1"/>
  <c r="B108" s="1"/>
  <c r="A108" i="51" s="1"/>
  <c r="B109" i="35" a="1"/>
  <c r="B109" s="1"/>
  <c r="A109" i="51" s="1"/>
  <c r="B110" i="35" a="1"/>
  <c r="B110" s="1"/>
  <c r="A110" i="51" s="1"/>
  <c r="B111" i="35" a="1"/>
  <c r="B111" s="1"/>
  <c r="A111" i="51" s="1"/>
  <c r="B112" i="35" a="1"/>
  <c r="B112" s="1"/>
  <c r="A112" i="51" s="1"/>
  <c r="B113" i="35" a="1"/>
  <c r="B113" s="1"/>
  <c r="A113" i="51" s="1"/>
  <c r="B114" i="35" a="1"/>
  <c r="B114" s="1"/>
  <c r="A114" i="51" s="1"/>
  <c r="B115" i="35" a="1"/>
  <c r="B115" s="1"/>
  <c r="A115" i="51" s="1"/>
  <c r="B116" i="35" a="1"/>
  <c r="B116" s="1"/>
  <c r="A116" i="51" s="1"/>
  <c r="B117" i="35" a="1"/>
  <c r="B117" s="1"/>
  <c r="A117" i="51" s="1"/>
  <c r="B118" i="35" a="1"/>
  <c r="B118" s="1"/>
  <c r="A118" i="51" s="1"/>
  <c r="B119" i="35" a="1"/>
  <c r="B119" s="1"/>
  <c r="A119" i="51" s="1"/>
  <c r="B120" i="35" a="1"/>
  <c r="B120" s="1"/>
  <c r="A120" i="51" s="1"/>
  <c r="B121" i="35" a="1"/>
  <c r="B121" s="1"/>
  <c r="A121" i="51" s="1"/>
  <c r="B122" i="35" a="1"/>
  <c r="B122" s="1"/>
  <c r="A122" i="51" s="1"/>
  <c r="B123" i="35" a="1"/>
  <c r="B123" s="1"/>
  <c r="A123" i="51" s="1"/>
  <c r="B124" i="35" a="1"/>
  <c r="B124" s="1"/>
  <c r="A124" i="51" s="1"/>
  <c r="B125" i="35" a="1"/>
  <c r="B125" s="1"/>
  <c r="A125" i="51" s="1"/>
  <c r="B126" i="35" a="1"/>
  <c r="B126" s="1"/>
  <c r="A126" i="51" s="1"/>
  <c r="B127" i="35" a="1"/>
  <c r="B127" s="1"/>
  <c r="A127" i="51" s="1"/>
  <c r="B128" i="35" a="1"/>
  <c r="B128"/>
  <c r="A128" i="51" s="1"/>
  <c r="B129" i="35" a="1"/>
  <c r="B129" s="1"/>
  <c r="A129" i="51" s="1"/>
  <c r="B130" i="35" a="1"/>
  <c r="B130" s="1"/>
  <c r="A130" i="51" s="1"/>
  <c r="B131" i="35" a="1"/>
  <c r="B131" s="1"/>
  <c r="A131" i="51" s="1"/>
  <c r="B132" i="35" a="1"/>
  <c r="B132" s="1"/>
  <c r="A132" i="51" s="1"/>
  <c r="B133" i="35" a="1"/>
  <c r="B133" s="1"/>
  <c r="A133" i="51" s="1"/>
  <c r="B134" i="35" a="1"/>
  <c r="B134" s="1"/>
  <c r="A134" i="51" s="1"/>
  <c r="B135" i="35" a="1"/>
  <c r="B135" s="1"/>
  <c r="A135" i="51" s="1"/>
  <c r="B136" i="35" a="1"/>
  <c r="B136" s="1"/>
  <c r="A136" i="51" s="1"/>
  <c r="B137" i="35" a="1"/>
  <c r="B137" s="1"/>
  <c r="A137" i="51" s="1"/>
  <c r="B138" i="35" a="1"/>
  <c r="B138" s="1"/>
  <c r="A138" i="51" s="1"/>
  <c r="B139" i="35" a="1"/>
  <c r="B139" s="1"/>
  <c r="A139" i="51" s="1"/>
  <c r="B140" i="35" a="1"/>
  <c r="B140" s="1"/>
  <c r="A140" i="51" s="1"/>
  <c r="B141" i="35" a="1"/>
  <c r="B141"/>
  <c r="A141" i="51" s="1"/>
  <c r="B142" i="35" a="1"/>
  <c r="B142" s="1"/>
  <c r="A142" i="51" s="1"/>
  <c r="B143" i="35" a="1"/>
  <c r="B143" s="1"/>
  <c r="A143" i="51" s="1"/>
  <c r="B144" i="35" a="1"/>
  <c r="B144" s="1"/>
  <c r="A144" i="51" s="1"/>
  <c r="B145" i="35" a="1"/>
  <c r="B145" s="1"/>
  <c r="A145" i="51" s="1"/>
  <c r="B146" i="35" a="1"/>
  <c r="B146" s="1"/>
  <c r="A146" i="51" s="1"/>
  <c r="B147" i="35" a="1"/>
  <c r="B147" s="1"/>
  <c r="A147" i="51" s="1"/>
  <c r="B148" i="35" a="1"/>
  <c r="B148" s="1"/>
  <c r="A148" i="51" s="1"/>
  <c r="B149" i="35" a="1"/>
  <c r="B149"/>
  <c r="A149" i="51" s="1"/>
  <c r="B150" i="35" a="1"/>
  <c r="B150" s="1"/>
  <c r="A150" i="51" s="1"/>
  <c r="B151" i="35" a="1"/>
  <c r="B151" s="1"/>
  <c r="A151" i="51" s="1"/>
  <c r="B152" i="35" a="1"/>
  <c r="B152" s="1"/>
  <c r="A152" i="51" s="1"/>
  <c r="B153" i="35" a="1"/>
  <c r="B153" s="1"/>
  <c r="A153" i="51" s="1"/>
  <c r="B154" i="35" a="1"/>
  <c r="B154" s="1"/>
  <c r="A154" i="51" s="1"/>
  <c r="B155" i="35" a="1"/>
  <c r="B155" s="1"/>
  <c r="A155" i="51" s="1"/>
  <c r="B156" i="35" a="1"/>
  <c r="B156" s="1"/>
  <c r="A156" i="51" s="1"/>
  <c r="B157" i="35" a="1"/>
  <c r="B157" s="1"/>
  <c r="A157" i="51" s="1"/>
  <c r="B158" i="35" a="1"/>
  <c r="B158" s="1"/>
  <c r="A158" i="51" s="1"/>
  <c r="B159" i="35" a="1"/>
  <c r="B159" s="1"/>
  <c r="A159" i="51" s="1"/>
  <c r="B160" i="35" a="1"/>
  <c r="B160" s="1"/>
  <c r="A160" i="51" s="1"/>
  <c r="B161" i="35" a="1"/>
  <c r="B161" s="1"/>
  <c r="A161" i="51" s="1"/>
  <c r="B162" i="35" a="1"/>
  <c r="B162" s="1"/>
  <c r="A162" i="51" s="1"/>
  <c r="B163" i="35" a="1"/>
  <c r="B163" s="1"/>
  <c r="A163" i="51" s="1"/>
  <c r="B164" i="35" a="1"/>
  <c r="B164" s="1"/>
  <c r="A164" i="51" s="1"/>
  <c r="B165" i="35" a="1"/>
  <c r="B165" s="1"/>
  <c r="A165" i="51" s="1"/>
  <c r="B166" i="35" a="1"/>
  <c r="B166" s="1"/>
  <c r="A166" i="51" s="1"/>
  <c r="B167" i="35" a="1"/>
  <c r="B167" s="1"/>
  <c r="A167" i="51" s="1"/>
  <c r="B168" i="35" a="1"/>
  <c r="B168"/>
  <c r="A168" i="51" s="1"/>
  <c r="B169" i="35" a="1"/>
  <c r="B169" s="1"/>
  <c r="A169" i="51" s="1"/>
  <c r="B170" i="35" a="1"/>
  <c r="B170" s="1"/>
  <c r="A170" i="51" s="1"/>
  <c r="B171" i="35" a="1"/>
  <c r="B171" s="1"/>
  <c r="A171" i="51" s="1"/>
  <c r="B172" i="35" a="1"/>
  <c r="B172" s="1"/>
  <c r="A172" i="51" s="1"/>
  <c r="B173" i="35" a="1"/>
  <c r="B173" s="1"/>
  <c r="A173" i="51" s="1"/>
  <c r="B174" i="35" a="1"/>
  <c r="B174" s="1"/>
  <c r="A174" i="51" s="1"/>
  <c r="B175" i="35" a="1"/>
  <c r="B175" s="1"/>
  <c r="A175" i="51" s="1"/>
  <c r="B176" i="35" a="1"/>
  <c r="B176" s="1"/>
  <c r="A176" i="51" s="1"/>
  <c r="B177" i="35" a="1"/>
  <c r="B177" s="1"/>
  <c r="A177" i="51" s="1"/>
  <c r="B178" i="35" a="1"/>
  <c r="B178" s="1"/>
  <c r="A178" i="51" s="1"/>
  <c r="B179" i="35" a="1"/>
  <c r="B179" s="1"/>
  <c r="A179" i="51" s="1"/>
  <c r="B180" i="35" a="1"/>
  <c r="B180" s="1"/>
  <c r="A180" i="51" s="1"/>
  <c r="B181" i="35" a="1"/>
  <c r="B181" s="1"/>
  <c r="A181" i="51" s="1"/>
  <c r="B182" i="35" a="1"/>
  <c r="B182" s="1"/>
  <c r="A182" i="51" s="1"/>
  <c r="B183" i="35" a="1"/>
  <c r="B183" s="1"/>
  <c r="A183" i="51" s="1"/>
  <c r="B184" i="35" a="1"/>
  <c r="B184" s="1"/>
  <c r="A184" i="51" s="1"/>
  <c r="B185" i="35" a="1"/>
  <c r="B185" s="1"/>
  <c r="A185" i="51" s="1"/>
  <c r="B186" i="35" a="1"/>
  <c r="B186" s="1"/>
  <c r="A186" i="51" s="1"/>
  <c r="B187" i="35" a="1"/>
  <c r="B187" s="1"/>
  <c r="A187" i="51" s="1"/>
  <c r="B188" i="35" a="1"/>
  <c r="B188" s="1"/>
  <c r="A188" i="51" s="1"/>
  <c r="B189" i="35" a="1"/>
  <c r="B189" s="1"/>
  <c r="A189" i="51" s="1"/>
  <c r="B190" i="35" a="1"/>
  <c r="B190" s="1"/>
  <c r="A190" i="51" s="1"/>
  <c r="B191" i="35" a="1"/>
  <c r="B191" s="1"/>
  <c r="A191" i="51" s="1"/>
  <c r="B192" i="35" a="1"/>
  <c r="B192"/>
  <c r="A192" i="51" s="1"/>
  <c r="B193" i="35" a="1"/>
  <c r="B193" s="1"/>
  <c r="A193" i="51" s="1"/>
  <c r="B194" i="35" a="1"/>
  <c r="B194" s="1"/>
  <c r="A194" i="51" s="1"/>
  <c r="B195" i="35" a="1"/>
  <c r="B195" s="1"/>
  <c r="A195" i="51" s="1"/>
  <c r="B196" i="35" a="1"/>
  <c r="B196" s="1"/>
  <c r="A196" i="51" s="1"/>
  <c r="B197" i="35" a="1"/>
  <c r="B197" s="1"/>
  <c r="A197" i="51" s="1"/>
  <c r="B198" i="35" a="1"/>
  <c r="B198" s="1"/>
  <c r="A198" i="51" s="1"/>
  <c r="B199" i="35" a="1"/>
  <c r="B199" s="1"/>
  <c r="A199" i="51" s="1"/>
  <c r="B200" i="35" a="1"/>
  <c r="B200" s="1"/>
  <c r="A200" i="51" s="1"/>
  <c r="B201" i="35" a="1"/>
  <c r="B201" s="1"/>
  <c r="A201" i="51" s="1"/>
  <c r="B202" i="35" a="1"/>
  <c r="B202" s="1"/>
  <c r="A202" i="51" s="1"/>
  <c r="B203" i="35" a="1"/>
  <c r="B203" s="1"/>
  <c r="A203" i="51" s="1"/>
  <c r="B204" i="35" a="1"/>
  <c r="B204" s="1"/>
  <c r="A204" i="51" s="1"/>
  <c r="B205" i="35" a="1"/>
  <c r="B205" s="1"/>
  <c r="A205" i="51" s="1"/>
  <c r="B206" i="35" a="1"/>
  <c r="B206" s="1"/>
  <c r="A206" i="51" s="1"/>
  <c r="B207" i="35" a="1"/>
  <c r="B207" s="1"/>
  <c r="A207" i="51" s="1"/>
  <c r="B208" i="35" a="1"/>
  <c r="B208" s="1"/>
  <c r="A208" i="51" s="1"/>
  <c r="B209" i="35" a="1"/>
  <c r="B209" s="1"/>
  <c r="A209" i="51" s="1"/>
  <c r="B210" i="35" a="1"/>
  <c r="B210" s="1"/>
  <c r="A210" i="51" s="1"/>
  <c r="B211" i="35" a="1"/>
  <c r="B211" s="1"/>
  <c r="A211" i="51" s="1"/>
  <c r="B212" i="35" a="1"/>
  <c r="B212" s="1"/>
  <c r="A212" i="51" s="1"/>
  <c r="B213" i="35" a="1"/>
  <c r="B213" s="1"/>
  <c r="A213" i="51" s="1"/>
  <c r="B214" i="35" a="1"/>
  <c r="B214" s="1"/>
  <c r="A214" i="51" s="1"/>
  <c r="B215" i="35" a="1"/>
  <c r="B215" s="1"/>
  <c r="A215" i="51" s="1"/>
  <c r="B216" i="35" a="1"/>
  <c r="B216"/>
  <c r="A216" i="51" s="1"/>
  <c r="B217" i="35" a="1"/>
  <c r="B217" s="1"/>
  <c r="A217" i="51" s="1"/>
  <c r="B218" i="35" a="1"/>
  <c r="B218" s="1"/>
  <c r="A218" i="51" s="1"/>
  <c r="B219" i="35" a="1"/>
  <c r="B219" s="1"/>
  <c r="A219" i="51" s="1"/>
  <c r="B220" i="35" a="1"/>
  <c r="B220" s="1"/>
  <c r="A220" i="51" s="1"/>
  <c r="B221" i="35" a="1"/>
  <c r="B221" s="1"/>
  <c r="A221" i="51" s="1"/>
  <c r="B222" i="35" a="1"/>
  <c r="B222" s="1"/>
  <c r="A222" i="51" s="1"/>
  <c r="B223" i="35" a="1"/>
  <c r="B223" s="1"/>
  <c r="A223" i="51" s="1"/>
  <c r="B224" i="35" a="1"/>
  <c r="B224" s="1"/>
  <c r="A224" i="51" s="1"/>
  <c r="B225" i="35" a="1"/>
  <c r="B225" s="1"/>
  <c r="A225" i="51" s="1"/>
  <c r="B226" i="35" a="1"/>
  <c r="B226" s="1"/>
  <c r="A226" i="51" s="1"/>
  <c r="B227" i="35" a="1"/>
  <c r="B227" s="1"/>
  <c r="A227" i="51" s="1"/>
  <c r="B228" i="35" a="1"/>
  <c r="B228" s="1"/>
  <c r="A228" i="51" s="1"/>
  <c r="B229" i="35" a="1"/>
  <c r="B229" s="1"/>
  <c r="A229" i="51" s="1"/>
  <c r="B230" i="35" a="1"/>
  <c r="B230" s="1"/>
  <c r="A230" i="51" s="1"/>
  <c r="B231" i="35" a="1"/>
  <c r="B231" s="1"/>
  <c r="A231" i="51" s="1"/>
  <c r="B232" i="35" a="1"/>
  <c r="B232" s="1"/>
  <c r="A232" i="51" s="1"/>
  <c r="B233" i="35" a="1"/>
  <c r="B233" s="1"/>
  <c r="A233" i="51" s="1"/>
  <c r="B234" i="35" a="1"/>
  <c r="B234" s="1"/>
  <c r="A234" i="51" s="1"/>
  <c r="B235" i="35" a="1"/>
  <c r="B235" s="1"/>
  <c r="A235" i="51" s="1"/>
  <c r="B236" i="35" a="1"/>
  <c r="B236" s="1"/>
  <c r="A236" i="51" s="1"/>
  <c r="B237" i="35" a="1"/>
  <c r="B237" s="1"/>
  <c r="A237" i="51" s="1"/>
  <c r="B238" i="35" a="1"/>
  <c r="B238" s="1"/>
  <c r="A238" i="51" s="1"/>
  <c r="B239" i="35" a="1"/>
  <c r="B239" s="1"/>
  <c r="A239" i="51" s="1"/>
  <c r="B240" i="35" a="1"/>
  <c r="B240" s="1"/>
  <c r="A240" i="51" s="1"/>
  <c r="B241" i="35" a="1"/>
  <c r="B241" s="1"/>
  <c r="A241" i="51" s="1"/>
  <c r="B242" i="35" a="1"/>
  <c r="B242" s="1"/>
  <c r="A242" i="51" s="1"/>
  <c r="B243" i="35" a="1"/>
  <c r="B243" s="1"/>
  <c r="A243" i="51" s="1"/>
  <c r="B244" i="35" a="1"/>
  <c r="B244" s="1"/>
  <c r="A244" i="51" s="1"/>
  <c r="B245" i="35" a="1"/>
  <c r="B245" s="1"/>
  <c r="A245" i="51" s="1"/>
  <c r="B246" i="35" a="1"/>
  <c r="B246" s="1"/>
  <c r="A246" i="51" s="1"/>
  <c r="B247" i="35" a="1"/>
  <c r="B247" s="1"/>
  <c r="A247" i="51" s="1"/>
  <c r="B248" i="35" a="1"/>
  <c r="B248" s="1"/>
  <c r="A248" i="51" s="1"/>
  <c r="B249" i="35" a="1"/>
  <c r="B249" s="1"/>
  <c r="A249" i="51" s="1"/>
  <c r="B250" i="35" a="1"/>
  <c r="B250" s="1"/>
  <c r="A250" i="51" s="1"/>
  <c r="B251" i="35" a="1"/>
  <c r="B251" s="1"/>
  <c r="A251" i="51" s="1"/>
  <c r="B252" i="35" a="1"/>
  <c r="B252" s="1"/>
  <c r="A252" i="51" s="1"/>
  <c r="B253" i="35" a="1"/>
  <c r="B253" s="1"/>
  <c r="A253" i="51" s="1"/>
  <c r="B254" i="35" a="1"/>
  <c r="B254" s="1"/>
  <c r="A254" i="51" s="1"/>
  <c r="B255" i="35" a="1"/>
  <c r="B255" s="1"/>
  <c r="A255" i="51" s="1"/>
  <c r="B256" i="35" a="1"/>
  <c r="B256" s="1"/>
  <c r="A256" i="51" s="1"/>
  <c r="B257" i="35" a="1"/>
  <c r="B257" s="1"/>
  <c r="A257" i="51" s="1"/>
  <c r="B258" i="35" a="1"/>
  <c r="B258" s="1"/>
  <c r="A258" i="51" s="1"/>
  <c r="B259" i="35" a="1"/>
  <c r="B259" s="1"/>
  <c r="A259" i="51" s="1"/>
  <c r="B260" i="35" a="1"/>
  <c r="B260" s="1"/>
  <c r="A260" i="51" s="1"/>
  <c r="B261" i="35" a="1"/>
  <c r="B261"/>
  <c r="A261" i="51" s="1"/>
  <c r="B262" i="35" a="1"/>
  <c r="B262" s="1"/>
  <c r="A262" i="51" s="1"/>
  <c r="B263" i="35" a="1"/>
  <c r="B263" s="1"/>
  <c r="A263" i="51" s="1"/>
  <c r="B264" i="35" a="1"/>
  <c r="B264" s="1"/>
  <c r="A264" i="51" s="1"/>
  <c r="B265" i="35" a="1"/>
  <c r="B265" s="1"/>
  <c r="A265" i="51" s="1"/>
  <c r="B266" i="35" a="1"/>
  <c r="B266" s="1"/>
  <c r="A266" i="51" s="1"/>
  <c r="B267" i="35" a="1"/>
  <c r="B267" s="1"/>
  <c r="A267" i="51" s="1"/>
  <c r="B268" i="35" a="1"/>
  <c r="B268" s="1"/>
  <c r="A268" i="51" s="1"/>
  <c r="B269" i="35" a="1"/>
  <c r="B269" s="1"/>
  <c r="A269" i="51" s="1"/>
  <c r="B270" i="35" a="1"/>
  <c r="B270" s="1"/>
  <c r="A270" i="51" s="1"/>
  <c r="B271" i="35" a="1"/>
  <c r="B271" s="1"/>
  <c r="A271" i="51" s="1"/>
  <c r="B272" i="35" a="1"/>
  <c r="B272" s="1"/>
  <c r="A272" i="51" s="1"/>
  <c r="B273" i="35" a="1"/>
  <c r="B273" s="1"/>
  <c r="A273" i="51" s="1"/>
  <c r="B274" i="35" a="1"/>
  <c r="B274" s="1"/>
  <c r="A274" i="51" s="1"/>
  <c r="B275" i="35" a="1"/>
  <c r="B275" s="1"/>
  <c r="A275" i="51" s="1"/>
  <c r="B276" i="35" a="1"/>
  <c r="B276" s="1"/>
  <c r="A276" i="51" s="1"/>
  <c r="B277" i="35" a="1"/>
  <c r="B277"/>
  <c r="A277" i="51" s="1"/>
  <c r="B278" i="35" a="1"/>
  <c r="B278" s="1"/>
  <c r="A278" i="51" s="1"/>
  <c r="B279" i="35" a="1"/>
  <c r="B279" s="1"/>
  <c r="A279" i="51" s="1"/>
  <c r="B280" i="35" a="1"/>
  <c r="B280" s="1"/>
  <c r="A280" i="51" s="1"/>
  <c r="B281" i="35" a="1"/>
  <c r="B281" s="1"/>
  <c r="A281" i="51" s="1"/>
  <c r="B282" i="35" a="1"/>
  <c r="B282" s="1"/>
  <c r="A282" i="51" s="1"/>
  <c r="B283" i="35" a="1"/>
  <c r="B283" s="1"/>
  <c r="A283" i="51" s="1"/>
  <c r="B284" i="35" a="1"/>
  <c r="B284" s="1"/>
  <c r="A284" i="51" s="1"/>
  <c r="B285" i="35" a="1"/>
  <c r="B285" s="1"/>
  <c r="A285" i="51" s="1"/>
  <c r="B286" i="35" a="1"/>
  <c r="B286" s="1"/>
  <c r="A286" i="51" s="1"/>
  <c r="B287" i="35" a="1"/>
  <c r="B287" s="1"/>
  <c r="A287" i="51" s="1"/>
  <c r="B288" i="35" a="1"/>
  <c r="B288" s="1"/>
  <c r="A288" i="51" s="1"/>
  <c r="B289" i="35" a="1"/>
  <c r="B289" s="1"/>
  <c r="A289" i="51" s="1"/>
  <c r="B290" i="35" a="1"/>
  <c r="B290" s="1"/>
  <c r="A290" i="51" s="1"/>
  <c r="B291" i="35" a="1"/>
  <c r="B291" s="1"/>
  <c r="A291" i="51" s="1"/>
  <c r="B292" i="35" a="1"/>
  <c r="B292"/>
  <c r="A292" i="51" s="1"/>
  <c r="B293" i="35" a="1"/>
  <c r="B293" s="1"/>
  <c r="A293" i="51" s="1"/>
  <c r="B294" i="35" a="1"/>
  <c r="B294" s="1"/>
  <c r="A294" i="51" s="1"/>
  <c r="B295" i="35" a="1"/>
  <c r="B295" s="1"/>
  <c r="A295" i="51" s="1"/>
  <c r="B296" i="35" a="1"/>
  <c r="B296" s="1"/>
  <c r="A296" i="51" s="1"/>
  <c r="B297" i="35" a="1"/>
  <c r="B297"/>
  <c r="A297" i="51" s="1"/>
  <c r="B298" i="35" a="1"/>
  <c r="B298" s="1"/>
  <c r="A298" i="51" s="1"/>
  <c r="B299" i="35" a="1"/>
  <c r="B299" s="1"/>
  <c r="A299" i="51" s="1"/>
  <c r="B300" i="35" a="1"/>
  <c r="B300" s="1"/>
  <c r="A300" i="51" s="1"/>
  <c r="B301" i="35" a="1"/>
  <c r="B301" s="1"/>
  <c r="A301" i="51" s="1"/>
  <c r="B302" i="35" a="1"/>
  <c r="B302" s="1"/>
  <c r="A302" i="51" s="1"/>
  <c r="B303" i="35" a="1"/>
  <c r="B303" s="1"/>
  <c r="A303" i="51" s="1"/>
  <c r="B304" i="35" a="1"/>
  <c r="B304"/>
  <c r="A304" i="51" s="1"/>
  <c r="B305" i="35" a="1"/>
  <c r="B305" s="1"/>
  <c r="A305" i="51" s="1"/>
  <c r="B306" i="35" a="1"/>
  <c r="B306" s="1"/>
  <c r="A306" i="51" s="1"/>
  <c r="B307" i="35" a="1"/>
  <c r="B307" s="1"/>
  <c r="A307" i="51" s="1"/>
  <c r="B308" i="35" a="1"/>
  <c r="B308"/>
  <c r="A308" i="51" s="1"/>
  <c r="B309" i="35" a="1"/>
  <c r="B309" s="1"/>
  <c r="A309" i="51" s="1"/>
  <c r="B310" i="35" a="1"/>
  <c r="B310" s="1"/>
  <c r="A310" i="51" s="1"/>
  <c r="B311" i="35" a="1"/>
  <c r="B311" s="1"/>
  <c r="A311" i="51" s="1"/>
  <c r="B312" i="35" a="1"/>
  <c r="B312" s="1"/>
  <c r="A312" i="51" s="1"/>
  <c r="B313" i="35" a="1"/>
  <c r="B313"/>
  <c r="A313" i="51" s="1"/>
  <c r="B314" i="35" a="1"/>
  <c r="B314" s="1"/>
  <c r="A314" i="51" s="1"/>
  <c r="B315" i="35" a="1"/>
  <c r="B315" s="1"/>
  <c r="A315" i="51" s="1"/>
  <c r="B316" i="35" a="1"/>
  <c r="B316" s="1"/>
  <c r="A316" i="51" s="1"/>
  <c r="B317" i="35" a="1"/>
  <c r="B317" s="1"/>
  <c r="A317" i="51" s="1"/>
  <c r="B318" i="35" a="1"/>
  <c r="B318" s="1"/>
  <c r="A318" i="51" s="1"/>
  <c r="B319" i="35" a="1"/>
  <c r="B319" s="1"/>
  <c r="A319" i="51" s="1"/>
  <c r="B320" i="35" a="1"/>
  <c r="B320" s="1"/>
  <c r="A320" i="51" s="1"/>
  <c r="B321" i="35" a="1"/>
  <c r="B321" s="1"/>
  <c r="A321" i="51" s="1"/>
  <c r="B322" i="35" a="1"/>
  <c r="B322" s="1"/>
  <c r="A322" i="51" s="1"/>
  <c r="B323" i="35" a="1"/>
  <c r="B323" s="1"/>
  <c r="A323" i="51" s="1"/>
  <c r="B324" i="35" a="1"/>
  <c r="B324" s="1"/>
  <c r="A324" i="51" s="1"/>
  <c r="B325" i="35" a="1"/>
  <c r="B325" s="1"/>
  <c r="A325" i="51" s="1"/>
  <c r="B326" i="35" a="1"/>
  <c r="B326" s="1"/>
  <c r="A326" i="51" s="1"/>
  <c r="B327" i="35" a="1"/>
  <c r="B327" s="1"/>
  <c r="A327" i="51" s="1"/>
  <c r="B328" i="35" a="1"/>
  <c r="B328"/>
  <c r="A328" i="51" s="1"/>
  <c r="B329" i="35" a="1"/>
  <c r="B329" s="1"/>
  <c r="A329" i="51" s="1"/>
  <c r="B330" i="35" a="1"/>
  <c r="B330" s="1"/>
  <c r="A330" i="51" s="1"/>
  <c r="B331" i="35" a="1"/>
  <c r="B331" s="1"/>
  <c r="A331" i="51" s="1"/>
  <c r="B332" i="35" a="1"/>
  <c r="B332" s="1"/>
  <c r="A332" i="51" s="1"/>
  <c r="B333" i="35" a="1"/>
  <c r="B333" s="1"/>
  <c r="A333" i="51" s="1"/>
  <c r="B334" i="35" a="1"/>
  <c r="B334" s="1"/>
  <c r="A334" i="51" s="1"/>
  <c r="B335" i="35" a="1"/>
  <c r="B335" s="1"/>
  <c r="A335" i="51" s="1"/>
  <c r="B336" i="35" a="1"/>
  <c r="B336" s="1"/>
  <c r="A336" i="51" s="1"/>
  <c r="B337" i="35" a="1"/>
  <c r="B337" s="1"/>
  <c r="A337" i="51" s="1"/>
  <c r="B338" i="35" a="1"/>
  <c r="B338" s="1"/>
  <c r="A338" i="51" s="1"/>
  <c r="B339" i="35" a="1"/>
  <c r="B339" s="1"/>
  <c r="A339" i="51" s="1"/>
  <c r="B340" i="35" a="1"/>
  <c r="B340" s="1"/>
  <c r="A340" i="51" s="1"/>
  <c r="B341" i="35" a="1"/>
  <c r="B341" s="1"/>
  <c r="A341" i="51" s="1"/>
  <c r="B342" i="35" a="1"/>
  <c r="B342" s="1"/>
  <c r="A342" i="51" s="1"/>
  <c r="B343" i="35" a="1"/>
  <c r="B343" s="1"/>
  <c r="A343" i="51" s="1"/>
  <c r="B344" i="35" a="1"/>
  <c r="B344"/>
  <c r="A344" i="51" s="1"/>
  <c r="B345" i="35" a="1"/>
  <c r="B345" s="1"/>
  <c r="A345" i="51" s="1"/>
  <c r="B346" i="35" a="1"/>
  <c r="B346" s="1"/>
  <c r="A346" i="51" s="1"/>
  <c r="B347" i="35" a="1"/>
  <c r="B347" s="1"/>
  <c r="A347" i="51" s="1"/>
  <c r="B348" i="35" a="1"/>
  <c r="B348" s="1"/>
  <c r="A348" i="51" s="1"/>
  <c r="B349" i="35" a="1"/>
  <c r="B349" s="1"/>
  <c r="A349" i="51" s="1"/>
  <c r="B350" i="35" a="1"/>
  <c r="B350"/>
  <c r="A350" i="51" s="1"/>
  <c r="B351" i="35" a="1"/>
  <c r="B351" s="1"/>
  <c r="A351" i="51" s="1"/>
  <c r="B352" i="35" a="1"/>
  <c r="B352" s="1"/>
  <c r="A352" i="51" s="1"/>
  <c r="B353" i="35" a="1"/>
  <c r="B353"/>
  <c r="A353" i="51" s="1"/>
  <c r="B354" i="35" a="1"/>
  <c r="B354" s="1"/>
  <c r="A354" i="51" s="1"/>
  <c r="B355" i="35" a="1"/>
  <c r="B355" s="1"/>
  <c r="A355" i="51" s="1"/>
  <c r="B356" i="35" a="1"/>
  <c r="B356" s="1"/>
  <c r="A356" i="51" s="1"/>
  <c r="B357" i="35" a="1"/>
  <c r="B357" s="1"/>
  <c r="A357" i="51" s="1"/>
  <c r="B358" i="35" a="1"/>
  <c r="B358"/>
  <c r="A358" i="51" s="1"/>
  <c r="B359" i="35" a="1"/>
  <c r="B359" s="1"/>
  <c r="A359" i="51" s="1"/>
  <c r="B360" i="35" a="1"/>
  <c r="B360"/>
  <c r="A360" i="51" s="1"/>
  <c r="B361" i="35" a="1"/>
  <c r="B361" s="1"/>
  <c r="A361" i="51" s="1"/>
  <c r="B362" i="35" a="1"/>
  <c r="B362" s="1"/>
  <c r="A362" i="51" s="1"/>
  <c r="B363" i="35" a="1"/>
  <c r="B363" s="1"/>
  <c r="A363" i="51" s="1"/>
  <c r="B364" i="35" a="1"/>
  <c r="B364" s="1"/>
  <c r="A364" i="51" s="1"/>
  <c r="B365" i="35" a="1"/>
  <c r="B365" s="1"/>
  <c r="A365" i="51" s="1"/>
  <c r="B366" i="35" a="1"/>
  <c r="B366" s="1"/>
  <c r="A366" i="51" s="1"/>
  <c r="B367" i="35" a="1"/>
  <c r="B367" s="1"/>
  <c r="A367" i="51" s="1"/>
  <c r="B368" i="35" a="1"/>
  <c r="B368"/>
  <c r="A368" i="51" s="1"/>
  <c r="B369" i="35" a="1"/>
  <c r="B369" s="1"/>
  <c r="A369" i="51" s="1"/>
  <c r="B370" i="35" a="1"/>
  <c r="B370" s="1"/>
  <c r="A370" i="51" s="1"/>
  <c r="B371" i="35" a="1"/>
  <c r="B371" s="1"/>
  <c r="A371" i="51" s="1"/>
  <c r="B372" i="35" a="1"/>
  <c r="B372" s="1"/>
  <c r="A372" i="51" s="1"/>
  <c r="B373" i="35" a="1"/>
  <c r="B373" s="1"/>
  <c r="A373" i="51" s="1"/>
  <c r="B374" i="35" a="1"/>
  <c r="B374" s="1"/>
  <c r="A374" i="51" s="1"/>
  <c r="B375" i="35" a="1"/>
  <c r="B375" s="1"/>
  <c r="A375" i="51" s="1"/>
  <c r="B376" i="35" a="1"/>
  <c r="B376" s="1"/>
  <c r="A376" i="51" s="1"/>
  <c r="B377" i="35" a="1"/>
  <c r="B377" s="1"/>
  <c r="A377" i="51" s="1"/>
  <c r="B378" i="35" a="1"/>
  <c r="B378" s="1"/>
  <c r="A378" i="51" s="1"/>
  <c r="B379" i="35" a="1"/>
  <c r="B379" s="1"/>
  <c r="A379" i="51" s="1"/>
  <c r="B380" i="35" a="1"/>
  <c r="B380" s="1"/>
  <c r="A380" i="51" s="1"/>
  <c r="B381" i="35" a="1"/>
  <c r="B381" s="1"/>
  <c r="A381" i="51" s="1"/>
  <c r="B382" i="35" a="1"/>
  <c r="B382"/>
  <c r="A382" i="51" s="1"/>
  <c r="B383" i="35" a="1"/>
  <c r="B383" s="1"/>
  <c r="A383" i="51" s="1"/>
  <c r="B384" i="35" a="1"/>
  <c r="B384"/>
  <c r="A384" i="51" s="1"/>
  <c r="B385" i="35" a="1"/>
  <c r="B385" s="1"/>
  <c r="A385" i="51" s="1"/>
  <c r="B386" i="35" a="1"/>
  <c r="B386" s="1"/>
  <c r="A386" i="51" s="1"/>
  <c r="B387" i="35" a="1"/>
  <c r="B387" s="1"/>
  <c r="A387" i="51" s="1"/>
  <c r="B388" i="35" a="1"/>
  <c r="B388" s="1"/>
  <c r="A388" i="51" s="1"/>
  <c r="B389" i="35" a="1"/>
  <c r="B389"/>
  <c r="A389" i="51" s="1"/>
  <c r="B390" i="35" a="1"/>
  <c r="B390" s="1"/>
  <c r="A390" i="51" s="1"/>
  <c r="B391" i="35" a="1"/>
  <c r="B391" s="1"/>
  <c r="A391" i="51" s="1"/>
  <c r="B392" i="35" a="1"/>
  <c r="B392"/>
  <c r="A392" i="51" s="1"/>
  <c r="B393" i="35" a="1"/>
  <c r="B393" s="1"/>
  <c r="A393" i="51" s="1"/>
  <c r="B394" i="35" a="1"/>
  <c r="B394" s="1"/>
  <c r="A394" i="51" s="1"/>
  <c r="B395" i="35" a="1"/>
  <c r="B395" s="1"/>
  <c r="A395" i="51" s="1"/>
  <c r="B396" i="35" a="1"/>
  <c r="B396" s="1"/>
  <c r="A396" i="51" s="1"/>
  <c r="B397" i="35" a="1"/>
  <c r="B397" s="1"/>
  <c r="A397" i="51" s="1"/>
  <c r="B398" i="35" a="1"/>
  <c r="B398" s="1"/>
  <c r="A398" i="51" s="1"/>
  <c r="B399" i="35" a="1"/>
  <c r="B399" s="1"/>
  <c r="A399" i="51" s="1"/>
  <c r="B400" i="35" a="1"/>
  <c r="B400" s="1"/>
  <c r="A400" i="51" s="1"/>
  <c r="B401" i="35" a="1"/>
  <c r="B401" s="1"/>
  <c r="A401" i="51" s="1"/>
  <c r="B402" i="35" a="1"/>
  <c r="B402" s="1"/>
  <c r="A402" i="51" s="1"/>
  <c r="B403" i="35" a="1"/>
  <c r="B403" s="1"/>
  <c r="A403" i="51" s="1"/>
  <c r="B404" i="35" a="1"/>
  <c r="B404" s="1"/>
  <c r="A404" i="51" s="1"/>
  <c r="B405" i="35" a="1"/>
  <c r="B405" s="1"/>
  <c r="A405" i="51" s="1"/>
  <c r="B406" i="35" a="1"/>
  <c r="B406" s="1"/>
  <c r="A406" i="51" s="1"/>
  <c r="B407" i="35" a="1"/>
  <c r="B407" s="1"/>
  <c r="A407" i="51" s="1"/>
  <c r="B408" i="35" a="1"/>
  <c r="B408" s="1"/>
  <c r="A408" i="51" s="1"/>
  <c r="B409" i="35" a="1"/>
  <c r="B409" s="1"/>
  <c r="A409" i="51" s="1"/>
  <c r="B410" i="35" a="1"/>
  <c r="B410" s="1"/>
  <c r="A410" i="51" s="1"/>
  <c r="B411" i="35" a="1"/>
  <c r="B411" s="1"/>
  <c r="A411" i="51" s="1"/>
  <c r="B412" i="35" a="1"/>
  <c r="B412" s="1"/>
  <c r="A412" i="51" s="1"/>
  <c r="B413" i="35" a="1"/>
  <c r="B413"/>
  <c r="A413" i="51" s="1"/>
  <c r="B414" i="35" a="1"/>
  <c r="B414" s="1"/>
  <c r="A414" i="51" s="1"/>
  <c r="B415" i="35" a="1"/>
  <c r="B415" s="1"/>
  <c r="A415" i="51" s="1"/>
  <c r="B416" i="35" a="1"/>
  <c r="B416"/>
  <c r="A416" i="51" s="1"/>
  <c r="B417" i="35" a="1"/>
  <c r="B417" s="1"/>
  <c r="A417" i="51" s="1"/>
  <c r="B418" i="35" a="1"/>
  <c r="B418" s="1"/>
  <c r="A418" i="51" s="1"/>
  <c r="B419" i="35" a="1"/>
  <c r="B419" s="1"/>
  <c r="A419" i="51" s="1"/>
  <c r="B420" i="35" a="1"/>
  <c r="B420" s="1"/>
  <c r="A420" i="51" s="1"/>
  <c r="B421" i="35" a="1"/>
  <c r="B421"/>
  <c r="A421" i="51" s="1"/>
  <c r="B422" i="35" a="1"/>
  <c r="B422" s="1"/>
  <c r="A422" i="51" s="1"/>
  <c r="B423" i="35" a="1"/>
  <c r="B423" s="1"/>
  <c r="A423" i="51" s="1"/>
  <c r="B424" i="35" a="1"/>
  <c r="B424" s="1"/>
  <c r="A424" i="51" s="1"/>
  <c r="B425" i="35" a="1"/>
  <c r="B425" s="1"/>
  <c r="A425" i="51" s="1"/>
  <c r="B426" i="35" a="1"/>
  <c r="B426" s="1"/>
  <c r="A426" i="51" s="1"/>
  <c r="B427" i="35" a="1"/>
  <c r="B427" s="1"/>
  <c r="A427" i="51" s="1"/>
  <c r="B428" i="35" a="1"/>
  <c r="B428" s="1"/>
  <c r="A428" i="51" s="1"/>
  <c r="B429" i="35" a="1"/>
  <c r="B429" s="1"/>
  <c r="A429" i="51" s="1"/>
  <c r="B430" i="35" a="1"/>
  <c r="B430" s="1"/>
  <c r="A430" i="51" s="1"/>
  <c r="B431" i="35" a="1"/>
  <c r="B431" s="1"/>
  <c r="A431" i="51" s="1"/>
  <c r="B432" i="35" a="1"/>
  <c r="B432" s="1"/>
  <c r="A432" i="51" s="1"/>
  <c r="B433" i="35" a="1"/>
  <c r="B433" s="1"/>
  <c r="A433" i="51" s="1"/>
  <c r="B434" i="35" a="1"/>
  <c r="B434" s="1"/>
  <c r="A434" i="51" s="1"/>
  <c r="B435" i="35" a="1"/>
  <c r="B435" s="1"/>
  <c r="A435" i="51" s="1"/>
  <c r="B436" i="35" a="1"/>
  <c r="B436" s="1"/>
  <c r="A436" i="51" s="1"/>
  <c r="B437" i="35" a="1"/>
  <c r="B437"/>
  <c r="A437" i="51" s="1"/>
  <c r="B438" i="35" a="1"/>
  <c r="B438" s="1"/>
  <c r="A438" i="51" s="1"/>
  <c r="B439" i="35" a="1"/>
  <c r="B439" s="1"/>
  <c r="A439" i="51" s="1"/>
  <c r="B440" i="35" a="1"/>
  <c r="B440" s="1"/>
  <c r="A440" i="51" s="1"/>
  <c r="B441" i="35" a="1"/>
  <c r="B441" s="1"/>
  <c r="A441" i="51" s="1"/>
  <c r="B442" i="35" a="1"/>
  <c r="B442"/>
  <c r="A442" i="51" s="1"/>
  <c r="B443" i="35" a="1"/>
  <c r="B443" s="1"/>
  <c r="A443" i="51" s="1"/>
  <c r="B444" i="35" a="1"/>
  <c r="B444" s="1"/>
  <c r="A444" i="51" s="1"/>
  <c r="B445" i="35" a="1"/>
  <c r="B445"/>
  <c r="A445" i="51" s="1"/>
  <c r="B446" i="35" a="1"/>
  <c r="B446" s="1"/>
  <c r="A446" i="51" s="1"/>
  <c r="B447" i="35" a="1"/>
  <c r="B447" s="1"/>
  <c r="A447" i="51" s="1"/>
  <c r="B448" i="35" a="1"/>
  <c r="B448" s="1"/>
  <c r="A448" i="51" s="1"/>
  <c r="B449" i="35" a="1"/>
  <c r="B449" s="1"/>
  <c r="A449" i="51" s="1"/>
  <c r="B450" i="35" a="1"/>
  <c r="B450" s="1"/>
  <c r="A450" i="51" s="1"/>
  <c r="B451" i="35" a="1"/>
  <c r="B451" s="1"/>
  <c r="A451" i="51" s="1"/>
  <c r="B452" i="35" a="1"/>
  <c r="B452" s="1"/>
  <c r="A452" i="51" s="1"/>
  <c r="B453" i="35" a="1"/>
  <c r="B453" s="1"/>
  <c r="A453" i="51" s="1"/>
  <c r="B454" i="35" a="1"/>
  <c r="B454" s="1"/>
  <c r="A454" i="51" s="1"/>
  <c r="B455" i="35" a="1"/>
  <c r="B455" s="1"/>
  <c r="A455" i="51" s="1"/>
  <c r="B456" i="35" a="1"/>
  <c r="B456" s="1"/>
  <c r="A456" i="51" s="1"/>
  <c r="B457" i="35" a="1"/>
  <c r="B457" s="1"/>
  <c r="A457" i="51" s="1"/>
  <c r="B458" i="35" a="1"/>
  <c r="B458" s="1"/>
  <c r="A458" i="51" s="1"/>
  <c r="B459" i="35" a="1"/>
  <c r="B459" s="1"/>
  <c r="A459" i="51" s="1"/>
  <c r="B460" i="35" a="1"/>
  <c r="B460" s="1"/>
  <c r="A460" i="51" s="1"/>
  <c r="B461" i="35" a="1"/>
  <c r="B461" s="1"/>
  <c r="A461" i="51" s="1"/>
  <c r="B462" i="35" a="1"/>
  <c r="B462" s="1"/>
  <c r="A462" i="51" s="1"/>
  <c r="B463" i="35" a="1"/>
  <c r="B463" s="1"/>
  <c r="A463" i="51" s="1"/>
  <c r="B464" i="35" a="1"/>
  <c r="B464" s="1"/>
  <c r="A464" i="51" s="1"/>
  <c r="B465" i="35" a="1"/>
  <c r="B465" s="1"/>
  <c r="A465" i="51" s="1"/>
  <c r="B466" i="35" a="1"/>
  <c r="B466"/>
  <c r="A466" i="51" s="1"/>
  <c r="B467" i="35" a="1"/>
  <c r="B467" s="1"/>
  <c r="A467" i="51" s="1"/>
  <c r="B468" i="35" a="1"/>
  <c r="B468" s="1"/>
  <c r="A468" i="51" s="1"/>
  <c r="B469" i="35" a="1"/>
  <c r="B469"/>
  <c r="A469" i="51" s="1"/>
  <c r="B470" i="35" a="1"/>
  <c r="B470" s="1"/>
  <c r="A470" i="51" s="1"/>
  <c r="B471" i="35" a="1"/>
  <c r="B471" s="1"/>
  <c r="A471" i="51" s="1"/>
  <c r="B472" i="35" a="1"/>
  <c r="B472" s="1"/>
  <c r="A472" i="51" s="1"/>
  <c r="B473" i="35" a="1"/>
  <c r="B473" s="1"/>
  <c r="A473" i="51" s="1"/>
  <c r="B474" i="35" a="1"/>
  <c r="B474"/>
  <c r="A474" i="51" s="1"/>
  <c r="B475" i="35" a="1"/>
  <c r="B475" s="1"/>
  <c r="A475" i="51" s="1"/>
  <c r="B476" i="35" a="1"/>
  <c r="B476"/>
  <c r="A476" i="51" s="1"/>
  <c r="B477" i="35" a="1"/>
  <c r="B477" s="1"/>
  <c r="A477" i="51" s="1"/>
  <c r="B478" i="35" a="1"/>
  <c r="B478" s="1"/>
  <c r="A478" i="51" s="1"/>
  <c r="B479" i="35" a="1"/>
  <c r="B479" s="1"/>
  <c r="A479" i="51" s="1"/>
  <c r="B480" i="35" a="1"/>
  <c r="B480" s="1"/>
  <c r="A480" i="51" s="1"/>
  <c r="B481" i="35" a="1"/>
  <c r="B481" s="1"/>
  <c r="A481" i="51" s="1"/>
  <c r="B482" i="35" a="1"/>
  <c r="B482" s="1"/>
  <c r="A482" i="51" s="1"/>
  <c r="B483" i="35" a="1"/>
  <c r="B483" s="1"/>
  <c r="A483" i="51" s="1"/>
  <c r="B484" i="35" a="1"/>
  <c r="B484" s="1"/>
  <c r="A484" i="51" s="1"/>
  <c r="B485" i="35" a="1"/>
  <c r="B485" s="1"/>
  <c r="A485" i="51" s="1"/>
  <c r="B486" i="35" a="1"/>
  <c r="B486" s="1"/>
  <c r="A486" i="51" s="1"/>
  <c r="B487" i="35" a="1"/>
  <c r="B487" s="1"/>
  <c r="A487" i="51" s="1"/>
  <c r="B488" i="35" a="1"/>
  <c r="B488" s="1"/>
  <c r="A488" i="51" s="1"/>
  <c r="B489" i="35" a="1"/>
  <c r="B489" s="1"/>
  <c r="A489" i="51" s="1"/>
  <c r="B490" i="35" a="1"/>
  <c r="B490"/>
  <c r="A490" i="51" s="1"/>
  <c r="B491" i="35" a="1"/>
  <c r="B491" s="1"/>
  <c r="A491" i="51" s="1"/>
  <c r="B492" i="35" a="1"/>
  <c r="B492" s="1"/>
  <c r="A492" i="51" s="1"/>
  <c r="B493" i="35" a="1"/>
  <c r="B493" s="1"/>
  <c r="A493" i="51" s="1"/>
  <c r="B494" i="35" a="1"/>
  <c r="B494" s="1"/>
  <c r="A494" i="51" s="1"/>
  <c r="B495" i="35" a="1"/>
  <c r="B495" s="1"/>
  <c r="A495" i="51" s="1"/>
  <c r="B496" i="35" a="1"/>
  <c r="B496" s="1"/>
  <c r="A496" i="51" s="1"/>
  <c r="B497" i="35" a="1"/>
  <c r="B497" s="1"/>
  <c r="A497" i="51" s="1"/>
  <c r="B498" i="35" a="1"/>
  <c r="B498"/>
  <c r="A498" i="51" s="1"/>
  <c r="B499" i="35" a="1"/>
  <c r="B499" s="1"/>
  <c r="A499" i="51" s="1"/>
  <c r="B500" i="35" a="1"/>
  <c r="B500"/>
  <c r="A500" i="51" s="1"/>
  <c r="B501" i="35" a="1"/>
  <c r="B501" s="1"/>
  <c r="A501" i="51" s="1"/>
  <c r="B502" i="35" a="1"/>
  <c r="B502" s="1"/>
  <c r="A502" i="51" s="1"/>
  <c r="B503" i="35" a="1"/>
  <c r="B503" s="1"/>
  <c r="A503" i="51" s="1"/>
  <c r="B504" i="35" a="1"/>
  <c r="B504" s="1"/>
  <c r="A504" i="51" s="1"/>
  <c r="B505" i="35" a="1"/>
  <c r="B505"/>
  <c r="A505" i="51" s="1"/>
  <c r="B506" i="35" a="1"/>
  <c r="B506" s="1"/>
  <c r="A506" i="51" s="1"/>
  <c r="B507" i="35" a="1"/>
  <c r="B507" s="1"/>
  <c r="A507" i="51" s="1"/>
  <c r="B508" i="35" a="1"/>
  <c r="B508"/>
  <c r="A508" i="51" s="1"/>
  <c r="B509" i="35" a="1"/>
  <c r="B509" s="1"/>
  <c r="A509" i="51" s="1"/>
  <c r="B510" i="35" a="1"/>
  <c r="B510" s="1"/>
  <c r="A510" i="51" s="1"/>
  <c r="B511" i="35" a="1"/>
  <c r="B511" s="1"/>
  <c r="A511" i="51" s="1"/>
  <c r="B512" i="35" a="1"/>
  <c r="B512" s="1"/>
  <c r="A512" i="51" s="1"/>
  <c r="B513" i="35" a="1"/>
  <c r="B513" s="1"/>
  <c r="A513" i="51" s="1"/>
  <c r="B514" i="35" a="1"/>
  <c r="B514"/>
  <c r="A514" i="51" s="1"/>
  <c r="B515" i="35" a="1"/>
  <c r="B515" s="1"/>
  <c r="A515" i="51" s="1"/>
  <c r="B516" i="35" a="1"/>
  <c r="B516" s="1"/>
  <c r="A516" i="51" s="1"/>
  <c r="B517" i="35" a="1"/>
  <c r="B517" s="1"/>
  <c r="A517" i="51" s="1"/>
  <c r="B518" i="35" a="1"/>
  <c r="B518" s="1"/>
  <c r="A518" i="51" s="1"/>
  <c r="B519" i="35" a="1"/>
  <c r="B519"/>
  <c r="A519" i="51" s="1"/>
  <c r="B520" i="35" a="1"/>
  <c r="B520" s="1"/>
  <c r="A520" i="51" s="1"/>
  <c r="B521" i="35" a="1"/>
  <c r="B521" s="1"/>
  <c r="A521" i="51" s="1"/>
  <c r="B522" i="35" a="1"/>
  <c r="B522"/>
  <c r="A522" i="51" s="1"/>
  <c r="B523" i="35" a="1"/>
  <c r="B523" s="1"/>
  <c r="A523" i="51" s="1"/>
  <c r="B524" i="35" a="1"/>
  <c r="B524" s="1"/>
  <c r="A524" i="51" s="1"/>
  <c r="B525" i="35" a="1"/>
  <c r="B525" s="1"/>
  <c r="A525" i="51" s="1"/>
  <c r="B526" i="35" a="1"/>
  <c r="B526" s="1"/>
  <c r="A526" i="51" s="1"/>
  <c r="B527" i="35" a="1"/>
  <c r="B527" s="1"/>
  <c r="A527" i="51" s="1"/>
  <c r="B528" i="35" a="1"/>
  <c r="B528" s="1"/>
  <c r="A528" i="51" s="1"/>
  <c r="B529" i="35" a="1"/>
  <c r="B529" s="1"/>
  <c r="A529" i="51" s="1"/>
  <c r="B530" i="35" a="1"/>
  <c r="B530" s="1"/>
  <c r="A530" i="51" s="1"/>
  <c r="B531" i="35" a="1"/>
  <c r="B531"/>
  <c r="A531" i="51" s="1"/>
  <c r="B532" i="35" a="1"/>
  <c r="B532" s="1"/>
  <c r="A532" i="51" s="1"/>
  <c r="B533" i="35" a="1"/>
  <c r="B533"/>
  <c r="A533" i="51" s="1"/>
  <c r="B534" i="35" a="1"/>
  <c r="B534" s="1"/>
  <c r="A534" i="51" s="1"/>
  <c r="B535" i="35" a="1"/>
  <c r="B535" s="1"/>
  <c r="A535" i="51" s="1"/>
  <c r="B536" i="35" a="1"/>
  <c r="B536" s="1"/>
  <c r="A536" i="51" s="1"/>
  <c r="B537" i="35" a="1"/>
  <c r="B537" s="1"/>
  <c r="A537" i="51" s="1"/>
  <c r="B538" i="35" a="1"/>
  <c r="B538" s="1"/>
  <c r="A538" i="51" s="1"/>
  <c r="B539" i="35" a="1"/>
  <c r="B539" s="1"/>
  <c r="A539" i="51" s="1"/>
  <c r="B540" i="35" a="1"/>
  <c r="B540" s="1"/>
  <c r="A540" i="51" s="1"/>
  <c r="B541" i="35" a="1"/>
  <c r="B541" s="1"/>
  <c r="A541" i="51" s="1"/>
  <c r="B542" i="35" a="1"/>
  <c r="B542"/>
  <c r="A542" i="51" s="1"/>
  <c r="B543" i="35" a="1"/>
  <c r="B543" s="1"/>
  <c r="A543" i="51" s="1"/>
  <c r="B544" i="35" a="1"/>
  <c r="B544" s="1"/>
  <c r="A544" i="51" s="1"/>
  <c r="B545" i="35" a="1"/>
  <c r="B545"/>
  <c r="A545" i="51" s="1"/>
  <c r="B546" i="35" a="1"/>
  <c r="B546" s="1"/>
  <c r="A546" i="51" s="1"/>
  <c r="B547" i="35" a="1"/>
  <c r="B547" s="1"/>
  <c r="A547" i="51" s="1"/>
  <c r="B548" i="35" a="1"/>
  <c r="B548" s="1"/>
  <c r="A548" i="51" s="1"/>
  <c r="B549" i="35" a="1"/>
  <c r="B549" s="1"/>
  <c r="A549" i="51" s="1"/>
  <c r="B550" i="35" a="1"/>
  <c r="B550" s="1"/>
  <c r="A550" i="51" s="1"/>
  <c r="B551" i="35" a="1"/>
  <c r="B551"/>
  <c r="A551" i="51" s="1"/>
  <c r="B552" i="35" a="1"/>
  <c r="B552" s="1"/>
  <c r="A552" i="51" s="1"/>
  <c r="B553" i="35" a="1"/>
  <c r="B553" s="1"/>
  <c r="A553" i="51" s="1"/>
  <c r="B554" i="35" a="1"/>
  <c r="B554"/>
  <c r="A554" i="51" s="1"/>
  <c r="B555" i="35" a="1"/>
  <c r="B555" s="1"/>
  <c r="A555" i="51" s="1"/>
  <c r="B556" i="35" a="1"/>
  <c r="B556" s="1"/>
  <c r="A556" i="51" s="1"/>
  <c r="B557" i="35" a="1"/>
  <c r="B557" s="1"/>
  <c r="A557" i="51" s="1"/>
  <c r="B558" i="35" a="1"/>
  <c r="B558" s="1"/>
  <c r="A558" i="51" s="1"/>
  <c r="B559" i="35" a="1"/>
  <c r="B559" s="1"/>
  <c r="A559" i="51" s="1"/>
  <c r="B560" i="35" a="1"/>
  <c r="B560" s="1"/>
  <c r="A560" i="51" s="1"/>
  <c r="B561" i="35" a="1"/>
  <c r="B561" s="1"/>
  <c r="A561" i="51" s="1"/>
  <c r="B562" i="35" a="1"/>
  <c r="B562" s="1"/>
  <c r="A562" i="51" s="1"/>
  <c r="B563" i="35" a="1"/>
  <c r="B563"/>
  <c r="A563" i="51" s="1"/>
  <c r="B564" i="35" a="1"/>
  <c r="B564" s="1"/>
  <c r="A564" i="51" s="1"/>
  <c r="B565" i="35" a="1"/>
  <c r="B565"/>
  <c r="A565" i="51" s="1"/>
  <c r="B566" i="35" a="1"/>
  <c r="B566" s="1"/>
  <c r="A566" i="51" s="1"/>
  <c r="B567" i="35" a="1"/>
  <c r="B567" s="1"/>
  <c r="A567" i="51" s="1"/>
  <c r="B568" i="35" a="1"/>
  <c r="B568" s="1"/>
  <c r="A568" i="51" s="1"/>
  <c r="B569" i="35" a="1"/>
  <c r="B569" s="1"/>
  <c r="A569" i="51" s="1"/>
  <c r="B570" i="35" a="1"/>
  <c r="B570" s="1"/>
  <c r="A570" i="51" s="1"/>
  <c r="B571" i="35" a="1"/>
  <c r="B571" s="1"/>
  <c r="A571" i="51" s="1"/>
  <c r="B572" i="35" a="1"/>
  <c r="B572" s="1"/>
  <c r="A572" i="51" s="1"/>
  <c r="B573" i="35" a="1"/>
  <c r="B573" s="1"/>
  <c r="A573" i="51" s="1"/>
  <c r="B574" i="35" a="1"/>
  <c r="B574"/>
  <c r="A574" i="51" s="1"/>
  <c r="B575" i="35" a="1"/>
  <c r="B575" s="1"/>
  <c r="A575" i="51" s="1"/>
  <c r="B576" i="35" a="1"/>
  <c r="B576" s="1"/>
  <c r="A576" i="51" s="1"/>
  <c r="B577" i="35" a="1"/>
  <c r="B577"/>
  <c r="A577" i="51" s="1"/>
  <c r="B578" i="35" a="1"/>
  <c r="B578" s="1"/>
  <c r="A578" i="51" s="1"/>
  <c r="B579" i="35" a="1"/>
  <c r="B579" s="1"/>
  <c r="A579" i="51" s="1"/>
  <c r="B580" i="35" a="1"/>
  <c r="B580" s="1"/>
  <c r="A580" i="51" s="1"/>
  <c r="B581" i="35" a="1"/>
  <c r="B581" s="1"/>
  <c r="B582" a="1"/>
  <c r="B582" s="1"/>
  <c r="B583" a="1"/>
  <c r="B583"/>
  <c r="A583" i="51" s="1"/>
  <c r="B584" i="35" a="1"/>
  <c r="B584" s="1"/>
  <c r="A584" i="51" s="1"/>
  <c r="B585" i="35" a="1"/>
  <c r="B585" s="1"/>
  <c r="B586" a="1"/>
  <c r="B586"/>
  <c r="A586" i="51" s="1"/>
  <c r="B587" i="35" a="1"/>
  <c r="B587" s="1"/>
  <c r="B588" a="1"/>
  <c r="B588" s="1"/>
  <c r="A588" i="51" s="1"/>
  <c r="B589" i="35" a="1"/>
  <c r="B589" s="1"/>
  <c r="B590" a="1"/>
  <c r="B590" s="1"/>
  <c r="B591" a="1"/>
  <c r="B591" s="1"/>
  <c r="B592" a="1"/>
  <c r="B592" s="1"/>
  <c r="A592" i="51" s="1"/>
  <c r="B593" i="35" a="1"/>
  <c r="B593" s="1"/>
  <c r="B594" a="1"/>
  <c r="B594" s="1"/>
  <c r="B595" a="1"/>
  <c r="B595"/>
  <c r="A595" i="51" s="1"/>
  <c r="B596" i="35" a="1"/>
  <c r="B596" s="1"/>
  <c r="A596" i="51" s="1"/>
  <c r="B597" i="35" a="1"/>
  <c r="B597"/>
  <c r="A597" i="51" s="1"/>
  <c r="B598" i="35" a="1"/>
  <c r="B598" s="1"/>
  <c r="B599" a="1"/>
  <c r="B599" s="1"/>
  <c r="B600" a="1"/>
  <c r="B600" s="1"/>
  <c r="A600" i="51" s="1"/>
  <c r="B601" i="35" a="1"/>
  <c r="B601" s="1"/>
  <c r="B602" a="1"/>
  <c r="B602" s="1"/>
  <c r="B603" a="1"/>
  <c r="B603" s="1"/>
  <c r="B604" a="1"/>
  <c r="B604" s="1"/>
  <c r="A604" i="51" s="1"/>
  <c r="B605" i="35" a="1"/>
  <c r="B605" s="1"/>
  <c r="B606" a="1"/>
  <c r="B606"/>
  <c r="A606" i="51" s="1"/>
  <c r="B607" i="35" a="1"/>
  <c r="B607" s="1"/>
  <c r="B608" a="1"/>
  <c r="B608" s="1"/>
  <c r="A608" i="51" s="1"/>
  <c r="B609" i="35" a="1"/>
  <c r="B609"/>
  <c r="A609" i="51" s="1"/>
  <c r="B610" i="35" a="1"/>
  <c r="B610" s="1"/>
  <c r="B611" a="1"/>
  <c r="B611" s="1"/>
  <c r="A601" i="51" l="1"/>
  <c r="A601" i="37"/>
  <c r="A601" i="40"/>
  <c r="A587" i="51"/>
  <c r="A587" i="37"/>
  <c r="A587" i="40"/>
  <c r="A602" i="51"/>
  <c r="A602" i="40"/>
  <c r="A602" i="37"/>
  <c r="A603" i="51"/>
  <c r="A603" i="37"/>
  <c r="A603" i="40"/>
  <c r="A589" i="51"/>
  <c r="A589" i="37"/>
  <c r="A589" i="40"/>
  <c r="A590" i="51"/>
  <c r="A590" i="40"/>
  <c r="A590" i="37"/>
  <c r="A610" i="51"/>
  <c r="A610" i="37"/>
  <c r="A610" i="40"/>
  <c r="A611" i="51"/>
  <c r="A611" i="37"/>
  <c r="A611" i="40"/>
  <c r="A605" i="51"/>
  <c r="A605" i="37"/>
  <c r="A605" i="40"/>
  <c r="A591" i="51"/>
  <c r="A591" i="37"/>
  <c r="A591" i="40"/>
  <c r="A581" i="51"/>
  <c r="A581" i="37"/>
  <c r="A581" i="40"/>
  <c r="A582" i="51"/>
  <c r="A582" i="40"/>
  <c r="A582" i="37"/>
  <c r="A598" i="51"/>
  <c r="A598" i="40"/>
  <c r="A598" i="37"/>
  <c r="A585" i="51"/>
  <c r="A585" i="40"/>
  <c r="A585" i="37"/>
  <c r="A599" i="51"/>
  <c r="A599" i="37"/>
  <c r="A599" i="40"/>
  <c r="A593" i="51"/>
  <c r="A593" i="40"/>
  <c r="A593" i="37"/>
  <c r="A607" i="51"/>
  <c r="A607" i="37"/>
  <c r="A607" i="40"/>
  <c r="A594" i="51"/>
  <c r="A594" i="40"/>
  <c r="A594" i="37"/>
  <c r="P591"/>
  <c r="P29" i="52" s="1"/>
  <c r="E29"/>
  <c r="A586" i="37"/>
  <c r="A596"/>
  <c r="A583" i="40"/>
  <c r="A595"/>
  <c r="A597"/>
  <c r="A609"/>
  <c r="Q604" i="37"/>
  <c r="A606"/>
  <c r="A584"/>
  <c r="A609"/>
  <c r="C29" i="53"/>
  <c r="C29" i="52"/>
  <c r="A583" i="37"/>
  <c r="A580"/>
  <c r="A597"/>
  <c r="B29" i="53"/>
  <c r="B29" i="52"/>
  <c r="A592" i="37"/>
  <c r="A600"/>
  <c r="A580" i="40"/>
  <c r="A584"/>
  <c r="A586"/>
  <c r="A588"/>
  <c r="A592"/>
  <c r="A596"/>
  <c r="A600"/>
  <c r="A604"/>
  <c r="A606"/>
  <c r="A608"/>
  <c r="A588" i="37"/>
  <c r="N591"/>
  <c r="N29" i="52" s="1"/>
  <c r="A595" i="37"/>
  <c r="A604"/>
  <c r="O590"/>
  <c r="G590"/>
  <c r="P590"/>
  <c r="I590"/>
  <c r="J590"/>
  <c r="M590"/>
  <c r="L590"/>
  <c r="Q590"/>
  <c r="N590"/>
  <c r="K590"/>
  <c r="H590"/>
  <c r="P596"/>
  <c r="H596"/>
  <c r="L596"/>
  <c r="O596"/>
  <c r="M596"/>
  <c r="G596"/>
  <c r="K596"/>
  <c r="Q596"/>
  <c r="N596"/>
  <c r="I596"/>
  <c r="J596"/>
  <c r="E588" a="1"/>
  <c r="E588" s="1"/>
  <c r="E589" a="1"/>
  <c r="E589" s="1"/>
  <c r="E606" a="1"/>
  <c r="E606" s="1"/>
  <c r="E587" a="1"/>
  <c r="E587" s="1"/>
  <c r="E28" i="53" s="1"/>
  <c r="E603" i="37" a="1"/>
  <c r="E603" s="1"/>
  <c r="E592" a="1"/>
  <c r="E592" s="1"/>
  <c r="E594" a="1"/>
  <c r="E594" s="1"/>
  <c r="E597" a="1"/>
  <c r="E597" s="1"/>
  <c r="E593" a="1"/>
  <c r="E593" s="1"/>
  <c r="E586" a="1"/>
  <c r="E586" s="1"/>
  <c r="E582" a="1"/>
  <c r="E582" s="1"/>
  <c r="E583" a="1"/>
  <c r="E583" s="1"/>
  <c r="Q591"/>
  <c r="I591"/>
  <c r="O591"/>
  <c r="H591"/>
  <c r="L591"/>
  <c r="J591"/>
  <c r="G591"/>
  <c r="E585" a="1"/>
  <c r="E585" s="1"/>
  <c r="E581" a="1"/>
  <c r="E581" s="1"/>
  <c r="K591"/>
  <c r="P600"/>
  <c r="H600"/>
  <c r="L600"/>
  <c r="Q600"/>
  <c r="J600"/>
  <c r="G600"/>
  <c r="M600"/>
  <c r="O600"/>
  <c r="N600"/>
  <c r="I600"/>
  <c r="E607" a="1"/>
  <c r="E607" s="1"/>
  <c r="P604"/>
  <c r="H604"/>
  <c r="L604"/>
  <c r="M604"/>
  <c r="I604"/>
  <c r="K604"/>
  <c r="O604"/>
  <c r="N604"/>
  <c r="J604"/>
  <c r="P611"/>
  <c r="N611"/>
  <c r="E595" a="1"/>
  <c r="E595" s="1"/>
  <c r="E608" a="1"/>
  <c r="E608" s="1"/>
  <c r="E584" a="1"/>
  <c r="E584" s="1"/>
  <c r="E609" a="1"/>
  <c r="E609" s="1"/>
  <c r="E29" i="53" s="1"/>
  <c r="E601" i="37" a="1"/>
  <c r="E601" s="1"/>
  <c r="O610"/>
  <c r="G610"/>
  <c r="K610"/>
  <c r="M610"/>
  <c r="N610"/>
  <c r="I610"/>
  <c r="H610"/>
  <c r="L610"/>
  <c r="P610"/>
  <c r="E605" a="1"/>
  <c r="E605" s="1"/>
  <c r="E598" a="1"/>
  <c r="E598" s="1"/>
  <c r="Q611"/>
  <c r="I611"/>
  <c r="K611"/>
  <c r="H611"/>
  <c r="O611"/>
  <c r="L611"/>
  <c r="G611"/>
  <c r="E602" a="1"/>
  <c r="E602" s="1"/>
  <c r="E599" a="1"/>
  <c r="E599" s="1"/>
  <c r="K580"/>
  <c r="J580"/>
  <c r="Q580"/>
  <c r="I580"/>
  <c r="P580"/>
  <c r="H580"/>
  <c r="M580"/>
  <c r="L580"/>
  <c r="O580"/>
  <c r="G580"/>
  <c r="N580"/>
  <c r="AF33" i="2"/>
  <c r="AE33"/>
  <c r="AD33"/>
  <c r="AB33"/>
  <c r="AA33"/>
  <c r="AF32"/>
  <c r="AE32"/>
  <c r="AD32"/>
  <c r="AB32"/>
  <c r="AA32"/>
  <c r="AF31"/>
  <c r="AE31"/>
  <c r="AD31"/>
  <c r="AB31"/>
  <c r="AA31"/>
  <c r="H33"/>
  <c r="H32"/>
  <c r="H31"/>
  <c r="I29" i="52" l="1"/>
  <c r="K29"/>
  <c r="O29"/>
  <c r="Q29"/>
  <c r="H29"/>
  <c r="L29"/>
  <c r="A29" i="53"/>
  <c r="A29" i="52"/>
  <c r="J29"/>
  <c r="G29"/>
  <c r="J597" i="37"/>
  <c r="L597"/>
  <c r="K597"/>
  <c r="H597"/>
  <c r="N597"/>
  <c r="Q597"/>
  <c r="I597"/>
  <c r="G597"/>
  <c r="P597"/>
  <c r="O597"/>
  <c r="M597"/>
  <c r="K592"/>
  <c r="O592"/>
  <c r="Q592"/>
  <c r="H592"/>
  <c r="N592"/>
  <c r="G592"/>
  <c r="P592"/>
  <c r="M592"/>
  <c r="J592"/>
  <c r="I592"/>
  <c r="L592"/>
  <c r="N595"/>
  <c r="L595"/>
  <c r="I595"/>
  <c r="Q595"/>
  <c r="G595"/>
  <c r="K595"/>
  <c r="P595"/>
  <c r="H595"/>
  <c r="J595"/>
  <c r="O595"/>
  <c r="M595"/>
  <c r="Q607"/>
  <c r="I607"/>
  <c r="J607"/>
  <c r="M607"/>
  <c r="N607"/>
  <c r="H607"/>
  <c r="G607"/>
  <c r="L607"/>
  <c r="O607"/>
  <c r="K607"/>
  <c r="P607"/>
  <c r="O586"/>
  <c r="G586"/>
  <c r="N586"/>
  <c r="Q586"/>
  <c r="H586"/>
  <c r="L586"/>
  <c r="P586"/>
  <c r="M586"/>
  <c r="K586"/>
  <c r="J586"/>
  <c r="I586"/>
  <c r="N599"/>
  <c r="L599"/>
  <c r="J599"/>
  <c r="H599"/>
  <c r="Q599"/>
  <c r="K599"/>
  <c r="I599"/>
  <c r="G599"/>
  <c r="O599"/>
  <c r="M599"/>
  <c r="P599"/>
  <c r="K608"/>
  <c r="I608"/>
  <c r="H608"/>
  <c r="G608"/>
  <c r="O608"/>
  <c r="N608"/>
  <c r="P608"/>
  <c r="J608"/>
  <c r="Q608"/>
  <c r="M608"/>
  <c r="L608"/>
  <c r="M581"/>
  <c r="L581"/>
  <c r="O581"/>
  <c r="I581"/>
  <c r="Q581"/>
  <c r="P581"/>
  <c r="N581"/>
  <c r="K581"/>
  <c r="J581"/>
  <c r="H581"/>
  <c r="G581"/>
  <c r="M585"/>
  <c r="N585"/>
  <c r="P585"/>
  <c r="G585"/>
  <c r="H585"/>
  <c r="Q585"/>
  <c r="O585"/>
  <c r="L585"/>
  <c r="K585"/>
  <c r="I585"/>
  <c r="J585"/>
  <c r="O606"/>
  <c r="G606"/>
  <c r="I606"/>
  <c r="Q606"/>
  <c r="M606"/>
  <c r="J606"/>
  <c r="N606"/>
  <c r="L606"/>
  <c r="H606"/>
  <c r="K606"/>
  <c r="P606"/>
  <c r="M589"/>
  <c r="O589"/>
  <c r="Q589"/>
  <c r="H589"/>
  <c r="P589"/>
  <c r="N589"/>
  <c r="G589"/>
  <c r="K589"/>
  <c r="J589"/>
  <c r="L589"/>
  <c r="I589"/>
  <c r="K588"/>
  <c r="N588"/>
  <c r="P588"/>
  <c r="G588"/>
  <c r="L588"/>
  <c r="Q588"/>
  <c r="I588"/>
  <c r="H588"/>
  <c r="M588"/>
  <c r="O588"/>
  <c r="J588"/>
  <c r="K584"/>
  <c r="M584"/>
  <c r="O584"/>
  <c r="J584"/>
  <c r="I584"/>
  <c r="G584"/>
  <c r="Q584"/>
  <c r="N584"/>
  <c r="L584"/>
  <c r="P584"/>
  <c r="H584"/>
  <c r="J601"/>
  <c r="L601"/>
  <c r="M601"/>
  <c r="K601"/>
  <c r="H601"/>
  <c r="O601"/>
  <c r="I601"/>
  <c r="Q601"/>
  <c r="N601"/>
  <c r="G601"/>
  <c r="P601"/>
  <c r="Q583"/>
  <c r="I583"/>
  <c r="M583"/>
  <c r="O583"/>
  <c r="G583"/>
  <c r="P583"/>
  <c r="N583"/>
  <c r="L583"/>
  <c r="K583"/>
  <c r="J583"/>
  <c r="H583"/>
  <c r="M593"/>
  <c r="P593"/>
  <c r="G593"/>
  <c r="I593"/>
  <c r="H593"/>
  <c r="Q593"/>
  <c r="O593"/>
  <c r="N593"/>
  <c r="L593"/>
  <c r="K593"/>
  <c r="J593"/>
  <c r="J605"/>
  <c r="L605"/>
  <c r="Q605"/>
  <c r="H605"/>
  <c r="N605"/>
  <c r="P605"/>
  <c r="M605"/>
  <c r="O605"/>
  <c r="I605"/>
  <c r="G605"/>
  <c r="K605"/>
  <c r="O582"/>
  <c r="G582"/>
  <c r="M582"/>
  <c r="P582"/>
  <c r="N582"/>
  <c r="Q582"/>
  <c r="L582"/>
  <c r="K582"/>
  <c r="J582"/>
  <c r="I582"/>
  <c r="H582"/>
  <c r="L598"/>
  <c r="M598"/>
  <c r="H598"/>
  <c r="P598"/>
  <c r="J598"/>
  <c r="I598"/>
  <c r="G598"/>
  <c r="Q598"/>
  <c r="N598"/>
  <c r="O598"/>
  <c r="K598"/>
  <c r="L602"/>
  <c r="M602"/>
  <c r="I602"/>
  <c r="O602"/>
  <c r="K602"/>
  <c r="Q602"/>
  <c r="P602"/>
  <c r="J602"/>
  <c r="H602"/>
  <c r="G602"/>
  <c r="N602"/>
  <c r="M609"/>
  <c r="M29" i="53" s="1"/>
  <c r="J609" i="37"/>
  <c r="J29" i="53" s="1"/>
  <c r="P609" i="37"/>
  <c r="P29" i="53" s="1"/>
  <c r="K609" i="37"/>
  <c r="K29" i="53" s="1"/>
  <c r="G609" i="37"/>
  <c r="O609"/>
  <c r="O29" i="53" s="1"/>
  <c r="L609" i="37"/>
  <c r="L29" i="53" s="1"/>
  <c r="N609" i="37"/>
  <c r="N29" i="53" s="1"/>
  <c r="I609" i="37"/>
  <c r="I29" i="53" s="1"/>
  <c r="Q609" i="37"/>
  <c r="Q29" i="53" s="1"/>
  <c r="H609" i="37"/>
  <c r="H29" i="53" s="1"/>
  <c r="L594" i="37"/>
  <c r="M594"/>
  <c r="K594"/>
  <c r="O594"/>
  <c r="I594"/>
  <c r="H594"/>
  <c r="G594"/>
  <c r="Q594"/>
  <c r="P594"/>
  <c r="N594"/>
  <c r="J594"/>
  <c r="N603"/>
  <c r="L603"/>
  <c r="Q603"/>
  <c r="G603"/>
  <c r="H603"/>
  <c r="P603"/>
  <c r="J603"/>
  <c r="O603"/>
  <c r="M603"/>
  <c r="I603"/>
  <c r="K603"/>
  <c r="Q587"/>
  <c r="Q28" i="53" s="1"/>
  <c r="I587" i="37"/>
  <c r="I28" i="53" s="1"/>
  <c r="N587" i="37"/>
  <c r="N28" i="53" s="1"/>
  <c r="P587" i="37"/>
  <c r="P28" i="53" s="1"/>
  <c r="G587" i="37"/>
  <c r="L587"/>
  <c r="L28" i="53" s="1"/>
  <c r="K587" i="37"/>
  <c r="K28" i="53" s="1"/>
  <c r="J587" i="37"/>
  <c r="J28" i="53" s="1"/>
  <c r="M587" i="37"/>
  <c r="M28" i="53" s="1"/>
  <c r="H587" i="37"/>
  <c r="O587"/>
  <c r="O28" i="53" s="1"/>
  <c r="P2" i="46"/>
  <c r="O2" s="1"/>
  <c r="O3"/>
  <c r="O4"/>
  <c r="O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V29" i="53" l="1"/>
  <c r="S29"/>
  <c r="G29"/>
  <c r="C47" i="44"/>
  <c r="G28" i="53"/>
  <c r="C46" i="44"/>
  <c r="H28" i="53"/>
  <c r="W29" l="1"/>
  <c r="U29"/>
  <c r="AD29"/>
  <c r="T28"/>
  <c r="X28" s="1"/>
  <c r="R28"/>
  <c r="R29"/>
  <c r="T29"/>
  <c r="X29" s="1"/>
  <c r="V28"/>
  <c r="S28"/>
  <c r="AT2" i="49"/>
  <c r="A49" a="1"/>
  <c r="A49" s="1"/>
  <c r="AL49" s="1"/>
  <c r="A48" a="1"/>
  <c r="A48" s="1"/>
  <c r="AL48" s="1"/>
  <c r="A47" a="1"/>
  <c r="A47" s="1"/>
  <c r="AL47" s="1"/>
  <c r="A46" a="1"/>
  <c r="A46" s="1"/>
  <c r="AL46" s="1"/>
  <c r="A45" a="1"/>
  <c r="A45" s="1"/>
  <c r="AL45" s="1"/>
  <c r="A44" a="1"/>
  <c r="A44" s="1"/>
  <c r="AL44" s="1"/>
  <c r="A43" a="1"/>
  <c r="A43" s="1"/>
  <c r="AL43" s="1"/>
  <c r="A42" a="1"/>
  <c r="A42" s="1"/>
  <c r="AL42" s="1"/>
  <c r="A41" a="1"/>
  <c r="A41" s="1"/>
  <c r="AL41" s="1"/>
  <c r="A40" a="1"/>
  <c r="A40" s="1"/>
  <c r="AL40" s="1"/>
  <c r="A39" a="1"/>
  <c r="A39" s="1"/>
  <c r="AL39" s="1"/>
  <c r="A38" a="1"/>
  <c r="A38" s="1"/>
  <c r="AL38" s="1"/>
  <c r="A37" a="1"/>
  <c r="A37" s="1"/>
  <c r="AL37" s="1"/>
  <c r="A36" a="1"/>
  <c r="A36" s="1"/>
  <c r="AL36" s="1"/>
  <c r="A35" a="1"/>
  <c r="A35" s="1"/>
  <c r="AL35" s="1"/>
  <c r="A34" a="1"/>
  <c r="A34" s="1"/>
  <c r="AL34" s="1"/>
  <c r="A33" a="1"/>
  <c r="A33" s="1"/>
  <c r="AL33" s="1"/>
  <c r="A32" a="1"/>
  <c r="A32" s="1"/>
  <c r="AL32" s="1"/>
  <c r="A31" a="1"/>
  <c r="A31" s="1"/>
  <c r="AL31" s="1"/>
  <c r="A30" a="1"/>
  <c r="A30" s="1"/>
  <c r="AL30" s="1"/>
  <c r="A29" a="1"/>
  <c r="A29" s="1"/>
  <c r="AL29" s="1"/>
  <c r="A28" a="1"/>
  <c r="A28" s="1"/>
  <c r="AL28" s="1"/>
  <c r="A27" a="1"/>
  <c r="A27" s="1"/>
  <c r="AL27" s="1"/>
  <c r="A26" a="1"/>
  <c r="A26" s="1"/>
  <c r="AL26" s="1"/>
  <c r="A25" a="1"/>
  <c r="A25" s="1"/>
  <c r="AL25" s="1"/>
  <c r="A24" a="1"/>
  <c r="A24" s="1"/>
  <c r="AL24" s="1"/>
  <c r="A23" a="1"/>
  <c r="A23" s="1"/>
  <c r="AL23" s="1"/>
  <c r="A22" a="1"/>
  <c r="A22" s="1"/>
  <c r="AL22" s="1"/>
  <c r="A21" a="1"/>
  <c r="A21" s="1"/>
  <c r="AL21" s="1"/>
  <c r="A20" a="1"/>
  <c r="A20" s="1"/>
  <c r="AL20" s="1"/>
  <c r="A19" a="1"/>
  <c r="A19" s="1"/>
  <c r="AL19" s="1"/>
  <c r="A18" a="1"/>
  <c r="A18" s="1"/>
  <c r="AL18" s="1"/>
  <c r="A17" a="1"/>
  <c r="A17" s="1"/>
  <c r="AL17" s="1"/>
  <c r="A16" a="1"/>
  <c r="A16" s="1"/>
  <c r="AL16" s="1"/>
  <c r="A15" a="1"/>
  <c r="A15" s="1"/>
  <c r="AL15" s="1"/>
  <c r="A14" a="1"/>
  <c r="A14" s="1"/>
  <c r="AL14" s="1"/>
  <c r="A13" a="1"/>
  <c r="A13" s="1"/>
  <c r="AL13" s="1"/>
  <c r="A12" a="1"/>
  <c r="A12" s="1"/>
  <c r="AL12" s="1"/>
  <c r="A11" a="1"/>
  <c r="A11" s="1"/>
  <c r="AL11" s="1"/>
  <c r="A10" a="1"/>
  <c r="A10" s="1"/>
  <c r="AL10" s="1"/>
  <c r="A9" a="1"/>
  <c r="A9" s="1"/>
  <c r="AL9" s="1"/>
  <c r="A8" a="1"/>
  <c r="A8" s="1"/>
  <c r="AL8" s="1"/>
  <c r="A7" a="1"/>
  <c r="A7" s="1"/>
  <c r="AL7" s="1"/>
  <c r="A6" a="1"/>
  <c r="A6" s="1"/>
  <c r="AL6" s="1"/>
  <c r="A5" a="1"/>
  <c r="A5" s="1"/>
  <c r="AL5" s="1"/>
  <c r="A4" a="1"/>
  <c r="A4" s="1"/>
  <c r="AL4" s="1"/>
  <c r="A3" a="1"/>
  <c r="A3" s="1"/>
  <c r="AL3" s="1"/>
  <c r="A2" a="1"/>
  <c r="A2" s="1"/>
  <c r="AL2" s="1"/>
  <c r="W28" i="53" l="1"/>
  <c r="AD28"/>
  <c r="U28"/>
  <c r="Z29"/>
  <c r="Y29"/>
  <c r="AB29"/>
  <c r="E579" i="40"/>
  <c r="C579"/>
  <c r="B579"/>
  <c r="E578"/>
  <c r="C578"/>
  <c r="B578"/>
  <c r="E577"/>
  <c r="C577"/>
  <c r="B577"/>
  <c r="E576"/>
  <c r="C576"/>
  <c r="B576"/>
  <c r="E575"/>
  <c r="C575"/>
  <c r="B575"/>
  <c r="E574"/>
  <c r="C574"/>
  <c r="B574"/>
  <c r="E573"/>
  <c r="C573"/>
  <c r="B573"/>
  <c r="E572"/>
  <c r="C572"/>
  <c r="B572"/>
  <c r="E571"/>
  <c r="C571"/>
  <c r="B571"/>
  <c r="E570"/>
  <c r="C570"/>
  <c r="B570"/>
  <c r="E569"/>
  <c r="C569"/>
  <c r="B569"/>
  <c r="E568"/>
  <c r="C568"/>
  <c r="B568"/>
  <c r="E567"/>
  <c r="C567"/>
  <c r="B567"/>
  <c r="E566"/>
  <c r="C566"/>
  <c r="B566"/>
  <c r="E565"/>
  <c r="C565"/>
  <c r="B565"/>
  <c r="E564"/>
  <c r="C564"/>
  <c r="B564"/>
  <c r="E563"/>
  <c r="C563"/>
  <c r="B563"/>
  <c r="E562"/>
  <c r="C562"/>
  <c r="B562"/>
  <c r="E561"/>
  <c r="C561"/>
  <c r="B561"/>
  <c r="E560"/>
  <c r="C560"/>
  <c r="B560"/>
  <c r="E559"/>
  <c r="C559"/>
  <c r="B559"/>
  <c r="E558"/>
  <c r="C558"/>
  <c r="B558"/>
  <c r="E557"/>
  <c r="C557"/>
  <c r="B557"/>
  <c r="E556"/>
  <c r="C556"/>
  <c r="B556"/>
  <c r="E555"/>
  <c r="C555"/>
  <c r="B555"/>
  <c r="E554"/>
  <c r="C554"/>
  <c r="B554"/>
  <c r="E553"/>
  <c r="C553"/>
  <c r="B553"/>
  <c r="E552"/>
  <c r="C552"/>
  <c r="B552"/>
  <c r="E551"/>
  <c r="C551"/>
  <c r="B551"/>
  <c r="E550"/>
  <c r="C550"/>
  <c r="B550"/>
  <c r="E549"/>
  <c r="C549"/>
  <c r="B549"/>
  <c r="E548"/>
  <c r="C548"/>
  <c r="B548"/>
  <c r="E547"/>
  <c r="C547"/>
  <c r="B547"/>
  <c r="E546"/>
  <c r="C546"/>
  <c r="B546"/>
  <c r="E545"/>
  <c r="C545"/>
  <c r="B545"/>
  <c r="E544"/>
  <c r="C544"/>
  <c r="B544"/>
  <c r="E543"/>
  <c r="C543"/>
  <c r="B543"/>
  <c r="E542"/>
  <c r="C542"/>
  <c r="B542"/>
  <c r="E541"/>
  <c r="C541"/>
  <c r="B541"/>
  <c r="E540"/>
  <c r="C540"/>
  <c r="B540"/>
  <c r="E539"/>
  <c r="C539"/>
  <c r="B539"/>
  <c r="E538"/>
  <c r="C538"/>
  <c r="B538"/>
  <c r="E537"/>
  <c r="C537"/>
  <c r="B537"/>
  <c r="E536"/>
  <c r="C536"/>
  <c r="B536"/>
  <c r="E535"/>
  <c r="C535"/>
  <c r="B535"/>
  <c r="E534"/>
  <c r="C534"/>
  <c r="B534"/>
  <c r="E533"/>
  <c r="C533"/>
  <c r="B533"/>
  <c r="E532"/>
  <c r="C532"/>
  <c r="B532"/>
  <c r="E531"/>
  <c r="C531"/>
  <c r="B531"/>
  <c r="E530"/>
  <c r="C530"/>
  <c r="B530"/>
  <c r="E529"/>
  <c r="C529"/>
  <c r="B529"/>
  <c r="E528"/>
  <c r="C528"/>
  <c r="B528"/>
  <c r="E527"/>
  <c r="C527"/>
  <c r="B527"/>
  <c r="E526"/>
  <c r="C526"/>
  <c r="B526"/>
  <c r="E525"/>
  <c r="C525"/>
  <c r="B525"/>
  <c r="E524"/>
  <c r="C524"/>
  <c r="B524"/>
  <c r="E523"/>
  <c r="C523"/>
  <c r="B523"/>
  <c r="E522"/>
  <c r="C522"/>
  <c r="B522"/>
  <c r="E521"/>
  <c r="C521"/>
  <c r="B521"/>
  <c r="E520"/>
  <c r="C520"/>
  <c r="B520"/>
  <c r="E519"/>
  <c r="C519"/>
  <c r="B519"/>
  <c r="E518"/>
  <c r="C518"/>
  <c r="B518"/>
  <c r="E517"/>
  <c r="C517"/>
  <c r="B517"/>
  <c r="E516"/>
  <c r="C516"/>
  <c r="B516"/>
  <c r="E515"/>
  <c r="C515"/>
  <c r="B515"/>
  <c r="E514"/>
  <c r="C514"/>
  <c r="B514"/>
  <c r="E513"/>
  <c r="C513"/>
  <c r="B513"/>
  <c r="E512"/>
  <c r="C512"/>
  <c r="B512"/>
  <c r="E511"/>
  <c r="C511"/>
  <c r="B511"/>
  <c r="E510"/>
  <c r="C510"/>
  <c r="B510"/>
  <c r="E509"/>
  <c r="C509"/>
  <c r="B509"/>
  <c r="E508"/>
  <c r="C508"/>
  <c r="B508"/>
  <c r="E507"/>
  <c r="C507"/>
  <c r="B507"/>
  <c r="E506"/>
  <c r="C506"/>
  <c r="B506"/>
  <c r="E505"/>
  <c r="C505"/>
  <c r="B505"/>
  <c r="E504"/>
  <c r="C504"/>
  <c r="B504"/>
  <c r="E503"/>
  <c r="C503"/>
  <c r="B503"/>
  <c r="Y28" i="53" l="1"/>
  <c r="Z28"/>
  <c r="AB28"/>
  <c r="B503" i="37"/>
  <c r="C503"/>
  <c r="D503"/>
  <c r="F503"/>
  <c r="B504"/>
  <c r="C504"/>
  <c r="D504"/>
  <c r="F504"/>
  <c r="B505"/>
  <c r="C505"/>
  <c r="D505"/>
  <c r="F505"/>
  <c r="B506"/>
  <c r="C506"/>
  <c r="D506"/>
  <c r="F506"/>
  <c r="B507"/>
  <c r="C507"/>
  <c r="D507"/>
  <c r="F507"/>
  <c r="B508"/>
  <c r="C508"/>
  <c r="D508"/>
  <c r="F508"/>
  <c r="B509"/>
  <c r="C509"/>
  <c r="D509"/>
  <c r="F509"/>
  <c r="B510"/>
  <c r="C510"/>
  <c r="D510"/>
  <c r="F510"/>
  <c r="B511"/>
  <c r="C511"/>
  <c r="D511"/>
  <c r="F511"/>
  <c r="B512"/>
  <c r="C512"/>
  <c r="D512"/>
  <c r="F512"/>
  <c r="B513"/>
  <c r="C513"/>
  <c r="D513"/>
  <c r="F513"/>
  <c r="B514"/>
  <c r="C514"/>
  <c r="D514"/>
  <c r="F514"/>
  <c r="B515"/>
  <c r="C515"/>
  <c r="D515"/>
  <c r="F515"/>
  <c r="B516"/>
  <c r="C516"/>
  <c r="D516"/>
  <c r="F516"/>
  <c r="B517"/>
  <c r="C517"/>
  <c r="D517"/>
  <c r="F517"/>
  <c r="B518"/>
  <c r="C518"/>
  <c r="D518"/>
  <c r="F518"/>
  <c r="F25" i="53" s="1"/>
  <c r="B519" i="37"/>
  <c r="C519"/>
  <c r="D519"/>
  <c r="F519"/>
  <c r="B520"/>
  <c r="C520"/>
  <c r="D520"/>
  <c r="F520"/>
  <c r="B521"/>
  <c r="C521"/>
  <c r="D521"/>
  <c r="F521"/>
  <c r="B522"/>
  <c r="C522"/>
  <c r="D522"/>
  <c r="F522"/>
  <c r="B523"/>
  <c r="C523"/>
  <c r="D523"/>
  <c r="F523"/>
  <c r="F26" i="52" s="1"/>
  <c r="B524" i="37"/>
  <c r="C524"/>
  <c r="D524"/>
  <c r="F524"/>
  <c r="B525"/>
  <c r="C525"/>
  <c r="D525"/>
  <c r="F525"/>
  <c r="B526"/>
  <c r="C526"/>
  <c r="D526"/>
  <c r="F526"/>
  <c r="B527"/>
  <c r="C527"/>
  <c r="D527"/>
  <c r="F527"/>
  <c r="B528"/>
  <c r="C528"/>
  <c r="D528"/>
  <c r="F528"/>
  <c r="B529"/>
  <c r="C529"/>
  <c r="D529"/>
  <c r="F529"/>
  <c r="B530"/>
  <c r="C530"/>
  <c r="D530"/>
  <c r="F530"/>
  <c r="B531"/>
  <c r="C531"/>
  <c r="D531"/>
  <c r="F531"/>
  <c r="B532"/>
  <c r="C532"/>
  <c r="D532"/>
  <c r="F532"/>
  <c r="B533"/>
  <c r="C533"/>
  <c r="D533"/>
  <c r="F533"/>
  <c r="B534"/>
  <c r="C534"/>
  <c r="D534"/>
  <c r="F534"/>
  <c r="B535"/>
  <c r="C535"/>
  <c r="D535"/>
  <c r="F535"/>
  <c r="B536"/>
  <c r="C536"/>
  <c r="D536"/>
  <c r="F536"/>
  <c r="B537"/>
  <c r="C537"/>
  <c r="D537"/>
  <c r="F537"/>
  <c r="B538"/>
  <c r="C538"/>
  <c r="D538"/>
  <c r="F538"/>
  <c r="B539"/>
  <c r="C539"/>
  <c r="D539"/>
  <c r="F539"/>
  <c r="B540"/>
  <c r="C540"/>
  <c r="D540"/>
  <c r="F540"/>
  <c r="B541"/>
  <c r="C541"/>
  <c r="D541"/>
  <c r="F541"/>
  <c r="B542"/>
  <c r="C542"/>
  <c r="D542"/>
  <c r="F542"/>
  <c r="F26" i="53" s="1"/>
  <c r="B543" i="37"/>
  <c r="C543"/>
  <c r="D543"/>
  <c r="F543"/>
  <c r="B544"/>
  <c r="C544"/>
  <c r="D544"/>
  <c r="F544"/>
  <c r="B545"/>
  <c r="C545"/>
  <c r="D545"/>
  <c r="F545"/>
  <c r="B546"/>
  <c r="C546"/>
  <c r="D546"/>
  <c r="F546"/>
  <c r="B547"/>
  <c r="C547"/>
  <c r="D547"/>
  <c r="F547"/>
  <c r="F27" i="52" s="1"/>
  <c r="B548" i="37"/>
  <c r="C548"/>
  <c r="D548"/>
  <c r="F548"/>
  <c r="B549"/>
  <c r="C549"/>
  <c r="D549"/>
  <c r="F549"/>
  <c r="B550"/>
  <c r="C550"/>
  <c r="D550"/>
  <c r="F550"/>
  <c r="B551"/>
  <c r="C551"/>
  <c r="D551"/>
  <c r="F551"/>
  <c r="B552"/>
  <c r="C552"/>
  <c r="D552"/>
  <c r="F552"/>
  <c r="B553"/>
  <c r="C553"/>
  <c r="D553"/>
  <c r="F553"/>
  <c r="B554"/>
  <c r="C554"/>
  <c r="D554"/>
  <c r="F554"/>
  <c r="B555"/>
  <c r="C555"/>
  <c r="D555"/>
  <c r="F555"/>
  <c r="B556"/>
  <c r="C556"/>
  <c r="D556"/>
  <c r="F556"/>
  <c r="B557"/>
  <c r="C557"/>
  <c r="D557"/>
  <c r="F557"/>
  <c r="B558"/>
  <c r="C558"/>
  <c r="D558"/>
  <c r="F558"/>
  <c r="B559"/>
  <c r="C559"/>
  <c r="D559"/>
  <c r="F559"/>
  <c r="B560"/>
  <c r="C560"/>
  <c r="D560"/>
  <c r="F560"/>
  <c r="B561"/>
  <c r="C561"/>
  <c r="D561"/>
  <c r="F561"/>
  <c r="B562"/>
  <c r="C562"/>
  <c r="D562"/>
  <c r="F562"/>
  <c r="B563"/>
  <c r="C563"/>
  <c r="D563"/>
  <c r="F563"/>
  <c r="B564"/>
  <c r="C564"/>
  <c r="D564"/>
  <c r="F564"/>
  <c r="F27" i="53" s="1"/>
  <c r="B565" i="37"/>
  <c r="C565"/>
  <c r="D565"/>
  <c r="F565"/>
  <c r="B566"/>
  <c r="C566"/>
  <c r="D566"/>
  <c r="F566"/>
  <c r="B567"/>
  <c r="C567"/>
  <c r="D567"/>
  <c r="F567"/>
  <c r="B568"/>
  <c r="E568" s="1" a="1"/>
  <c r="E568" s="1"/>
  <c r="C568"/>
  <c r="D568"/>
  <c r="F568"/>
  <c r="B569"/>
  <c r="C569"/>
  <c r="D569"/>
  <c r="F569"/>
  <c r="F28" i="52" s="1"/>
  <c r="B570" i="37"/>
  <c r="C570"/>
  <c r="D570"/>
  <c r="F570"/>
  <c r="B571"/>
  <c r="C571"/>
  <c r="D571"/>
  <c r="F571"/>
  <c r="B572"/>
  <c r="C572"/>
  <c r="D572"/>
  <c r="F572"/>
  <c r="B573"/>
  <c r="C573"/>
  <c r="D573"/>
  <c r="F573"/>
  <c r="B574"/>
  <c r="C574"/>
  <c r="D574"/>
  <c r="F574"/>
  <c r="B575"/>
  <c r="C575"/>
  <c r="D575"/>
  <c r="F575"/>
  <c r="B576"/>
  <c r="C576"/>
  <c r="D576"/>
  <c r="F576"/>
  <c r="B577"/>
  <c r="C577"/>
  <c r="D577"/>
  <c r="F577"/>
  <c r="B578"/>
  <c r="C578"/>
  <c r="D578"/>
  <c r="F578"/>
  <c r="B579"/>
  <c r="C579"/>
  <c r="D579"/>
  <c r="F579"/>
  <c r="A542" i="40"/>
  <c r="A543"/>
  <c r="A544"/>
  <c r="A545"/>
  <c r="A546"/>
  <c r="A548"/>
  <c r="A549"/>
  <c r="A552"/>
  <c r="A553"/>
  <c r="A554"/>
  <c r="A555"/>
  <c r="A556"/>
  <c r="A557"/>
  <c r="A558"/>
  <c r="A559"/>
  <c r="A560"/>
  <c r="A561"/>
  <c r="A562"/>
  <c r="A563"/>
  <c r="A564"/>
  <c r="A565"/>
  <c r="A566"/>
  <c r="A567"/>
  <c r="A568"/>
  <c r="A569"/>
  <c r="A570"/>
  <c r="A571"/>
  <c r="A572"/>
  <c r="A573"/>
  <c r="A574"/>
  <c r="A575"/>
  <c r="A576"/>
  <c r="A578"/>
  <c r="A579"/>
  <c r="A503"/>
  <c r="A504"/>
  <c r="A505"/>
  <c r="A506"/>
  <c r="A508"/>
  <c r="A509"/>
  <c r="A510"/>
  <c r="A511"/>
  <c r="A513"/>
  <c r="A515"/>
  <c r="A516"/>
  <c r="A517"/>
  <c r="A518"/>
  <c r="A519"/>
  <c r="A520"/>
  <c r="A521"/>
  <c r="A522"/>
  <c r="A523"/>
  <c r="A524"/>
  <c r="A525"/>
  <c r="A526"/>
  <c r="A527"/>
  <c r="A528"/>
  <c r="A529"/>
  <c r="A530"/>
  <c r="A531"/>
  <c r="A532"/>
  <c r="A533"/>
  <c r="A534"/>
  <c r="A535"/>
  <c r="A536"/>
  <c r="A537"/>
  <c r="A538"/>
  <c r="A539"/>
  <c r="A540"/>
  <c r="A541"/>
  <c r="B28" i="53" l="1"/>
  <c r="B28" i="52"/>
  <c r="B27" i="53"/>
  <c r="B27" i="52"/>
  <c r="B26" i="53"/>
  <c r="B26" i="52"/>
  <c r="C28" i="53"/>
  <c r="C28" i="52"/>
  <c r="C27" i="53"/>
  <c r="C27" i="52"/>
  <c r="C26" i="53"/>
  <c r="C26" i="52"/>
  <c r="E542" i="37" a="1"/>
  <c r="E542" s="1"/>
  <c r="E554" a="1"/>
  <c r="E554" s="1"/>
  <c r="O554" s="1"/>
  <c r="E551" a="1"/>
  <c r="E551" s="1"/>
  <c r="J551" s="1"/>
  <c r="E529" a="1"/>
  <c r="E529" s="1"/>
  <c r="I529" s="1"/>
  <c r="E525" a="1"/>
  <c r="E525" s="1"/>
  <c r="O525" s="1"/>
  <c r="E517" a="1"/>
  <c r="E517" s="1"/>
  <c r="M517" s="1"/>
  <c r="E509" a="1"/>
  <c r="E509" s="1"/>
  <c r="A506"/>
  <c r="A563"/>
  <c r="A504"/>
  <c r="A546"/>
  <c r="A515"/>
  <c r="A523"/>
  <c r="A579"/>
  <c r="A542"/>
  <c r="A531"/>
  <c r="A547" i="40"/>
  <c r="A547" i="37"/>
  <c r="A507" i="40"/>
  <c r="A507" i="37"/>
  <c r="A558"/>
  <c r="A574"/>
  <c r="A552"/>
  <c r="A539"/>
  <c r="A568"/>
  <c r="A571"/>
  <c r="A569"/>
  <c r="A560"/>
  <c r="A551" i="40"/>
  <c r="A551" i="37"/>
  <c r="A550" i="40"/>
  <c r="A550" i="37"/>
  <c r="A514" i="40"/>
  <c r="A514" i="37"/>
  <c r="A577" i="40"/>
  <c r="A577" i="37"/>
  <c r="A512" i="40"/>
  <c r="A512" i="37"/>
  <c r="A544"/>
  <c r="A536"/>
  <c r="A528"/>
  <c r="A520"/>
  <c r="A573"/>
  <c r="A562"/>
  <c r="A554"/>
  <c r="A538"/>
  <c r="A530"/>
  <c r="A522"/>
  <c r="A576"/>
  <c r="A565"/>
  <c r="A557"/>
  <c r="A549"/>
  <c r="A541"/>
  <c r="A533"/>
  <c r="A525"/>
  <c r="A517"/>
  <c r="A509"/>
  <c r="A555"/>
  <c r="A566"/>
  <c r="A534"/>
  <c r="A526"/>
  <c r="A518"/>
  <c r="A510"/>
  <c r="A572"/>
  <c r="A561"/>
  <c r="A553"/>
  <c r="A545"/>
  <c r="A537"/>
  <c r="A529"/>
  <c r="A521"/>
  <c r="A513"/>
  <c r="A505"/>
  <c r="A575"/>
  <c r="A564"/>
  <c r="A556"/>
  <c r="A548"/>
  <c r="A540"/>
  <c r="A532"/>
  <c r="A524"/>
  <c r="A516"/>
  <c r="A508"/>
  <c r="A578"/>
  <c r="A570"/>
  <c r="A567"/>
  <c r="A559"/>
  <c r="A543"/>
  <c r="A535"/>
  <c r="A527"/>
  <c r="A519"/>
  <c r="A511"/>
  <c r="A503"/>
  <c r="E562" a="1"/>
  <c r="E562" s="1"/>
  <c r="I562" s="1"/>
  <c r="E569" a="1"/>
  <c r="E569" s="1"/>
  <c r="E572" a="1"/>
  <c r="E572" s="1"/>
  <c r="K572" s="1"/>
  <c r="E541" a="1"/>
  <c r="E541" s="1"/>
  <c r="O541" s="1"/>
  <c r="E527" a="1"/>
  <c r="E527" s="1"/>
  <c r="I527" s="1"/>
  <c r="E578" a="1"/>
  <c r="E578" s="1"/>
  <c r="H578" s="1"/>
  <c r="E564" a="1"/>
  <c r="E564" s="1"/>
  <c r="E552" a="1"/>
  <c r="E552" s="1"/>
  <c r="G552" s="1"/>
  <c r="H542"/>
  <c r="H26" i="53" s="1"/>
  <c r="E579" i="37" a="1"/>
  <c r="E579" s="1"/>
  <c r="K579" s="1"/>
  <c r="G554"/>
  <c r="E515" a="1"/>
  <c r="E515" s="1"/>
  <c r="P515" s="1"/>
  <c r="E544" a="1"/>
  <c r="E544" s="1"/>
  <c r="L544" s="1"/>
  <c r="E539" a="1"/>
  <c r="E539" s="1"/>
  <c r="H539" s="1"/>
  <c r="E538" a="1"/>
  <c r="E538" s="1"/>
  <c r="I538" s="1"/>
  <c r="E508" a="1"/>
  <c r="E508" s="1"/>
  <c r="K508" s="1"/>
  <c r="E559" a="1"/>
  <c r="E559" s="1"/>
  <c r="J559" s="1"/>
  <c r="E530" a="1"/>
  <c r="E530" s="1"/>
  <c r="O530" s="1"/>
  <c r="E574" a="1"/>
  <c r="E574" s="1"/>
  <c r="H574" s="1"/>
  <c r="E561" a="1"/>
  <c r="E561" s="1"/>
  <c r="P561" s="1"/>
  <c r="E567" a="1"/>
  <c r="E567" s="1"/>
  <c r="I567" s="1"/>
  <c r="E566" a="1"/>
  <c r="E566" s="1"/>
  <c r="I566" s="1"/>
  <c r="E573" a="1"/>
  <c r="E573" s="1"/>
  <c r="G573" s="1"/>
  <c r="E557" a="1"/>
  <c r="E557" s="1"/>
  <c r="M557" s="1"/>
  <c r="E516" a="1"/>
  <c r="E516" s="1"/>
  <c r="P516" s="1"/>
  <c r="E510" a="1"/>
  <c r="E510" s="1"/>
  <c r="K510" s="1"/>
  <c r="E536" a="1"/>
  <c r="E536" s="1"/>
  <c r="J536" s="1"/>
  <c r="P551"/>
  <c r="E535" a="1"/>
  <c r="E535" s="1"/>
  <c r="Q535" s="1"/>
  <c r="E547" a="1"/>
  <c r="E547" s="1"/>
  <c r="E543" a="1"/>
  <c r="E543" s="1"/>
  <c r="G543" s="1"/>
  <c r="M568"/>
  <c r="L568"/>
  <c r="N568"/>
  <c r="P568"/>
  <c r="G568"/>
  <c r="H568"/>
  <c r="I568"/>
  <c r="J568"/>
  <c r="K568"/>
  <c r="O568"/>
  <c r="Q568"/>
  <c r="E556" a="1"/>
  <c r="E556" s="1"/>
  <c r="L567"/>
  <c r="E534" a="1"/>
  <c r="E534" s="1"/>
  <c r="E550" a="1"/>
  <c r="E550" s="1"/>
  <c r="E576" a="1"/>
  <c r="E576" s="1"/>
  <c r="E549" a="1"/>
  <c r="E549" s="1"/>
  <c r="E575" a="1"/>
  <c r="E575" s="1"/>
  <c r="E540" a="1"/>
  <c r="E540" s="1"/>
  <c r="G529"/>
  <c r="E565" a="1"/>
  <c r="E565" s="1"/>
  <c r="E522" a="1"/>
  <c r="E522" s="1"/>
  <c r="E563" a="1"/>
  <c r="E563" s="1"/>
  <c r="E555" a="1"/>
  <c r="E555" s="1"/>
  <c r="E570" a="1"/>
  <c r="E570" s="1"/>
  <c r="K542"/>
  <c r="K26" i="53" s="1"/>
  <c r="G542" i="37"/>
  <c r="Q542"/>
  <c r="Q26" i="53" s="1"/>
  <c r="L542" i="37"/>
  <c r="L26" i="53" s="1"/>
  <c r="M542" i="37"/>
  <c r="M26" i="53" s="1"/>
  <c r="J542" i="37"/>
  <c r="J26" i="53" s="1"/>
  <c r="P542" i="37"/>
  <c r="P26" i="53" s="1"/>
  <c r="N542" i="37"/>
  <c r="N26" i="53" s="1"/>
  <c r="O542" i="37"/>
  <c r="O26" i="53" s="1"/>
  <c r="E505" i="37" a="1"/>
  <c r="E505" s="1"/>
  <c r="E571" a="1"/>
  <c r="E571" s="1"/>
  <c r="E577" a="1"/>
  <c r="E577" s="1"/>
  <c r="E558" a="1"/>
  <c r="E558" s="1"/>
  <c r="I551"/>
  <c r="O551"/>
  <c r="E553" a="1"/>
  <c r="E553" s="1"/>
  <c r="E546" a="1"/>
  <c r="E546" s="1"/>
  <c r="E519" a="1"/>
  <c r="E519" s="1"/>
  <c r="H554"/>
  <c r="L554"/>
  <c r="E548" a="1"/>
  <c r="E548" s="1"/>
  <c r="E560" a="1"/>
  <c r="E560" s="1"/>
  <c r="E531" a="1"/>
  <c r="E531" s="1"/>
  <c r="E526" a="1"/>
  <c r="E526" s="1"/>
  <c r="E528" a="1"/>
  <c r="E528" s="1"/>
  <c r="E545" a="1"/>
  <c r="E545" s="1"/>
  <c r="E532" a="1"/>
  <c r="E532" s="1"/>
  <c r="E524" a="1"/>
  <c r="E524" s="1"/>
  <c r="H517"/>
  <c r="G517"/>
  <c r="Q517"/>
  <c r="E523" a="1"/>
  <c r="E523" s="1"/>
  <c r="E26" i="52" s="1"/>
  <c r="E521" i="37" a="1"/>
  <c r="E521" s="1"/>
  <c r="E507" a="1"/>
  <c r="E507" s="1"/>
  <c r="E533" a="1"/>
  <c r="E533" s="1"/>
  <c r="G509"/>
  <c r="I509"/>
  <c r="M509"/>
  <c r="J509"/>
  <c r="L509"/>
  <c r="N509"/>
  <c r="O509"/>
  <c r="H509"/>
  <c r="K509"/>
  <c r="P509"/>
  <c r="Q509"/>
  <c r="E506" a="1"/>
  <c r="E506" s="1"/>
  <c r="E520" a="1"/>
  <c r="E520" s="1"/>
  <c r="E518" a="1"/>
  <c r="E518" s="1"/>
  <c r="E504" a="1"/>
  <c r="E504" s="1"/>
  <c r="E537" a="1"/>
  <c r="E537" s="1"/>
  <c r="E513" a="1"/>
  <c r="E513" s="1"/>
  <c r="E512" a="1"/>
  <c r="E512" s="1"/>
  <c r="E511" a="1"/>
  <c r="E511" s="1"/>
  <c r="E503" a="1"/>
  <c r="E503" s="1"/>
  <c r="E514" a="1"/>
  <c r="E514" s="1"/>
  <c r="X49" i="48"/>
  <c r="X48"/>
  <c r="X47"/>
  <c r="X46"/>
  <c r="X45"/>
  <c r="X44"/>
  <c r="X43"/>
  <c r="X42"/>
  <c r="X41"/>
  <c r="X40"/>
  <c r="X39"/>
  <c r="X38"/>
  <c r="X37"/>
  <c r="X36"/>
  <c r="X35"/>
  <c r="X34"/>
  <c r="X33"/>
  <c r="X32"/>
  <c r="X31"/>
  <c r="X30"/>
  <c r="X29"/>
  <c r="X28"/>
  <c r="X27"/>
  <c r="X26"/>
  <c r="X25"/>
  <c r="X24"/>
  <c r="X23"/>
  <c r="X22"/>
  <c r="X21"/>
  <c r="X20"/>
  <c r="X19"/>
  <c r="X18"/>
  <c r="X17"/>
  <c r="X16"/>
  <c r="X15"/>
  <c r="X14"/>
  <c r="X13"/>
  <c r="X12"/>
  <c r="X11"/>
  <c r="X10"/>
  <c r="X9"/>
  <c r="X8"/>
  <c r="X7"/>
  <c r="X6"/>
  <c r="X5"/>
  <c r="X4"/>
  <c r="X3"/>
  <c r="A30" i="47" a="1"/>
  <c r="A30" s="1"/>
  <c r="A49" i="48"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30" a="1"/>
  <c r="A30"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Y2"/>
  <c r="X2" s="1"/>
  <c r="A2" a="1"/>
  <c r="A2" s="1"/>
  <c r="R49" i="47"/>
  <c r="R48"/>
  <c r="R47"/>
  <c r="R46"/>
  <c r="R45"/>
  <c r="R44"/>
  <c r="R43"/>
  <c r="R42"/>
  <c r="R41"/>
  <c r="R40"/>
  <c r="R39"/>
  <c r="R38"/>
  <c r="R37"/>
  <c r="R36"/>
  <c r="R35"/>
  <c r="R34"/>
  <c r="R33"/>
  <c r="R32"/>
  <c r="R31"/>
  <c r="R30"/>
  <c r="R29"/>
  <c r="R28"/>
  <c r="R27"/>
  <c r="R26"/>
  <c r="R25"/>
  <c r="R24"/>
  <c r="R23"/>
  <c r="R22"/>
  <c r="R21"/>
  <c r="R20"/>
  <c r="R19"/>
  <c r="R18"/>
  <c r="R17"/>
  <c r="R16"/>
  <c r="R15"/>
  <c r="R14"/>
  <c r="R13"/>
  <c r="R12"/>
  <c r="R11"/>
  <c r="R10"/>
  <c r="R9"/>
  <c r="R8"/>
  <c r="R7"/>
  <c r="R6"/>
  <c r="R5"/>
  <c r="R4"/>
  <c r="R3"/>
  <c r="R2"/>
  <c r="A49"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A2" a="1"/>
  <c r="A2" s="1"/>
  <c r="M525" i="37" l="1"/>
  <c r="L517"/>
  <c r="I569"/>
  <c r="I28" i="52" s="1"/>
  <c r="E28"/>
  <c r="G26" i="53"/>
  <c r="C44" i="44"/>
  <c r="I517" i="37"/>
  <c r="I542"/>
  <c r="I26" i="53" s="1"/>
  <c r="E26"/>
  <c r="K517" i="37"/>
  <c r="A26" i="53"/>
  <c r="A26" i="52"/>
  <c r="J564" i="37"/>
  <c r="J27" i="53" s="1"/>
  <c r="E27"/>
  <c r="A27"/>
  <c r="A27" i="52"/>
  <c r="O517" i="37"/>
  <c r="G547"/>
  <c r="G27" i="52" s="1"/>
  <c r="E27"/>
  <c r="A28" i="53"/>
  <c r="A28" i="52"/>
  <c r="N517" i="37"/>
  <c r="J517"/>
  <c r="J525"/>
  <c r="V26" i="53"/>
  <c r="S26"/>
  <c r="Q525" i="37"/>
  <c r="P517"/>
  <c r="N572"/>
  <c r="K525"/>
  <c r="N554"/>
  <c r="I525"/>
  <c r="Q554"/>
  <c r="P554"/>
  <c r="H551"/>
  <c r="K529"/>
  <c r="O529"/>
  <c r="K551"/>
  <c r="M551"/>
  <c r="H529"/>
  <c r="P529"/>
  <c r="G525"/>
  <c r="J554"/>
  <c r="Q551"/>
  <c r="M554"/>
  <c r="G551"/>
  <c r="H510"/>
  <c r="H525"/>
  <c r="I554"/>
  <c r="P525"/>
  <c r="K554"/>
  <c r="N551"/>
  <c r="N525"/>
  <c r="N527"/>
  <c r="J529"/>
  <c r="P564"/>
  <c r="P27" i="53" s="1"/>
  <c r="Q529" i="37"/>
  <c r="N529"/>
  <c r="L529"/>
  <c r="M564"/>
  <c r="M27" i="53" s="1"/>
  <c r="L551" i="37"/>
  <c r="K578"/>
  <c r="M529"/>
  <c r="L525"/>
  <c r="N578"/>
  <c r="I508"/>
  <c r="G508"/>
  <c r="J562"/>
  <c r="J508"/>
  <c r="I515"/>
  <c r="N564"/>
  <c r="N27" i="53" s="1"/>
  <c r="O562" i="37"/>
  <c r="Q508"/>
  <c r="N508"/>
  <c r="Q562"/>
  <c r="H515"/>
  <c r="G562"/>
  <c r="M569"/>
  <c r="M28" i="52" s="1"/>
  <c r="I564" i="37"/>
  <c r="I27" i="53" s="1"/>
  <c r="M516" i="37"/>
  <c r="K569"/>
  <c r="K28" i="52" s="1"/>
  <c r="L552" i="37"/>
  <c r="H564"/>
  <c r="H27" i="53" s="1"/>
  <c r="P562" i="37"/>
  <c r="N562"/>
  <c r="J569"/>
  <c r="J28" i="52" s="1"/>
  <c r="H562" i="37"/>
  <c r="M562"/>
  <c r="K562"/>
  <c r="L562"/>
  <c r="L569"/>
  <c r="L28" i="52" s="1"/>
  <c r="N541" i="37"/>
  <c r="J579"/>
  <c r="P572"/>
  <c r="I572"/>
  <c r="P569"/>
  <c r="P28" i="52" s="1"/>
  <c r="Q578" i="37"/>
  <c r="O572"/>
  <c r="N569"/>
  <c r="N28" i="52" s="1"/>
  <c r="O569" i="37"/>
  <c r="O28" i="52" s="1"/>
  <c r="P538" i="37"/>
  <c r="N573"/>
  <c r="N559"/>
  <c r="Q572"/>
  <c r="H569"/>
  <c r="H28" i="52" s="1"/>
  <c r="H538" i="37"/>
  <c r="M572"/>
  <c r="G569"/>
  <c r="G28" i="52" s="1"/>
  <c r="Q569" i="37"/>
  <c r="Q28" i="52" s="1"/>
  <c r="J572" i="37"/>
  <c r="H579"/>
  <c r="L538"/>
  <c r="H541"/>
  <c r="O579"/>
  <c r="H572"/>
  <c r="L579"/>
  <c r="G572"/>
  <c r="G538"/>
  <c r="L572"/>
  <c r="M567"/>
  <c r="L527"/>
  <c r="N574"/>
  <c r="J541"/>
  <c r="P547"/>
  <c r="P27" i="52" s="1"/>
  <c r="K527" i="37"/>
  <c r="N516"/>
  <c r="O574"/>
  <c r="M541"/>
  <c r="K547"/>
  <c r="K27" i="52" s="1"/>
  <c r="Q527" i="37"/>
  <c r="Q538"/>
  <c r="Q541"/>
  <c r="L541"/>
  <c r="G564"/>
  <c r="O527"/>
  <c r="Q573"/>
  <c r="L564"/>
  <c r="L27" i="53" s="1"/>
  <c r="O564" i="37"/>
  <c r="O27" i="53" s="1"/>
  <c r="I541" i="37"/>
  <c r="K573"/>
  <c r="G541"/>
  <c r="O573"/>
  <c r="K564"/>
  <c r="K27" i="53" s="1"/>
  <c r="Q564" i="37"/>
  <c r="Q27" i="53" s="1"/>
  <c r="G516" i="37"/>
  <c r="O516"/>
  <c r="K541"/>
  <c r="H573"/>
  <c r="K536"/>
  <c r="Q557"/>
  <c r="P552"/>
  <c r="P544"/>
  <c r="O578"/>
  <c r="M578"/>
  <c r="H557"/>
  <c r="O552"/>
  <c r="G527"/>
  <c r="H516"/>
  <c r="M544"/>
  <c r="P557"/>
  <c r="L578"/>
  <c r="H543"/>
  <c r="N538"/>
  <c r="M573"/>
  <c r="P536"/>
  <c r="G557"/>
  <c r="M579"/>
  <c r="G578"/>
  <c r="K552"/>
  <c r="J552"/>
  <c r="H544"/>
  <c r="L530"/>
  <c r="J557"/>
  <c r="L557"/>
  <c r="Q547"/>
  <c r="Q27" i="52" s="1"/>
  <c r="J527" i="37"/>
  <c r="J578"/>
  <c r="K538"/>
  <c r="M538"/>
  <c r="L574"/>
  <c r="J573"/>
  <c r="G536"/>
  <c r="I557"/>
  <c r="K567"/>
  <c r="K557"/>
  <c r="M552"/>
  <c r="L566"/>
  <c r="O557"/>
  <c r="I552"/>
  <c r="P578"/>
  <c r="I536"/>
  <c r="N557"/>
  <c r="P527"/>
  <c r="I578"/>
  <c r="J538"/>
  <c r="O538"/>
  <c r="I573"/>
  <c r="J567"/>
  <c r="O508"/>
  <c r="N552"/>
  <c r="M527"/>
  <c r="H527"/>
  <c r="K516"/>
  <c r="P579"/>
  <c r="P541"/>
  <c r="L573"/>
  <c r="L561"/>
  <c r="H566"/>
  <c r="Q552"/>
  <c r="H552"/>
  <c r="J535"/>
  <c r="J539"/>
  <c r="Q510"/>
  <c r="J561"/>
  <c r="P508"/>
  <c r="H508"/>
  <c r="Q516"/>
  <c r="O515"/>
  <c r="I561"/>
  <c r="O566"/>
  <c r="M508"/>
  <c r="I516"/>
  <c r="J510"/>
  <c r="Q530"/>
  <c r="G579"/>
  <c r="L508"/>
  <c r="J516"/>
  <c r="Q515"/>
  <c r="I510"/>
  <c r="N530"/>
  <c r="N579"/>
  <c r="P573"/>
  <c r="N561"/>
  <c r="G561"/>
  <c r="P566"/>
  <c r="Q579"/>
  <c r="Q561"/>
  <c r="O561"/>
  <c r="K561"/>
  <c r="L516"/>
  <c r="M515"/>
  <c r="P510"/>
  <c r="I579"/>
  <c r="K530"/>
  <c r="M561"/>
  <c r="H561"/>
  <c r="N566"/>
  <c r="N547"/>
  <c r="N27" i="52" s="1"/>
  <c r="O547" i="37"/>
  <c r="O27" i="52" s="1"/>
  <c r="K515" i="37"/>
  <c r="L515"/>
  <c r="G510"/>
  <c r="I543"/>
  <c r="P530"/>
  <c r="G574"/>
  <c r="M574"/>
  <c r="P543"/>
  <c r="O536"/>
  <c r="M566"/>
  <c r="K559"/>
  <c r="G559"/>
  <c r="I559"/>
  <c r="G539"/>
  <c r="I539"/>
  <c r="K539"/>
  <c r="M539"/>
  <c r="J544"/>
  <c r="K544"/>
  <c r="N544"/>
  <c r="Q544"/>
  <c r="Q539"/>
  <c r="G544"/>
  <c r="G515"/>
  <c r="O510"/>
  <c r="L543"/>
  <c r="H530"/>
  <c r="K574"/>
  <c r="N536"/>
  <c r="H536"/>
  <c r="K566"/>
  <c r="O559"/>
  <c r="K535"/>
  <c r="O535"/>
  <c r="P535"/>
  <c r="L535"/>
  <c r="N535"/>
  <c r="I535"/>
  <c r="G567"/>
  <c r="H567"/>
  <c r="N515"/>
  <c r="N510"/>
  <c r="J543"/>
  <c r="J574"/>
  <c r="N539"/>
  <c r="K543"/>
  <c r="O543"/>
  <c r="M559"/>
  <c r="M543"/>
  <c r="P559"/>
  <c r="L547"/>
  <c r="L27" i="52" s="1"/>
  <c r="H547" i="37"/>
  <c r="H27" i="52" s="1"/>
  <c r="M547" i="37"/>
  <c r="M27" i="52" s="1"/>
  <c r="G535" i="37"/>
  <c r="L539"/>
  <c r="I547"/>
  <c r="I27" i="52" s="1"/>
  <c r="O544" i="37"/>
  <c r="M530"/>
  <c r="M536"/>
  <c r="Q536"/>
  <c r="J566"/>
  <c r="L559"/>
  <c r="Q567"/>
  <c r="N567"/>
  <c r="H535"/>
  <c r="O539"/>
  <c r="J547"/>
  <c r="J27" i="52" s="1"/>
  <c r="I544" i="37"/>
  <c r="J515"/>
  <c r="L510"/>
  <c r="I530"/>
  <c r="J530"/>
  <c r="I574"/>
  <c r="L536"/>
  <c r="N543"/>
  <c r="G566"/>
  <c r="H559"/>
  <c r="P567"/>
  <c r="M535"/>
  <c r="P539"/>
  <c r="M510"/>
  <c r="Q543"/>
  <c r="G530"/>
  <c r="P574"/>
  <c r="Q574"/>
  <c r="Q566"/>
  <c r="Q559"/>
  <c r="O567"/>
  <c r="G546"/>
  <c r="I546"/>
  <c r="P546"/>
  <c r="Q546"/>
  <c r="N546"/>
  <c r="M546"/>
  <c r="O546"/>
  <c r="L546"/>
  <c r="K546"/>
  <c r="J546"/>
  <c r="H546"/>
  <c r="M514"/>
  <c r="N514"/>
  <c r="P514"/>
  <c r="O514"/>
  <c r="L514"/>
  <c r="H514"/>
  <c r="K514"/>
  <c r="Q514"/>
  <c r="G514"/>
  <c r="I514"/>
  <c r="J514"/>
  <c r="P565"/>
  <c r="G565"/>
  <c r="K565"/>
  <c r="H565"/>
  <c r="I565"/>
  <c r="J565"/>
  <c r="L565"/>
  <c r="M565"/>
  <c r="N565"/>
  <c r="O565"/>
  <c r="Q565"/>
  <c r="H533"/>
  <c r="L533"/>
  <c r="N533"/>
  <c r="K533"/>
  <c r="Q533"/>
  <c r="I533"/>
  <c r="J533"/>
  <c r="M533"/>
  <c r="O533"/>
  <c r="P533"/>
  <c r="G533"/>
  <c r="N528"/>
  <c r="J528"/>
  <c r="H528"/>
  <c r="I528"/>
  <c r="K528"/>
  <c r="O528"/>
  <c r="M528"/>
  <c r="P528"/>
  <c r="Q528"/>
  <c r="G528"/>
  <c r="L528"/>
  <c r="M540"/>
  <c r="L540"/>
  <c r="G540"/>
  <c r="J540"/>
  <c r="N540"/>
  <c r="O540"/>
  <c r="P540"/>
  <c r="H540"/>
  <c r="Q540"/>
  <c r="K540"/>
  <c r="I540"/>
  <c r="P511"/>
  <c r="Q511"/>
  <c r="G511"/>
  <c r="J511"/>
  <c r="N511"/>
  <c r="H511"/>
  <c r="I511"/>
  <c r="K511"/>
  <c r="L511"/>
  <c r="M511"/>
  <c r="O511"/>
  <c r="N577"/>
  <c r="O577"/>
  <c r="Q577"/>
  <c r="L577"/>
  <c r="M577"/>
  <c r="P577"/>
  <c r="K577"/>
  <c r="I577"/>
  <c r="G577"/>
  <c r="H577"/>
  <c r="J577"/>
  <c r="P526"/>
  <c r="I526"/>
  <c r="N526"/>
  <c r="J526"/>
  <c r="K526"/>
  <c r="L526"/>
  <c r="O526"/>
  <c r="G526"/>
  <c r="H526"/>
  <c r="M526"/>
  <c r="Q526"/>
  <c r="Q522"/>
  <c r="H522"/>
  <c r="J522"/>
  <c r="O522"/>
  <c r="G522"/>
  <c r="P522"/>
  <c r="I522"/>
  <c r="K522"/>
  <c r="L522"/>
  <c r="N522"/>
  <c r="M522"/>
  <c r="P575"/>
  <c r="Q575"/>
  <c r="G575"/>
  <c r="H575"/>
  <c r="I575"/>
  <c r="J575"/>
  <c r="K575"/>
  <c r="L575"/>
  <c r="M575"/>
  <c r="N575"/>
  <c r="O575"/>
  <c r="Q548"/>
  <c r="M548"/>
  <c r="P548"/>
  <c r="N548"/>
  <c r="G548"/>
  <c r="I548"/>
  <c r="J548"/>
  <c r="K548"/>
  <c r="L548"/>
  <c r="O548"/>
  <c r="H548"/>
  <c r="P523"/>
  <c r="P26" i="52" s="1"/>
  <c r="G523" i="37"/>
  <c r="G26" i="52" s="1"/>
  <c r="N523" i="37"/>
  <c r="N26" i="52" s="1"/>
  <c r="O523" i="37"/>
  <c r="O26" i="52" s="1"/>
  <c r="J523" i="37"/>
  <c r="J26" i="52" s="1"/>
  <c r="Q523" i="37"/>
  <c r="Q26" i="52" s="1"/>
  <c r="H523" i="37"/>
  <c r="H26" i="52" s="1"/>
  <c r="I523" i="37"/>
  <c r="I26" i="52" s="1"/>
  <c r="L523" i="37"/>
  <c r="L26" i="52" s="1"/>
  <c r="M523" i="37"/>
  <c r="M26" i="52" s="1"/>
  <c r="K523" i="37"/>
  <c r="K26" i="52" s="1"/>
  <c r="H545" i="37"/>
  <c r="M545"/>
  <c r="L545"/>
  <c r="P545"/>
  <c r="Q545"/>
  <c r="I545"/>
  <c r="G545"/>
  <c r="J545"/>
  <c r="K545"/>
  <c r="N545"/>
  <c r="O545"/>
  <c r="H507"/>
  <c r="I507"/>
  <c r="K507"/>
  <c r="P507"/>
  <c r="G507"/>
  <c r="J507"/>
  <c r="L507"/>
  <c r="M507"/>
  <c r="N507"/>
  <c r="O507"/>
  <c r="Q507"/>
  <c r="K570"/>
  <c r="G570"/>
  <c r="H570"/>
  <c r="I570"/>
  <c r="J570"/>
  <c r="L570"/>
  <c r="M570"/>
  <c r="N570"/>
  <c r="O570"/>
  <c r="P570"/>
  <c r="Q570"/>
  <c r="L563"/>
  <c r="M563"/>
  <c r="H563"/>
  <c r="J563"/>
  <c r="G563"/>
  <c r="I563"/>
  <c r="K563"/>
  <c r="N563"/>
  <c r="O563"/>
  <c r="P563"/>
  <c r="Q563"/>
  <c r="O576"/>
  <c r="P576"/>
  <c r="J576"/>
  <c r="G576"/>
  <c r="H576"/>
  <c r="I576"/>
  <c r="K576"/>
  <c r="L576"/>
  <c r="N576"/>
  <c r="M576"/>
  <c r="Q576"/>
  <c r="L503"/>
  <c r="M503"/>
  <c r="N503"/>
  <c r="O503"/>
  <c r="P503"/>
  <c r="G503"/>
  <c r="J503"/>
  <c r="Q503"/>
  <c r="I503"/>
  <c r="K503"/>
  <c r="H503"/>
  <c r="I518"/>
  <c r="I25" i="53" s="1"/>
  <c r="L518" i="37"/>
  <c r="L25" i="53" s="1"/>
  <c r="P518" i="37"/>
  <c r="P25" i="53" s="1"/>
  <c r="K518" i="37"/>
  <c r="K25" i="53" s="1"/>
  <c r="M518" i="37"/>
  <c r="M25" i="53" s="1"/>
  <c r="O518" i="37"/>
  <c r="O25" i="53" s="1"/>
  <c r="Q518" i="37"/>
  <c r="Q25" i="53" s="1"/>
  <c r="J518" i="37"/>
  <c r="J25" i="53" s="1"/>
  <c r="N518" i="37"/>
  <c r="N25" i="53" s="1"/>
  <c r="G518" i="37"/>
  <c r="H518"/>
  <c r="H25" i="53" s="1"/>
  <c r="I506" i="37"/>
  <c r="J506"/>
  <c r="L506"/>
  <c r="Q506"/>
  <c r="G506"/>
  <c r="H506"/>
  <c r="K506"/>
  <c r="M506"/>
  <c r="N506"/>
  <c r="O506"/>
  <c r="P506"/>
  <c r="I521"/>
  <c r="L521"/>
  <c r="M521"/>
  <c r="O521"/>
  <c r="G521"/>
  <c r="J521"/>
  <c r="N521"/>
  <c r="H521"/>
  <c r="K521"/>
  <c r="P521"/>
  <c r="Q521"/>
  <c r="H519"/>
  <c r="K519"/>
  <c r="J519"/>
  <c r="Q519"/>
  <c r="M519"/>
  <c r="L519"/>
  <c r="G519"/>
  <c r="N519"/>
  <c r="O519"/>
  <c r="P519"/>
  <c r="I519"/>
  <c r="K558"/>
  <c r="I558"/>
  <c r="J558"/>
  <c r="H558"/>
  <c r="L558"/>
  <c r="N558"/>
  <c r="G558"/>
  <c r="O558"/>
  <c r="M558"/>
  <c r="P558"/>
  <c r="Q558"/>
  <c r="P549"/>
  <c r="Q549"/>
  <c r="I549"/>
  <c r="J549"/>
  <c r="O549"/>
  <c r="G549"/>
  <c r="H549"/>
  <c r="K549"/>
  <c r="L549"/>
  <c r="N549"/>
  <c r="M549"/>
  <c r="P537"/>
  <c r="K537"/>
  <c r="O537"/>
  <c r="L537"/>
  <c r="J537"/>
  <c r="N537"/>
  <c r="M537"/>
  <c r="G537"/>
  <c r="H537"/>
  <c r="I537"/>
  <c r="Q537"/>
  <c r="O524"/>
  <c r="G524"/>
  <c r="Q524"/>
  <c r="M524"/>
  <c r="K524"/>
  <c r="J524"/>
  <c r="I524"/>
  <c r="L524"/>
  <c r="P524"/>
  <c r="H524"/>
  <c r="N524"/>
  <c r="O550"/>
  <c r="N550"/>
  <c r="P550"/>
  <c r="L550"/>
  <c r="H550"/>
  <c r="G550"/>
  <c r="J550"/>
  <c r="I550"/>
  <c r="M550"/>
  <c r="Q550"/>
  <c r="K550"/>
  <c r="G534"/>
  <c r="O534"/>
  <c r="H534"/>
  <c r="I534"/>
  <c r="J534"/>
  <c r="K534"/>
  <c r="L534"/>
  <c r="N534"/>
  <c r="M534"/>
  <c r="P534"/>
  <c r="Q534"/>
  <c r="G520"/>
  <c r="J520"/>
  <c r="O520"/>
  <c r="M520"/>
  <c r="Q520"/>
  <c r="P520"/>
  <c r="H520"/>
  <c r="I520"/>
  <c r="K520"/>
  <c r="N520"/>
  <c r="L520"/>
  <c r="J505"/>
  <c r="K505"/>
  <c r="M505"/>
  <c r="G505"/>
  <c r="H505"/>
  <c r="I505"/>
  <c r="L505"/>
  <c r="N505"/>
  <c r="O505"/>
  <c r="P505"/>
  <c r="Q505"/>
  <c r="I560"/>
  <c r="P560"/>
  <c r="Q560"/>
  <c r="M560"/>
  <c r="O560"/>
  <c r="G560"/>
  <c r="H560"/>
  <c r="J560"/>
  <c r="K560"/>
  <c r="L560"/>
  <c r="N560"/>
  <c r="J555"/>
  <c r="G555"/>
  <c r="I555"/>
  <c r="M555"/>
  <c r="N555"/>
  <c r="P555"/>
  <c r="H555"/>
  <c r="O555"/>
  <c r="K555"/>
  <c r="L555"/>
  <c r="Q555"/>
  <c r="O512"/>
  <c r="P512"/>
  <c r="G512"/>
  <c r="N512"/>
  <c r="H512"/>
  <c r="I512"/>
  <c r="J512"/>
  <c r="K512"/>
  <c r="L512"/>
  <c r="M512"/>
  <c r="Q512"/>
  <c r="N513"/>
  <c r="O513"/>
  <c r="Q513"/>
  <c r="M513"/>
  <c r="L513"/>
  <c r="P513"/>
  <c r="G513"/>
  <c r="H513"/>
  <c r="I513"/>
  <c r="J513"/>
  <c r="K513"/>
  <c r="K504"/>
  <c r="L504"/>
  <c r="N504"/>
  <c r="G504"/>
  <c r="J504"/>
  <c r="M504"/>
  <c r="O504"/>
  <c r="P504"/>
  <c r="Q504"/>
  <c r="I504"/>
  <c r="H504"/>
  <c r="J532"/>
  <c r="H532"/>
  <c r="G532"/>
  <c r="O532"/>
  <c r="L532"/>
  <c r="N532"/>
  <c r="M532"/>
  <c r="Q532"/>
  <c r="I532"/>
  <c r="K532"/>
  <c r="P532"/>
  <c r="K531"/>
  <c r="N531"/>
  <c r="G531"/>
  <c r="M531"/>
  <c r="O531"/>
  <c r="L531"/>
  <c r="P531"/>
  <c r="Q531"/>
  <c r="I531"/>
  <c r="H531"/>
  <c r="J531"/>
  <c r="L553"/>
  <c r="M553"/>
  <c r="G553"/>
  <c r="J553"/>
  <c r="O553"/>
  <c r="P553"/>
  <c r="I553"/>
  <c r="H553"/>
  <c r="Q553"/>
  <c r="K553"/>
  <c r="N553"/>
  <c r="J571"/>
  <c r="H571"/>
  <c r="I571"/>
  <c r="K571"/>
  <c r="L571"/>
  <c r="M571"/>
  <c r="N571"/>
  <c r="O571"/>
  <c r="P571"/>
  <c r="Q571"/>
  <c r="G571"/>
  <c r="I556"/>
  <c r="J556"/>
  <c r="N556"/>
  <c r="O556"/>
  <c r="G556"/>
  <c r="L556"/>
  <c r="M556"/>
  <c r="Q556"/>
  <c r="K556"/>
  <c r="H556"/>
  <c r="P556"/>
  <c r="A49" i="46" a="1"/>
  <c r="A49" s="1"/>
  <c r="A48" a="1"/>
  <c r="A48" s="1"/>
  <c r="A47" a="1"/>
  <c r="A47" s="1"/>
  <c r="A46" a="1"/>
  <c r="A46" s="1"/>
  <c r="A45" a="1"/>
  <c r="A45" s="1"/>
  <c r="A44" a="1"/>
  <c r="A44" s="1"/>
  <c r="A43" a="1"/>
  <c r="A43" s="1"/>
  <c r="A42" a="1"/>
  <c r="A42" s="1"/>
  <c r="A41" a="1"/>
  <c r="A41" s="1"/>
  <c r="A40" a="1"/>
  <c r="A40" s="1"/>
  <c r="A39" a="1"/>
  <c r="A39" s="1"/>
  <c r="A38" a="1"/>
  <c r="A38" s="1"/>
  <c r="A37" a="1"/>
  <c r="A37" s="1"/>
  <c r="A36" a="1"/>
  <c r="A36" s="1"/>
  <c r="A35" a="1"/>
  <c r="A35" s="1"/>
  <c r="A34" a="1"/>
  <c r="A34" s="1"/>
  <c r="A33" a="1"/>
  <c r="A33" s="1"/>
  <c r="A32" a="1"/>
  <c r="A32" s="1"/>
  <c r="A31" a="1"/>
  <c r="A31" s="1"/>
  <c r="A30" a="1"/>
  <c r="A30" s="1"/>
  <c r="A29" a="1"/>
  <c r="A29" s="1"/>
  <c r="A28" a="1"/>
  <c r="A28" s="1"/>
  <c r="A27" a="1"/>
  <c r="A27" s="1"/>
  <c r="A26" a="1"/>
  <c r="A26" s="1"/>
  <c r="A25" a="1"/>
  <c r="A25" s="1"/>
  <c r="A24" a="1"/>
  <c r="A24" s="1"/>
  <c r="A23" a="1"/>
  <c r="A23" s="1"/>
  <c r="A22" a="1"/>
  <c r="A22" s="1"/>
  <c r="A21" a="1"/>
  <c r="A21" s="1"/>
  <c r="A20" a="1"/>
  <c r="A20" s="1"/>
  <c r="A19" a="1"/>
  <c r="A19" s="1"/>
  <c r="A18" a="1"/>
  <c r="A18" s="1"/>
  <c r="A17" a="1"/>
  <c r="A17" s="1"/>
  <c r="A16" a="1"/>
  <c r="A16" s="1"/>
  <c r="A15" a="1"/>
  <c r="A15" s="1"/>
  <c r="A14" a="1"/>
  <c r="A14" s="1"/>
  <c r="A13" a="1"/>
  <c r="A13" s="1"/>
  <c r="A12" a="1"/>
  <c r="A12" s="1"/>
  <c r="A11" a="1"/>
  <c r="A11" s="1"/>
  <c r="A10" a="1"/>
  <c r="A10" s="1"/>
  <c r="A9" a="1"/>
  <c r="A9" s="1"/>
  <c r="A8" a="1"/>
  <c r="A8" s="1"/>
  <c r="A7" a="1"/>
  <c r="A7" s="1"/>
  <c r="A6" a="1"/>
  <c r="A6" s="1"/>
  <c r="A5" a="1"/>
  <c r="A5" s="1"/>
  <c r="A4" a="1"/>
  <c r="A4" s="1"/>
  <c r="A3" a="1"/>
  <c r="A3" s="1"/>
  <c r="A2" a="1"/>
  <c r="A2" s="1"/>
  <c r="W26" i="53" l="1"/>
  <c r="AD26"/>
  <c r="S27"/>
  <c r="G25"/>
  <c r="C43" i="44"/>
  <c r="V25" i="53"/>
  <c r="S25"/>
  <c r="T26"/>
  <c r="X26" s="1"/>
  <c r="R26"/>
  <c r="G27"/>
  <c r="C45" i="44"/>
  <c r="D1" i="41"/>
  <c r="O1" s="1"/>
  <c r="E1"/>
  <c r="P1" s="1"/>
  <c r="F1"/>
  <c r="Q1" s="1"/>
  <c r="G1"/>
  <c r="R1" s="1"/>
  <c r="H1"/>
  <c r="S1" s="1"/>
  <c r="I1"/>
  <c r="T1" s="1"/>
  <c r="J1"/>
  <c r="U1" s="1"/>
  <c r="K1"/>
  <c r="V1" s="1"/>
  <c r="L1"/>
  <c r="W1" s="1"/>
  <c r="M1"/>
  <c r="X1" s="1"/>
  <c r="C1"/>
  <c r="N1" s="1"/>
  <c r="H1" i="40"/>
  <c r="I1"/>
  <c r="J1"/>
  <c r="K1"/>
  <c r="L1"/>
  <c r="M1"/>
  <c r="N1"/>
  <c r="O1"/>
  <c r="P1"/>
  <c r="Q1"/>
  <c r="G1"/>
  <c r="A23" i="36" a="1"/>
  <c r="A23" s="1"/>
  <c r="F23"/>
  <c r="E502" i="40"/>
  <c r="C502"/>
  <c r="B502"/>
  <c r="E501"/>
  <c r="C501"/>
  <c r="B501"/>
  <c r="E500"/>
  <c r="C500"/>
  <c r="B500"/>
  <c r="E499"/>
  <c r="C499"/>
  <c r="B499"/>
  <c r="E498"/>
  <c r="C498"/>
  <c r="B498"/>
  <c r="E497"/>
  <c r="C497"/>
  <c r="B497"/>
  <c r="E496"/>
  <c r="C496"/>
  <c r="B496"/>
  <c r="E495"/>
  <c r="C495"/>
  <c r="B495"/>
  <c r="E494"/>
  <c r="C494"/>
  <c r="B494"/>
  <c r="E493"/>
  <c r="C493"/>
  <c r="B493"/>
  <c r="E492"/>
  <c r="C492"/>
  <c r="B492"/>
  <c r="E491"/>
  <c r="C491"/>
  <c r="B491"/>
  <c r="E490"/>
  <c r="C490"/>
  <c r="B490"/>
  <c r="E489"/>
  <c r="C489"/>
  <c r="B489"/>
  <c r="E488"/>
  <c r="C488"/>
  <c r="B488"/>
  <c r="E487"/>
  <c r="C487"/>
  <c r="B487"/>
  <c r="E486"/>
  <c r="C486"/>
  <c r="B486"/>
  <c r="E485"/>
  <c r="C485"/>
  <c r="B485"/>
  <c r="E484"/>
  <c r="C484"/>
  <c r="B484"/>
  <c r="E483"/>
  <c r="C483"/>
  <c r="B483"/>
  <c r="E482"/>
  <c r="C482"/>
  <c r="B482"/>
  <c r="E481"/>
  <c r="C481"/>
  <c r="B481"/>
  <c r="E480"/>
  <c r="C480"/>
  <c r="B480"/>
  <c r="E479"/>
  <c r="C479"/>
  <c r="B479"/>
  <c r="E478"/>
  <c r="C478"/>
  <c r="B478"/>
  <c r="E477"/>
  <c r="C477"/>
  <c r="B477"/>
  <c r="E476"/>
  <c r="C476"/>
  <c r="B476"/>
  <c r="E475"/>
  <c r="C475"/>
  <c r="B475"/>
  <c r="E474"/>
  <c r="C474"/>
  <c r="B474"/>
  <c r="E473"/>
  <c r="C473"/>
  <c r="B473"/>
  <c r="E472"/>
  <c r="C472"/>
  <c r="B472"/>
  <c r="E471"/>
  <c r="C471"/>
  <c r="B471"/>
  <c r="E470"/>
  <c r="C470"/>
  <c r="B470"/>
  <c r="E469"/>
  <c r="C469"/>
  <c r="B469"/>
  <c r="E468"/>
  <c r="C468"/>
  <c r="B468"/>
  <c r="E467"/>
  <c r="C467"/>
  <c r="B467"/>
  <c r="E466"/>
  <c r="C466"/>
  <c r="B466"/>
  <c r="E465"/>
  <c r="C465"/>
  <c r="B465"/>
  <c r="E464"/>
  <c r="C464"/>
  <c r="B464"/>
  <c r="E463"/>
  <c r="C463"/>
  <c r="B463"/>
  <c r="E462"/>
  <c r="C462"/>
  <c r="B462"/>
  <c r="E461"/>
  <c r="C461"/>
  <c r="B461"/>
  <c r="E460"/>
  <c r="C460"/>
  <c r="B460"/>
  <c r="E459"/>
  <c r="C459"/>
  <c r="B459"/>
  <c r="E458"/>
  <c r="C458"/>
  <c r="B458"/>
  <c r="E457"/>
  <c r="C457"/>
  <c r="B457"/>
  <c r="E456"/>
  <c r="C456"/>
  <c r="B456"/>
  <c r="E455"/>
  <c r="C455"/>
  <c r="B455"/>
  <c r="E454"/>
  <c r="C454"/>
  <c r="B454"/>
  <c r="E453"/>
  <c r="C453"/>
  <c r="B453"/>
  <c r="E452"/>
  <c r="C452"/>
  <c r="B452"/>
  <c r="E451"/>
  <c r="C451"/>
  <c r="B451"/>
  <c r="E450"/>
  <c r="C450"/>
  <c r="B450"/>
  <c r="E449"/>
  <c r="C449"/>
  <c r="B449"/>
  <c r="E448"/>
  <c r="C448"/>
  <c r="B448"/>
  <c r="E447"/>
  <c r="C447"/>
  <c r="B447"/>
  <c r="E446"/>
  <c r="C446"/>
  <c r="B446"/>
  <c r="E445"/>
  <c r="C445"/>
  <c r="B445"/>
  <c r="E444"/>
  <c r="C444"/>
  <c r="B444"/>
  <c r="E443"/>
  <c r="C443"/>
  <c r="B443"/>
  <c r="E442"/>
  <c r="C442"/>
  <c r="B442"/>
  <c r="E441"/>
  <c r="C441"/>
  <c r="B441"/>
  <c r="E440"/>
  <c r="C440"/>
  <c r="B440"/>
  <c r="E439"/>
  <c r="C439"/>
  <c r="B439"/>
  <c r="E438"/>
  <c r="C438"/>
  <c r="B438"/>
  <c r="E437"/>
  <c r="C437"/>
  <c r="B437"/>
  <c r="E436"/>
  <c r="C436"/>
  <c r="B436"/>
  <c r="E435"/>
  <c r="C435"/>
  <c r="B435"/>
  <c r="E434"/>
  <c r="C434"/>
  <c r="B434"/>
  <c r="E433"/>
  <c r="C433"/>
  <c r="B433"/>
  <c r="E432"/>
  <c r="C432"/>
  <c r="B432"/>
  <c r="E431"/>
  <c r="C431"/>
  <c r="B431"/>
  <c r="E430"/>
  <c r="C430"/>
  <c r="B430"/>
  <c r="E429"/>
  <c r="C429"/>
  <c r="B429"/>
  <c r="E428"/>
  <c r="C428"/>
  <c r="B428"/>
  <c r="E427"/>
  <c r="C427"/>
  <c r="B427"/>
  <c r="E426"/>
  <c r="C426"/>
  <c r="B426"/>
  <c r="E425"/>
  <c r="C425"/>
  <c r="B425"/>
  <c r="E424"/>
  <c r="C424"/>
  <c r="B424"/>
  <c r="E423"/>
  <c r="C423"/>
  <c r="B423"/>
  <c r="E422"/>
  <c r="C422"/>
  <c r="B422"/>
  <c r="E421"/>
  <c r="C421"/>
  <c r="B421"/>
  <c r="E420"/>
  <c r="C420"/>
  <c r="B420"/>
  <c r="E419"/>
  <c r="C419"/>
  <c r="B419"/>
  <c r="E418"/>
  <c r="C418"/>
  <c r="B418"/>
  <c r="E417"/>
  <c r="C417"/>
  <c r="B417"/>
  <c r="E416"/>
  <c r="C416"/>
  <c r="B416"/>
  <c r="E415"/>
  <c r="C415"/>
  <c r="B415"/>
  <c r="E414"/>
  <c r="C414"/>
  <c r="B414"/>
  <c r="E413"/>
  <c r="C413"/>
  <c r="B413"/>
  <c r="E412"/>
  <c r="C412"/>
  <c r="B412"/>
  <c r="E411"/>
  <c r="C411"/>
  <c r="B411"/>
  <c r="E410"/>
  <c r="C410"/>
  <c r="B410"/>
  <c r="E409"/>
  <c r="C409"/>
  <c r="B409"/>
  <c r="E408"/>
  <c r="C408"/>
  <c r="B408"/>
  <c r="E407"/>
  <c r="C407"/>
  <c r="B407"/>
  <c r="E406"/>
  <c r="C406"/>
  <c r="B406"/>
  <c r="E405"/>
  <c r="C405"/>
  <c r="B405"/>
  <c r="E404"/>
  <c r="C404"/>
  <c r="B404"/>
  <c r="E403"/>
  <c r="C403"/>
  <c r="B403"/>
  <c r="E402"/>
  <c r="C402"/>
  <c r="B402"/>
  <c r="E401"/>
  <c r="C401"/>
  <c r="B401"/>
  <c r="E400"/>
  <c r="C400"/>
  <c r="B400"/>
  <c r="E399"/>
  <c r="C399"/>
  <c r="B399"/>
  <c r="E398"/>
  <c r="C398"/>
  <c r="B398"/>
  <c r="E397"/>
  <c r="C397"/>
  <c r="B397"/>
  <c r="E396"/>
  <c r="C396"/>
  <c r="B396"/>
  <c r="E395"/>
  <c r="C395"/>
  <c r="B395"/>
  <c r="E394"/>
  <c r="C394"/>
  <c r="B394"/>
  <c r="E393"/>
  <c r="C393"/>
  <c r="B393"/>
  <c r="E392"/>
  <c r="C392"/>
  <c r="B392"/>
  <c r="E391"/>
  <c r="C391"/>
  <c r="B391"/>
  <c r="E390"/>
  <c r="C390"/>
  <c r="B390"/>
  <c r="E389"/>
  <c r="C389"/>
  <c r="B389"/>
  <c r="E388"/>
  <c r="C388"/>
  <c r="B388"/>
  <c r="E387"/>
  <c r="C387"/>
  <c r="B387"/>
  <c r="E386"/>
  <c r="C386"/>
  <c r="B386"/>
  <c r="E385"/>
  <c r="C385"/>
  <c r="B385"/>
  <c r="E384"/>
  <c r="C384"/>
  <c r="B384"/>
  <c r="E383"/>
  <c r="C383"/>
  <c r="B383"/>
  <c r="E382"/>
  <c r="C382"/>
  <c r="B382"/>
  <c r="E381"/>
  <c r="C381"/>
  <c r="B381"/>
  <c r="E380"/>
  <c r="C380"/>
  <c r="B380"/>
  <c r="E379"/>
  <c r="C379"/>
  <c r="B379"/>
  <c r="E378"/>
  <c r="C378"/>
  <c r="B378"/>
  <c r="E377"/>
  <c r="C377"/>
  <c r="B377"/>
  <c r="E376"/>
  <c r="C376"/>
  <c r="B376"/>
  <c r="E375"/>
  <c r="C375"/>
  <c r="B375"/>
  <c r="E374"/>
  <c r="C374"/>
  <c r="B374"/>
  <c r="E373"/>
  <c r="C373"/>
  <c r="B373"/>
  <c r="E372"/>
  <c r="C372"/>
  <c r="B372"/>
  <c r="E371"/>
  <c r="C371"/>
  <c r="B371"/>
  <c r="E370"/>
  <c r="C370"/>
  <c r="B370"/>
  <c r="E369"/>
  <c r="C369"/>
  <c r="B369"/>
  <c r="E368"/>
  <c r="C368"/>
  <c r="B368"/>
  <c r="E367"/>
  <c r="C367"/>
  <c r="B367"/>
  <c r="E366"/>
  <c r="C366"/>
  <c r="B366"/>
  <c r="E365"/>
  <c r="C365"/>
  <c r="B365"/>
  <c r="E364"/>
  <c r="C364"/>
  <c r="B364"/>
  <c r="E363"/>
  <c r="C363"/>
  <c r="B363"/>
  <c r="E362"/>
  <c r="C362"/>
  <c r="B362"/>
  <c r="E361"/>
  <c r="C361"/>
  <c r="B361"/>
  <c r="E360"/>
  <c r="C360"/>
  <c r="B360"/>
  <c r="E359"/>
  <c r="C359"/>
  <c r="B359"/>
  <c r="E358"/>
  <c r="C358"/>
  <c r="B358"/>
  <c r="E357"/>
  <c r="C357"/>
  <c r="B357"/>
  <c r="E356"/>
  <c r="C356"/>
  <c r="B356"/>
  <c r="E355"/>
  <c r="C355"/>
  <c r="B355"/>
  <c r="E354"/>
  <c r="C354"/>
  <c r="B354"/>
  <c r="E353"/>
  <c r="C353"/>
  <c r="B353"/>
  <c r="E352"/>
  <c r="C352"/>
  <c r="B352"/>
  <c r="E351"/>
  <c r="C351"/>
  <c r="B351"/>
  <c r="E350"/>
  <c r="C350"/>
  <c r="B350"/>
  <c r="E349"/>
  <c r="C349"/>
  <c r="B349"/>
  <c r="E348"/>
  <c r="C348"/>
  <c r="B348"/>
  <c r="E347"/>
  <c r="C347"/>
  <c r="B347"/>
  <c r="E346"/>
  <c r="C346"/>
  <c r="B346"/>
  <c r="E345"/>
  <c r="C345"/>
  <c r="B345"/>
  <c r="E344"/>
  <c r="C344"/>
  <c r="B344"/>
  <c r="E343"/>
  <c r="C343"/>
  <c r="B343"/>
  <c r="E342"/>
  <c r="C342"/>
  <c r="B342"/>
  <c r="E341"/>
  <c r="C341"/>
  <c r="B341"/>
  <c r="E340"/>
  <c r="C340"/>
  <c r="B340"/>
  <c r="E339"/>
  <c r="C339"/>
  <c r="B339"/>
  <c r="E338"/>
  <c r="C338"/>
  <c r="B338"/>
  <c r="E337"/>
  <c r="C337"/>
  <c r="B337"/>
  <c r="E336"/>
  <c r="C336"/>
  <c r="B336"/>
  <c r="E335"/>
  <c r="C335"/>
  <c r="B335"/>
  <c r="E334"/>
  <c r="C334"/>
  <c r="B334"/>
  <c r="E333"/>
  <c r="C333"/>
  <c r="B333"/>
  <c r="E332"/>
  <c r="C332"/>
  <c r="B332"/>
  <c r="E331"/>
  <c r="C331"/>
  <c r="B331"/>
  <c r="E330"/>
  <c r="C330"/>
  <c r="B330"/>
  <c r="E329"/>
  <c r="C329"/>
  <c r="B329"/>
  <c r="E328"/>
  <c r="C328"/>
  <c r="B328"/>
  <c r="E327"/>
  <c r="C327"/>
  <c r="B327"/>
  <c r="E326"/>
  <c r="C326"/>
  <c r="B326"/>
  <c r="E325"/>
  <c r="C325"/>
  <c r="B325"/>
  <c r="E324"/>
  <c r="C324"/>
  <c r="B324"/>
  <c r="E323"/>
  <c r="C323"/>
  <c r="B323"/>
  <c r="E322"/>
  <c r="C322"/>
  <c r="B322"/>
  <c r="E321"/>
  <c r="C321"/>
  <c r="B321"/>
  <c r="E320"/>
  <c r="C320"/>
  <c r="B320"/>
  <c r="E319"/>
  <c r="C319"/>
  <c r="B319"/>
  <c r="E318"/>
  <c r="C318"/>
  <c r="B318"/>
  <c r="E317"/>
  <c r="C317"/>
  <c r="B317"/>
  <c r="E316"/>
  <c r="C316"/>
  <c r="B316"/>
  <c r="E315"/>
  <c r="C315"/>
  <c r="B315"/>
  <c r="E314"/>
  <c r="C314"/>
  <c r="B314"/>
  <c r="E313"/>
  <c r="C313"/>
  <c r="B313"/>
  <c r="E312"/>
  <c r="C312"/>
  <c r="B312"/>
  <c r="E311"/>
  <c r="C311"/>
  <c r="B311"/>
  <c r="E310"/>
  <c r="C310"/>
  <c r="B310"/>
  <c r="E309"/>
  <c r="C309"/>
  <c r="B309"/>
  <c r="E308"/>
  <c r="C308"/>
  <c r="B308"/>
  <c r="E307"/>
  <c r="C307"/>
  <c r="B307"/>
  <c r="E306"/>
  <c r="C306"/>
  <c r="B306"/>
  <c r="E305"/>
  <c r="C305"/>
  <c r="B305"/>
  <c r="E304"/>
  <c r="C304"/>
  <c r="B304"/>
  <c r="E303"/>
  <c r="C303"/>
  <c r="B303"/>
  <c r="E302"/>
  <c r="C302"/>
  <c r="B302"/>
  <c r="E301"/>
  <c r="C301"/>
  <c r="B301"/>
  <c r="E300"/>
  <c r="C300"/>
  <c r="B300"/>
  <c r="E299"/>
  <c r="C299"/>
  <c r="B299"/>
  <c r="E298"/>
  <c r="C298"/>
  <c r="B298"/>
  <c r="E297"/>
  <c r="C297"/>
  <c r="B297"/>
  <c r="E296"/>
  <c r="C296"/>
  <c r="B296"/>
  <c r="E295"/>
  <c r="C295"/>
  <c r="B295"/>
  <c r="E294"/>
  <c r="C294"/>
  <c r="B294"/>
  <c r="E293"/>
  <c r="C293"/>
  <c r="B293"/>
  <c r="E292"/>
  <c r="C292"/>
  <c r="B292"/>
  <c r="E291"/>
  <c r="C291"/>
  <c r="B291"/>
  <c r="E290"/>
  <c r="C290"/>
  <c r="B290"/>
  <c r="E289"/>
  <c r="C289"/>
  <c r="B289"/>
  <c r="E288"/>
  <c r="C288"/>
  <c r="B288"/>
  <c r="E287"/>
  <c r="C287"/>
  <c r="B287"/>
  <c r="E286"/>
  <c r="C286"/>
  <c r="B286"/>
  <c r="E285"/>
  <c r="C285"/>
  <c r="B285"/>
  <c r="E284"/>
  <c r="C284"/>
  <c r="B284"/>
  <c r="E283"/>
  <c r="C283"/>
  <c r="B283"/>
  <c r="E282"/>
  <c r="C282"/>
  <c r="B282"/>
  <c r="E281"/>
  <c r="C281"/>
  <c r="B281"/>
  <c r="E280"/>
  <c r="C280"/>
  <c r="B280"/>
  <c r="E279"/>
  <c r="C279"/>
  <c r="B279"/>
  <c r="E278"/>
  <c r="C278"/>
  <c r="B278"/>
  <c r="E277"/>
  <c r="C277"/>
  <c r="B277"/>
  <c r="E276"/>
  <c r="C276"/>
  <c r="B276"/>
  <c r="E275"/>
  <c r="C275"/>
  <c r="B275"/>
  <c r="E274"/>
  <c r="C274"/>
  <c r="B274"/>
  <c r="E273"/>
  <c r="C273"/>
  <c r="B273"/>
  <c r="E272"/>
  <c r="C272"/>
  <c r="B272"/>
  <c r="E271"/>
  <c r="C271"/>
  <c r="B271"/>
  <c r="E270"/>
  <c r="C270"/>
  <c r="B270"/>
  <c r="E269"/>
  <c r="C269"/>
  <c r="B269"/>
  <c r="E268"/>
  <c r="C268"/>
  <c r="B268"/>
  <c r="E267"/>
  <c r="C267"/>
  <c r="B267"/>
  <c r="E266"/>
  <c r="C266"/>
  <c r="B266"/>
  <c r="E265"/>
  <c r="C265"/>
  <c r="B265"/>
  <c r="E264"/>
  <c r="C264"/>
  <c r="B264"/>
  <c r="E263"/>
  <c r="C263"/>
  <c r="B263"/>
  <c r="E262"/>
  <c r="C262"/>
  <c r="B262"/>
  <c r="E261"/>
  <c r="C261"/>
  <c r="B261"/>
  <c r="E260"/>
  <c r="C260"/>
  <c r="B260"/>
  <c r="E259"/>
  <c r="C259"/>
  <c r="B259"/>
  <c r="E258"/>
  <c r="C258"/>
  <c r="B258"/>
  <c r="E257"/>
  <c r="C257"/>
  <c r="B257"/>
  <c r="E256"/>
  <c r="C256"/>
  <c r="B256"/>
  <c r="E255"/>
  <c r="C255"/>
  <c r="B255"/>
  <c r="E254"/>
  <c r="C254"/>
  <c r="B254"/>
  <c r="E253"/>
  <c r="C253"/>
  <c r="B253"/>
  <c r="E252"/>
  <c r="C252"/>
  <c r="B252"/>
  <c r="E251"/>
  <c r="C251"/>
  <c r="B251"/>
  <c r="E250"/>
  <c r="C250"/>
  <c r="B250"/>
  <c r="E249"/>
  <c r="C249"/>
  <c r="B249"/>
  <c r="E248"/>
  <c r="C248"/>
  <c r="B248"/>
  <c r="E247"/>
  <c r="C247"/>
  <c r="B247"/>
  <c r="E246"/>
  <c r="C246"/>
  <c r="B246"/>
  <c r="E245"/>
  <c r="C245"/>
  <c r="B245"/>
  <c r="E244"/>
  <c r="C244"/>
  <c r="B244"/>
  <c r="E243"/>
  <c r="C243"/>
  <c r="B243"/>
  <c r="E242"/>
  <c r="C242"/>
  <c r="B242"/>
  <c r="E241"/>
  <c r="C241"/>
  <c r="B241"/>
  <c r="E240"/>
  <c r="C240"/>
  <c r="B240"/>
  <c r="E239"/>
  <c r="C239"/>
  <c r="B239"/>
  <c r="E238"/>
  <c r="C238"/>
  <c r="B238"/>
  <c r="E237"/>
  <c r="C237"/>
  <c r="B237"/>
  <c r="E236"/>
  <c r="C236"/>
  <c r="B236"/>
  <c r="E235"/>
  <c r="C235"/>
  <c r="B235"/>
  <c r="E234"/>
  <c r="C234"/>
  <c r="B234"/>
  <c r="E233"/>
  <c r="C233"/>
  <c r="B233"/>
  <c r="E232"/>
  <c r="C232"/>
  <c r="B232"/>
  <c r="E231"/>
  <c r="C231"/>
  <c r="B231"/>
  <c r="E230"/>
  <c r="C230"/>
  <c r="B230"/>
  <c r="E229"/>
  <c r="C229"/>
  <c r="B229"/>
  <c r="E228"/>
  <c r="C228"/>
  <c r="B228"/>
  <c r="E227"/>
  <c r="C227"/>
  <c r="B227"/>
  <c r="E226"/>
  <c r="C226"/>
  <c r="B226"/>
  <c r="E225"/>
  <c r="C225"/>
  <c r="B225"/>
  <c r="E224"/>
  <c r="C224"/>
  <c r="B224"/>
  <c r="E223"/>
  <c r="C223"/>
  <c r="B223"/>
  <c r="E222"/>
  <c r="C222"/>
  <c r="B222"/>
  <c r="E221"/>
  <c r="C221"/>
  <c r="B221"/>
  <c r="E220"/>
  <c r="C220"/>
  <c r="B220"/>
  <c r="E219"/>
  <c r="C219"/>
  <c r="B219"/>
  <c r="E218"/>
  <c r="C218"/>
  <c r="B218"/>
  <c r="E217"/>
  <c r="C217"/>
  <c r="B217"/>
  <c r="E216"/>
  <c r="C216"/>
  <c r="B216"/>
  <c r="E215"/>
  <c r="C215"/>
  <c r="B215"/>
  <c r="E214"/>
  <c r="C214"/>
  <c r="B214"/>
  <c r="E213"/>
  <c r="C213"/>
  <c r="B213"/>
  <c r="E212"/>
  <c r="C212"/>
  <c r="B212"/>
  <c r="E211"/>
  <c r="C211"/>
  <c r="B211"/>
  <c r="E210"/>
  <c r="C210"/>
  <c r="B210"/>
  <c r="E209"/>
  <c r="C209"/>
  <c r="B209"/>
  <c r="E208"/>
  <c r="C208"/>
  <c r="B208"/>
  <c r="E207"/>
  <c r="C207"/>
  <c r="B207"/>
  <c r="E206"/>
  <c r="C206"/>
  <c r="B206"/>
  <c r="E205"/>
  <c r="C205"/>
  <c r="B205"/>
  <c r="E204"/>
  <c r="C204"/>
  <c r="B204"/>
  <c r="E203"/>
  <c r="C203"/>
  <c r="B203"/>
  <c r="E202"/>
  <c r="C202"/>
  <c r="B202"/>
  <c r="E201"/>
  <c r="C201"/>
  <c r="B201"/>
  <c r="E200"/>
  <c r="C200"/>
  <c r="B200"/>
  <c r="E199"/>
  <c r="C199"/>
  <c r="B199"/>
  <c r="E198"/>
  <c r="C198"/>
  <c r="B198"/>
  <c r="E197"/>
  <c r="C197"/>
  <c r="B197"/>
  <c r="E196"/>
  <c r="C196"/>
  <c r="B196"/>
  <c r="E195"/>
  <c r="C195"/>
  <c r="B195"/>
  <c r="E194"/>
  <c r="C194"/>
  <c r="B194"/>
  <c r="E193"/>
  <c r="C193"/>
  <c r="B193"/>
  <c r="E192"/>
  <c r="C192"/>
  <c r="B192"/>
  <c r="E191"/>
  <c r="C191"/>
  <c r="B191"/>
  <c r="E190"/>
  <c r="C190"/>
  <c r="B190"/>
  <c r="E189"/>
  <c r="C189"/>
  <c r="B189"/>
  <c r="E188"/>
  <c r="C188"/>
  <c r="B188"/>
  <c r="E187"/>
  <c r="C187"/>
  <c r="B187"/>
  <c r="E186"/>
  <c r="C186"/>
  <c r="B186"/>
  <c r="E185"/>
  <c r="C185"/>
  <c r="B185"/>
  <c r="E184"/>
  <c r="C184"/>
  <c r="B184"/>
  <c r="E183"/>
  <c r="C183"/>
  <c r="B183"/>
  <c r="E182"/>
  <c r="C182"/>
  <c r="B182"/>
  <c r="E181"/>
  <c r="C181"/>
  <c r="B181"/>
  <c r="E180"/>
  <c r="C180"/>
  <c r="B180"/>
  <c r="E179"/>
  <c r="C179"/>
  <c r="B179"/>
  <c r="E178"/>
  <c r="C178"/>
  <c r="B178"/>
  <c r="E177"/>
  <c r="C177"/>
  <c r="B177"/>
  <c r="E176"/>
  <c r="C176"/>
  <c r="B176"/>
  <c r="E175"/>
  <c r="C175"/>
  <c r="B175"/>
  <c r="E174"/>
  <c r="C174"/>
  <c r="B174"/>
  <c r="E173"/>
  <c r="C173"/>
  <c r="B173"/>
  <c r="E172"/>
  <c r="C172"/>
  <c r="B172"/>
  <c r="E171"/>
  <c r="C171"/>
  <c r="B171"/>
  <c r="E170"/>
  <c r="C170"/>
  <c r="B170"/>
  <c r="E169"/>
  <c r="C169"/>
  <c r="B169"/>
  <c r="E168"/>
  <c r="C168"/>
  <c r="B168"/>
  <c r="E167"/>
  <c r="C167"/>
  <c r="B167"/>
  <c r="E166"/>
  <c r="C166"/>
  <c r="B166"/>
  <c r="E165"/>
  <c r="C165"/>
  <c r="B165"/>
  <c r="E164"/>
  <c r="C164"/>
  <c r="B164"/>
  <c r="E163"/>
  <c r="C163"/>
  <c r="B163"/>
  <c r="E162"/>
  <c r="C162"/>
  <c r="B162"/>
  <c r="E161"/>
  <c r="C161"/>
  <c r="B161"/>
  <c r="E160"/>
  <c r="C160"/>
  <c r="B160"/>
  <c r="E159"/>
  <c r="C159"/>
  <c r="B159"/>
  <c r="E158"/>
  <c r="C158"/>
  <c r="B158"/>
  <c r="E157"/>
  <c r="C157"/>
  <c r="B157"/>
  <c r="E156"/>
  <c r="C156"/>
  <c r="B156"/>
  <c r="E155"/>
  <c r="C155"/>
  <c r="B155"/>
  <c r="E154"/>
  <c r="C154"/>
  <c r="B154"/>
  <c r="E153"/>
  <c r="C153"/>
  <c r="B153"/>
  <c r="E152"/>
  <c r="C152"/>
  <c r="B152"/>
  <c r="E151"/>
  <c r="C151"/>
  <c r="B151"/>
  <c r="E150"/>
  <c r="C150"/>
  <c r="B150"/>
  <c r="E149"/>
  <c r="C149"/>
  <c r="B149"/>
  <c r="E148"/>
  <c r="C148"/>
  <c r="B148"/>
  <c r="E147"/>
  <c r="C147"/>
  <c r="B147"/>
  <c r="E146"/>
  <c r="C146"/>
  <c r="B146"/>
  <c r="E145"/>
  <c r="C145"/>
  <c r="B145"/>
  <c r="E144"/>
  <c r="C144"/>
  <c r="B144"/>
  <c r="E143"/>
  <c r="C143"/>
  <c r="B143"/>
  <c r="E142"/>
  <c r="C142"/>
  <c r="B142"/>
  <c r="E141"/>
  <c r="C141"/>
  <c r="B141"/>
  <c r="E140"/>
  <c r="C140"/>
  <c r="B140"/>
  <c r="E139"/>
  <c r="C139"/>
  <c r="B139"/>
  <c r="E138"/>
  <c r="C138"/>
  <c r="B138"/>
  <c r="E137"/>
  <c r="C137"/>
  <c r="B137"/>
  <c r="E136"/>
  <c r="C136"/>
  <c r="B136"/>
  <c r="E135"/>
  <c r="C135"/>
  <c r="B135"/>
  <c r="E134"/>
  <c r="C134"/>
  <c r="B134"/>
  <c r="E133"/>
  <c r="C133"/>
  <c r="B133"/>
  <c r="E132"/>
  <c r="C132"/>
  <c r="B132"/>
  <c r="E131"/>
  <c r="C131"/>
  <c r="B131"/>
  <c r="E130"/>
  <c r="C130"/>
  <c r="B130"/>
  <c r="E129"/>
  <c r="C129"/>
  <c r="B129"/>
  <c r="E128"/>
  <c r="C128"/>
  <c r="B128"/>
  <c r="E127"/>
  <c r="C127"/>
  <c r="B127"/>
  <c r="E126"/>
  <c r="C126"/>
  <c r="B126"/>
  <c r="E125"/>
  <c r="C125"/>
  <c r="B125"/>
  <c r="E124"/>
  <c r="C124"/>
  <c r="B124"/>
  <c r="E123"/>
  <c r="C123"/>
  <c r="B123"/>
  <c r="E122"/>
  <c r="C122"/>
  <c r="B122"/>
  <c r="E121"/>
  <c r="C121"/>
  <c r="B121"/>
  <c r="E120"/>
  <c r="C120"/>
  <c r="B120"/>
  <c r="E119"/>
  <c r="C119"/>
  <c r="B119"/>
  <c r="E118"/>
  <c r="C118"/>
  <c r="B118"/>
  <c r="E117"/>
  <c r="C117"/>
  <c r="B117"/>
  <c r="E116"/>
  <c r="C116"/>
  <c r="B116"/>
  <c r="E115"/>
  <c r="C115"/>
  <c r="B115"/>
  <c r="E114"/>
  <c r="C114"/>
  <c r="B114"/>
  <c r="E113"/>
  <c r="C113"/>
  <c r="B113"/>
  <c r="E112"/>
  <c r="C112"/>
  <c r="B112"/>
  <c r="E111"/>
  <c r="C111"/>
  <c r="B111"/>
  <c r="E110"/>
  <c r="C110"/>
  <c r="B110"/>
  <c r="E109"/>
  <c r="C109"/>
  <c r="B109"/>
  <c r="E108"/>
  <c r="C108"/>
  <c r="B108"/>
  <c r="E107"/>
  <c r="C107"/>
  <c r="B107"/>
  <c r="E106"/>
  <c r="C106"/>
  <c r="B106"/>
  <c r="E105"/>
  <c r="C105"/>
  <c r="B105"/>
  <c r="E104"/>
  <c r="C104"/>
  <c r="B104"/>
  <c r="E103"/>
  <c r="C103"/>
  <c r="B103"/>
  <c r="E102"/>
  <c r="C102"/>
  <c r="B102"/>
  <c r="E101"/>
  <c r="C101"/>
  <c r="B101"/>
  <c r="E100"/>
  <c r="C100"/>
  <c r="B100"/>
  <c r="E99"/>
  <c r="C99"/>
  <c r="B99"/>
  <c r="E98"/>
  <c r="C98"/>
  <c r="B98"/>
  <c r="E97"/>
  <c r="C97"/>
  <c r="B97"/>
  <c r="E96"/>
  <c r="C96"/>
  <c r="B96"/>
  <c r="E95"/>
  <c r="C95"/>
  <c r="B95"/>
  <c r="E94"/>
  <c r="C94"/>
  <c r="B94"/>
  <c r="E93"/>
  <c r="C93"/>
  <c r="B93"/>
  <c r="E92"/>
  <c r="C92"/>
  <c r="B92"/>
  <c r="E91"/>
  <c r="C91"/>
  <c r="B91"/>
  <c r="E90"/>
  <c r="C90"/>
  <c r="B90"/>
  <c r="E89"/>
  <c r="C89"/>
  <c r="B89"/>
  <c r="E88"/>
  <c r="C88"/>
  <c r="B88"/>
  <c r="E87"/>
  <c r="C87"/>
  <c r="B87"/>
  <c r="E86"/>
  <c r="C86"/>
  <c r="B86"/>
  <c r="E85"/>
  <c r="C85"/>
  <c r="B85"/>
  <c r="E84"/>
  <c r="C84"/>
  <c r="B84"/>
  <c r="E83"/>
  <c r="C83"/>
  <c r="B83"/>
  <c r="E82"/>
  <c r="C82"/>
  <c r="B82"/>
  <c r="E81"/>
  <c r="C81"/>
  <c r="B81"/>
  <c r="E80"/>
  <c r="C80"/>
  <c r="B80"/>
  <c r="E79"/>
  <c r="C79"/>
  <c r="B79"/>
  <c r="E78"/>
  <c r="C78"/>
  <c r="B78"/>
  <c r="E77"/>
  <c r="C77"/>
  <c r="B77"/>
  <c r="E76"/>
  <c r="C76"/>
  <c r="B76"/>
  <c r="E75"/>
  <c r="C75"/>
  <c r="B75"/>
  <c r="E74"/>
  <c r="C74"/>
  <c r="B74"/>
  <c r="E73"/>
  <c r="C73"/>
  <c r="B73"/>
  <c r="E72"/>
  <c r="C72"/>
  <c r="B72"/>
  <c r="E71"/>
  <c r="C71"/>
  <c r="B71"/>
  <c r="E70"/>
  <c r="C70"/>
  <c r="B70"/>
  <c r="E69"/>
  <c r="C69"/>
  <c r="B69"/>
  <c r="E68"/>
  <c r="C68"/>
  <c r="B68"/>
  <c r="E67"/>
  <c r="C67"/>
  <c r="B67"/>
  <c r="E66"/>
  <c r="C66"/>
  <c r="B66"/>
  <c r="E65"/>
  <c r="C65"/>
  <c r="B65"/>
  <c r="E64"/>
  <c r="C64"/>
  <c r="B64"/>
  <c r="E63"/>
  <c r="C63"/>
  <c r="B63"/>
  <c r="E62"/>
  <c r="C62"/>
  <c r="B62"/>
  <c r="E61"/>
  <c r="C61"/>
  <c r="B61"/>
  <c r="E60"/>
  <c r="C60"/>
  <c r="B60"/>
  <c r="E59"/>
  <c r="C59"/>
  <c r="B59"/>
  <c r="E58"/>
  <c r="C58"/>
  <c r="B58"/>
  <c r="E57"/>
  <c r="C57"/>
  <c r="B57"/>
  <c r="E56"/>
  <c r="C56"/>
  <c r="B56"/>
  <c r="E55"/>
  <c r="C55"/>
  <c r="B55"/>
  <c r="E54"/>
  <c r="C54"/>
  <c r="B54"/>
  <c r="E53"/>
  <c r="C53"/>
  <c r="B53"/>
  <c r="E52"/>
  <c r="C52"/>
  <c r="B52"/>
  <c r="E51"/>
  <c r="C51"/>
  <c r="B51"/>
  <c r="E50"/>
  <c r="C50"/>
  <c r="B50"/>
  <c r="E49"/>
  <c r="C49"/>
  <c r="B49"/>
  <c r="E48"/>
  <c r="C48"/>
  <c r="B48"/>
  <c r="E47"/>
  <c r="C47"/>
  <c r="B47"/>
  <c r="E46"/>
  <c r="C46"/>
  <c r="B46"/>
  <c r="E45"/>
  <c r="C45"/>
  <c r="B45"/>
  <c r="E44"/>
  <c r="C44"/>
  <c r="B44"/>
  <c r="E43"/>
  <c r="C43"/>
  <c r="B43"/>
  <c r="E42"/>
  <c r="C42"/>
  <c r="B42"/>
  <c r="E41"/>
  <c r="C41"/>
  <c r="B41"/>
  <c r="E40"/>
  <c r="C40"/>
  <c r="B40"/>
  <c r="E39"/>
  <c r="C39"/>
  <c r="B39"/>
  <c r="E38"/>
  <c r="C38"/>
  <c r="B38"/>
  <c r="E37"/>
  <c r="C37"/>
  <c r="B37"/>
  <c r="E36"/>
  <c r="C36"/>
  <c r="B36"/>
  <c r="E35"/>
  <c r="C35"/>
  <c r="B35"/>
  <c r="E34"/>
  <c r="C34"/>
  <c r="B34"/>
  <c r="E33"/>
  <c r="C33"/>
  <c r="B33"/>
  <c r="E32"/>
  <c r="C32"/>
  <c r="B32"/>
  <c r="E31"/>
  <c r="C31"/>
  <c r="B31"/>
  <c r="E30"/>
  <c r="C30"/>
  <c r="B30"/>
  <c r="E29"/>
  <c r="C29"/>
  <c r="B29"/>
  <c r="E28"/>
  <c r="C28"/>
  <c r="B28"/>
  <c r="E27"/>
  <c r="C27"/>
  <c r="B27"/>
  <c r="E26"/>
  <c r="C26"/>
  <c r="B26"/>
  <c r="E25"/>
  <c r="C25"/>
  <c r="B25"/>
  <c r="E24"/>
  <c r="C24"/>
  <c r="B24"/>
  <c r="E23"/>
  <c r="C23"/>
  <c r="B23"/>
  <c r="E22"/>
  <c r="C22"/>
  <c r="B22"/>
  <c r="E21"/>
  <c r="C21"/>
  <c r="B21"/>
  <c r="E20"/>
  <c r="C20"/>
  <c r="B20"/>
  <c r="E19"/>
  <c r="C19"/>
  <c r="B19"/>
  <c r="E18"/>
  <c r="C18"/>
  <c r="B18"/>
  <c r="E17"/>
  <c r="C17"/>
  <c r="B17"/>
  <c r="E16"/>
  <c r="C16"/>
  <c r="B16"/>
  <c r="E15"/>
  <c r="C15"/>
  <c r="B15"/>
  <c r="E14"/>
  <c r="C14"/>
  <c r="B14"/>
  <c r="E13"/>
  <c r="C13"/>
  <c r="B13"/>
  <c r="E12"/>
  <c r="C12"/>
  <c r="B12"/>
  <c r="E11"/>
  <c r="C11"/>
  <c r="B11"/>
  <c r="E10"/>
  <c r="C10"/>
  <c r="B10"/>
  <c r="E9"/>
  <c r="C9"/>
  <c r="B9"/>
  <c r="E8"/>
  <c r="C8"/>
  <c r="B8"/>
  <c r="E7"/>
  <c r="C7"/>
  <c r="B7"/>
  <c r="E6"/>
  <c r="C6"/>
  <c r="B6"/>
  <c r="E5"/>
  <c r="C5"/>
  <c r="B5"/>
  <c r="E4"/>
  <c r="C4"/>
  <c r="B4"/>
  <c r="E3"/>
  <c r="C3"/>
  <c r="B3"/>
  <c r="E2"/>
  <c r="C2"/>
  <c r="B2"/>
  <c r="E1"/>
  <c r="C1"/>
  <c r="B1"/>
  <c r="A1"/>
  <c r="Z26" i="53" l="1"/>
  <c r="Y26"/>
  <c r="U26"/>
  <c r="R27"/>
  <c r="T27"/>
  <c r="X27" s="1"/>
  <c r="V27"/>
  <c r="W27"/>
  <c r="U27"/>
  <c r="W25"/>
  <c r="AD25"/>
  <c r="R25"/>
  <c r="U25" s="1"/>
  <c r="T25"/>
  <c r="X25" s="1"/>
  <c r="AJ20" i="41"/>
  <c r="AJ12"/>
  <c r="AJ4"/>
  <c r="AJ9"/>
  <c r="AJ21"/>
  <c r="AJ13"/>
  <c r="AJ5"/>
  <c r="AJ8"/>
  <c r="AJ22"/>
  <c r="AJ23"/>
  <c r="AJ15"/>
  <c r="AJ7"/>
  <c r="AJ16"/>
  <c r="AJ24"/>
  <c r="AJ27"/>
  <c r="AJ17"/>
  <c r="AJ18"/>
  <c r="AJ10"/>
  <c r="AJ2"/>
  <c r="AJ6"/>
  <c r="AJ19"/>
  <c r="AJ11"/>
  <c r="AJ3"/>
  <c r="AJ14"/>
  <c r="AK29"/>
  <c r="AB26" i="53"/>
  <c r="B494" i="37"/>
  <c r="C494"/>
  <c r="D494"/>
  <c r="F494"/>
  <c r="B495"/>
  <c r="C495"/>
  <c r="D495"/>
  <c r="F495"/>
  <c r="B496"/>
  <c r="C496"/>
  <c r="D496"/>
  <c r="F496"/>
  <c r="F24" i="53" s="1"/>
  <c r="B497" i="37"/>
  <c r="C497"/>
  <c r="D497"/>
  <c r="F497"/>
  <c r="B498"/>
  <c r="C498"/>
  <c r="D498"/>
  <c r="F498"/>
  <c r="B499"/>
  <c r="C499"/>
  <c r="D499"/>
  <c r="F499"/>
  <c r="F25" i="52" s="1"/>
  <c r="B500" i="37"/>
  <c r="C500"/>
  <c r="D500"/>
  <c r="F500"/>
  <c r="B501"/>
  <c r="C501"/>
  <c r="D501"/>
  <c r="F501"/>
  <c r="B502"/>
  <c r="C502"/>
  <c r="D502"/>
  <c r="F502"/>
  <c r="Y25" i="53" l="1"/>
  <c r="B25"/>
  <c r="B25" i="52"/>
  <c r="C25" i="53"/>
  <c r="C25" i="52"/>
  <c r="Z27" i="53"/>
  <c r="Y27"/>
  <c r="AB27"/>
  <c r="AD27"/>
  <c r="E501" i="37" a="1"/>
  <c r="E501" s="1"/>
  <c r="H501" s="1"/>
  <c r="E499" a="1"/>
  <c r="E499" s="1"/>
  <c r="E495" a="1"/>
  <c r="E495" s="1"/>
  <c r="M495" s="1"/>
  <c r="E502" a="1"/>
  <c r="E502" s="1"/>
  <c r="L502" s="1"/>
  <c r="E500" a="1"/>
  <c r="E500" s="1"/>
  <c r="O500" s="1"/>
  <c r="E494" a="1"/>
  <c r="E494" s="1"/>
  <c r="H494" s="1"/>
  <c r="E498" a="1"/>
  <c r="E498" s="1"/>
  <c r="Q498" s="1"/>
  <c r="E497" a="1"/>
  <c r="E497" s="1"/>
  <c r="G497" s="1"/>
  <c r="E496" a="1"/>
  <c r="E496" s="1"/>
  <c r="H495"/>
  <c r="I499" l="1"/>
  <c r="I25" i="52" s="1"/>
  <c r="E25" i="53"/>
  <c r="E25" i="52"/>
  <c r="P501" i="37"/>
  <c r="P495"/>
  <c r="J501"/>
  <c r="O501"/>
  <c r="K501"/>
  <c r="G501"/>
  <c r="L500"/>
  <c r="L501"/>
  <c r="I501"/>
  <c r="N501"/>
  <c r="Q501"/>
  <c r="Q499"/>
  <c r="Q25" i="52" s="1"/>
  <c r="L495" i="37"/>
  <c r="I495"/>
  <c r="M500"/>
  <c r="G495"/>
  <c r="H499"/>
  <c r="H25" i="52" s="1"/>
  <c r="N500" i="37"/>
  <c r="Q495"/>
  <c r="M501"/>
  <c r="K495"/>
  <c r="J495"/>
  <c r="N495"/>
  <c r="P499"/>
  <c r="P25" i="52" s="1"/>
  <c r="O495" i="37"/>
  <c r="G499"/>
  <c r="G25" i="52" s="1"/>
  <c r="Q500" i="37"/>
  <c r="O499"/>
  <c r="O25" i="52" s="1"/>
  <c r="K500" i="37"/>
  <c r="K502"/>
  <c r="K499"/>
  <c r="K25" i="52" s="1"/>
  <c r="G500" i="37"/>
  <c r="L499"/>
  <c r="L25" i="52" s="1"/>
  <c r="N499" i="37"/>
  <c r="N25" i="52" s="1"/>
  <c r="J499" i="37"/>
  <c r="J25" i="52" s="1"/>
  <c r="M499" i="37"/>
  <c r="M25" i="52" s="1"/>
  <c r="G494" i="37"/>
  <c r="K494"/>
  <c r="J494"/>
  <c r="I494"/>
  <c r="Q497"/>
  <c r="O502"/>
  <c r="I502"/>
  <c r="P502"/>
  <c r="J502"/>
  <c r="G502"/>
  <c r="Q502"/>
  <c r="N502"/>
  <c r="H502"/>
  <c r="M502"/>
  <c r="P494"/>
  <c r="H500"/>
  <c r="J500"/>
  <c r="L494"/>
  <c r="G498"/>
  <c r="N494"/>
  <c r="M494"/>
  <c r="O494"/>
  <c r="I500"/>
  <c r="P500"/>
  <c r="Q494"/>
  <c r="I498"/>
  <c r="O498"/>
  <c r="K498"/>
  <c r="L498"/>
  <c r="H498"/>
  <c r="M498"/>
  <c r="N498"/>
  <c r="P498"/>
  <c r="L497"/>
  <c r="M497"/>
  <c r="N497"/>
  <c r="I497"/>
  <c r="J497"/>
  <c r="H497"/>
  <c r="K497"/>
  <c r="O497"/>
  <c r="J498"/>
  <c r="P497"/>
  <c r="H496"/>
  <c r="H24" i="53" s="1"/>
  <c r="I496" i="37"/>
  <c r="I24" i="53" s="1"/>
  <c r="J496" i="37"/>
  <c r="J24" i="53" s="1"/>
  <c r="K496" i="37"/>
  <c r="K24" i="53" s="1"/>
  <c r="L496" i="37"/>
  <c r="L24" i="53" s="1"/>
  <c r="Q496" i="37"/>
  <c r="Q24" i="53" s="1"/>
  <c r="P496" i="37"/>
  <c r="P24" i="53" s="1"/>
  <c r="M496" i="37"/>
  <c r="M24" i="53" s="1"/>
  <c r="N496" i="37"/>
  <c r="N24" i="53" s="1"/>
  <c r="O496" i="37"/>
  <c r="O24" i="53" s="1"/>
  <c r="G496" i="37"/>
  <c r="AB25" i="53" l="1"/>
  <c r="Z25"/>
  <c r="V24"/>
  <c r="S24"/>
  <c r="G24"/>
  <c r="C42" i="44"/>
  <c r="O1" i="37"/>
  <c r="Z1" s="1"/>
  <c r="P1"/>
  <c r="AA1" s="1"/>
  <c r="Q1"/>
  <c r="AB1" s="1"/>
  <c r="H1"/>
  <c r="S1" s="1"/>
  <c r="I1"/>
  <c r="T1" s="1"/>
  <c r="J1"/>
  <c r="U1" s="1"/>
  <c r="K1"/>
  <c r="V1" s="1"/>
  <c r="L1"/>
  <c r="W1" s="1"/>
  <c r="M1"/>
  <c r="X1" s="1"/>
  <c r="N1"/>
  <c r="Y1" s="1"/>
  <c r="G1"/>
  <c r="R1" s="1"/>
  <c r="F2"/>
  <c r="F3"/>
  <c r="F2" i="52" s="1"/>
  <c r="F4" i="37"/>
  <c r="F5"/>
  <c r="F6"/>
  <c r="F7"/>
  <c r="F8"/>
  <c r="F9"/>
  <c r="F10"/>
  <c r="F11"/>
  <c r="F12"/>
  <c r="F13"/>
  <c r="F14"/>
  <c r="F15"/>
  <c r="F16"/>
  <c r="F17"/>
  <c r="F18"/>
  <c r="F19"/>
  <c r="F20"/>
  <c r="F21"/>
  <c r="F2" i="53" s="1"/>
  <c r="F22" i="37"/>
  <c r="F23"/>
  <c r="F24"/>
  <c r="F25"/>
  <c r="F3" i="52" s="1"/>
  <c r="F26" i="37"/>
  <c r="F27"/>
  <c r="F28"/>
  <c r="F29"/>
  <c r="F30"/>
  <c r="F31"/>
  <c r="F32"/>
  <c r="F33"/>
  <c r="F34"/>
  <c r="F35"/>
  <c r="F36"/>
  <c r="F37"/>
  <c r="F38"/>
  <c r="F39"/>
  <c r="F40"/>
  <c r="F41"/>
  <c r="F42"/>
  <c r="F43"/>
  <c r="F3" i="53" s="1"/>
  <c r="F44" i="37"/>
  <c r="F45"/>
  <c r="F46"/>
  <c r="F47"/>
  <c r="F4" i="52" s="1"/>
  <c r="F48" i="37"/>
  <c r="F49"/>
  <c r="F50"/>
  <c r="F51"/>
  <c r="F52"/>
  <c r="F53"/>
  <c r="F54"/>
  <c r="F55"/>
  <c r="F56"/>
  <c r="F57"/>
  <c r="F58"/>
  <c r="F59"/>
  <c r="F60"/>
  <c r="F61"/>
  <c r="F62"/>
  <c r="F63"/>
  <c r="F64"/>
  <c r="F65"/>
  <c r="F66"/>
  <c r="F4" i="53" s="1"/>
  <c r="F67" i="37"/>
  <c r="F68"/>
  <c r="F69"/>
  <c r="F70"/>
  <c r="F5" i="52" s="1"/>
  <c r="F71" i="37"/>
  <c r="F72"/>
  <c r="F73"/>
  <c r="F74"/>
  <c r="F75"/>
  <c r="F76"/>
  <c r="F77"/>
  <c r="F78"/>
  <c r="F79"/>
  <c r="F80"/>
  <c r="F81"/>
  <c r="F82"/>
  <c r="F83"/>
  <c r="F84"/>
  <c r="F85"/>
  <c r="F86"/>
  <c r="F87"/>
  <c r="F5" i="53" s="1"/>
  <c r="F88" i="37"/>
  <c r="F89"/>
  <c r="F90"/>
  <c r="F91"/>
  <c r="F6" i="52" s="1"/>
  <c r="F92" i="37"/>
  <c r="F93"/>
  <c r="F94"/>
  <c r="F95"/>
  <c r="F96"/>
  <c r="F97"/>
  <c r="F98"/>
  <c r="F99"/>
  <c r="F100"/>
  <c r="F101"/>
  <c r="F102"/>
  <c r="F103"/>
  <c r="F104"/>
  <c r="F105"/>
  <c r="F106"/>
  <c r="F107"/>
  <c r="F108"/>
  <c r="F109"/>
  <c r="F110"/>
  <c r="F6" i="53" s="1"/>
  <c r="F111" i="37"/>
  <c r="F112"/>
  <c r="F113"/>
  <c r="F114"/>
  <c r="F115"/>
  <c r="F7" i="52" s="1"/>
  <c r="F116" i="37"/>
  <c r="F117"/>
  <c r="F118"/>
  <c r="F119"/>
  <c r="F120"/>
  <c r="F121"/>
  <c r="F122"/>
  <c r="F123"/>
  <c r="F124"/>
  <c r="F125"/>
  <c r="F126"/>
  <c r="F127"/>
  <c r="F128"/>
  <c r="F129"/>
  <c r="F130"/>
  <c r="F131"/>
  <c r="F132"/>
  <c r="F133"/>
  <c r="F134"/>
  <c r="F7" i="53" s="1"/>
  <c r="F135" i="37"/>
  <c r="F136"/>
  <c r="F137"/>
  <c r="F138"/>
  <c r="F139"/>
  <c r="F8" i="52" s="1"/>
  <c r="F140" i="37"/>
  <c r="F141"/>
  <c r="F142"/>
  <c r="F143"/>
  <c r="F144"/>
  <c r="F145"/>
  <c r="F146"/>
  <c r="F147"/>
  <c r="F148"/>
  <c r="F149"/>
  <c r="F150"/>
  <c r="F151"/>
  <c r="F152"/>
  <c r="F153"/>
  <c r="F154"/>
  <c r="F155"/>
  <c r="F156"/>
  <c r="F157"/>
  <c r="F158"/>
  <c r="F8" i="53" s="1"/>
  <c r="F159" i="37"/>
  <c r="F160"/>
  <c r="F161"/>
  <c r="F162"/>
  <c r="F163"/>
  <c r="F9" i="52" s="1"/>
  <c r="F164" i="37"/>
  <c r="F165"/>
  <c r="F166"/>
  <c r="F167"/>
  <c r="F168"/>
  <c r="F169"/>
  <c r="F170"/>
  <c r="F171"/>
  <c r="F172"/>
  <c r="F173"/>
  <c r="F174"/>
  <c r="F175"/>
  <c r="F176"/>
  <c r="F177"/>
  <c r="F178"/>
  <c r="F179"/>
  <c r="F180"/>
  <c r="F181"/>
  <c r="F182"/>
  <c r="F9" i="53" s="1"/>
  <c r="F183" i="37"/>
  <c r="F184"/>
  <c r="F185"/>
  <c r="F186"/>
  <c r="F10" i="52" s="1"/>
  <c r="F187" i="37"/>
  <c r="F188"/>
  <c r="F189"/>
  <c r="F190"/>
  <c r="F191"/>
  <c r="F192"/>
  <c r="F193"/>
  <c r="F194"/>
  <c r="F195"/>
  <c r="F196"/>
  <c r="F197"/>
  <c r="F198"/>
  <c r="F199"/>
  <c r="F200"/>
  <c r="F201"/>
  <c r="F202"/>
  <c r="F203"/>
  <c r="F204"/>
  <c r="F205"/>
  <c r="F10" i="53" s="1"/>
  <c r="F206" i="37"/>
  <c r="F207"/>
  <c r="F208"/>
  <c r="F209"/>
  <c r="F11" i="52" s="1"/>
  <c r="F210" i="37"/>
  <c r="F211"/>
  <c r="F212"/>
  <c r="F213"/>
  <c r="F214"/>
  <c r="F215"/>
  <c r="F216"/>
  <c r="F217"/>
  <c r="F218"/>
  <c r="F219"/>
  <c r="F220"/>
  <c r="F221"/>
  <c r="F222"/>
  <c r="F223"/>
  <c r="F224"/>
  <c r="F225"/>
  <c r="F226"/>
  <c r="F227"/>
  <c r="F228"/>
  <c r="F11" i="53" s="1"/>
  <c r="F229" i="37"/>
  <c r="F230"/>
  <c r="F231"/>
  <c r="F232"/>
  <c r="F12" i="52" s="1"/>
  <c r="F233" i="37"/>
  <c r="F234"/>
  <c r="F235"/>
  <c r="F236"/>
  <c r="F237"/>
  <c r="F238"/>
  <c r="F239"/>
  <c r="F240"/>
  <c r="F241"/>
  <c r="F242"/>
  <c r="F243"/>
  <c r="F244"/>
  <c r="F245"/>
  <c r="F246"/>
  <c r="F247"/>
  <c r="F248"/>
  <c r="F249"/>
  <c r="F250"/>
  <c r="F251"/>
  <c r="F12" i="53" s="1"/>
  <c r="F252" i="37"/>
  <c r="F253"/>
  <c r="F254"/>
  <c r="F255"/>
  <c r="F13" i="52" s="1"/>
  <c r="F256" i="37"/>
  <c r="F257"/>
  <c r="F258"/>
  <c r="F259"/>
  <c r="F260"/>
  <c r="F261"/>
  <c r="F262"/>
  <c r="F263"/>
  <c r="F264"/>
  <c r="F265"/>
  <c r="F266"/>
  <c r="F267"/>
  <c r="F268"/>
  <c r="F269"/>
  <c r="F270"/>
  <c r="F271"/>
  <c r="F272"/>
  <c r="F273"/>
  <c r="F274"/>
  <c r="F13" i="53" s="1"/>
  <c r="F275" i="37"/>
  <c r="F276"/>
  <c r="F277"/>
  <c r="F278"/>
  <c r="F14" i="52" s="1"/>
  <c r="F279" i="37"/>
  <c r="F280"/>
  <c r="F281"/>
  <c r="F282"/>
  <c r="F283"/>
  <c r="F284"/>
  <c r="F285"/>
  <c r="F286"/>
  <c r="F287"/>
  <c r="F288"/>
  <c r="F289"/>
  <c r="F290"/>
  <c r="F291"/>
  <c r="F292"/>
  <c r="F293"/>
  <c r="F294"/>
  <c r="F295"/>
  <c r="F296"/>
  <c r="F14" i="53" s="1"/>
  <c r="F297" i="37"/>
  <c r="F298"/>
  <c r="F299"/>
  <c r="F300"/>
  <c r="F15" i="52" s="1"/>
  <c r="F301" i="37"/>
  <c r="F302"/>
  <c r="F303"/>
  <c r="F304"/>
  <c r="F305"/>
  <c r="F306"/>
  <c r="F307"/>
  <c r="F308"/>
  <c r="F309"/>
  <c r="F310"/>
  <c r="F311"/>
  <c r="F312"/>
  <c r="F313"/>
  <c r="F314"/>
  <c r="F315"/>
  <c r="F316"/>
  <c r="F317"/>
  <c r="F318"/>
  <c r="F15" i="53" s="1"/>
  <c r="F319" i="37"/>
  <c r="F320"/>
  <c r="F321"/>
  <c r="F322"/>
  <c r="F16" i="52" s="1"/>
  <c r="F323" i="37"/>
  <c r="F324"/>
  <c r="F325"/>
  <c r="F326"/>
  <c r="F327"/>
  <c r="F328"/>
  <c r="F329"/>
  <c r="F330"/>
  <c r="F331"/>
  <c r="F332"/>
  <c r="F333"/>
  <c r="F334"/>
  <c r="F335"/>
  <c r="F336"/>
  <c r="F337"/>
  <c r="F338"/>
  <c r="F16" i="53" s="1"/>
  <c r="F339" i="37"/>
  <c r="F340"/>
  <c r="F341"/>
  <c r="F342"/>
  <c r="F17" i="52" s="1"/>
  <c r="F343" i="37"/>
  <c r="F344"/>
  <c r="F345"/>
  <c r="F346"/>
  <c r="F347"/>
  <c r="F348"/>
  <c r="F349"/>
  <c r="F350"/>
  <c r="F351"/>
  <c r="F352"/>
  <c r="F353"/>
  <c r="F354"/>
  <c r="F355"/>
  <c r="F356"/>
  <c r="F357"/>
  <c r="F358"/>
  <c r="F359"/>
  <c r="F360"/>
  <c r="F361"/>
  <c r="F17" i="53" s="1"/>
  <c r="F362" i="37"/>
  <c r="F363"/>
  <c r="F364"/>
  <c r="F365"/>
  <c r="F366"/>
  <c r="F18" i="52" s="1"/>
  <c r="F367" i="37"/>
  <c r="F368"/>
  <c r="F369"/>
  <c r="F370"/>
  <c r="F371"/>
  <c r="F372"/>
  <c r="F373"/>
  <c r="F374"/>
  <c r="F375"/>
  <c r="F376"/>
  <c r="F377"/>
  <c r="F378"/>
  <c r="F379"/>
  <c r="F380"/>
  <c r="F381"/>
  <c r="F382"/>
  <c r="F383"/>
  <c r="F384"/>
  <c r="F385"/>
  <c r="F18" i="53" s="1"/>
  <c r="F386" i="37"/>
  <c r="F387"/>
  <c r="F388"/>
  <c r="F389"/>
  <c r="F390"/>
  <c r="F19" i="52" s="1"/>
  <c r="F391" i="37"/>
  <c r="F392"/>
  <c r="F393"/>
  <c r="F394"/>
  <c r="F395"/>
  <c r="F396"/>
  <c r="F397"/>
  <c r="F398"/>
  <c r="F399"/>
  <c r="F400"/>
  <c r="F401"/>
  <c r="F402"/>
  <c r="F403"/>
  <c r="F404"/>
  <c r="F405"/>
  <c r="F406"/>
  <c r="F407"/>
  <c r="F408"/>
  <c r="F409"/>
  <c r="F19" i="53" s="1"/>
  <c r="F410" i="37"/>
  <c r="F411"/>
  <c r="F412"/>
  <c r="F413"/>
  <c r="F414"/>
  <c r="F20" i="52" s="1"/>
  <c r="F415" i="37"/>
  <c r="F416"/>
  <c r="F417"/>
  <c r="F418"/>
  <c r="F419"/>
  <c r="F420"/>
  <c r="F421"/>
  <c r="F422"/>
  <c r="F423"/>
  <c r="F424"/>
  <c r="F425"/>
  <c r="F426"/>
  <c r="F427"/>
  <c r="F428"/>
  <c r="F429"/>
  <c r="F430"/>
  <c r="F431"/>
  <c r="F432"/>
  <c r="F20" i="53" s="1"/>
  <c r="F433" i="37"/>
  <c r="F434"/>
  <c r="F435"/>
  <c r="F436"/>
  <c r="F21" i="52" s="1"/>
  <c r="F437" i="37"/>
  <c r="F438"/>
  <c r="F439"/>
  <c r="F440"/>
  <c r="F441"/>
  <c r="F442"/>
  <c r="F443"/>
  <c r="F444"/>
  <c r="F445"/>
  <c r="F446"/>
  <c r="F447"/>
  <c r="F448"/>
  <c r="F449"/>
  <c r="F450"/>
  <c r="F21" i="53" s="1"/>
  <c r="F451" i="37"/>
  <c r="F452"/>
  <c r="F22" i="52" s="1"/>
  <c r="F453" i="37"/>
  <c r="F454"/>
  <c r="F455"/>
  <c r="F456"/>
  <c r="F457"/>
  <c r="F458"/>
  <c r="F459"/>
  <c r="F460"/>
  <c r="F461"/>
  <c r="F462"/>
  <c r="F463"/>
  <c r="F464"/>
  <c r="F465"/>
  <c r="F466"/>
  <c r="F22" i="53" s="1"/>
  <c r="F467" i="37"/>
  <c r="F468"/>
  <c r="F23" i="52" s="1"/>
  <c r="F469" i="37"/>
  <c r="F470"/>
  <c r="F471"/>
  <c r="F472"/>
  <c r="F473"/>
  <c r="F474"/>
  <c r="F475"/>
  <c r="F476"/>
  <c r="F477"/>
  <c r="F478"/>
  <c r="F479"/>
  <c r="F480"/>
  <c r="F481"/>
  <c r="F482"/>
  <c r="F23" i="53" s="1"/>
  <c r="F483" i="37"/>
  <c r="F484"/>
  <c r="F24" i="52" s="1"/>
  <c r="F485" i="37"/>
  <c r="F486"/>
  <c r="F487"/>
  <c r="F488"/>
  <c r="F489"/>
  <c r="F490"/>
  <c r="F491"/>
  <c r="F492"/>
  <c r="F493"/>
  <c r="F1"/>
  <c r="W24" i="53" l="1"/>
  <c r="AD24"/>
  <c r="T24"/>
  <c r="X24" s="1"/>
  <c r="R24"/>
  <c r="A2" i="33"/>
  <c r="B3" i="37"/>
  <c r="C3"/>
  <c r="D3"/>
  <c r="B4"/>
  <c r="C4"/>
  <c r="D4"/>
  <c r="B5"/>
  <c r="C5"/>
  <c r="D5"/>
  <c r="B6"/>
  <c r="C6"/>
  <c r="D6"/>
  <c r="B7"/>
  <c r="C7"/>
  <c r="D7"/>
  <c r="B8"/>
  <c r="C8"/>
  <c r="D8"/>
  <c r="B9"/>
  <c r="C9"/>
  <c r="D9"/>
  <c r="B10"/>
  <c r="C10"/>
  <c r="D10"/>
  <c r="B11"/>
  <c r="C11"/>
  <c r="D11"/>
  <c r="B12"/>
  <c r="C12"/>
  <c r="D12"/>
  <c r="B13"/>
  <c r="C13"/>
  <c r="D13"/>
  <c r="B14"/>
  <c r="C14"/>
  <c r="D14"/>
  <c r="B15"/>
  <c r="C15"/>
  <c r="D15"/>
  <c r="B16"/>
  <c r="C16"/>
  <c r="D16"/>
  <c r="B17"/>
  <c r="C17"/>
  <c r="D17"/>
  <c r="B18"/>
  <c r="C18"/>
  <c r="D18"/>
  <c r="B19"/>
  <c r="C19"/>
  <c r="D19"/>
  <c r="B20"/>
  <c r="C20"/>
  <c r="D20"/>
  <c r="B21"/>
  <c r="C21"/>
  <c r="D21"/>
  <c r="B22"/>
  <c r="C22"/>
  <c r="D22"/>
  <c r="B23"/>
  <c r="C23"/>
  <c r="D23"/>
  <c r="B24"/>
  <c r="C24"/>
  <c r="D24"/>
  <c r="B25"/>
  <c r="C25"/>
  <c r="D25"/>
  <c r="B26"/>
  <c r="C26"/>
  <c r="D26"/>
  <c r="B27"/>
  <c r="C27"/>
  <c r="D27"/>
  <c r="B28"/>
  <c r="C28"/>
  <c r="D28"/>
  <c r="B29"/>
  <c r="C29"/>
  <c r="D29"/>
  <c r="B30"/>
  <c r="C30"/>
  <c r="D30"/>
  <c r="B31"/>
  <c r="C31"/>
  <c r="D31"/>
  <c r="B32"/>
  <c r="C32"/>
  <c r="D32"/>
  <c r="B33"/>
  <c r="C33"/>
  <c r="D33"/>
  <c r="B34"/>
  <c r="C34"/>
  <c r="D34"/>
  <c r="B35"/>
  <c r="C35"/>
  <c r="D35"/>
  <c r="B36"/>
  <c r="C36"/>
  <c r="D36"/>
  <c r="B37"/>
  <c r="C37"/>
  <c r="D37"/>
  <c r="B38"/>
  <c r="C38"/>
  <c r="D38"/>
  <c r="B39"/>
  <c r="C39"/>
  <c r="D39"/>
  <c r="B40"/>
  <c r="C40"/>
  <c r="D40"/>
  <c r="B41"/>
  <c r="C41"/>
  <c r="D41"/>
  <c r="B42"/>
  <c r="C42"/>
  <c r="D42"/>
  <c r="B43"/>
  <c r="C43"/>
  <c r="D43"/>
  <c r="B44"/>
  <c r="C44"/>
  <c r="D44"/>
  <c r="B45"/>
  <c r="C45"/>
  <c r="D45"/>
  <c r="B46"/>
  <c r="C46"/>
  <c r="D46"/>
  <c r="B47"/>
  <c r="C47"/>
  <c r="D47"/>
  <c r="B48"/>
  <c r="C48"/>
  <c r="D48"/>
  <c r="B49"/>
  <c r="C49"/>
  <c r="D49"/>
  <c r="B50"/>
  <c r="C50"/>
  <c r="D50"/>
  <c r="B51"/>
  <c r="C51"/>
  <c r="D51"/>
  <c r="B52"/>
  <c r="C52"/>
  <c r="D52"/>
  <c r="B53"/>
  <c r="C53"/>
  <c r="D53"/>
  <c r="B54"/>
  <c r="C54"/>
  <c r="D54"/>
  <c r="B55"/>
  <c r="C55"/>
  <c r="D55"/>
  <c r="B56"/>
  <c r="C56"/>
  <c r="D56"/>
  <c r="B57"/>
  <c r="C57"/>
  <c r="D57"/>
  <c r="B58"/>
  <c r="C58"/>
  <c r="D58"/>
  <c r="B59"/>
  <c r="C59"/>
  <c r="D59"/>
  <c r="B60"/>
  <c r="C60"/>
  <c r="D60"/>
  <c r="B61"/>
  <c r="C61"/>
  <c r="D61"/>
  <c r="B62"/>
  <c r="C62"/>
  <c r="D62"/>
  <c r="B63"/>
  <c r="C63"/>
  <c r="D63"/>
  <c r="B64"/>
  <c r="C64"/>
  <c r="D64"/>
  <c r="B65"/>
  <c r="C65"/>
  <c r="D65"/>
  <c r="B66"/>
  <c r="C66"/>
  <c r="D66"/>
  <c r="B67"/>
  <c r="C67"/>
  <c r="D67"/>
  <c r="B68"/>
  <c r="C68"/>
  <c r="D68"/>
  <c r="B69"/>
  <c r="C69"/>
  <c r="D69"/>
  <c r="B70"/>
  <c r="C70"/>
  <c r="D70"/>
  <c r="B71"/>
  <c r="C71"/>
  <c r="D71"/>
  <c r="B72"/>
  <c r="C72"/>
  <c r="D72"/>
  <c r="B73"/>
  <c r="C73"/>
  <c r="D73"/>
  <c r="B74"/>
  <c r="C74"/>
  <c r="D74"/>
  <c r="B75"/>
  <c r="C75"/>
  <c r="D75"/>
  <c r="B76"/>
  <c r="C76"/>
  <c r="D76"/>
  <c r="B77"/>
  <c r="C77"/>
  <c r="D77"/>
  <c r="B78"/>
  <c r="C78"/>
  <c r="D78"/>
  <c r="B79"/>
  <c r="C79"/>
  <c r="D79"/>
  <c r="B80"/>
  <c r="C80"/>
  <c r="D80"/>
  <c r="B81"/>
  <c r="C81"/>
  <c r="D81"/>
  <c r="B82"/>
  <c r="C82"/>
  <c r="D82"/>
  <c r="B83"/>
  <c r="C83"/>
  <c r="D83"/>
  <c r="B84"/>
  <c r="C84"/>
  <c r="D84"/>
  <c r="B85"/>
  <c r="C85"/>
  <c r="D85"/>
  <c r="B86"/>
  <c r="C86"/>
  <c r="D86"/>
  <c r="B87"/>
  <c r="C87"/>
  <c r="D87"/>
  <c r="B88"/>
  <c r="C88"/>
  <c r="D88"/>
  <c r="B89"/>
  <c r="C89"/>
  <c r="D89"/>
  <c r="B90"/>
  <c r="C90"/>
  <c r="D90"/>
  <c r="B91"/>
  <c r="C91"/>
  <c r="D91"/>
  <c r="B92"/>
  <c r="C92"/>
  <c r="D92"/>
  <c r="B93"/>
  <c r="C93"/>
  <c r="D93"/>
  <c r="B94"/>
  <c r="C94"/>
  <c r="D94"/>
  <c r="B95"/>
  <c r="C95"/>
  <c r="D95"/>
  <c r="B96"/>
  <c r="C96"/>
  <c r="D96"/>
  <c r="B97"/>
  <c r="C97"/>
  <c r="D97"/>
  <c r="B98"/>
  <c r="C98"/>
  <c r="D98"/>
  <c r="B99"/>
  <c r="C99"/>
  <c r="D99"/>
  <c r="B100"/>
  <c r="C100"/>
  <c r="D100"/>
  <c r="B101"/>
  <c r="C101"/>
  <c r="D101"/>
  <c r="B102"/>
  <c r="C102"/>
  <c r="D102"/>
  <c r="B103"/>
  <c r="C103"/>
  <c r="D103"/>
  <c r="B104"/>
  <c r="C104"/>
  <c r="D104"/>
  <c r="B105"/>
  <c r="C105"/>
  <c r="D105"/>
  <c r="B106"/>
  <c r="C106"/>
  <c r="D106"/>
  <c r="B107"/>
  <c r="C107"/>
  <c r="D107"/>
  <c r="B108"/>
  <c r="C108"/>
  <c r="D108"/>
  <c r="B109"/>
  <c r="C109"/>
  <c r="D109"/>
  <c r="B110"/>
  <c r="C110"/>
  <c r="D110"/>
  <c r="B111"/>
  <c r="C111"/>
  <c r="D111"/>
  <c r="B112"/>
  <c r="C112"/>
  <c r="D112"/>
  <c r="B113"/>
  <c r="C113"/>
  <c r="D113"/>
  <c r="B114"/>
  <c r="C114"/>
  <c r="D114"/>
  <c r="B115"/>
  <c r="C115"/>
  <c r="D115"/>
  <c r="B116"/>
  <c r="C116"/>
  <c r="D116"/>
  <c r="B117"/>
  <c r="C117"/>
  <c r="D117"/>
  <c r="B118"/>
  <c r="C118"/>
  <c r="D118"/>
  <c r="B119"/>
  <c r="C119"/>
  <c r="D119"/>
  <c r="B120"/>
  <c r="C120"/>
  <c r="D120"/>
  <c r="B121"/>
  <c r="C121"/>
  <c r="D121"/>
  <c r="B122"/>
  <c r="C122"/>
  <c r="D122"/>
  <c r="B123"/>
  <c r="C123"/>
  <c r="D123"/>
  <c r="B124"/>
  <c r="C124"/>
  <c r="D124"/>
  <c r="B125"/>
  <c r="C125"/>
  <c r="D125"/>
  <c r="B126"/>
  <c r="C126"/>
  <c r="D126"/>
  <c r="B127"/>
  <c r="C127"/>
  <c r="D127"/>
  <c r="B128"/>
  <c r="C128"/>
  <c r="D128"/>
  <c r="B129"/>
  <c r="C129"/>
  <c r="D129"/>
  <c r="B130"/>
  <c r="C130"/>
  <c r="D130"/>
  <c r="B131"/>
  <c r="C131"/>
  <c r="D131"/>
  <c r="B132"/>
  <c r="C132"/>
  <c r="D132"/>
  <c r="B133"/>
  <c r="C133"/>
  <c r="D133"/>
  <c r="B134"/>
  <c r="C134"/>
  <c r="D134"/>
  <c r="B135"/>
  <c r="C135"/>
  <c r="D135"/>
  <c r="B136"/>
  <c r="C136"/>
  <c r="D136"/>
  <c r="B137"/>
  <c r="C137"/>
  <c r="D137"/>
  <c r="B138"/>
  <c r="C138"/>
  <c r="D138"/>
  <c r="B139"/>
  <c r="C139"/>
  <c r="D139"/>
  <c r="B140"/>
  <c r="C140"/>
  <c r="D140"/>
  <c r="B141"/>
  <c r="C141"/>
  <c r="D141"/>
  <c r="B142"/>
  <c r="C142"/>
  <c r="D142"/>
  <c r="B143"/>
  <c r="C143"/>
  <c r="D143"/>
  <c r="B144"/>
  <c r="C144"/>
  <c r="D144"/>
  <c r="B145"/>
  <c r="C145"/>
  <c r="D145"/>
  <c r="B146"/>
  <c r="C146"/>
  <c r="D146"/>
  <c r="B147"/>
  <c r="C147"/>
  <c r="D147"/>
  <c r="B148"/>
  <c r="C148"/>
  <c r="D148"/>
  <c r="B149"/>
  <c r="C149"/>
  <c r="D149"/>
  <c r="B150"/>
  <c r="C150"/>
  <c r="D150"/>
  <c r="B151"/>
  <c r="C151"/>
  <c r="D151"/>
  <c r="B152"/>
  <c r="C152"/>
  <c r="D152"/>
  <c r="B153"/>
  <c r="C153"/>
  <c r="D153"/>
  <c r="B154"/>
  <c r="C154"/>
  <c r="D154"/>
  <c r="B155"/>
  <c r="C155"/>
  <c r="D155"/>
  <c r="B156"/>
  <c r="C156"/>
  <c r="D156"/>
  <c r="B157"/>
  <c r="C157"/>
  <c r="D157"/>
  <c r="B158"/>
  <c r="C158"/>
  <c r="D158"/>
  <c r="B159"/>
  <c r="C159"/>
  <c r="D159"/>
  <c r="B160"/>
  <c r="C160"/>
  <c r="D160"/>
  <c r="B161"/>
  <c r="C161"/>
  <c r="D161"/>
  <c r="B162"/>
  <c r="C162"/>
  <c r="D162"/>
  <c r="B163"/>
  <c r="C163"/>
  <c r="D163"/>
  <c r="B164"/>
  <c r="C164"/>
  <c r="D164"/>
  <c r="B165"/>
  <c r="C165"/>
  <c r="D165"/>
  <c r="B166"/>
  <c r="C166"/>
  <c r="D166"/>
  <c r="B167"/>
  <c r="C167"/>
  <c r="D167"/>
  <c r="B168"/>
  <c r="C168"/>
  <c r="D168"/>
  <c r="B169"/>
  <c r="C169"/>
  <c r="D169"/>
  <c r="B170"/>
  <c r="C170"/>
  <c r="D170"/>
  <c r="B171"/>
  <c r="C171"/>
  <c r="D171"/>
  <c r="B172"/>
  <c r="C172"/>
  <c r="D172"/>
  <c r="B173"/>
  <c r="C173"/>
  <c r="D173"/>
  <c r="B174"/>
  <c r="C174"/>
  <c r="D174"/>
  <c r="B175"/>
  <c r="C175"/>
  <c r="D175"/>
  <c r="B176"/>
  <c r="C176"/>
  <c r="D176"/>
  <c r="B177"/>
  <c r="C177"/>
  <c r="D177"/>
  <c r="B178"/>
  <c r="C178"/>
  <c r="D178"/>
  <c r="B179"/>
  <c r="C179"/>
  <c r="D179"/>
  <c r="B180"/>
  <c r="C180"/>
  <c r="D180"/>
  <c r="B181"/>
  <c r="C181"/>
  <c r="D181"/>
  <c r="B182"/>
  <c r="C182"/>
  <c r="D182"/>
  <c r="B183"/>
  <c r="C183"/>
  <c r="D183"/>
  <c r="B184"/>
  <c r="C184"/>
  <c r="D184"/>
  <c r="B185"/>
  <c r="C185"/>
  <c r="D185"/>
  <c r="B186"/>
  <c r="C186"/>
  <c r="D186"/>
  <c r="B187"/>
  <c r="C187"/>
  <c r="D187"/>
  <c r="B188"/>
  <c r="C188"/>
  <c r="D188"/>
  <c r="B189"/>
  <c r="C189"/>
  <c r="D189"/>
  <c r="B190"/>
  <c r="C190"/>
  <c r="D190"/>
  <c r="B191"/>
  <c r="C191"/>
  <c r="D191"/>
  <c r="B192"/>
  <c r="C192"/>
  <c r="D192"/>
  <c r="B193"/>
  <c r="C193"/>
  <c r="D193"/>
  <c r="B194"/>
  <c r="C194"/>
  <c r="D194"/>
  <c r="B195"/>
  <c r="C195"/>
  <c r="D195"/>
  <c r="B196"/>
  <c r="C196"/>
  <c r="D196"/>
  <c r="B197"/>
  <c r="C197"/>
  <c r="D197"/>
  <c r="B198"/>
  <c r="C198"/>
  <c r="D198"/>
  <c r="B199"/>
  <c r="C199"/>
  <c r="D199"/>
  <c r="B200"/>
  <c r="C200"/>
  <c r="D200"/>
  <c r="B201"/>
  <c r="C201"/>
  <c r="D201"/>
  <c r="B202"/>
  <c r="C202"/>
  <c r="D202"/>
  <c r="B203"/>
  <c r="C203"/>
  <c r="D203"/>
  <c r="B204"/>
  <c r="C204"/>
  <c r="D204"/>
  <c r="B205"/>
  <c r="C205"/>
  <c r="D205"/>
  <c r="B206"/>
  <c r="C206"/>
  <c r="D206"/>
  <c r="B207"/>
  <c r="C207"/>
  <c r="D207"/>
  <c r="B208"/>
  <c r="C208"/>
  <c r="D208"/>
  <c r="B209"/>
  <c r="C209"/>
  <c r="D209"/>
  <c r="B210"/>
  <c r="C210"/>
  <c r="D210"/>
  <c r="B211"/>
  <c r="C211"/>
  <c r="D211"/>
  <c r="B212"/>
  <c r="C212"/>
  <c r="D212"/>
  <c r="B213"/>
  <c r="C213"/>
  <c r="D213"/>
  <c r="B214"/>
  <c r="C214"/>
  <c r="D214"/>
  <c r="B215"/>
  <c r="C215"/>
  <c r="D215"/>
  <c r="B216"/>
  <c r="C216"/>
  <c r="D216"/>
  <c r="B217"/>
  <c r="C217"/>
  <c r="D217"/>
  <c r="B218"/>
  <c r="C218"/>
  <c r="D218"/>
  <c r="B219"/>
  <c r="C219"/>
  <c r="D219"/>
  <c r="B220"/>
  <c r="C220"/>
  <c r="D220"/>
  <c r="B221"/>
  <c r="C221"/>
  <c r="D221"/>
  <c r="B222"/>
  <c r="C222"/>
  <c r="D222"/>
  <c r="B223"/>
  <c r="C223"/>
  <c r="D223"/>
  <c r="B224"/>
  <c r="C224"/>
  <c r="D224"/>
  <c r="B225"/>
  <c r="C225"/>
  <c r="D225"/>
  <c r="B226"/>
  <c r="C226"/>
  <c r="D226"/>
  <c r="B227"/>
  <c r="C227"/>
  <c r="D227"/>
  <c r="B228"/>
  <c r="C228"/>
  <c r="D228"/>
  <c r="B229"/>
  <c r="C229"/>
  <c r="D229"/>
  <c r="B230"/>
  <c r="C230"/>
  <c r="D230"/>
  <c r="B231"/>
  <c r="C231"/>
  <c r="D231"/>
  <c r="B232"/>
  <c r="C232"/>
  <c r="D232"/>
  <c r="B233"/>
  <c r="C233"/>
  <c r="D233"/>
  <c r="B234"/>
  <c r="C234"/>
  <c r="D234"/>
  <c r="B235"/>
  <c r="C235"/>
  <c r="D235"/>
  <c r="B236"/>
  <c r="C236"/>
  <c r="D236"/>
  <c r="B237"/>
  <c r="C237"/>
  <c r="D237"/>
  <c r="B238"/>
  <c r="C238"/>
  <c r="D238"/>
  <c r="B239"/>
  <c r="C239"/>
  <c r="D239"/>
  <c r="B240"/>
  <c r="C240"/>
  <c r="D240"/>
  <c r="B241"/>
  <c r="C241"/>
  <c r="D241"/>
  <c r="B242"/>
  <c r="C242"/>
  <c r="D242"/>
  <c r="B243"/>
  <c r="C243"/>
  <c r="D243"/>
  <c r="B244"/>
  <c r="C244"/>
  <c r="D244"/>
  <c r="B245"/>
  <c r="C245"/>
  <c r="D245"/>
  <c r="B246"/>
  <c r="C246"/>
  <c r="D246"/>
  <c r="B247"/>
  <c r="C247"/>
  <c r="D247"/>
  <c r="B248"/>
  <c r="C248"/>
  <c r="D248"/>
  <c r="B249"/>
  <c r="C249"/>
  <c r="D249"/>
  <c r="B250"/>
  <c r="C250"/>
  <c r="D250"/>
  <c r="B251"/>
  <c r="C251"/>
  <c r="D251"/>
  <c r="B252"/>
  <c r="C252"/>
  <c r="D252"/>
  <c r="B253"/>
  <c r="C253"/>
  <c r="D253"/>
  <c r="B254"/>
  <c r="C254"/>
  <c r="D254"/>
  <c r="B255"/>
  <c r="C255"/>
  <c r="D255"/>
  <c r="B256"/>
  <c r="C256"/>
  <c r="D256"/>
  <c r="B257"/>
  <c r="C257"/>
  <c r="D257"/>
  <c r="B258"/>
  <c r="C258"/>
  <c r="D258"/>
  <c r="B259"/>
  <c r="C259"/>
  <c r="D259"/>
  <c r="B260"/>
  <c r="C260"/>
  <c r="D260"/>
  <c r="B261"/>
  <c r="C261"/>
  <c r="D261"/>
  <c r="B262"/>
  <c r="C262"/>
  <c r="D262"/>
  <c r="B263"/>
  <c r="C263"/>
  <c r="D263"/>
  <c r="B264"/>
  <c r="C264"/>
  <c r="D264"/>
  <c r="B265"/>
  <c r="C265"/>
  <c r="D265"/>
  <c r="B266"/>
  <c r="C266"/>
  <c r="D266"/>
  <c r="B267"/>
  <c r="C267"/>
  <c r="D267"/>
  <c r="B268"/>
  <c r="C268"/>
  <c r="D268"/>
  <c r="B269"/>
  <c r="C269"/>
  <c r="D269"/>
  <c r="B270"/>
  <c r="C270"/>
  <c r="D270"/>
  <c r="B271"/>
  <c r="C271"/>
  <c r="D271"/>
  <c r="B272"/>
  <c r="C272"/>
  <c r="D272"/>
  <c r="B273"/>
  <c r="C273"/>
  <c r="D273"/>
  <c r="B274"/>
  <c r="C274"/>
  <c r="D274"/>
  <c r="B275"/>
  <c r="C275"/>
  <c r="D275"/>
  <c r="B276"/>
  <c r="C276"/>
  <c r="D276"/>
  <c r="B277"/>
  <c r="C277"/>
  <c r="D277"/>
  <c r="B278"/>
  <c r="C278"/>
  <c r="D278"/>
  <c r="B279"/>
  <c r="C279"/>
  <c r="D279"/>
  <c r="B280"/>
  <c r="C280"/>
  <c r="D280"/>
  <c r="B281"/>
  <c r="C281"/>
  <c r="D281"/>
  <c r="B282"/>
  <c r="C282"/>
  <c r="D282"/>
  <c r="B283"/>
  <c r="C283"/>
  <c r="D283"/>
  <c r="B284"/>
  <c r="C284"/>
  <c r="D284"/>
  <c r="B285"/>
  <c r="C285"/>
  <c r="D285"/>
  <c r="B286"/>
  <c r="C286"/>
  <c r="D286"/>
  <c r="B287"/>
  <c r="C287"/>
  <c r="D287"/>
  <c r="B288"/>
  <c r="C288"/>
  <c r="D288"/>
  <c r="B289"/>
  <c r="C289"/>
  <c r="D289"/>
  <c r="B290"/>
  <c r="C290"/>
  <c r="D290"/>
  <c r="B291"/>
  <c r="C291"/>
  <c r="D291"/>
  <c r="B292"/>
  <c r="C292"/>
  <c r="D292"/>
  <c r="B293"/>
  <c r="C293"/>
  <c r="D293"/>
  <c r="B294"/>
  <c r="C294"/>
  <c r="D294"/>
  <c r="B295"/>
  <c r="C295"/>
  <c r="D295"/>
  <c r="B296"/>
  <c r="C296"/>
  <c r="D296"/>
  <c r="B297"/>
  <c r="C297"/>
  <c r="D297"/>
  <c r="B298"/>
  <c r="C298"/>
  <c r="D298"/>
  <c r="B299"/>
  <c r="C299"/>
  <c r="D299"/>
  <c r="B300"/>
  <c r="C300"/>
  <c r="D300"/>
  <c r="B301"/>
  <c r="C301"/>
  <c r="D301"/>
  <c r="B302"/>
  <c r="C302"/>
  <c r="D302"/>
  <c r="B303"/>
  <c r="C303"/>
  <c r="D303"/>
  <c r="B304"/>
  <c r="C304"/>
  <c r="D304"/>
  <c r="B305"/>
  <c r="C305"/>
  <c r="D305"/>
  <c r="B306"/>
  <c r="C306"/>
  <c r="D306"/>
  <c r="B307"/>
  <c r="C307"/>
  <c r="D307"/>
  <c r="B308"/>
  <c r="C308"/>
  <c r="D308"/>
  <c r="B309"/>
  <c r="C309"/>
  <c r="D309"/>
  <c r="B310"/>
  <c r="C310"/>
  <c r="D310"/>
  <c r="B311"/>
  <c r="C311"/>
  <c r="D311"/>
  <c r="B312"/>
  <c r="C312"/>
  <c r="D312"/>
  <c r="B313"/>
  <c r="C313"/>
  <c r="D313"/>
  <c r="B314"/>
  <c r="C314"/>
  <c r="D314"/>
  <c r="B315"/>
  <c r="C315"/>
  <c r="D315"/>
  <c r="B316"/>
  <c r="C316"/>
  <c r="D316"/>
  <c r="B317"/>
  <c r="C317"/>
  <c r="D317"/>
  <c r="B318"/>
  <c r="C318"/>
  <c r="D318"/>
  <c r="B319"/>
  <c r="C319"/>
  <c r="D319"/>
  <c r="B320"/>
  <c r="C320"/>
  <c r="D320"/>
  <c r="B321"/>
  <c r="C321"/>
  <c r="D321"/>
  <c r="B322"/>
  <c r="C322"/>
  <c r="D322"/>
  <c r="B323"/>
  <c r="C323"/>
  <c r="D323"/>
  <c r="B324"/>
  <c r="C324"/>
  <c r="D324"/>
  <c r="B325"/>
  <c r="C325"/>
  <c r="D325"/>
  <c r="B326"/>
  <c r="C326"/>
  <c r="D326"/>
  <c r="B327"/>
  <c r="C327"/>
  <c r="D327"/>
  <c r="B328"/>
  <c r="C328"/>
  <c r="D328"/>
  <c r="B329"/>
  <c r="C329"/>
  <c r="D329"/>
  <c r="B330"/>
  <c r="C330"/>
  <c r="D330"/>
  <c r="B331"/>
  <c r="C331"/>
  <c r="D331"/>
  <c r="B332"/>
  <c r="C332"/>
  <c r="D332"/>
  <c r="B333"/>
  <c r="C333"/>
  <c r="D333"/>
  <c r="B334"/>
  <c r="C334"/>
  <c r="D334"/>
  <c r="B335"/>
  <c r="C335"/>
  <c r="D335"/>
  <c r="B336"/>
  <c r="C336"/>
  <c r="D336"/>
  <c r="B337"/>
  <c r="C337"/>
  <c r="D337"/>
  <c r="B338"/>
  <c r="C338"/>
  <c r="D338"/>
  <c r="B339"/>
  <c r="C339"/>
  <c r="D339"/>
  <c r="B340"/>
  <c r="C340"/>
  <c r="D340"/>
  <c r="B341"/>
  <c r="C341"/>
  <c r="D341"/>
  <c r="B342"/>
  <c r="C342"/>
  <c r="D342"/>
  <c r="B343"/>
  <c r="C343"/>
  <c r="D343"/>
  <c r="B344"/>
  <c r="C344"/>
  <c r="D344"/>
  <c r="B345"/>
  <c r="C345"/>
  <c r="D345"/>
  <c r="B346"/>
  <c r="C346"/>
  <c r="D346"/>
  <c r="B347"/>
  <c r="C347"/>
  <c r="D347"/>
  <c r="B348"/>
  <c r="C348"/>
  <c r="D348"/>
  <c r="B349"/>
  <c r="C349"/>
  <c r="D349"/>
  <c r="B350"/>
  <c r="C350"/>
  <c r="D350"/>
  <c r="B351"/>
  <c r="C351"/>
  <c r="D351"/>
  <c r="B352"/>
  <c r="C352"/>
  <c r="D352"/>
  <c r="B353"/>
  <c r="C353"/>
  <c r="D353"/>
  <c r="B354"/>
  <c r="C354"/>
  <c r="D354"/>
  <c r="B355"/>
  <c r="C355"/>
  <c r="D355"/>
  <c r="B356"/>
  <c r="C356"/>
  <c r="D356"/>
  <c r="B357"/>
  <c r="C357"/>
  <c r="D357"/>
  <c r="B358"/>
  <c r="C358"/>
  <c r="D358"/>
  <c r="B359"/>
  <c r="C359"/>
  <c r="D359"/>
  <c r="B360"/>
  <c r="C360"/>
  <c r="D360"/>
  <c r="B361"/>
  <c r="C361"/>
  <c r="D361"/>
  <c r="B362"/>
  <c r="C362"/>
  <c r="D362"/>
  <c r="B363"/>
  <c r="C363"/>
  <c r="D363"/>
  <c r="B364"/>
  <c r="C364"/>
  <c r="D364"/>
  <c r="B365"/>
  <c r="C365"/>
  <c r="D365"/>
  <c r="B366"/>
  <c r="C366"/>
  <c r="D366"/>
  <c r="B367"/>
  <c r="C367"/>
  <c r="D367"/>
  <c r="B368"/>
  <c r="C368"/>
  <c r="D368"/>
  <c r="B369"/>
  <c r="C369"/>
  <c r="D369"/>
  <c r="B370"/>
  <c r="C370"/>
  <c r="D370"/>
  <c r="B371"/>
  <c r="C371"/>
  <c r="D371"/>
  <c r="B372"/>
  <c r="C372"/>
  <c r="D372"/>
  <c r="B373"/>
  <c r="C373"/>
  <c r="D373"/>
  <c r="B374"/>
  <c r="C374"/>
  <c r="D374"/>
  <c r="B375"/>
  <c r="C375"/>
  <c r="D375"/>
  <c r="B376"/>
  <c r="C376"/>
  <c r="D376"/>
  <c r="B377"/>
  <c r="C377"/>
  <c r="D377"/>
  <c r="B378"/>
  <c r="C378"/>
  <c r="D378"/>
  <c r="B379"/>
  <c r="C379"/>
  <c r="D379"/>
  <c r="B380"/>
  <c r="C380"/>
  <c r="D380"/>
  <c r="B381"/>
  <c r="C381"/>
  <c r="D381"/>
  <c r="B382"/>
  <c r="C382"/>
  <c r="D382"/>
  <c r="B383"/>
  <c r="C383"/>
  <c r="D383"/>
  <c r="B384"/>
  <c r="C384"/>
  <c r="D384"/>
  <c r="B385"/>
  <c r="C385"/>
  <c r="D385"/>
  <c r="B386"/>
  <c r="C386"/>
  <c r="D386"/>
  <c r="B387"/>
  <c r="C387"/>
  <c r="D387"/>
  <c r="B388"/>
  <c r="C388"/>
  <c r="D388"/>
  <c r="B389"/>
  <c r="C389"/>
  <c r="D389"/>
  <c r="B390"/>
  <c r="C390"/>
  <c r="D390"/>
  <c r="B391"/>
  <c r="C391"/>
  <c r="D391"/>
  <c r="B392"/>
  <c r="C392"/>
  <c r="D392"/>
  <c r="B393"/>
  <c r="C393"/>
  <c r="D393"/>
  <c r="B394"/>
  <c r="C394"/>
  <c r="D394"/>
  <c r="B395"/>
  <c r="C395"/>
  <c r="D395"/>
  <c r="B396"/>
  <c r="C396"/>
  <c r="D396"/>
  <c r="B397"/>
  <c r="C397"/>
  <c r="D397"/>
  <c r="B398"/>
  <c r="C398"/>
  <c r="D398"/>
  <c r="B399"/>
  <c r="C399"/>
  <c r="D399"/>
  <c r="B400"/>
  <c r="C400"/>
  <c r="D400"/>
  <c r="B401"/>
  <c r="C401"/>
  <c r="D401"/>
  <c r="B402"/>
  <c r="C402"/>
  <c r="D402"/>
  <c r="B403"/>
  <c r="C403"/>
  <c r="D403"/>
  <c r="B404"/>
  <c r="C404"/>
  <c r="D404"/>
  <c r="B405"/>
  <c r="C405"/>
  <c r="D405"/>
  <c r="B406"/>
  <c r="C406"/>
  <c r="D406"/>
  <c r="B407"/>
  <c r="C407"/>
  <c r="D407"/>
  <c r="B408"/>
  <c r="C408"/>
  <c r="D408"/>
  <c r="B409"/>
  <c r="C409"/>
  <c r="D409"/>
  <c r="B410"/>
  <c r="C410"/>
  <c r="D410"/>
  <c r="B411"/>
  <c r="C411"/>
  <c r="D411"/>
  <c r="B412"/>
  <c r="C412"/>
  <c r="D412"/>
  <c r="B413"/>
  <c r="C413"/>
  <c r="D413"/>
  <c r="B414"/>
  <c r="C414"/>
  <c r="D414"/>
  <c r="B415"/>
  <c r="C415"/>
  <c r="D415"/>
  <c r="B416"/>
  <c r="C416"/>
  <c r="D416"/>
  <c r="B417"/>
  <c r="C417"/>
  <c r="D417"/>
  <c r="B418"/>
  <c r="C418"/>
  <c r="D418"/>
  <c r="B419"/>
  <c r="C419"/>
  <c r="D419"/>
  <c r="B420"/>
  <c r="C420"/>
  <c r="D420"/>
  <c r="B421"/>
  <c r="C421"/>
  <c r="D421"/>
  <c r="B422"/>
  <c r="C422"/>
  <c r="D422"/>
  <c r="B423"/>
  <c r="C423"/>
  <c r="D423"/>
  <c r="B424"/>
  <c r="C424"/>
  <c r="D424"/>
  <c r="B425"/>
  <c r="C425"/>
  <c r="D425"/>
  <c r="B426"/>
  <c r="C426"/>
  <c r="D426"/>
  <c r="B427"/>
  <c r="C427"/>
  <c r="D427"/>
  <c r="B428"/>
  <c r="C428"/>
  <c r="D428"/>
  <c r="B429"/>
  <c r="C429"/>
  <c r="D429"/>
  <c r="B430"/>
  <c r="C430"/>
  <c r="D430"/>
  <c r="B431"/>
  <c r="C431"/>
  <c r="D431"/>
  <c r="B432"/>
  <c r="C432"/>
  <c r="D432"/>
  <c r="B433"/>
  <c r="C433"/>
  <c r="D433"/>
  <c r="B434"/>
  <c r="C434"/>
  <c r="D434"/>
  <c r="B435"/>
  <c r="C435"/>
  <c r="D435"/>
  <c r="B436"/>
  <c r="C436"/>
  <c r="D436"/>
  <c r="B437"/>
  <c r="C437"/>
  <c r="D437"/>
  <c r="B438"/>
  <c r="C438"/>
  <c r="D438"/>
  <c r="B439"/>
  <c r="C439"/>
  <c r="D439"/>
  <c r="B440"/>
  <c r="C440"/>
  <c r="D440"/>
  <c r="B441"/>
  <c r="C441"/>
  <c r="D441"/>
  <c r="B442"/>
  <c r="C442"/>
  <c r="D442"/>
  <c r="B443"/>
  <c r="C443"/>
  <c r="D443"/>
  <c r="B444"/>
  <c r="C444"/>
  <c r="D444"/>
  <c r="B445"/>
  <c r="C445"/>
  <c r="D445"/>
  <c r="B446"/>
  <c r="C446"/>
  <c r="D446"/>
  <c r="B447"/>
  <c r="C447"/>
  <c r="D447"/>
  <c r="B448"/>
  <c r="C448"/>
  <c r="D448"/>
  <c r="B449"/>
  <c r="C449"/>
  <c r="D449"/>
  <c r="B450"/>
  <c r="C450"/>
  <c r="D450"/>
  <c r="B451"/>
  <c r="C451"/>
  <c r="D451"/>
  <c r="B452"/>
  <c r="C452"/>
  <c r="D452"/>
  <c r="B453"/>
  <c r="C453"/>
  <c r="D453"/>
  <c r="B454"/>
  <c r="C454"/>
  <c r="D454"/>
  <c r="B455"/>
  <c r="C455"/>
  <c r="D455"/>
  <c r="B456"/>
  <c r="C456"/>
  <c r="D456"/>
  <c r="B457"/>
  <c r="C457"/>
  <c r="D457"/>
  <c r="B458"/>
  <c r="C458"/>
  <c r="D458"/>
  <c r="B459"/>
  <c r="C459"/>
  <c r="D459"/>
  <c r="B460"/>
  <c r="C460"/>
  <c r="D460"/>
  <c r="B461"/>
  <c r="C461"/>
  <c r="D461"/>
  <c r="B462"/>
  <c r="C462"/>
  <c r="D462"/>
  <c r="B463"/>
  <c r="C463"/>
  <c r="D463"/>
  <c r="B464"/>
  <c r="C464"/>
  <c r="D464"/>
  <c r="B465"/>
  <c r="C465"/>
  <c r="D465"/>
  <c r="B466"/>
  <c r="C466"/>
  <c r="D466"/>
  <c r="B467"/>
  <c r="C467"/>
  <c r="D467"/>
  <c r="B468"/>
  <c r="C468"/>
  <c r="D468"/>
  <c r="B469"/>
  <c r="C469"/>
  <c r="D469"/>
  <c r="B470"/>
  <c r="C470"/>
  <c r="D470"/>
  <c r="B471"/>
  <c r="C471"/>
  <c r="D471"/>
  <c r="B472"/>
  <c r="C472"/>
  <c r="D472"/>
  <c r="B473"/>
  <c r="C473"/>
  <c r="D473"/>
  <c r="B474"/>
  <c r="C474"/>
  <c r="D474"/>
  <c r="B475"/>
  <c r="C475"/>
  <c r="D475"/>
  <c r="B476"/>
  <c r="C476"/>
  <c r="D476"/>
  <c r="B477"/>
  <c r="C477"/>
  <c r="D477"/>
  <c r="B478"/>
  <c r="C478"/>
  <c r="D478"/>
  <c r="B479"/>
  <c r="C479"/>
  <c r="D479"/>
  <c r="B480"/>
  <c r="C480"/>
  <c r="D480"/>
  <c r="B481"/>
  <c r="C481"/>
  <c r="D481"/>
  <c r="B482"/>
  <c r="C482"/>
  <c r="D482"/>
  <c r="B483"/>
  <c r="C483"/>
  <c r="D483"/>
  <c r="B484"/>
  <c r="C484"/>
  <c r="D484"/>
  <c r="B485"/>
  <c r="C485"/>
  <c r="D485"/>
  <c r="B486"/>
  <c r="C486"/>
  <c r="D486"/>
  <c r="B487"/>
  <c r="C487"/>
  <c r="D487"/>
  <c r="B488"/>
  <c r="C488"/>
  <c r="D488"/>
  <c r="B489"/>
  <c r="C489"/>
  <c r="D489"/>
  <c r="B490"/>
  <c r="C490"/>
  <c r="D490"/>
  <c r="B491"/>
  <c r="C491"/>
  <c r="D491"/>
  <c r="B492"/>
  <c r="C492"/>
  <c r="D492"/>
  <c r="B493"/>
  <c r="C493"/>
  <c r="D493"/>
  <c r="B22" i="53" l="1"/>
  <c r="B22" i="52"/>
  <c r="C3" i="53"/>
  <c r="C3" i="52"/>
  <c r="C23" i="53"/>
  <c r="C23" i="52"/>
  <c r="C22" i="53"/>
  <c r="C22" i="52"/>
  <c r="C16" i="53"/>
  <c r="C16" i="52"/>
  <c r="C10" i="53"/>
  <c r="C10" i="52"/>
  <c r="U24" i="53"/>
  <c r="B4"/>
  <c r="B4" i="52"/>
  <c r="B12" i="53"/>
  <c r="B12" i="52"/>
  <c r="B15" i="53"/>
  <c r="B15" i="52"/>
  <c r="C11" i="53"/>
  <c r="C11" i="52"/>
  <c r="C15" i="53"/>
  <c r="C15" i="52"/>
  <c r="C13" i="53"/>
  <c r="C13" i="52"/>
  <c r="C4" i="53"/>
  <c r="C4" i="52"/>
  <c r="C12" i="53"/>
  <c r="C12" i="52"/>
  <c r="B9" i="53"/>
  <c r="B9" i="52"/>
  <c r="B8" i="53"/>
  <c r="B8" i="52"/>
  <c r="B7" i="53"/>
  <c r="B7" i="52"/>
  <c r="B6" i="53"/>
  <c r="B6" i="52"/>
  <c r="B2" i="53"/>
  <c r="B2" i="52"/>
  <c r="V588" i="37" a="1"/>
  <c r="V588" s="1"/>
  <c r="V588" i="40" s="1"/>
  <c r="W588" i="37" a="1"/>
  <c r="W588" s="1"/>
  <c r="W588" i="40" s="1"/>
  <c r="Y581" i="37" a="1"/>
  <c r="Y581" s="1"/>
  <c r="Y581" i="40" s="1"/>
  <c r="AA587" i="37" a="1"/>
  <c r="AA587" s="1"/>
  <c r="AA587" i="40" s="1"/>
  <c r="R582" i="37" a="1"/>
  <c r="R582" s="1"/>
  <c r="S589" a="1"/>
  <c r="S589" s="1"/>
  <c r="T588" a="1"/>
  <c r="T588" s="1"/>
  <c r="T588" i="40" s="1"/>
  <c r="X582" i="37" a="1"/>
  <c r="X582" s="1"/>
  <c r="X582" i="40" s="1"/>
  <c r="R581" i="37" a="1"/>
  <c r="R581" s="1"/>
  <c r="T589" a="1"/>
  <c r="T589" s="1"/>
  <c r="T589" i="40" s="1"/>
  <c r="T585" i="37" a="1"/>
  <c r="T585" s="1"/>
  <c r="T585" i="40" s="1"/>
  <c r="S584" i="37" a="1"/>
  <c r="S584" s="1"/>
  <c r="W583" a="1"/>
  <c r="W583" s="1"/>
  <c r="W583" i="40" s="1"/>
  <c r="X584" i="37" a="1"/>
  <c r="X584" s="1"/>
  <c r="X584" i="40" s="1"/>
  <c r="X589" i="37" a="1"/>
  <c r="X589" s="1"/>
  <c r="X589" i="40" s="1"/>
  <c r="Y606" i="37" a="1"/>
  <c r="Y606" s="1"/>
  <c r="Y606" i="40" s="1"/>
  <c r="Z587" i="37" a="1"/>
  <c r="Z587" s="1"/>
  <c r="Z587" i="40" s="1"/>
  <c r="Y603" i="37" a="1"/>
  <c r="Y603" s="1"/>
  <c r="Y603" i="40" s="1"/>
  <c r="X598" i="37" a="1"/>
  <c r="X598" s="1"/>
  <c r="X598" i="40" s="1"/>
  <c r="X611" i="37" a="1"/>
  <c r="X611" s="1"/>
  <c r="X611" i="40" s="1"/>
  <c r="Y609" i="37" a="1"/>
  <c r="Y609" s="1"/>
  <c r="Y609" i="40" s="1"/>
  <c r="V604" i="37" a="1"/>
  <c r="V604" s="1"/>
  <c r="V604" i="40" s="1"/>
  <c r="S594" i="37" a="1"/>
  <c r="S594" s="1"/>
  <c r="U597" a="1"/>
  <c r="U597" s="1"/>
  <c r="U597" i="40" s="1"/>
  <c r="R593" i="37" a="1"/>
  <c r="R593" s="1"/>
  <c r="Y586" a="1"/>
  <c r="Y586" s="1"/>
  <c r="Y586" i="40" s="1"/>
  <c r="AB582" i="37" a="1"/>
  <c r="AB582" s="1"/>
  <c r="AB582" i="40" s="1"/>
  <c r="Y583" i="37" a="1"/>
  <c r="Y583" s="1"/>
  <c r="Y583" i="40" s="1"/>
  <c r="X585" i="37" a="1"/>
  <c r="X585" s="1"/>
  <c r="X585" i="40" s="1"/>
  <c r="S583" i="37" a="1"/>
  <c r="S583" s="1"/>
  <c r="Z607" a="1"/>
  <c r="Z607" s="1"/>
  <c r="Z607" i="40" s="1"/>
  <c r="Z608" i="37" a="1"/>
  <c r="Z608" s="1"/>
  <c r="Z608" i="40" s="1"/>
  <c r="X596" i="37" a="1"/>
  <c r="X596" s="1"/>
  <c r="X596" i="40" s="1"/>
  <c r="Z604" i="37" a="1"/>
  <c r="Z604" s="1"/>
  <c r="Z604" i="40" s="1"/>
  <c r="U609" i="37" a="1"/>
  <c r="U609" s="1"/>
  <c r="U609" i="40" s="1"/>
  <c r="U591" i="37" a="1"/>
  <c r="U591" s="1"/>
  <c r="S605" a="1"/>
  <c r="S605" s="1"/>
  <c r="V610" a="1"/>
  <c r="V610" s="1"/>
  <c r="V610" i="40" s="1"/>
  <c r="U600" i="37" a="1"/>
  <c r="U600" s="1"/>
  <c r="U600" i="40" s="1"/>
  <c r="S580" i="37" a="1"/>
  <c r="S580" s="1"/>
  <c r="R580" a="1"/>
  <c r="R580" s="1"/>
  <c r="T581" a="1"/>
  <c r="T581" s="1"/>
  <c r="T581" i="40" s="1"/>
  <c r="R586" i="37" a="1"/>
  <c r="R586" s="1"/>
  <c r="X608" a="1"/>
  <c r="X608" s="1"/>
  <c r="X608" i="40" s="1"/>
  <c r="R591" i="37" a="1"/>
  <c r="R591" s="1"/>
  <c r="Z603" a="1"/>
  <c r="Z603" s="1"/>
  <c r="Z603" i="40" s="1"/>
  <c r="V582" i="37" a="1"/>
  <c r="V582" s="1"/>
  <c r="V582" i="40" s="1"/>
  <c r="AA596" i="37" a="1"/>
  <c r="AA596" s="1"/>
  <c r="AA596" i="40" s="1"/>
  <c r="X600" i="37" a="1"/>
  <c r="X600" s="1"/>
  <c r="X600" i="40" s="1"/>
  <c r="T587" i="37" a="1"/>
  <c r="T587" s="1"/>
  <c r="T587" i="40" s="1"/>
  <c r="U582" i="37" a="1"/>
  <c r="U582" s="1"/>
  <c r="U582" i="40" s="1"/>
  <c r="Y591" i="37" a="1"/>
  <c r="Y591" s="1"/>
  <c r="V589" a="1"/>
  <c r="V589" s="1"/>
  <c r="V589" i="40" s="1"/>
  <c r="X587" i="37" a="1"/>
  <c r="X587" s="1"/>
  <c r="X587" i="40" s="1"/>
  <c r="X592" i="37" a="1"/>
  <c r="X592" s="1"/>
  <c r="X592" i="40" s="1"/>
  <c r="Y592" i="37" a="1"/>
  <c r="Y592" s="1"/>
  <c r="Y592" i="40" s="1"/>
  <c r="Y610" i="37" a="1"/>
  <c r="Y610" s="1"/>
  <c r="Y610" i="40" s="1"/>
  <c r="AA605" i="37" a="1"/>
  <c r="AA605" s="1"/>
  <c r="AA605" i="40" s="1"/>
  <c r="AA594" i="37" a="1"/>
  <c r="AA594" s="1"/>
  <c r="AA594" i="40" s="1"/>
  <c r="Y597" i="37" a="1"/>
  <c r="Y597" s="1"/>
  <c r="Y597" i="40" s="1"/>
  <c r="AA593" i="37" a="1"/>
  <c r="AA593" s="1"/>
  <c r="AA593" i="40" s="1"/>
  <c r="S586" i="37" a="1"/>
  <c r="S586" s="1"/>
  <c r="Z582" a="1"/>
  <c r="Z582" s="1"/>
  <c r="Z582" i="40" s="1"/>
  <c r="R583" i="37" a="1"/>
  <c r="R583" s="1"/>
  <c r="Z585" a="1"/>
  <c r="Z585" s="1"/>
  <c r="Z585" i="40" s="1"/>
  <c r="X581" i="37" a="1"/>
  <c r="X581" s="1"/>
  <c r="X581" i="40" s="1"/>
  <c r="AA610" i="37" a="1"/>
  <c r="AA610" s="1"/>
  <c r="AA610" i="40" s="1"/>
  <c r="T595" i="37" a="1"/>
  <c r="T595" s="1"/>
  <c r="T595" i="40" s="1"/>
  <c r="T608" i="37" a="1"/>
  <c r="T608" s="1"/>
  <c r="T608" i="40" s="1"/>
  <c r="U596" i="37" a="1"/>
  <c r="U596" s="1"/>
  <c r="U596" i="40" s="1"/>
  <c r="AA604" i="37" a="1"/>
  <c r="AA604" s="1"/>
  <c r="AA604" i="40" s="1"/>
  <c r="T609" i="37" a="1"/>
  <c r="T609" s="1"/>
  <c r="T609" i="40" s="1"/>
  <c r="AB601" i="37" a="1"/>
  <c r="AB601" s="1"/>
  <c r="AB601" i="40" s="1"/>
  <c r="Z591" i="37" a="1"/>
  <c r="Z591" s="1"/>
  <c r="Z605" a="1"/>
  <c r="Z605" s="1"/>
  <c r="Z605" i="40" s="1"/>
  <c r="U610" i="37" a="1"/>
  <c r="U610" s="1"/>
  <c r="U610" i="40" s="1"/>
  <c r="Y600" i="37" a="1"/>
  <c r="Y600" s="1"/>
  <c r="Y600" i="40" s="1"/>
  <c r="T599" i="37" a="1"/>
  <c r="T599" s="1"/>
  <c r="T599" i="40" s="1"/>
  <c r="Y580" i="37" a="1"/>
  <c r="Y580" s="1"/>
  <c r="Y580" i="40" s="1"/>
  <c r="V585" i="37" a="1"/>
  <c r="V585" s="1"/>
  <c r="V585" i="40" s="1"/>
  <c r="W586" i="37" a="1"/>
  <c r="W586" s="1"/>
  <c r="W586" i="40" s="1"/>
  <c r="AB587" i="37" a="1"/>
  <c r="AB587" s="1"/>
  <c r="AB587" i="40" s="1"/>
  <c r="U589" i="37" a="1"/>
  <c r="U589" s="1"/>
  <c r="U589" i="40" s="1"/>
  <c r="Z606" i="37" a="1"/>
  <c r="Z606" s="1"/>
  <c r="Z606" i="40" s="1"/>
  <c r="V587" i="37" a="1"/>
  <c r="V587" s="1"/>
  <c r="V587" i="40" s="1"/>
  <c r="X603" i="37" a="1"/>
  <c r="X603" s="1"/>
  <c r="X603" i="40" s="1"/>
  <c r="V583" i="37" a="1"/>
  <c r="V583" s="1"/>
  <c r="V583" i="40" s="1"/>
  <c r="U605" i="37" a="1"/>
  <c r="U605" s="1"/>
  <c r="U605" i="40" s="1"/>
  <c r="Y602" i="37" a="1"/>
  <c r="Y602" s="1"/>
  <c r="Y602" i="40" s="1"/>
  <c r="S591" i="37" a="1"/>
  <c r="S591" s="1"/>
  <c r="X597" a="1"/>
  <c r="X597" s="1"/>
  <c r="X597" i="40" s="1"/>
  <c r="X593" i="37" a="1"/>
  <c r="X593" s="1"/>
  <c r="X593" i="40" s="1"/>
  <c r="Z586" i="37" a="1"/>
  <c r="Z586" s="1"/>
  <c r="Z586" i="40" s="1"/>
  <c r="X583" i="37" a="1"/>
  <c r="X583" s="1"/>
  <c r="X583" i="40" s="1"/>
  <c r="Y607" i="37" a="1"/>
  <c r="Y607" s="1"/>
  <c r="Y607" i="40" s="1"/>
  <c r="X595" i="37" a="1"/>
  <c r="X595" s="1"/>
  <c r="X595" i="40" s="1"/>
  <c r="AB608" i="37" a="1"/>
  <c r="AB608" s="1"/>
  <c r="AB608" i="40" s="1"/>
  <c r="Y596" i="37" a="1"/>
  <c r="Y596" s="1"/>
  <c r="Y596" i="40" s="1"/>
  <c r="X604" i="37" a="1"/>
  <c r="X604" s="1"/>
  <c r="X604" i="40" s="1"/>
  <c r="X609" i="37" a="1"/>
  <c r="X609" s="1"/>
  <c r="X609" i="40" s="1"/>
  <c r="Y601" i="37" a="1"/>
  <c r="Y601" s="1"/>
  <c r="Y601" i="40" s="1"/>
  <c r="U588" i="37" a="1"/>
  <c r="U588" s="1"/>
  <c r="U588" i="40" s="1"/>
  <c r="Z610" i="37" a="1"/>
  <c r="Z610" s="1"/>
  <c r="Z610" i="40" s="1"/>
  <c r="AB611" i="37" a="1"/>
  <c r="AB611" s="1"/>
  <c r="AB611" i="40" s="1"/>
  <c r="X599" i="37" a="1"/>
  <c r="X599" s="1"/>
  <c r="X599" i="40" s="1"/>
  <c r="U580" i="37" a="1"/>
  <c r="U580" s="1"/>
  <c r="U580" i="40" s="1"/>
  <c r="W580" i="37" a="1"/>
  <c r="W580" s="1"/>
  <c r="W580" i="40" s="1"/>
  <c r="AA597" i="37" a="1"/>
  <c r="AA597" s="1"/>
  <c r="AA597" i="40" s="1"/>
  <c r="AB585" i="37" a="1"/>
  <c r="AB585" s="1"/>
  <c r="AB585" i="40" s="1"/>
  <c r="R601" i="37" a="1"/>
  <c r="R601" s="1"/>
  <c r="AA606" a="1"/>
  <c r="AA606" s="1"/>
  <c r="AA606" i="40" s="1"/>
  <c r="X590" i="37" a="1"/>
  <c r="X590" s="1"/>
  <c r="X590" i="40" s="1"/>
  <c r="U608" i="37" a="1"/>
  <c r="U608" s="1"/>
  <c r="U608" i="40" s="1"/>
  <c r="AA602" i="37" a="1"/>
  <c r="AA602" s="1"/>
  <c r="AA602" i="40" s="1"/>
  <c r="Z584" i="37" a="1"/>
  <c r="Z584" s="1"/>
  <c r="Z584" i="40" s="1"/>
  <c r="AB584" i="37" a="1"/>
  <c r="AB584" s="1"/>
  <c r="AB584" i="40" s="1"/>
  <c r="U585" i="37" a="1"/>
  <c r="U585" s="1"/>
  <c r="U585" i="40" s="1"/>
  <c r="T586" i="37" a="1"/>
  <c r="T586" s="1"/>
  <c r="T586" i="40" s="1"/>
  <c r="AB588" i="37" a="1"/>
  <c r="AB588" s="1"/>
  <c r="AB588" i="40" s="1"/>
  <c r="AA600" i="37" a="1"/>
  <c r="AA600" s="1"/>
  <c r="AA600" i="40" s="1"/>
  <c r="Y587" i="37" a="1"/>
  <c r="Y587" s="1"/>
  <c r="Y587" i="40" s="1"/>
  <c r="AB603" i="37" a="1"/>
  <c r="AB603" s="1"/>
  <c r="AB603" i="40" s="1"/>
  <c r="S582" i="37" a="1"/>
  <c r="S582" s="1"/>
  <c r="AA592" a="1"/>
  <c r="AA592" s="1"/>
  <c r="AA592" i="40" s="1"/>
  <c r="U581" i="37" a="1"/>
  <c r="U581" s="1"/>
  <c r="U581" i="40" s="1"/>
  <c r="S581" i="37" a="1"/>
  <c r="S581" s="1"/>
  <c r="AA589" a="1"/>
  <c r="AA589" s="1"/>
  <c r="AA589" i="40" s="1"/>
  <c r="AB594" i="37" a="1"/>
  <c r="AB594" s="1"/>
  <c r="AB594" i="40" s="1"/>
  <c r="AB592" i="37" a="1"/>
  <c r="AB592" s="1"/>
  <c r="AB592" i="40" s="1"/>
  <c r="R603" i="37" a="1"/>
  <c r="R603" s="1"/>
  <c r="T582" a="1"/>
  <c r="T582" s="1"/>
  <c r="T582" i="40" s="1"/>
  <c r="U583" i="37" a="1"/>
  <c r="U583" s="1"/>
  <c r="U583" i="40" s="1"/>
  <c r="Y585" i="37" a="1"/>
  <c r="Y585" s="1"/>
  <c r="Y585" i="40" s="1"/>
  <c r="W587" i="37" a="1"/>
  <c r="W587" s="1"/>
  <c r="W587" i="40" s="1"/>
  <c r="Y595" i="37" a="1"/>
  <c r="Y595" s="1"/>
  <c r="Y595" i="40" s="1"/>
  <c r="AB595" i="37" a="1"/>
  <c r="AB595" s="1"/>
  <c r="AB595" i="40" s="1"/>
  <c r="AA584" i="37" a="1"/>
  <c r="AA584" s="1"/>
  <c r="AA584" i="40" s="1"/>
  <c r="U604" i="37" a="1"/>
  <c r="U604" s="1"/>
  <c r="U604" i="40" s="1"/>
  <c r="U601" i="37" a="1"/>
  <c r="U601" s="1"/>
  <c r="U601" i="40" s="1"/>
  <c r="Z588" i="37" a="1"/>
  <c r="Z588" s="1"/>
  <c r="Z588" i="40" s="1"/>
  <c r="Y605" i="37" a="1"/>
  <c r="Y605" s="1"/>
  <c r="Y605" i="40" s="1"/>
  <c r="AB610" i="37" a="1"/>
  <c r="AB610" s="1"/>
  <c r="AB610" i="40" s="1"/>
  <c r="U602" i="37" a="1"/>
  <c r="U602" s="1"/>
  <c r="U602" i="40" s="1"/>
  <c r="AB599" i="37" a="1"/>
  <c r="AB599" s="1"/>
  <c r="AB599" i="40" s="1"/>
  <c r="AA580" i="37" a="1"/>
  <c r="AA580" s="1"/>
  <c r="AA580" i="40" s="1"/>
  <c r="T605" i="37" a="1"/>
  <c r="T605" s="1"/>
  <c r="T605" i="40" s="1"/>
  <c r="Z602" i="37" a="1"/>
  <c r="Z602" s="1"/>
  <c r="Z602" i="40" s="1"/>
  <c r="T584" i="37" a="1"/>
  <c r="T584" s="1"/>
  <c r="X580" a="1"/>
  <c r="X580" s="1"/>
  <c r="X580" i="40" s="1"/>
  <c r="V581" i="37" a="1"/>
  <c r="V581" s="1"/>
  <c r="V581" i="40" s="1"/>
  <c r="AA595" i="37" a="1"/>
  <c r="AA595" s="1"/>
  <c r="AA595" i="40" s="1"/>
  <c r="X610" i="37" a="1"/>
  <c r="X610" s="1"/>
  <c r="X610" i="40" s="1"/>
  <c r="Y593" i="37" a="1"/>
  <c r="Y593" s="1"/>
  <c r="Y593" i="40" s="1"/>
  <c r="W584" i="37" a="1"/>
  <c r="W584" s="1"/>
  <c r="W584" i="40" s="1"/>
  <c r="V584" i="37" a="1"/>
  <c r="V584" s="1"/>
  <c r="V584" i="40" s="1"/>
  <c r="X594" i="37" a="1"/>
  <c r="X594" s="1"/>
  <c r="X594" i="40" s="1"/>
  <c r="S588" i="37" a="1"/>
  <c r="S588" s="1"/>
  <c r="Z589" a="1"/>
  <c r="Z589" s="1"/>
  <c r="Z589" i="40" s="1"/>
  <c r="AB583" i="37" a="1"/>
  <c r="AB583" s="1"/>
  <c r="AB583" i="40" s="1"/>
  <c r="R599" i="37" a="1"/>
  <c r="R599" s="1"/>
  <c r="AA581" a="1"/>
  <c r="AA581" s="1"/>
  <c r="AA581" i="40" s="1"/>
  <c r="U592" i="37" a="1"/>
  <c r="U592" s="1"/>
  <c r="U592" i="40" s="1"/>
  <c r="T611" i="37" a="1"/>
  <c r="T611" s="1"/>
  <c r="T611" i="40" s="1"/>
  <c r="Z581" i="37" a="1"/>
  <c r="Z581" s="1"/>
  <c r="Z581" i="40" s="1"/>
  <c r="U587" i="37" a="1"/>
  <c r="U587" s="1"/>
  <c r="U587" i="40" s="1"/>
  <c r="U594" i="37" a="1"/>
  <c r="U594" s="1"/>
  <c r="U594" i="40" s="1"/>
  <c r="V600" i="37" a="1"/>
  <c r="V600" s="1"/>
  <c r="V600" i="40" s="1"/>
  <c r="T592" i="37" a="1"/>
  <c r="T592" s="1"/>
  <c r="T592" i="40" s="1"/>
  <c r="Y582" i="37" a="1"/>
  <c r="Y582" s="1"/>
  <c r="Y582" i="40" s="1"/>
  <c r="Z583" i="37" a="1"/>
  <c r="Z583" s="1"/>
  <c r="Z583" i="40" s="1"/>
  <c r="W582" i="37" a="1"/>
  <c r="W582" s="1"/>
  <c r="W582" i="40" s="1"/>
  <c r="X586" i="37" a="1"/>
  <c r="X586" s="1"/>
  <c r="X586" i="40" s="1"/>
  <c r="U607" i="37" a="1"/>
  <c r="U607" s="1"/>
  <c r="U607" i="40" s="1"/>
  <c r="AA590" i="37" a="1"/>
  <c r="AA590" s="1"/>
  <c r="AA590" i="40" s="1"/>
  <c r="V608" i="37" a="1"/>
  <c r="V608" s="1"/>
  <c r="V608" i="40" s="1"/>
  <c r="U584" i="37" a="1"/>
  <c r="U584" s="1"/>
  <c r="U584" i="40" s="1"/>
  <c r="Y604" i="37" a="1"/>
  <c r="Y604" s="1"/>
  <c r="Y604" i="40" s="1"/>
  <c r="R609" i="37" a="1"/>
  <c r="R609" s="1"/>
  <c r="AA601" a="1"/>
  <c r="AA601" s="1"/>
  <c r="AA601" i="40" s="1"/>
  <c r="Y588" i="37" a="1"/>
  <c r="Y588" s="1"/>
  <c r="Y588" i="40" s="1"/>
  <c r="AB605" i="37" a="1"/>
  <c r="AB605" s="1"/>
  <c r="AB605" i="40" s="1"/>
  <c r="Y598" i="37" a="1"/>
  <c r="Y598" s="1"/>
  <c r="Y598" i="40" s="1"/>
  <c r="X602" i="37" a="1"/>
  <c r="X602" s="1"/>
  <c r="X602" i="40" s="1"/>
  <c r="AB602" i="37" a="1"/>
  <c r="AB602" s="1"/>
  <c r="AB602" i="40" s="1"/>
  <c r="R608" i="37" a="1"/>
  <c r="R608" s="1"/>
  <c r="Y594" a="1"/>
  <c r="Y594" s="1"/>
  <c r="Y594" i="40" s="1"/>
  <c r="S585" i="37" a="1"/>
  <c r="S585" s="1"/>
  <c r="AA609" a="1"/>
  <c r="AA609" s="1"/>
  <c r="AA609" i="40" s="1"/>
  <c r="Y599" i="37" a="1"/>
  <c r="Y599" s="1"/>
  <c r="Y599" i="40" s="1"/>
  <c r="AA608" i="37" a="1"/>
  <c r="AA608" s="1"/>
  <c r="AA608" i="40" s="1"/>
  <c r="X607" i="37" a="1"/>
  <c r="X607" s="1"/>
  <c r="X607" i="40" s="1"/>
  <c r="AA598" i="37" a="1"/>
  <c r="AA598" s="1"/>
  <c r="AA598" i="40" s="1"/>
  <c r="X605" i="37" a="1"/>
  <c r="X605" s="1"/>
  <c r="X605" i="40" s="1"/>
  <c r="AA607" i="37" a="1"/>
  <c r="AA607" s="1"/>
  <c r="AA607" i="40" s="1"/>
  <c r="X588" i="37" a="1"/>
  <c r="X588" s="1"/>
  <c r="X588" i="40" s="1"/>
  <c r="W589" i="37" a="1"/>
  <c r="W589" s="1"/>
  <c r="S596" a="1"/>
  <c r="S596" s="1"/>
  <c r="AA603" a="1"/>
  <c r="AA603" s="1"/>
  <c r="AA603" i="40" s="1"/>
  <c r="AA582" i="37" a="1"/>
  <c r="AA582" s="1"/>
  <c r="AA582" i="40" s="1"/>
  <c r="Y611" i="37" a="1"/>
  <c r="Y611" s="1"/>
  <c r="Y611" i="40" s="1"/>
  <c r="AB591" i="37" a="1"/>
  <c r="AB591" s="1"/>
  <c r="W585" a="1"/>
  <c r="W585" s="1"/>
  <c r="W585" i="40" s="1"/>
  <c r="R594" i="37" a="1"/>
  <c r="R594" s="1"/>
  <c r="Z599" a="1"/>
  <c r="Z599" s="1"/>
  <c r="Z599" i="40" s="1"/>
  <c r="Y590" i="37" a="1"/>
  <c r="Y590" s="1"/>
  <c r="Y590" i="40" s="1"/>
  <c r="AB586" i="37" a="1"/>
  <c r="AB586" s="1"/>
  <c r="AB586" i="40" s="1"/>
  <c r="W581" i="37" a="1"/>
  <c r="W581" s="1"/>
  <c r="W581" i="40" s="1"/>
  <c r="AA585" i="37" a="1"/>
  <c r="AA585" s="1"/>
  <c r="AA585" i="40" s="1"/>
  <c r="AA586" i="37" a="1"/>
  <c r="AA586" s="1"/>
  <c r="AA586" i="40" s="1"/>
  <c r="V607" i="37" a="1"/>
  <c r="V607" s="1"/>
  <c r="V607" i="40" s="1"/>
  <c r="Z590" i="37" a="1"/>
  <c r="Z590" s="1"/>
  <c r="Z590" i="40" s="1"/>
  <c r="Y608" i="37" a="1"/>
  <c r="Y608" s="1"/>
  <c r="Y608" i="40" s="1"/>
  <c r="AB596" i="37" a="1"/>
  <c r="AB596" s="1"/>
  <c r="AB596" i="40" s="1"/>
  <c r="Z609" i="37" a="1"/>
  <c r="Z609" s="1"/>
  <c r="Z609" i="40" s="1"/>
  <c r="X601" i="37" a="1"/>
  <c r="X601" s="1"/>
  <c r="X601" i="40" s="1"/>
  <c r="V586" i="37" a="1"/>
  <c r="V586" s="1"/>
  <c r="V586" i="40" s="1"/>
  <c r="R605" i="37" a="1"/>
  <c r="R605" s="1"/>
  <c r="Z598" a="1"/>
  <c r="Z598" s="1"/>
  <c r="Z598" i="40" s="1"/>
  <c r="T602" i="37" a="1"/>
  <c r="T602" s="1"/>
  <c r="T602" i="40" s="1"/>
  <c r="Z600" i="37" a="1"/>
  <c r="Z600" s="1"/>
  <c r="Z600" i="40" s="1"/>
  <c r="AB609" i="37" a="1"/>
  <c r="AB609" s="1"/>
  <c r="AB609" i="40" s="1"/>
  <c r="AB580" i="37" a="1"/>
  <c r="AB580" s="1"/>
  <c r="AB580" i="40" s="1"/>
  <c r="AB581" i="37" a="1"/>
  <c r="AB581" s="1"/>
  <c r="AB581" i="40" s="1"/>
  <c r="AA599" i="37" a="1"/>
  <c r="AA599" s="1"/>
  <c r="AA599" i="40" s="1"/>
  <c r="AB607" i="37" a="1"/>
  <c r="AB607" s="1"/>
  <c r="AB607" i="40" s="1"/>
  <c r="U586" i="37" a="1"/>
  <c r="U586" s="1"/>
  <c r="U586" i="40" s="1"/>
  <c r="S587" i="37" a="1"/>
  <c r="S587" s="1"/>
  <c r="R592" a="1"/>
  <c r="R592" s="1"/>
  <c r="AB604" a="1"/>
  <c r="AB604" s="1"/>
  <c r="AB604" i="40" s="1"/>
  <c r="S599" i="37" a="1"/>
  <c r="S599" s="1"/>
  <c r="R584" a="1"/>
  <c r="R584" s="1"/>
  <c r="Z580" a="1"/>
  <c r="Z580" s="1"/>
  <c r="Z580" i="40" s="1"/>
  <c r="X591" i="37" a="1"/>
  <c r="X591" s="1"/>
  <c r="R587" a="1"/>
  <c r="R587" s="1"/>
  <c r="U603" a="1"/>
  <c r="U603" s="1"/>
  <c r="U603" i="40" s="1"/>
  <c r="Y584" i="37" a="1"/>
  <c r="Y584" s="1"/>
  <c r="Y584" i="40" s="1"/>
  <c r="T583" i="37" a="1"/>
  <c r="T583" s="1"/>
  <c r="T583" i="40" s="1"/>
  <c r="Z596" i="37" a="1"/>
  <c r="Z596" s="1"/>
  <c r="Z596" i="40" s="1"/>
  <c r="T600" i="37" a="1"/>
  <c r="T600" s="1"/>
  <c r="T600" i="40" s="1"/>
  <c r="AA611" i="37" a="1"/>
  <c r="AA611" s="1"/>
  <c r="AA611" i="40" s="1"/>
  <c r="AA583" i="37" a="1"/>
  <c r="AA583" s="1"/>
  <c r="AA583" i="40" s="1"/>
  <c r="AA591" i="37" a="1"/>
  <c r="AA591" s="1"/>
  <c r="T580" a="1"/>
  <c r="T580" s="1"/>
  <c r="T580" i="40" s="1"/>
  <c r="Y589" i="37" a="1"/>
  <c r="Y589" s="1"/>
  <c r="Y589" i="40" s="1"/>
  <c r="AA588" i="37" a="1"/>
  <c r="AA588" s="1"/>
  <c r="AA588" i="40" s="1"/>
  <c r="AB589" i="37" a="1"/>
  <c r="AB589" s="1"/>
  <c r="AB589" i="40" s="1"/>
  <c r="R588" i="37" a="1"/>
  <c r="R588" s="1"/>
  <c r="R589" a="1"/>
  <c r="R589" s="1"/>
  <c r="X606" a="1"/>
  <c r="X606" s="1"/>
  <c r="X606" i="40" s="1"/>
  <c r="R585" i="37" a="1"/>
  <c r="R585" s="1"/>
  <c r="Z601" a="1"/>
  <c r="Z601" s="1"/>
  <c r="Z601" i="40" s="1"/>
  <c r="V580" i="37" a="1"/>
  <c r="V580" s="1"/>
  <c r="V580" i="40" s="1"/>
  <c r="AB606" i="37" a="1"/>
  <c r="AB606" s="1"/>
  <c r="AB606" i="40" s="1"/>
  <c r="W590" i="37" a="1"/>
  <c r="W590" s="1"/>
  <c r="W590" i="40" s="1"/>
  <c r="V591" i="37" a="1"/>
  <c r="V591" s="1"/>
  <c r="W606" a="1"/>
  <c r="W606" s="1"/>
  <c r="W606" i="40" s="1"/>
  <c r="T604" i="37" a="1"/>
  <c r="T604" s="1"/>
  <c r="T604" i="40" s="1"/>
  <c r="AB597" i="37" a="1"/>
  <c r="AB597" s="1"/>
  <c r="AB597" i="40" s="1"/>
  <c r="R597" i="37" a="1"/>
  <c r="R597" s="1"/>
  <c r="U599" a="1"/>
  <c r="U599" s="1"/>
  <c r="V590" a="1"/>
  <c r="V590" s="1"/>
  <c r="V590" i="40" s="1"/>
  <c r="AB590" i="37" a="1"/>
  <c r="AB590" s="1"/>
  <c r="AB590" i="40" s="1"/>
  <c r="S595" i="37" a="1"/>
  <c r="S595" s="1"/>
  <c r="W597" a="1"/>
  <c r="W597" s="1"/>
  <c r="W597" i="40" s="1"/>
  <c r="W593" i="37" a="1"/>
  <c r="W593" s="1"/>
  <c r="W593" i="40" s="1"/>
  <c r="AB598" i="37" a="1"/>
  <c r="AB598" s="1"/>
  <c r="AB598" i="40" s="1"/>
  <c r="AB593" i="37" a="1"/>
  <c r="AB593" s="1"/>
  <c r="AB593" i="40" s="1"/>
  <c r="V592" i="37" a="1"/>
  <c r="V592" s="1"/>
  <c r="V592" i="40" s="1"/>
  <c r="S598" i="37" a="1"/>
  <c r="S598" s="1"/>
  <c r="R607" a="1"/>
  <c r="R607" s="1"/>
  <c r="S597" a="1"/>
  <c r="S597" s="1"/>
  <c r="U606" a="1"/>
  <c r="U606" s="1"/>
  <c r="U606" i="40" s="1"/>
  <c r="S604" i="37" a="1"/>
  <c r="S604" s="1"/>
  <c r="S607" a="1"/>
  <c r="S607" s="1"/>
  <c r="R595" a="1"/>
  <c r="R595" s="1"/>
  <c r="U611" a="1"/>
  <c r="U611" s="1"/>
  <c r="U611" i="40" s="1"/>
  <c r="R590" i="37" a="1"/>
  <c r="R590" s="1"/>
  <c r="Z592" a="1"/>
  <c r="Z592" s="1"/>
  <c r="Z592" i="40" s="1"/>
  <c r="W601" i="37" a="1"/>
  <c r="W601" s="1"/>
  <c r="W601" i="40" s="1"/>
  <c r="W591" i="37" a="1"/>
  <c r="W591" s="1"/>
  <c r="V611" a="1"/>
  <c r="V611" s="1"/>
  <c r="V611" i="40" s="1"/>
  <c r="S600" i="37" a="1"/>
  <c r="S600" s="1"/>
  <c r="S608" a="1"/>
  <c r="S608" s="1"/>
  <c r="W603" a="1"/>
  <c r="W603" s="1"/>
  <c r="W603" i="40" s="1"/>
  <c r="W608" i="37" a="1"/>
  <c r="W608" s="1"/>
  <c r="W596" a="1"/>
  <c r="W596" s="1"/>
  <c r="S609" a="1"/>
  <c r="S609" s="1"/>
  <c r="Z597" a="1"/>
  <c r="Z597" s="1"/>
  <c r="Z597" i="40" s="1"/>
  <c r="Z593" i="37" a="1"/>
  <c r="Z593" s="1"/>
  <c r="Z593" i="40" s="1"/>
  <c r="AB600" i="37" a="1"/>
  <c r="AB600" s="1"/>
  <c r="AB600" i="40" s="1"/>
  <c r="W604" i="37" a="1"/>
  <c r="W604" s="1"/>
  <c r="W604" i="40" s="1"/>
  <c r="S611" i="37" a="1"/>
  <c r="S611" s="1"/>
  <c r="V609" a="1"/>
  <c r="V609" s="1"/>
  <c r="V609" i="40" s="1"/>
  <c r="T591" i="37" a="1"/>
  <c r="T591" s="1"/>
  <c r="T596" a="1"/>
  <c r="T596" s="1"/>
  <c r="T596" i="40" s="1"/>
  <c r="S590" i="37" a="1"/>
  <c r="S590" s="1"/>
  <c r="R596" a="1"/>
  <c r="R596" s="1"/>
  <c r="U590" a="1"/>
  <c r="U590" s="1"/>
  <c r="U590" i="40" s="1"/>
  <c r="S610" i="37" a="1"/>
  <c r="S610" s="1"/>
  <c r="Z595" a="1"/>
  <c r="Z595" s="1"/>
  <c r="Z595" i="40" s="1"/>
  <c r="S601" i="37" a="1"/>
  <c r="S601" s="1"/>
  <c r="V595" a="1"/>
  <c r="V595" s="1"/>
  <c r="V595" i="40" s="1"/>
  <c r="V606" i="37" a="1"/>
  <c r="V606" s="1"/>
  <c r="V606" i="40" s="1"/>
  <c r="T603" i="37" a="1"/>
  <c r="T603" s="1"/>
  <c r="T603" i="40" s="1"/>
  <c r="W605" i="37" a="1"/>
  <c r="W605" s="1"/>
  <c r="W600" a="1"/>
  <c r="W600" s="1"/>
  <c r="W600" i="40" s="1"/>
  <c r="V599" i="37" a="1"/>
  <c r="V599" s="1"/>
  <c r="V599" i="40" s="1"/>
  <c r="R604" i="37" a="1"/>
  <c r="R604" s="1"/>
  <c r="S592" a="1"/>
  <c r="S592" s="1"/>
  <c r="V602" a="1"/>
  <c r="V602" s="1"/>
  <c r="V602" i="40" s="1"/>
  <c r="V597" i="37" a="1"/>
  <c r="V597" s="1"/>
  <c r="V597" i="40" s="1"/>
  <c r="Z594" i="37" a="1"/>
  <c r="Z594" s="1"/>
  <c r="Z594" i="40" s="1"/>
  <c r="V605" i="37" a="1"/>
  <c r="V605" s="1"/>
  <c r="W595" a="1"/>
  <c r="W595" s="1"/>
  <c r="W595" i="40" s="1"/>
  <c r="U598" i="37" a="1"/>
  <c r="U598" s="1"/>
  <c r="U598" i="40" s="1"/>
  <c r="R611" i="37" a="1"/>
  <c r="R611" s="1"/>
  <c r="W592" a="1"/>
  <c r="W592" s="1"/>
  <c r="W602" a="1"/>
  <c r="W602" s="1"/>
  <c r="W602" i="40" s="1"/>
  <c r="T598" i="37" a="1"/>
  <c r="T598" s="1"/>
  <c r="T598" i="40" s="1"/>
  <c r="T601" i="37" a="1"/>
  <c r="T601" s="1"/>
  <c r="T601" i="40" s="1"/>
  <c r="T606" i="37" a="1"/>
  <c r="T606" s="1"/>
  <c r="T606" i="40" s="1"/>
  <c r="V601" i="37" a="1"/>
  <c r="V601" s="1"/>
  <c r="V601" i="40" s="1"/>
  <c r="R610" i="37" a="1"/>
  <c r="R610" s="1"/>
  <c r="Z611" a="1"/>
  <c r="Z611" s="1"/>
  <c r="Z611" i="40" s="1"/>
  <c r="T593" i="37" a="1"/>
  <c r="T593" s="1"/>
  <c r="T593" i="40" s="1"/>
  <c r="W599" i="37" a="1"/>
  <c r="W599" s="1"/>
  <c r="W599" i="40" s="1"/>
  <c r="S602" i="37" a="1"/>
  <c r="S602" s="1"/>
  <c r="S606" a="1"/>
  <c r="S606" s="1"/>
  <c r="S593" a="1"/>
  <c r="S593" s="1"/>
  <c r="V596" a="1"/>
  <c r="V596" s="1"/>
  <c r="W611" a="1"/>
  <c r="W611" s="1"/>
  <c r="W611" i="40" s="1"/>
  <c r="V598" i="37" a="1"/>
  <c r="V598" s="1"/>
  <c r="V598" i="40" s="1"/>
  <c r="T610" i="37" a="1"/>
  <c r="T610" s="1"/>
  <c r="T610" i="40" s="1"/>
  <c r="V594" i="37" a="1"/>
  <c r="V594" s="1"/>
  <c r="R598" a="1"/>
  <c r="R598" s="1"/>
  <c r="T590" a="1"/>
  <c r="T590" s="1"/>
  <c r="T590" i="40" s="1"/>
  <c r="W610" i="37" a="1"/>
  <c r="W610" s="1"/>
  <c r="W610" i="40" s="1"/>
  <c r="U593" i="37" a="1"/>
  <c r="U593" s="1"/>
  <c r="U593" i="40" s="1"/>
  <c r="R606" i="37" a="1"/>
  <c r="R606" s="1"/>
  <c r="W598" a="1"/>
  <c r="W598" s="1"/>
  <c r="W598" i="40" s="1"/>
  <c r="V593" i="37" a="1"/>
  <c r="V593" s="1"/>
  <c r="T607" a="1"/>
  <c r="T607" s="1"/>
  <c r="T607" i="40" s="1"/>
  <c r="U595" i="37" a="1"/>
  <c r="U595" s="1"/>
  <c r="U595" i="40" s="1"/>
  <c r="W607" i="37" a="1"/>
  <c r="W607" s="1"/>
  <c r="W607" i="40" s="1"/>
  <c r="W594" i="37" a="1"/>
  <c r="W594" s="1"/>
  <c r="W594" i="40" s="1"/>
  <c r="R602" i="37" a="1"/>
  <c r="R602" s="1"/>
  <c r="V603" a="1"/>
  <c r="V603" s="1"/>
  <c r="V603" i="40" s="1"/>
  <c r="W609" i="37" a="1"/>
  <c r="W609" s="1"/>
  <c r="T597" a="1"/>
  <c r="T597" s="1"/>
  <c r="T597" i="40" s="1"/>
  <c r="S603" i="37" a="1"/>
  <c r="S603" s="1"/>
  <c r="T594" a="1"/>
  <c r="T594" s="1"/>
  <c r="T594" i="40" s="1"/>
  <c r="R600" i="37" a="1"/>
  <c r="R600" s="1"/>
  <c r="B23" i="53"/>
  <c r="B23" i="52"/>
  <c r="B16" i="53"/>
  <c r="B16" i="52"/>
  <c r="B20" i="53"/>
  <c r="B20" i="52"/>
  <c r="B19" i="53"/>
  <c r="B19" i="52"/>
  <c r="B18" i="53"/>
  <c r="B18" i="52"/>
  <c r="B17" i="53"/>
  <c r="B17" i="52"/>
  <c r="B14" i="53"/>
  <c r="B14" i="52"/>
  <c r="C9" i="53"/>
  <c r="C9" i="52"/>
  <c r="C8" i="53"/>
  <c r="C8" i="52"/>
  <c r="C7" i="53"/>
  <c r="C7" i="52"/>
  <c r="C6" i="53"/>
  <c r="C6" i="52"/>
  <c r="B5" i="53"/>
  <c r="B5" i="52"/>
  <c r="C2" i="53"/>
  <c r="C2" i="52"/>
  <c r="B24" i="53"/>
  <c r="B24" i="52"/>
  <c r="B21" i="53"/>
  <c r="B21" i="52"/>
  <c r="Y24" i="53"/>
  <c r="C24"/>
  <c r="C24" i="52"/>
  <c r="C21" i="53"/>
  <c r="C21" i="52"/>
  <c r="B13" i="53"/>
  <c r="B13" i="52"/>
  <c r="B10" i="53"/>
  <c r="B10" i="52"/>
  <c r="C20" i="53"/>
  <c r="C20" i="52"/>
  <c r="C19" i="53"/>
  <c r="C19" i="52"/>
  <c r="C18" i="53"/>
  <c r="C18" i="52"/>
  <c r="C17" i="53"/>
  <c r="C17" i="52"/>
  <c r="C14" i="53"/>
  <c r="C14" i="52"/>
  <c r="B11" i="53"/>
  <c r="B11" i="52"/>
  <c r="C5" i="53"/>
  <c r="C5" i="52"/>
  <c r="B3" i="53"/>
  <c r="B3" i="52"/>
  <c r="X577" i="37" a="1"/>
  <c r="X577" s="1"/>
  <c r="X577" i="40" s="1"/>
  <c r="Z577" i="37" a="1"/>
  <c r="Z577" s="1"/>
  <c r="Z577" i="40" s="1"/>
  <c r="Y573" i="37" a="1"/>
  <c r="Y573" s="1"/>
  <c r="Y573" i="40" s="1"/>
  <c r="Y569" i="37" a="1"/>
  <c r="Y569" s="1"/>
  <c r="V569" a="1"/>
  <c r="V569" s="1"/>
  <c r="AB578" a="1"/>
  <c r="AB578" s="1"/>
  <c r="AB578" i="40" s="1"/>
  <c r="Y576" i="37" a="1"/>
  <c r="Y576" s="1"/>
  <c r="Y576" i="40" s="1"/>
  <c r="V574" i="37" a="1"/>
  <c r="V574" s="1"/>
  <c r="V574" i="40" s="1"/>
  <c r="R574" i="37" a="1"/>
  <c r="R574" s="1"/>
  <c r="R574" i="40" s="1"/>
  <c r="AB572" i="37" a="1"/>
  <c r="AB572" s="1"/>
  <c r="AB572" i="40" s="1"/>
  <c r="Y570" i="37" a="1"/>
  <c r="Y570" s="1"/>
  <c r="Y570" i="40" s="1"/>
  <c r="U579" i="37" a="1"/>
  <c r="U579" s="1"/>
  <c r="U579" i="40" s="1"/>
  <c r="R579" i="37" a="1"/>
  <c r="R579" s="1"/>
  <c r="R579" i="40" s="1"/>
  <c r="AA575" i="37" a="1"/>
  <c r="AA575" s="1"/>
  <c r="AA575" i="40" s="1"/>
  <c r="W571" i="37" a="1"/>
  <c r="W571" s="1"/>
  <c r="W571" i="40" s="1"/>
  <c r="U571" i="37" a="1"/>
  <c r="U571" s="1"/>
  <c r="U571" i="40" s="1"/>
  <c r="AA568" i="37" a="1"/>
  <c r="AA568" s="1"/>
  <c r="AA568" i="40" s="1"/>
  <c r="R566" i="37" a="1"/>
  <c r="R566" s="1"/>
  <c r="R566" i="40" s="1"/>
  <c r="AB564" i="37" a="1"/>
  <c r="AB564" s="1"/>
  <c r="AB564" i="40" s="1"/>
  <c r="W564" i="37" a="1"/>
  <c r="W564" s="1"/>
  <c r="W564" i="40" s="1"/>
  <c r="X562" i="37" a="1"/>
  <c r="X562" s="1"/>
  <c r="X562" i="40" s="1"/>
  <c r="AB560" i="37" a="1"/>
  <c r="AB560" s="1"/>
  <c r="AB560" i="40" s="1"/>
  <c r="AA558" i="37" a="1"/>
  <c r="AA558" s="1"/>
  <c r="AA558" i="40" s="1"/>
  <c r="U558" i="37" a="1"/>
  <c r="U558" s="1"/>
  <c r="U558" i="40" s="1"/>
  <c r="U556" i="37" a="1"/>
  <c r="U556" s="1"/>
  <c r="U556" i="40" s="1"/>
  <c r="AA554" i="37" a="1"/>
  <c r="AA554" s="1"/>
  <c r="AA554" i="40" s="1"/>
  <c r="S554" i="37" a="1"/>
  <c r="S554" s="1"/>
  <c r="S554" i="40" s="1"/>
  <c r="X552" i="37" a="1"/>
  <c r="X552" s="1"/>
  <c r="X552" i="40" s="1"/>
  <c r="U550" i="37" a="1"/>
  <c r="U550" s="1"/>
  <c r="U550" i="40" s="1"/>
  <c r="AB548" i="37" a="1"/>
  <c r="AB548" s="1"/>
  <c r="AB548" i="40" s="1"/>
  <c r="W548" i="37" a="1"/>
  <c r="W548" s="1"/>
  <c r="W548" i="40" s="1"/>
  <c r="Z546" i="37" a="1"/>
  <c r="Z546" s="1"/>
  <c r="Z546" i="40" s="1"/>
  <c r="S544" i="37" a="1"/>
  <c r="S544" s="1"/>
  <c r="S544" i="40" s="1"/>
  <c r="W544" i="37" a="1"/>
  <c r="W544" s="1"/>
  <c r="W544" i="40" s="1"/>
  <c r="V542" i="37" a="1"/>
  <c r="V542" s="1"/>
  <c r="V542" i="40" s="1"/>
  <c r="U540" i="37" a="1"/>
  <c r="U540" s="1"/>
  <c r="U540" i="40" s="1"/>
  <c r="Z538" i="37" a="1"/>
  <c r="Z538" s="1"/>
  <c r="Z538" i="40" s="1"/>
  <c r="AB538" i="37" a="1"/>
  <c r="AB538" s="1"/>
  <c r="AB538" i="40" s="1"/>
  <c r="R536" i="37" a="1"/>
  <c r="R536" s="1"/>
  <c r="R536" i="40" s="1"/>
  <c r="V534" i="37" a="1"/>
  <c r="V534" s="1"/>
  <c r="V534" i="40" s="1"/>
  <c r="Z532" i="37" a="1"/>
  <c r="Z532" s="1"/>
  <c r="Z532" i="40" s="1"/>
  <c r="V532" i="37" a="1"/>
  <c r="V532" s="1"/>
  <c r="V532" i="40" s="1"/>
  <c r="Z530" i="37" a="1"/>
  <c r="Z530" s="1"/>
  <c r="Z530" i="40" s="1"/>
  <c r="Y528" i="37" a="1"/>
  <c r="Y528" s="1"/>
  <c r="Y528" i="40" s="1"/>
  <c r="AA528" i="37" a="1"/>
  <c r="AA528" s="1"/>
  <c r="AA528" i="40" s="1"/>
  <c r="T526" i="37" a="1"/>
  <c r="T526" s="1"/>
  <c r="T526" i="40" s="1"/>
  <c r="AA524" i="37" a="1"/>
  <c r="AA524" s="1"/>
  <c r="AA524" i="40" s="1"/>
  <c r="V522" i="37" a="1"/>
  <c r="V522" s="1"/>
  <c r="V522" i="40" s="1"/>
  <c r="S522" i="37" a="1"/>
  <c r="S522" s="1"/>
  <c r="S522" i="40" s="1"/>
  <c r="AB520" i="37" a="1"/>
  <c r="AB520" s="1"/>
  <c r="AB520" i="40" s="1"/>
  <c r="V518" i="37" a="1"/>
  <c r="V518" s="1"/>
  <c r="V518" i="40" s="1"/>
  <c r="V516" i="37" a="1"/>
  <c r="V516" s="1"/>
  <c r="V516" i="40" s="1"/>
  <c r="X516" i="37" a="1"/>
  <c r="X516" s="1"/>
  <c r="X516" i="40" s="1"/>
  <c r="S514" i="37" a="1"/>
  <c r="S514" s="1"/>
  <c r="S514" i="40" s="1"/>
  <c r="X512" i="37" a="1"/>
  <c r="X512" s="1"/>
  <c r="X512" i="40" s="1"/>
  <c r="T512" i="37" a="1"/>
  <c r="T512" s="1"/>
  <c r="T512" i="40" s="1"/>
  <c r="S510" i="37" a="1"/>
  <c r="S510" s="1"/>
  <c r="S510" i="40" s="1"/>
  <c r="U508" i="37" a="1"/>
  <c r="U508" s="1"/>
  <c r="U508" i="40" s="1"/>
  <c r="S506" i="37" a="1"/>
  <c r="S506" s="1"/>
  <c r="S506" i="40" s="1"/>
  <c r="AB506" i="37" a="1"/>
  <c r="AB506" s="1"/>
  <c r="AB506" i="40" s="1"/>
  <c r="AB504" i="37" a="1"/>
  <c r="AB504" s="1"/>
  <c r="AB504" i="40" s="1"/>
  <c r="AA567" i="37" a="1"/>
  <c r="AA567" s="1"/>
  <c r="AA567" i="40" s="1"/>
  <c r="Z565" i="37" a="1"/>
  <c r="Z565" s="1"/>
  <c r="Z565" i="40" s="1"/>
  <c r="Y565" i="37" a="1"/>
  <c r="Y565" s="1"/>
  <c r="Y565" i="40" s="1"/>
  <c r="AA563" i="37" a="1"/>
  <c r="AA563" s="1"/>
  <c r="AA563" i="40" s="1"/>
  <c r="Y561" i="37" a="1"/>
  <c r="Y561" s="1"/>
  <c r="Y561" i="40" s="1"/>
  <c r="W561" i="37" a="1"/>
  <c r="W561" s="1"/>
  <c r="W561" i="40" s="1"/>
  <c r="Y559" i="37" a="1"/>
  <c r="Y559" s="1"/>
  <c r="Y559" i="40" s="1"/>
  <c r="R557" i="37" a="1"/>
  <c r="R557" s="1"/>
  <c r="R557" i="40" s="1"/>
  <c r="R555" i="37" a="1"/>
  <c r="R555" s="1"/>
  <c r="R555" i="40" s="1"/>
  <c r="S555" i="37" a="1"/>
  <c r="S555" s="1"/>
  <c r="S555" i="40" s="1"/>
  <c r="W553" i="37" a="1"/>
  <c r="W553" s="1"/>
  <c r="W553" i="40" s="1"/>
  <c r="AB551" i="37" a="1"/>
  <c r="AB551" s="1"/>
  <c r="AB551" i="40" s="1"/>
  <c r="U551" i="37" a="1"/>
  <c r="U551" s="1"/>
  <c r="U551" i="40" s="1"/>
  <c r="X549" i="37" a="1"/>
  <c r="X549" s="1"/>
  <c r="X549" i="40" s="1"/>
  <c r="Z547" i="37" a="1"/>
  <c r="Z547" s="1"/>
  <c r="Z545" a="1"/>
  <c r="Z545" s="1"/>
  <c r="Z545" i="40" s="1"/>
  <c r="R545" i="37" a="1"/>
  <c r="R545" s="1"/>
  <c r="R545" i="40" s="1"/>
  <c r="Y543" i="37" a="1"/>
  <c r="Y543" s="1"/>
  <c r="Y543" i="40" s="1"/>
  <c r="R541" i="37" a="1"/>
  <c r="R541" s="1"/>
  <c r="R541" i="40" s="1"/>
  <c r="AA539" i="37" a="1"/>
  <c r="AA539" s="1"/>
  <c r="AA539" i="40" s="1"/>
  <c r="V539" i="37" a="1"/>
  <c r="V539" s="1"/>
  <c r="V539" i="40" s="1"/>
  <c r="W537" i="37" a="1"/>
  <c r="W537" s="1"/>
  <c r="W537" i="40" s="1"/>
  <c r="AA535" i="37" a="1"/>
  <c r="AA535" s="1"/>
  <c r="AA535" i="40" s="1"/>
  <c r="Z535" i="37" a="1"/>
  <c r="Z535" s="1"/>
  <c r="Z535" i="40" s="1"/>
  <c r="R533" i="37" a="1"/>
  <c r="R533" s="1"/>
  <c r="R533" i="40" s="1"/>
  <c r="R531" i="37" a="1"/>
  <c r="R531" s="1"/>
  <c r="R531" i="40" s="1"/>
  <c r="Z529" i="37" a="1"/>
  <c r="Z529" s="1"/>
  <c r="Z529" i="40" s="1"/>
  <c r="V529" i="37" a="1"/>
  <c r="V529" s="1"/>
  <c r="V529" i="40" s="1"/>
  <c r="W527" i="37" a="1"/>
  <c r="W527" s="1"/>
  <c r="W527" i="40" s="1"/>
  <c r="W525" i="37" a="1"/>
  <c r="W525" s="1"/>
  <c r="W525" i="40" s="1"/>
  <c r="T525" i="37" a="1"/>
  <c r="T525" s="1"/>
  <c r="T525" i="40" s="1"/>
  <c r="Z523" i="37" a="1"/>
  <c r="Z523" s="1"/>
  <c r="V521" a="1"/>
  <c r="V521" s="1"/>
  <c r="V521" i="40" s="1"/>
  <c r="X519" i="37" a="1"/>
  <c r="X519" s="1"/>
  <c r="X519" i="40" s="1"/>
  <c r="W519" i="37" a="1"/>
  <c r="W519" s="1"/>
  <c r="W519" i="40" s="1"/>
  <c r="Y517" i="37" a="1"/>
  <c r="Y517" s="1"/>
  <c r="Y517" i="40" s="1"/>
  <c r="T515" i="37" a="1"/>
  <c r="T515" s="1"/>
  <c r="T515" i="40" s="1"/>
  <c r="Y515" i="37" a="1"/>
  <c r="Y515" s="1"/>
  <c r="Y515" i="40" s="1"/>
  <c r="AA513" i="37" a="1"/>
  <c r="AA513" s="1"/>
  <c r="AA513" i="40" s="1"/>
  <c r="AB511" i="37" a="1"/>
  <c r="AB511" s="1"/>
  <c r="AB511" i="40" s="1"/>
  <c r="U509" i="37" a="1"/>
  <c r="U509" s="1"/>
  <c r="U509" i="40" s="1"/>
  <c r="R507" i="37" a="1"/>
  <c r="R507" s="1"/>
  <c r="R507" i="40" s="1"/>
  <c r="R505" i="37" a="1"/>
  <c r="R505" s="1"/>
  <c r="R505" i="40" s="1"/>
  <c r="Z505" i="37" a="1"/>
  <c r="Z505" s="1"/>
  <c r="Z505" i="40" s="1"/>
  <c r="Z503" i="37" a="1"/>
  <c r="Z503" s="1"/>
  <c r="Z503" i="40" s="1"/>
  <c r="Y509" i="37" a="1"/>
  <c r="Y509" s="1"/>
  <c r="Y509" i="40" s="1"/>
  <c r="X507" i="37" a="1"/>
  <c r="X507" s="1"/>
  <c r="X507" i="40" s="1"/>
  <c r="AB505" i="37" a="1"/>
  <c r="AB505" s="1"/>
  <c r="AB505" i="40" s="1"/>
  <c r="T519" i="37" a="1"/>
  <c r="T519" s="1"/>
  <c r="T519" i="40" s="1"/>
  <c r="T513" i="37" a="1"/>
  <c r="T513" s="1"/>
  <c r="T513" i="40" s="1"/>
  <c r="V509" i="37" a="1"/>
  <c r="V509" s="1"/>
  <c r="V509" i="40" s="1"/>
  <c r="AA505" i="37" a="1"/>
  <c r="AA505" s="1"/>
  <c r="AA505" i="40" s="1"/>
  <c r="W576" i="37" a="1"/>
  <c r="W576" s="1"/>
  <c r="W576" i="40" s="1"/>
  <c r="V570" i="37" a="1"/>
  <c r="V570" s="1"/>
  <c r="V570" i="40" s="1"/>
  <c r="X571" i="37" a="1"/>
  <c r="X571" s="1"/>
  <c r="X571" i="40" s="1"/>
  <c r="T564" i="37" a="1"/>
  <c r="T564" s="1"/>
  <c r="T564" i="40" s="1"/>
  <c r="R558" i="37" a="1"/>
  <c r="R558" s="1"/>
  <c r="R558" i="40" s="1"/>
  <c r="AA556" i="37" a="1"/>
  <c r="AA556" s="1"/>
  <c r="AA556" i="40" s="1"/>
  <c r="Z550" i="37" a="1"/>
  <c r="Z550" s="1"/>
  <c r="Z550" i="40" s="1"/>
  <c r="AB544" i="37" a="1"/>
  <c r="AB544" s="1"/>
  <c r="AB544" i="40" s="1"/>
  <c r="AA538" i="37" a="1"/>
  <c r="AA538" s="1"/>
  <c r="AA538" i="40" s="1"/>
  <c r="X532" i="37" a="1"/>
  <c r="X532" s="1"/>
  <c r="X532" i="40" s="1"/>
  <c r="AB528" i="37" a="1"/>
  <c r="AB528" s="1"/>
  <c r="AB528" i="40" s="1"/>
  <c r="X522" i="37" a="1"/>
  <c r="X522" s="1"/>
  <c r="X522" i="40" s="1"/>
  <c r="T516" i="37" a="1"/>
  <c r="T516" s="1"/>
  <c r="T516" i="40" s="1"/>
  <c r="Z510" i="37" a="1"/>
  <c r="Z510" s="1"/>
  <c r="Z510" i="40" s="1"/>
  <c r="T504" i="37" a="1"/>
  <c r="T504" s="1"/>
  <c r="T504" i="40" s="1"/>
  <c r="T563" i="37" a="1"/>
  <c r="T563" s="1"/>
  <c r="T563" i="40" s="1"/>
  <c r="T557" i="37" a="1"/>
  <c r="T557" s="1"/>
  <c r="T557" i="40" s="1"/>
  <c r="AB553" i="37" a="1"/>
  <c r="AB553" s="1"/>
  <c r="AB553" i="40" s="1"/>
  <c r="Y547" i="37" a="1"/>
  <c r="Y547" s="1"/>
  <c r="X543" a="1"/>
  <c r="X543" s="1"/>
  <c r="X543" i="40" s="1"/>
  <c r="U537" i="37" a="1"/>
  <c r="U537" s="1"/>
  <c r="U537" i="40" s="1"/>
  <c r="AA531" i="37" a="1"/>
  <c r="AA531" s="1"/>
  <c r="AA531" i="40" s="1"/>
  <c r="S527" i="37" a="1"/>
  <c r="S527" s="1"/>
  <c r="S527" i="40" s="1"/>
  <c r="Y521" i="37" a="1"/>
  <c r="Y521" s="1"/>
  <c r="Y521" i="40" s="1"/>
  <c r="S515" i="37" a="1"/>
  <c r="S515" s="1"/>
  <c r="S515" i="40" s="1"/>
  <c r="S509" i="37" a="1"/>
  <c r="S509" s="1"/>
  <c r="S509" i="40" s="1"/>
  <c r="X503" i="37" a="1"/>
  <c r="X503" s="1"/>
  <c r="X503" i="40" s="1"/>
  <c r="U573" i="37" a="1"/>
  <c r="U573" s="1"/>
  <c r="U573" i="40" s="1"/>
  <c r="AA576" i="37" a="1"/>
  <c r="AA576" s="1"/>
  <c r="AA576" i="40" s="1"/>
  <c r="AA570" i="37" a="1"/>
  <c r="AA570" s="1"/>
  <c r="AA570" i="40" s="1"/>
  <c r="AB575" i="37" a="1"/>
  <c r="AB575" s="1"/>
  <c r="AB575" i="40" s="1"/>
  <c r="AB566" i="37" a="1"/>
  <c r="AB566" s="1"/>
  <c r="AB566" i="40" s="1"/>
  <c r="Z560" i="37" a="1"/>
  <c r="Z560" s="1"/>
  <c r="Z560" i="40" s="1"/>
  <c r="X554" i="37" a="1"/>
  <c r="X554" s="1"/>
  <c r="X554" i="40" s="1"/>
  <c r="Y548" i="37" a="1"/>
  <c r="Y548" s="1"/>
  <c r="Y548" i="40" s="1"/>
  <c r="W542" i="37" a="1"/>
  <c r="W542" s="1"/>
  <c r="W542" i="40" s="1"/>
  <c r="X538" i="37" a="1"/>
  <c r="X538" s="1"/>
  <c r="X538" i="40" s="1"/>
  <c r="U532" i="37" a="1"/>
  <c r="U532" s="1"/>
  <c r="U532" i="40" s="1"/>
  <c r="Z526" i="37" a="1"/>
  <c r="Z526" s="1"/>
  <c r="Z526" i="40" s="1"/>
  <c r="U514" i="37" a="1"/>
  <c r="U514" s="1"/>
  <c r="U514" i="40" s="1"/>
  <c r="Y504" i="37" a="1"/>
  <c r="Y504" s="1"/>
  <c r="Y504" i="40" s="1"/>
  <c r="U563" i="37" a="1"/>
  <c r="U563" s="1"/>
  <c r="U563" i="40" s="1"/>
  <c r="T555" i="37" a="1"/>
  <c r="T555" s="1"/>
  <c r="T555" i="40" s="1"/>
  <c r="S543" i="37" a="1"/>
  <c r="S543" s="1"/>
  <c r="S543" i="40" s="1"/>
  <c r="R535" i="37" a="1"/>
  <c r="R535" s="1"/>
  <c r="R535" i="40" s="1"/>
  <c r="U527" i="37" a="1"/>
  <c r="U527" s="1"/>
  <c r="U527" i="40" s="1"/>
  <c r="AA517" i="37" a="1"/>
  <c r="AA517" s="1"/>
  <c r="AA517" i="40" s="1"/>
  <c r="AA509" i="37" a="1"/>
  <c r="AA509" s="1"/>
  <c r="AA509" i="40" s="1"/>
  <c r="T569" i="37" a="1"/>
  <c r="T569" s="1"/>
  <c r="W572" a="1"/>
  <c r="W572" s="1"/>
  <c r="W572" i="40" s="1"/>
  <c r="Z571" i="37" a="1"/>
  <c r="Z571" s="1"/>
  <c r="Z571" i="40" s="1"/>
  <c r="R560" i="37" a="1"/>
  <c r="R560" s="1"/>
  <c r="R560" i="40" s="1"/>
  <c r="S550" i="37" a="1"/>
  <c r="S550" s="1"/>
  <c r="S550" i="40" s="1"/>
  <c r="R542" i="37" a="1"/>
  <c r="R542" s="1"/>
  <c r="R542" i="40" s="1"/>
  <c r="R532" i="37" a="1"/>
  <c r="R532" s="1"/>
  <c r="R532" i="40" s="1"/>
  <c r="U522" i="37" a="1"/>
  <c r="U522" s="1"/>
  <c r="U522" i="40" s="1"/>
  <c r="S516" i="37" a="1"/>
  <c r="S516" s="1"/>
  <c r="S516" i="40" s="1"/>
  <c r="R504" i="37" a="1"/>
  <c r="R504" s="1"/>
  <c r="R504" i="40" s="1"/>
  <c r="Z561" i="37" a="1"/>
  <c r="Z561" s="1"/>
  <c r="Z561" i="40" s="1"/>
  <c r="S549" i="37" a="1"/>
  <c r="S549" s="1"/>
  <c r="S549" i="40" s="1"/>
  <c r="S541" i="37" a="1"/>
  <c r="S541" s="1"/>
  <c r="S541" i="40" s="1"/>
  <c r="T533" i="37" a="1"/>
  <c r="T533" s="1"/>
  <c r="T533" i="40" s="1"/>
  <c r="AB523" i="37" a="1"/>
  <c r="AB523" s="1"/>
  <c r="R515" a="1"/>
  <c r="R515" s="1"/>
  <c r="R515" i="40" s="1"/>
  <c r="W507" i="37" a="1"/>
  <c r="W507" s="1"/>
  <c r="W507" i="40" s="1"/>
  <c r="S578" i="37" a="1"/>
  <c r="S578" s="1"/>
  <c r="S578" i="40" s="1"/>
  <c r="Z570" i="37" a="1"/>
  <c r="Z570" s="1"/>
  <c r="Z570" i="40" s="1"/>
  <c r="T571" i="37" a="1"/>
  <c r="T571" s="1"/>
  <c r="T571" i="40" s="1"/>
  <c r="V558" i="37" a="1"/>
  <c r="V558" s="1"/>
  <c r="V558" i="40" s="1"/>
  <c r="AB550" i="37" a="1"/>
  <c r="AB550" s="1"/>
  <c r="AB550" i="40" s="1"/>
  <c r="AA542" i="37" a="1"/>
  <c r="AA542" s="1"/>
  <c r="AA542" i="40" s="1"/>
  <c r="Y534" i="37" a="1"/>
  <c r="Y534" s="1"/>
  <c r="Y534" i="40" s="1"/>
  <c r="T522" i="37" a="1"/>
  <c r="T522" s="1"/>
  <c r="T522" i="40" s="1"/>
  <c r="Y516" i="37" a="1"/>
  <c r="Y516" s="1"/>
  <c r="Y516" i="40" s="1"/>
  <c r="S504" i="37" a="1"/>
  <c r="S504" s="1"/>
  <c r="S504" i="40" s="1"/>
  <c r="AB561" i="37" a="1"/>
  <c r="AB561" s="1"/>
  <c r="AB561" i="40" s="1"/>
  <c r="S551" i="37" a="1"/>
  <c r="S551" s="1"/>
  <c r="S551" i="40" s="1"/>
  <c r="R543" i="37" a="1"/>
  <c r="R543" s="1"/>
  <c r="R543" i="40" s="1"/>
  <c r="Y535" i="37" a="1"/>
  <c r="Y535" s="1"/>
  <c r="Y535" i="40" s="1"/>
  <c r="Y523" i="37" a="1"/>
  <c r="Y523" s="1"/>
  <c r="AB515" a="1"/>
  <c r="AB515" s="1"/>
  <c r="AB515" i="40" s="1"/>
  <c r="W505" i="37" a="1"/>
  <c r="W505" s="1"/>
  <c r="W505" i="40" s="1"/>
  <c r="R577" i="37" a="1"/>
  <c r="R577" s="1"/>
  <c r="R577" i="40" s="1"/>
  <c r="AA577" i="37" a="1"/>
  <c r="AA577" s="1"/>
  <c r="AA577" i="40" s="1"/>
  <c r="S573" i="37" a="1"/>
  <c r="S573" s="1"/>
  <c r="S573" i="40" s="1"/>
  <c r="S569" i="37" a="1"/>
  <c r="S569" s="1"/>
  <c r="AA578" a="1"/>
  <c r="AA578" s="1"/>
  <c r="AA578" i="40" s="1"/>
  <c r="V578" i="37" a="1"/>
  <c r="V578" s="1"/>
  <c r="V578" i="40" s="1"/>
  <c r="S576" i="37" a="1"/>
  <c r="S576" s="1"/>
  <c r="S576" i="40" s="1"/>
  <c r="AB574" i="37" a="1"/>
  <c r="AB574" s="1"/>
  <c r="AB574" i="40" s="1"/>
  <c r="Z574" i="37" a="1"/>
  <c r="Z574" s="1"/>
  <c r="Z574" i="40" s="1"/>
  <c r="AA572" i="37" a="1"/>
  <c r="AA572" s="1"/>
  <c r="AA572" i="40" s="1"/>
  <c r="T570" i="37" a="1"/>
  <c r="T570" s="1"/>
  <c r="T570" i="40" s="1"/>
  <c r="Y579" i="37" a="1"/>
  <c r="Y579" s="1"/>
  <c r="Y579" i="40" s="1"/>
  <c r="AA579" i="37" a="1"/>
  <c r="AA579" s="1"/>
  <c r="AA579" i="40" s="1"/>
  <c r="V575" i="37" a="1"/>
  <c r="V575" s="1"/>
  <c r="V575" i="40" s="1"/>
  <c r="AB571" i="37" a="1"/>
  <c r="AB571" s="1"/>
  <c r="AB571" i="40" s="1"/>
  <c r="Y568" i="37" a="1"/>
  <c r="Y568" s="1"/>
  <c r="Y568" i="40" s="1"/>
  <c r="T568" i="37" a="1"/>
  <c r="T568" s="1"/>
  <c r="T568" i="40" s="1"/>
  <c r="Y566" i="37" a="1"/>
  <c r="Y566" s="1"/>
  <c r="Y566" i="40" s="1"/>
  <c r="V564" i="37" a="1"/>
  <c r="V564" s="1"/>
  <c r="V564" i="40" s="1"/>
  <c r="R564" i="37" a="1"/>
  <c r="R564" s="1"/>
  <c r="R564" i="40" s="1"/>
  <c r="V562" i="37" a="1"/>
  <c r="V562" s="1"/>
  <c r="V562" i="40" s="1"/>
  <c r="U560" i="37" a="1"/>
  <c r="U560" s="1"/>
  <c r="U560" i="40" s="1"/>
  <c r="T558" i="37" a="1"/>
  <c r="T558" s="1"/>
  <c r="T558" i="40" s="1"/>
  <c r="W558" i="37" a="1"/>
  <c r="W558" s="1"/>
  <c r="W558" i="40" s="1"/>
  <c r="X556" i="37" a="1"/>
  <c r="X556" s="1"/>
  <c r="X556" i="40" s="1"/>
  <c r="U554" i="37" a="1"/>
  <c r="U554" s="1"/>
  <c r="U554" i="40" s="1"/>
  <c r="Y554" i="37" a="1"/>
  <c r="Y554" s="1"/>
  <c r="Y554" i="40" s="1"/>
  <c r="T552" i="37" a="1"/>
  <c r="T552" s="1"/>
  <c r="T552" i="40" s="1"/>
  <c r="X550" i="37" a="1"/>
  <c r="X550" s="1"/>
  <c r="X550" i="40" s="1"/>
  <c r="V548" i="37" a="1"/>
  <c r="V548" s="1"/>
  <c r="V548" i="40" s="1"/>
  <c r="S548" i="37" a="1"/>
  <c r="S548" s="1"/>
  <c r="S548" i="40" s="1"/>
  <c r="T546" i="37" a="1"/>
  <c r="T546" s="1"/>
  <c r="T546" i="40" s="1"/>
  <c r="X544" i="37" a="1"/>
  <c r="X544" s="1"/>
  <c r="X544" i="40" s="1"/>
  <c r="Z542" i="37" a="1"/>
  <c r="Z542" s="1"/>
  <c r="Z542" i="40" s="1"/>
  <c r="AB542" i="37" a="1"/>
  <c r="AB542" s="1"/>
  <c r="AB542" i="40" s="1"/>
  <c r="S540" i="37" a="1"/>
  <c r="S540" s="1"/>
  <c r="S540" i="40" s="1"/>
  <c r="T538" i="37" a="1"/>
  <c r="T538" s="1"/>
  <c r="T538" i="40" s="1"/>
  <c r="U538" i="37" a="1"/>
  <c r="U538" s="1"/>
  <c r="U538" i="40" s="1"/>
  <c r="Z536" i="37" a="1"/>
  <c r="Z536" s="1"/>
  <c r="Z536" i="40" s="1"/>
  <c r="Z534" i="37" a="1"/>
  <c r="Z534" s="1"/>
  <c r="Z534" i="40" s="1"/>
  <c r="W532" i="37" a="1"/>
  <c r="W532" s="1"/>
  <c r="W532" i="40" s="1"/>
  <c r="T532" i="37" a="1"/>
  <c r="T532" s="1"/>
  <c r="T532" i="40" s="1"/>
  <c r="V530" i="37" a="1"/>
  <c r="V530" s="1"/>
  <c r="V530" i="40" s="1"/>
  <c r="S528" i="37" a="1"/>
  <c r="S528" s="1"/>
  <c r="S528" i="40" s="1"/>
  <c r="AB526" i="37" a="1"/>
  <c r="AB526" s="1"/>
  <c r="AB526" i="40" s="1"/>
  <c r="AA526" i="37" a="1"/>
  <c r="AA526" s="1"/>
  <c r="AA526" i="40" s="1"/>
  <c r="T524" i="37" a="1"/>
  <c r="T524" s="1"/>
  <c r="T524" i="40" s="1"/>
  <c r="W522" i="37" a="1"/>
  <c r="W522" s="1"/>
  <c r="W522" i="40" s="1"/>
  <c r="AA522" i="37" a="1"/>
  <c r="AA522" s="1"/>
  <c r="AA522" i="40" s="1"/>
  <c r="T520" i="37" a="1"/>
  <c r="T520" s="1"/>
  <c r="T520" i="40" s="1"/>
  <c r="AB518" i="37" a="1"/>
  <c r="AB518" s="1"/>
  <c r="AB518" i="40" s="1"/>
  <c r="AB516" i="37" a="1"/>
  <c r="AB516" s="1"/>
  <c r="AB516" i="40" s="1"/>
  <c r="Z516" i="37" a="1"/>
  <c r="Z516" s="1"/>
  <c r="Z516" i="40" s="1"/>
  <c r="X514" i="37" a="1"/>
  <c r="X514" s="1"/>
  <c r="X514" i="40" s="1"/>
  <c r="R512" i="37" a="1"/>
  <c r="R512" s="1"/>
  <c r="R512" i="40" s="1"/>
  <c r="X510" i="37" a="1"/>
  <c r="X510" s="1"/>
  <c r="X510" i="40" s="1"/>
  <c r="AB510" i="37" a="1"/>
  <c r="AB510" s="1"/>
  <c r="AB510" i="40" s="1"/>
  <c r="Z508" i="37" a="1"/>
  <c r="Z508" s="1"/>
  <c r="Z508" i="40" s="1"/>
  <c r="R506" i="37" a="1"/>
  <c r="R506" s="1"/>
  <c r="R506" i="40" s="1"/>
  <c r="Y506" i="37" a="1"/>
  <c r="Y506" s="1"/>
  <c r="Y506" i="40" s="1"/>
  <c r="V504" i="37" a="1"/>
  <c r="V504" s="1"/>
  <c r="V504" i="40" s="1"/>
  <c r="T567" i="37" a="1"/>
  <c r="T567" s="1"/>
  <c r="T567" i="40" s="1"/>
  <c r="S565" i="37" a="1"/>
  <c r="S565" s="1"/>
  <c r="S565" i="40" s="1"/>
  <c r="AA565" i="37" a="1"/>
  <c r="AA565" s="1"/>
  <c r="AA565" i="40" s="1"/>
  <c r="AB563" i="37" a="1"/>
  <c r="AB563" s="1"/>
  <c r="AB563" i="40" s="1"/>
  <c r="R561" i="37" a="1"/>
  <c r="R561" s="1"/>
  <c r="R561" i="40" s="1"/>
  <c r="V559" i="37" a="1"/>
  <c r="V559" s="1"/>
  <c r="V559" i="40" s="1"/>
  <c r="X559" i="37" a="1"/>
  <c r="X559" s="1"/>
  <c r="X559" i="40" s="1"/>
  <c r="V557" i="37" a="1"/>
  <c r="V557" s="1"/>
  <c r="V557" i="40" s="1"/>
  <c r="AB555" i="37" a="1"/>
  <c r="AB555" s="1"/>
  <c r="AB555" i="40" s="1"/>
  <c r="Y555" i="37" a="1"/>
  <c r="Y555" s="1"/>
  <c r="Y555" i="40" s="1"/>
  <c r="U553" i="37" a="1"/>
  <c r="U553" s="1"/>
  <c r="U553" i="40" s="1"/>
  <c r="W551" i="37" a="1"/>
  <c r="W551" s="1"/>
  <c r="W551" i="40" s="1"/>
  <c r="V549" i="37" a="1"/>
  <c r="V549" s="1"/>
  <c r="V549" i="40" s="1"/>
  <c r="W549" i="37" a="1"/>
  <c r="W549" s="1"/>
  <c r="W549" i="40" s="1"/>
  <c r="V547" i="37" a="1"/>
  <c r="V547" s="1"/>
  <c r="T545" a="1"/>
  <c r="T545" s="1"/>
  <c r="T545" i="40" s="1"/>
  <c r="AB545" i="37" a="1"/>
  <c r="AB545" s="1"/>
  <c r="AB545" i="40" s="1"/>
  <c r="V543" i="37" a="1"/>
  <c r="V543" s="1"/>
  <c r="V543" i="40" s="1"/>
  <c r="W541" i="37" a="1"/>
  <c r="W541" s="1"/>
  <c r="W541" i="40" s="1"/>
  <c r="U539" i="37" a="1"/>
  <c r="U539" s="1"/>
  <c r="U539" i="40" s="1"/>
  <c r="W539" i="37" a="1"/>
  <c r="W539" s="1"/>
  <c r="W539" i="40" s="1"/>
  <c r="Y537" i="37" a="1"/>
  <c r="Y537" s="1"/>
  <c r="Y537" i="40" s="1"/>
  <c r="V535" i="37" a="1"/>
  <c r="V535" s="1"/>
  <c r="V535" i="40" s="1"/>
  <c r="W533" i="37" a="1"/>
  <c r="W533" s="1"/>
  <c r="W533" i="40" s="1"/>
  <c r="AB533" i="37" a="1"/>
  <c r="AB533" s="1"/>
  <c r="AB533" i="40" s="1"/>
  <c r="Y531" i="37" a="1"/>
  <c r="Y531" s="1"/>
  <c r="Y531" i="40" s="1"/>
  <c r="T529" i="37" a="1"/>
  <c r="T529" s="1"/>
  <c r="T529" i="40" s="1"/>
  <c r="W529" i="37" a="1"/>
  <c r="W529" s="1"/>
  <c r="W529" i="40" s="1"/>
  <c r="AB527" i="37" a="1"/>
  <c r="AB527" s="1"/>
  <c r="AB527" i="40" s="1"/>
  <c r="AA525" i="37" a="1"/>
  <c r="AA525" s="1"/>
  <c r="AA525" i="40" s="1"/>
  <c r="X525" i="37" a="1"/>
  <c r="X525" s="1"/>
  <c r="X525" i="40" s="1"/>
  <c r="X523" i="37" a="1"/>
  <c r="X523" s="1"/>
  <c r="AA521" a="1"/>
  <c r="AA521" s="1"/>
  <c r="AA521" i="40" s="1"/>
  <c r="S519" i="37" a="1"/>
  <c r="S519" s="1"/>
  <c r="S519" i="40" s="1"/>
  <c r="U519" i="37" a="1"/>
  <c r="U519" s="1"/>
  <c r="U519" i="40" s="1"/>
  <c r="U517" i="37" a="1"/>
  <c r="U517" s="1"/>
  <c r="U517" i="40" s="1"/>
  <c r="X515" i="37" a="1"/>
  <c r="X515" s="1"/>
  <c r="X515" i="40" s="1"/>
  <c r="U515" i="37" a="1"/>
  <c r="U515" s="1"/>
  <c r="U515" i="40" s="1"/>
  <c r="Y513" i="37" a="1"/>
  <c r="Y513" s="1"/>
  <c r="Y513" i="40" s="1"/>
  <c r="U511" i="37" a="1"/>
  <c r="U511" s="1"/>
  <c r="U511" i="40" s="1"/>
  <c r="AB509" i="37" a="1"/>
  <c r="AB509" s="1"/>
  <c r="AB509" i="40" s="1"/>
  <c r="V505" i="37" a="1"/>
  <c r="V505" s="1"/>
  <c r="V505" i="40" s="1"/>
  <c r="Y503" i="37" a="1"/>
  <c r="Y503" s="1"/>
  <c r="Y503" i="40" s="1"/>
  <c r="S517" i="37" a="1"/>
  <c r="S517" s="1"/>
  <c r="S517" i="40" s="1"/>
  <c r="S513" i="37" a="1"/>
  <c r="S513" s="1"/>
  <c r="S513" i="40" s="1"/>
  <c r="W509" i="37" a="1"/>
  <c r="W509" s="1"/>
  <c r="W509" i="40" s="1"/>
  <c r="AB503" i="37" a="1"/>
  <c r="AB503" s="1"/>
  <c r="AB503" i="40" s="1"/>
  <c r="V576" i="37" a="1"/>
  <c r="V576" s="1"/>
  <c r="V576" i="40" s="1"/>
  <c r="Y572" i="37" a="1"/>
  <c r="Y572" s="1"/>
  <c r="Y572" i="40" s="1"/>
  <c r="U575" i="37" a="1"/>
  <c r="U575" s="1"/>
  <c r="U575" i="40" s="1"/>
  <c r="V566" i="37" a="1"/>
  <c r="V566" s="1"/>
  <c r="V566" i="40" s="1"/>
  <c r="T560" i="37" a="1"/>
  <c r="T560" s="1"/>
  <c r="T560" i="40" s="1"/>
  <c r="W552" i="37" a="1"/>
  <c r="W552" s="1"/>
  <c r="W552" i="40" s="1"/>
  <c r="W546" i="37" a="1"/>
  <c r="W546" s="1"/>
  <c r="W546" i="40" s="1"/>
  <c r="R540" i="37" a="1"/>
  <c r="R540" s="1"/>
  <c r="R540" i="40" s="1"/>
  <c r="Y536" i="37" a="1"/>
  <c r="Y536" s="1"/>
  <c r="Y536" i="40" s="1"/>
  <c r="T530" i="37" a="1"/>
  <c r="T530" s="1"/>
  <c r="T530" i="40" s="1"/>
  <c r="V524" i="37" a="1"/>
  <c r="V524" s="1"/>
  <c r="V524" i="40" s="1"/>
  <c r="R518" i="37" a="1"/>
  <c r="R518" s="1"/>
  <c r="R518" i="40" s="1"/>
  <c r="V512" i="37" a="1"/>
  <c r="V512" s="1"/>
  <c r="V512" i="40" s="1"/>
  <c r="T506" i="37" a="1"/>
  <c r="T506" s="1"/>
  <c r="T506" i="40" s="1"/>
  <c r="V565" i="37" a="1"/>
  <c r="V565" s="1"/>
  <c r="V565" i="40" s="1"/>
  <c r="S561" i="37" a="1"/>
  <c r="S561" s="1"/>
  <c r="S561" i="40" s="1"/>
  <c r="AA555" i="37" a="1"/>
  <c r="AA555" s="1"/>
  <c r="AA555" i="40" s="1"/>
  <c r="V551" i="37" a="1"/>
  <c r="V551" s="1"/>
  <c r="V551" i="40" s="1"/>
  <c r="U545" i="37" a="1"/>
  <c r="U545" s="1"/>
  <c r="U545" i="40" s="1"/>
  <c r="T539" i="37" a="1"/>
  <c r="T539" s="1"/>
  <c r="T539" i="40" s="1"/>
  <c r="Z533" i="37" a="1"/>
  <c r="Z533" s="1"/>
  <c r="Z533" i="40" s="1"/>
  <c r="Y527" i="37" a="1"/>
  <c r="Y527" s="1"/>
  <c r="Y527" i="40" s="1"/>
  <c r="AA523" i="37" a="1"/>
  <c r="AA523" s="1"/>
  <c r="V517" a="1"/>
  <c r="V517" s="1"/>
  <c r="V517" i="40" s="1"/>
  <c r="S511" i="37" a="1"/>
  <c r="S511" s="1"/>
  <c r="S511" i="40" s="1"/>
  <c r="T505" i="37" a="1"/>
  <c r="T505" s="1"/>
  <c r="T505" i="40" s="1"/>
  <c r="R573" i="37" a="1"/>
  <c r="R573" s="1"/>
  <c r="R573" i="40" s="1"/>
  <c r="U576" i="37" a="1"/>
  <c r="U576" s="1"/>
  <c r="U576" i="40" s="1"/>
  <c r="S570" i="37" a="1"/>
  <c r="S570" s="1"/>
  <c r="S570" i="40" s="1"/>
  <c r="S571" i="37" a="1"/>
  <c r="S571" s="1"/>
  <c r="S571" i="40" s="1"/>
  <c r="Z564" i="37" a="1"/>
  <c r="Z564" s="1"/>
  <c r="Z564" i="40" s="1"/>
  <c r="X558" i="37" a="1"/>
  <c r="X558" s="1"/>
  <c r="X558" i="40" s="1"/>
  <c r="V552" i="37" a="1"/>
  <c r="V552" s="1"/>
  <c r="V552" i="40" s="1"/>
  <c r="R546" i="37" a="1"/>
  <c r="R546" s="1"/>
  <c r="R546" i="40" s="1"/>
  <c r="V540" i="37" a="1"/>
  <c r="V540" s="1"/>
  <c r="V540" i="40" s="1"/>
  <c r="R534" i="37" a="1"/>
  <c r="R534" s="1"/>
  <c r="R534" i="40" s="1"/>
  <c r="AB530" i="37" a="1"/>
  <c r="AB530" s="1"/>
  <c r="AB530" i="40" s="1"/>
  <c r="S524" i="37" a="1"/>
  <c r="S524" s="1"/>
  <c r="S524" i="40" s="1"/>
  <c r="Z518" i="37" a="1"/>
  <c r="Z518" s="1"/>
  <c r="Z518" i="40" s="1"/>
  <c r="AA512" i="37" a="1"/>
  <c r="AA512" s="1"/>
  <c r="AA512" i="40" s="1"/>
  <c r="X508" i="37" a="1"/>
  <c r="X508" s="1"/>
  <c r="X508" i="40" s="1"/>
  <c r="R567" i="37" a="1"/>
  <c r="R567" s="1"/>
  <c r="R567" i="40" s="1"/>
  <c r="T559" i="37" a="1"/>
  <c r="T559" s="1"/>
  <c r="T559" i="40" s="1"/>
  <c r="Z549" i="37" a="1"/>
  <c r="Z549" s="1"/>
  <c r="Z549" i="40" s="1"/>
  <c r="W545" i="37" a="1"/>
  <c r="W545" s="1"/>
  <c r="W545" i="40" s="1"/>
  <c r="S537" i="37" a="1"/>
  <c r="S537" s="1"/>
  <c r="S537" i="40" s="1"/>
  <c r="W531" i="37" a="1"/>
  <c r="W531" s="1"/>
  <c r="W531" i="40" s="1"/>
  <c r="V525" i="37" a="1"/>
  <c r="V525" s="1"/>
  <c r="V525" i="40" s="1"/>
  <c r="Z521" i="37" a="1"/>
  <c r="Z521" s="1"/>
  <c r="Z521" i="40" s="1"/>
  <c r="V513" i="37" a="1"/>
  <c r="V513" s="1"/>
  <c r="V513" i="40" s="1"/>
  <c r="AB507" i="37" a="1"/>
  <c r="AB507" s="1"/>
  <c r="AB507" i="40" s="1"/>
  <c r="AA569" i="37" a="1"/>
  <c r="AA569" s="1"/>
  <c r="T574" a="1"/>
  <c r="T574" s="1"/>
  <c r="T574" i="40" s="1"/>
  <c r="Z579" i="37" a="1"/>
  <c r="Z579" s="1"/>
  <c r="Z579" i="40" s="1"/>
  <c r="V568" i="37" a="1"/>
  <c r="V568" s="1"/>
  <c r="V568" i="40" s="1"/>
  <c r="Y564" i="37" a="1"/>
  <c r="Y564" s="1"/>
  <c r="Y564" i="40" s="1"/>
  <c r="AB556" i="37" a="1"/>
  <c r="AB556" s="1"/>
  <c r="AB556" i="40" s="1"/>
  <c r="U548" i="37" a="1"/>
  <c r="U548" s="1"/>
  <c r="U548" i="40" s="1"/>
  <c r="U544" i="37" a="1"/>
  <c r="U544" s="1"/>
  <c r="U544" i="40" s="1"/>
  <c r="X536" i="37" a="1"/>
  <c r="X536" s="1"/>
  <c r="X536" i="40" s="1"/>
  <c r="Z528" i="37" a="1"/>
  <c r="Z528" s="1"/>
  <c r="Z528" i="40" s="1"/>
  <c r="AB524" i="37" a="1"/>
  <c r="AB524" s="1"/>
  <c r="AB524" i="40" s="1"/>
  <c r="AA518" i="37" a="1"/>
  <c r="AA518" s="1"/>
  <c r="AA518" i="40" s="1"/>
  <c r="R510" i="37" a="1"/>
  <c r="R510" s="1"/>
  <c r="R510" i="40" s="1"/>
  <c r="AA506" i="37" a="1"/>
  <c r="AA506" s="1"/>
  <c r="AA506" i="40" s="1"/>
  <c r="Y563" i="37" a="1"/>
  <c r="Y563" s="1"/>
  <c r="Y563" i="40" s="1"/>
  <c r="S557" i="37" a="1"/>
  <c r="S557" s="1"/>
  <c r="S557" i="40" s="1"/>
  <c r="X551" i="37" a="1"/>
  <c r="X551" s="1"/>
  <c r="X551" i="40" s="1"/>
  <c r="W547" i="37" a="1"/>
  <c r="W547" s="1"/>
  <c r="R539" a="1"/>
  <c r="R539" s="1"/>
  <c r="R539" i="40" s="1"/>
  <c r="AB531" i="37" a="1"/>
  <c r="AB531" s="1"/>
  <c r="AB531" i="40" s="1"/>
  <c r="R525" i="37" a="1"/>
  <c r="R525" s="1"/>
  <c r="R525" i="40" s="1"/>
  <c r="V519" i="37" a="1"/>
  <c r="V519" s="1"/>
  <c r="V519" i="40" s="1"/>
  <c r="R511" i="37" a="1"/>
  <c r="R511" s="1"/>
  <c r="R511" i="40" s="1"/>
  <c r="S505" i="37" a="1"/>
  <c r="S505" s="1"/>
  <c r="S505" i="40" s="1"/>
  <c r="AB569" i="37" a="1"/>
  <c r="AB569" s="1"/>
  <c r="X574" a="1"/>
  <c r="X574" s="1"/>
  <c r="X574" i="40" s="1"/>
  <c r="W579" i="37" a="1"/>
  <c r="W579" s="1"/>
  <c r="W579" i="40" s="1"/>
  <c r="S566" i="37" a="1"/>
  <c r="S566" s="1"/>
  <c r="S566" i="40" s="1"/>
  <c r="AA562" i="37" a="1"/>
  <c r="AA562" s="1"/>
  <c r="AA562" i="40" s="1"/>
  <c r="V554" i="37" a="1"/>
  <c r="V554" s="1"/>
  <c r="V554" i="40" s="1"/>
  <c r="X548" i="37" a="1"/>
  <c r="X548" s="1"/>
  <c r="X548" i="40" s="1"/>
  <c r="V544" i="37" a="1"/>
  <c r="V544" s="1"/>
  <c r="V544" i="40" s="1"/>
  <c r="T536" i="37" a="1"/>
  <c r="T536" s="1"/>
  <c r="T536" i="40" s="1"/>
  <c r="U528" i="37" a="1"/>
  <c r="U528" s="1"/>
  <c r="U528" i="40" s="1"/>
  <c r="U524" i="37" a="1"/>
  <c r="U524" s="1"/>
  <c r="U524" i="40" s="1"/>
  <c r="X518" i="37" a="1"/>
  <c r="X518" s="1"/>
  <c r="X518" i="40" s="1"/>
  <c r="V510" i="37" a="1"/>
  <c r="V510" s="1"/>
  <c r="V510" i="40" s="1"/>
  <c r="U506" i="37" a="1"/>
  <c r="U506" s="1"/>
  <c r="U506" i="40" s="1"/>
  <c r="S563" i="37" a="1"/>
  <c r="S563" s="1"/>
  <c r="S563" i="40" s="1"/>
  <c r="W557" i="37" a="1"/>
  <c r="W557" s="1"/>
  <c r="W557" i="40" s="1"/>
  <c r="Z551" i="37" a="1"/>
  <c r="Z551" s="1"/>
  <c r="Z551" i="40" s="1"/>
  <c r="AA545" i="37" a="1"/>
  <c r="AA545" s="1"/>
  <c r="AA545" i="40" s="1"/>
  <c r="X539" i="37" a="1"/>
  <c r="X539" s="1"/>
  <c r="X539" i="40" s="1"/>
  <c r="U531" i="37" a="1"/>
  <c r="U531" s="1"/>
  <c r="U531" i="40" s="1"/>
  <c r="AB525" i="37" a="1"/>
  <c r="AB525" s="1"/>
  <c r="AB525" i="40" s="1"/>
  <c r="Z519" i="37" a="1"/>
  <c r="Z519" s="1"/>
  <c r="Z519" i="40" s="1"/>
  <c r="V511" i="37" a="1"/>
  <c r="V511" s="1"/>
  <c r="V511" i="40" s="1"/>
  <c r="Z507" i="37" a="1"/>
  <c r="Z507" s="1"/>
  <c r="Z507" i="40" s="1"/>
  <c r="W577" i="37" a="1"/>
  <c r="W577" s="1"/>
  <c r="W577" i="40" s="1"/>
  <c r="Y577" i="37" a="1"/>
  <c r="Y577" s="1"/>
  <c r="Y577" i="40" s="1"/>
  <c r="W573" i="37" a="1"/>
  <c r="W573" s="1"/>
  <c r="W573" i="40" s="1"/>
  <c r="R569" i="37" a="1"/>
  <c r="R569" s="1"/>
  <c r="T578" a="1"/>
  <c r="T578" s="1"/>
  <c r="T578" i="40" s="1"/>
  <c r="U578" i="37" a="1"/>
  <c r="U578" s="1"/>
  <c r="U578" i="40" s="1"/>
  <c r="AB576" i="37" a="1"/>
  <c r="AB576" s="1"/>
  <c r="AB576" i="40" s="1"/>
  <c r="AA574" i="37" a="1"/>
  <c r="AA574" s="1"/>
  <c r="AA574" i="40" s="1"/>
  <c r="Z572" i="37" a="1"/>
  <c r="Z572" s="1"/>
  <c r="Z572" i="40" s="1"/>
  <c r="U572" i="37" a="1"/>
  <c r="U572" s="1"/>
  <c r="U572" i="40" s="1"/>
  <c r="AB570" i="37" a="1"/>
  <c r="AB570" s="1"/>
  <c r="AB570" i="40" s="1"/>
  <c r="S579" i="37" a="1"/>
  <c r="S579" s="1"/>
  <c r="S579" i="40" s="1"/>
  <c r="V579" i="37" a="1"/>
  <c r="V579" s="1"/>
  <c r="V579" i="40" s="1"/>
  <c r="S575" i="37" a="1"/>
  <c r="S575" s="1"/>
  <c r="S575" i="40" s="1"/>
  <c r="V571" i="37" a="1"/>
  <c r="V571" s="1"/>
  <c r="V571" i="40" s="1"/>
  <c r="S568" i="37" a="1"/>
  <c r="S568" s="1"/>
  <c r="S568" i="40" s="1"/>
  <c r="U568" i="37" a="1"/>
  <c r="U568" s="1"/>
  <c r="U568" i="40" s="1"/>
  <c r="T566" i="37" a="1"/>
  <c r="T566" s="1"/>
  <c r="T566" i="40" s="1"/>
  <c r="AA564" i="37" a="1"/>
  <c r="AA564" s="1"/>
  <c r="AA564" i="40" s="1"/>
  <c r="AB562" i="37" a="1"/>
  <c r="AB562" s="1"/>
  <c r="AB562" i="40" s="1"/>
  <c r="U562" i="37" a="1"/>
  <c r="U562" s="1"/>
  <c r="U562" i="40" s="1"/>
  <c r="X560" i="37" a="1"/>
  <c r="X560" s="1"/>
  <c r="X560" i="40" s="1"/>
  <c r="Z558" i="37" a="1"/>
  <c r="Z558" s="1"/>
  <c r="Z558" i="40" s="1"/>
  <c r="AB558" i="37" a="1"/>
  <c r="AB558" s="1"/>
  <c r="AB558" i="40" s="1"/>
  <c r="T556" i="37" a="1"/>
  <c r="T556" s="1"/>
  <c r="T556" i="40" s="1"/>
  <c r="Z554" i="37" a="1"/>
  <c r="Z554" s="1"/>
  <c r="Z554" i="40" s="1"/>
  <c r="Y552" i="37" a="1"/>
  <c r="Y552" s="1"/>
  <c r="Y552" i="40" s="1"/>
  <c r="R552" i="37" a="1"/>
  <c r="R552" s="1"/>
  <c r="R552" i="40" s="1"/>
  <c r="R550" i="37" a="1"/>
  <c r="R550" s="1"/>
  <c r="R550" i="40" s="1"/>
  <c r="AA548" i="37" a="1"/>
  <c r="AA548" s="1"/>
  <c r="AA548" i="40" s="1"/>
  <c r="R548" i="37" a="1"/>
  <c r="R548" s="1"/>
  <c r="R548" i="40" s="1"/>
  <c r="V546" i="37" a="1"/>
  <c r="V546" s="1"/>
  <c r="V546" i="40" s="1"/>
  <c r="R544" i="37" a="1"/>
  <c r="R544" s="1"/>
  <c r="R544" i="40" s="1"/>
  <c r="T542" i="37" a="1"/>
  <c r="T542" s="1"/>
  <c r="T542" i="40" s="1"/>
  <c r="U542" i="37" a="1"/>
  <c r="U542" s="1"/>
  <c r="U542" i="40" s="1"/>
  <c r="X540" i="37" a="1"/>
  <c r="X540" s="1"/>
  <c r="X540" i="40" s="1"/>
  <c r="Y538" i="37" a="1"/>
  <c r="Y538" s="1"/>
  <c r="Y538" i="40" s="1"/>
  <c r="S536" i="37" a="1"/>
  <c r="S536" s="1"/>
  <c r="S536" i="40" s="1"/>
  <c r="U536" i="37" a="1"/>
  <c r="U536" s="1"/>
  <c r="U536" i="40" s="1"/>
  <c r="U534" i="37" a="1"/>
  <c r="U534" s="1"/>
  <c r="U534" i="40" s="1"/>
  <c r="AA532" i="37" a="1"/>
  <c r="AA532" s="1"/>
  <c r="AA532" i="40" s="1"/>
  <c r="Y532" i="37" a="1"/>
  <c r="Y532" s="1"/>
  <c r="Y532" i="40" s="1"/>
  <c r="S530" i="37" a="1"/>
  <c r="S530" s="1"/>
  <c r="S530" i="40" s="1"/>
  <c r="W528" i="37" a="1"/>
  <c r="W528" s="1"/>
  <c r="W528" i="40" s="1"/>
  <c r="W526" i="37" a="1"/>
  <c r="W526" s="1"/>
  <c r="W526" i="40" s="1"/>
  <c r="V526" i="37" a="1"/>
  <c r="V526" s="1"/>
  <c r="V526" i="40" s="1"/>
  <c r="Z524" i="37" a="1"/>
  <c r="Z524" s="1"/>
  <c r="Z524" i="40" s="1"/>
  <c r="R522" i="37" a="1"/>
  <c r="R522" s="1"/>
  <c r="R522" i="40" s="1"/>
  <c r="Z520" i="37" a="1"/>
  <c r="Z520" s="1"/>
  <c r="Z520" i="40" s="1"/>
  <c r="U520" i="37" a="1"/>
  <c r="U520" s="1"/>
  <c r="U520" i="40" s="1"/>
  <c r="U518" i="37" a="1"/>
  <c r="U518" s="1"/>
  <c r="U518" i="40" s="1"/>
  <c r="U516" i="37" a="1"/>
  <c r="U516" s="1"/>
  <c r="U516" i="40" s="1"/>
  <c r="R516" i="37" a="1"/>
  <c r="R516" s="1"/>
  <c r="R516" i="40" s="1"/>
  <c r="R514" i="37" a="1"/>
  <c r="R514" s="1"/>
  <c r="R514" i="40" s="1"/>
  <c r="AB512" i="37" a="1"/>
  <c r="AB512" s="1"/>
  <c r="AB512" i="40" s="1"/>
  <c r="AA510" i="37" a="1"/>
  <c r="AA510" s="1"/>
  <c r="AA510" i="40" s="1"/>
  <c r="W510" i="37" a="1"/>
  <c r="W510" s="1"/>
  <c r="W510" i="40" s="1"/>
  <c r="T508" i="37" a="1"/>
  <c r="T508" s="1"/>
  <c r="T508" i="40" s="1"/>
  <c r="V506" i="37" a="1"/>
  <c r="V506" s="1"/>
  <c r="V506" i="40" s="1"/>
  <c r="W504" i="37" a="1"/>
  <c r="W504" s="1"/>
  <c r="W504" i="40" s="1"/>
  <c r="X504" i="37" a="1"/>
  <c r="X504" s="1"/>
  <c r="X504" i="40" s="1"/>
  <c r="W567" i="37" a="1"/>
  <c r="W567" s="1"/>
  <c r="W567" i="40" s="1"/>
  <c r="X565" i="37" a="1"/>
  <c r="X565" s="1"/>
  <c r="X565" i="40" s="1"/>
  <c r="U565" i="37" a="1"/>
  <c r="U565" s="1"/>
  <c r="U565" i="40" s="1"/>
  <c r="W563" i="37" a="1"/>
  <c r="W563" s="1"/>
  <c r="W563" i="40" s="1"/>
  <c r="X561" i="37" a="1"/>
  <c r="X561" s="1"/>
  <c r="X561" i="40" s="1"/>
  <c r="AB559" i="37" a="1"/>
  <c r="AB559" s="1"/>
  <c r="AB559" i="40" s="1"/>
  <c r="R559" i="37" a="1"/>
  <c r="R559" s="1"/>
  <c r="R559" i="40" s="1"/>
  <c r="Z557" i="37" a="1"/>
  <c r="Z557" s="1"/>
  <c r="Z557" i="40" s="1"/>
  <c r="V555" i="37" a="1"/>
  <c r="V555" s="1"/>
  <c r="V555" i="40" s="1"/>
  <c r="AA553" i="37" a="1"/>
  <c r="AA553" s="1"/>
  <c r="AA553" i="40" s="1"/>
  <c r="S553" i="37" a="1"/>
  <c r="S553" s="1"/>
  <c r="S553" i="40" s="1"/>
  <c r="R551" i="37" a="1"/>
  <c r="R551" s="1"/>
  <c r="R551" i="40" s="1"/>
  <c r="AB549" i="37" a="1"/>
  <c r="AB549" s="1"/>
  <c r="AB549" i="40" s="1"/>
  <c r="R549" i="37" a="1"/>
  <c r="R549" s="1"/>
  <c r="R549" i="40" s="1"/>
  <c r="X547" i="37" a="1"/>
  <c r="X547" s="1"/>
  <c r="Y545" a="1"/>
  <c r="Y545" s="1"/>
  <c r="Y545" i="40" s="1"/>
  <c r="Z543" i="37" a="1"/>
  <c r="Z543" s="1"/>
  <c r="Z543" i="40" s="1"/>
  <c r="AA543" i="37" a="1"/>
  <c r="AA543" s="1"/>
  <c r="AA543" i="40" s="1"/>
  <c r="V541" i="37" a="1"/>
  <c r="V541" s="1"/>
  <c r="V541" i="40" s="1"/>
  <c r="Z539" i="37" a="1"/>
  <c r="Z539" s="1"/>
  <c r="Z539" i="40" s="1"/>
  <c r="S539" i="37" a="1"/>
  <c r="S539" s="1"/>
  <c r="S539" i="40" s="1"/>
  <c r="AA537" i="37" a="1"/>
  <c r="AA537" s="1"/>
  <c r="AA537" i="40" s="1"/>
  <c r="U535" i="37" a="1"/>
  <c r="U535" s="1"/>
  <c r="U535" i="40" s="1"/>
  <c r="AA533" i="37" a="1"/>
  <c r="AA533" s="1"/>
  <c r="AA533" i="40" s="1"/>
  <c r="S533" i="37" a="1"/>
  <c r="S533" s="1"/>
  <c r="S533" i="40" s="1"/>
  <c r="X531" i="37" a="1"/>
  <c r="X531" s="1"/>
  <c r="X531" i="40" s="1"/>
  <c r="AA529" i="37" a="1"/>
  <c r="AA529" s="1"/>
  <c r="AA529" i="40" s="1"/>
  <c r="U529" i="37" a="1"/>
  <c r="U529" s="1"/>
  <c r="U529" i="40" s="1"/>
  <c r="X527" i="37" a="1"/>
  <c r="X527" s="1"/>
  <c r="X527" i="40" s="1"/>
  <c r="U525" i="37" a="1"/>
  <c r="U525" s="1"/>
  <c r="U525" i="40" s="1"/>
  <c r="V523" i="37" a="1"/>
  <c r="V523" s="1"/>
  <c r="R523" a="1"/>
  <c r="R523" s="1"/>
  <c r="S521" a="1"/>
  <c r="S521" s="1"/>
  <c r="S521" i="40" s="1"/>
  <c r="AB519" i="37" a="1"/>
  <c r="AB519" s="1"/>
  <c r="AB519" i="40" s="1"/>
  <c r="V515" i="37" a="1"/>
  <c r="V515" s="1"/>
  <c r="V515" i="40" s="1"/>
  <c r="Y511" i="37" a="1"/>
  <c r="Y511" s="1"/>
  <c r="Y511" i="40" s="1"/>
  <c r="U507" i="37" a="1"/>
  <c r="U507" s="1"/>
  <c r="U507" i="40" s="1"/>
  <c r="T503" i="37" a="1"/>
  <c r="T503" s="1"/>
  <c r="T503" i="40" s="1"/>
  <c r="W574" i="37" a="1"/>
  <c r="W574" s="1"/>
  <c r="W574" i="40" s="1"/>
  <c r="T579" i="37" a="1"/>
  <c r="T579" s="1"/>
  <c r="T579" i="40" s="1"/>
  <c r="W568" i="37" a="1"/>
  <c r="W568" s="1"/>
  <c r="W568" i="40" s="1"/>
  <c r="T562" i="37" a="1"/>
  <c r="T562" s="1"/>
  <c r="T562" i="40" s="1"/>
  <c r="S556" i="37" a="1"/>
  <c r="S556" s="1"/>
  <c r="S556" i="40" s="1"/>
  <c r="AA552" i="37" a="1"/>
  <c r="AA552" s="1"/>
  <c r="AA552" i="40" s="1"/>
  <c r="S546" i="37" a="1"/>
  <c r="S546" s="1"/>
  <c r="S546" i="40" s="1"/>
  <c r="W540" i="37" a="1"/>
  <c r="W540" s="1"/>
  <c r="W540" i="40" s="1"/>
  <c r="S534" i="37" a="1"/>
  <c r="S534" s="1"/>
  <c r="S534" i="40" s="1"/>
  <c r="R526" i="37" a="1"/>
  <c r="R526" s="1"/>
  <c r="R526" i="40" s="1"/>
  <c r="X520" i="37" a="1"/>
  <c r="X520" s="1"/>
  <c r="X520" i="40" s="1"/>
  <c r="T514" i="37" a="1"/>
  <c r="T514" s="1"/>
  <c r="T514" i="40" s="1"/>
  <c r="Y508" i="37" a="1"/>
  <c r="Y508" s="1"/>
  <c r="Y508" i="40" s="1"/>
  <c r="X567" i="37" a="1"/>
  <c r="X567" s="1"/>
  <c r="X567" i="40" s="1"/>
  <c r="AA559" i="37" a="1"/>
  <c r="AA559" s="1"/>
  <c r="AA559" i="40" s="1"/>
  <c r="Y553" i="37" a="1"/>
  <c r="Y553" s="1"/>
  <c r="Y553" i="40" s="1"/>
  <c r="AB547" i="37" a="1"/>
  <c r="AB547" s="1"/>
  <c r="T541" a="1"/>
  <c r="T541" s="1"/>
  <c r="T541" i="40" s="1"/>
  <c r="T535" i="37" a="1"/>
  <c r="T535" s="1"/>
  <c r="T535" i="40" s="1"/>
  <c r="S529" i="37" a="1"/>
  <c r="S529" s="1"/>
  <c r="S529" i="40" s="1"/>
  <c r="W523" i="37" a="1"/>
  <c r="W523" s="1"/>
  <c r="W517" a="1"/>
  <c r="W517" s="1"/>
  <c r="W517" i="40" s="1"/>
  <c r="U513" i="37" a="1"/>
  <c r="U513" s="1"/>
  <c r="U513" i="40" s="1"/>
  <c r="V507" i="37" a="1"/>
  <c r="V507" s="1"/>
  <c r="V507" i="40" s="1"/>
  <c r="W569" i="37" a="1"/>
  <c r="W569" s="1"/>
  <c r="Y574" a="1"/>
  <c r="Y574" s="1"/>
  <c r="Y574" i="40" s="1"/>
  <c r="R575" i="37" a="1"/>
  <c r="R575" s="1"/>
  <c r="R575" i="40" s="1"/>
  <c r="U566" i="37" a="1"/>
  <c r="U566" s="1"/>
  <c r="U566" i="40" s="1"/>
  <c r="Y560" i="37" a="1"/>
  <c r="Y560" s="1"/>
  <c r="Y560" i="40" s="1"/>
  <c r="V556" i="37" a="1"/>
  <c r="V556" s="1"/>
  <c r="V556" i="40" s="1"/>
  <c r="T550" i="37" a="1"/>
  <c r="T550" s="1"/>
  <c r="T550" i="40" s="1"/>
  <c r="Z544" i="37" a="1"/>
  <c r="Z544" s="1"/>
  <c r="Z544" i="40" s="1"/>
  <c r="V536" i="37" a="1"/>
  <c r="V536" s="1"/>
  <c r="V536" i="40" s="1"/>
  <c r="Y530" i="37" a="1"/>
  <c r="Y530" s="1"/>
  <c r="Y530" i="40" s="1"/>
  <c r="R524" i="37" a="1"/>
  <c r="R524" s="1"/>
  <c r="R524" i="40" s="1"/>
  <c r="Y520" i="37" a="1"/>
  <c r="Y520" s="1"/>
  <c r="Y520" i="40" s="1"/>
  <c r="V514" i="37" a="1"/>
  <c r="V514" s="1"/>
  <c r="V514" i="40" s="1"/>
  <c r="S508" i="37" a="1"/>
  <c r="S508" s="1"/>
  <c r="S508" i="40" s="1"/>
  <c r="R565" i="37" a="1"/>
  <c r="R565" s="1"/>
  <c r="R565" i="40" s="1"/>
  <c r="X557" i="37" a="1"/>
  <c r="X557" s="1"/>
  <c r="X557" i="40" s="1"/>
  <c r="T551" i="37" a="1"/>
  <c r="T551" s="1"/>
  <c r="T551" i="40" s="1"/>
  <c r="R547" i="37" a="1"/>
  <c r="R547" s="1"/>
  <c r="AB539" a="1"/>
  <c r="AB539" s="1"/>
  <c r="AB539" i="40" s="1"/>
  <c r="V531" i="37" a="1"/>
  <c r="V531" s="1"/>
  <c r="V531" i="40" s="1"/>
  <c r="U523" i="37" a="1"/>
  <c r="U523" s="1"/>
  <c r="R517" a="1"/>
  <c r="R517" s="1"/>
  <c r="R517" i="40" s="1"/>
  <c r="Z511" i="37" a="1"/>
  <c r="Z511" s="1"/>
  <c r="Z511" i="40" s="1"/>
  <c r="W503" i="37" a="1"/>
  <c r="W503" s="1"/>
  <c r="W503" i="40" s="1"/>
  <c r="T577" i="37" a="1"/>
  <c r="T577" s="1"/>
  <c r="T577" i="40" s="1"/>
  <c r="Z576" i="37" a="1"/>
  <c r="Z576" s="1"/>
  <c r="Z576" i="40" s="1"/>
  <c r="R570" i="37" a="1"/>
  <c r="R570" s="1"/>
  <c r="R570" i="40" s="1"/>
  <c r="Y571" i="37" a="1"/>
  <c r="Y571" s="1"/>
  <c r="Y571" i="40" s="1"/>
  <c r="S562" i="37" a="1"/>
  <c r="S562" s="1"/>
  <c r="S562" i="40" s="1"/>
  <c r="W554" i="37" a="1"/>
  <c r="W554" s="1"/>
  <c r="W554" i="40" s="1"/>
  <c r="AA544" i="37" a="1"/>
  <c r="AA544" s="1"/>
  <c r="AA544" i="40" s="1"/>
  <c r="W538" i="37" a="1"/>
  <c r="W538" s="1"/>
  <c r="W538" i="40" s="1"/>
  <c r="X534" i="37" a="1"/>
  <c r="X534" s="1"/>
  <c r="X534" i="40" s="1"/>
  <c r="Y526" i="37" a="1"/>
  <c r="Y526" s="1"/>
  <c r="Y526" i="40" s="1"/>
  <c r="T518" i="37" a="1"/>
  <c r="T518" s="1"/>
  <c r="T518" i="40" s="1"/>
  <c r="U512" i="37" a="1"/>
  <c r="U512" s="1"/>
  <c r="U512" i="40" s="1"/>
  <c r="R508" i="37" a="1"/>
  <c r="R508" s="1"/>
  <c r="R508" i="40" s="1"/>
  <c r="T565" i="37" a="1"/>
  <c r="T565" s="1"/>
  <c r="T565" i="40" s="1"/>
  <c r="U557" i="37" a="1"/>
  <c r="U557" s="1"/>
  <c r="U557" i="40" s="1"/>
  <c r="Y551" i="37" a="1"/>
  <c r="Y551" s="1"/>
  <c r="Y551" i="40" s="1"/>
  <c r="W543" i="37" a="1"/>
  <c r="W543" s="1"/>
  <c r="W543" i="40" s="1"/>
  <c r="X537" i="37" a="1"/>
  <c r="X537" s="1"/>
  <c r="X537" i="40" s="1"/>
  <c r="Z531" i="37" a="1"/>
  <c r="Z531" s="1"/>
  <c r="Z531" i="40" s="1"/>
  <c r="U521" i="37" a="1"/>
  <c r="U521" s="1"/>
  <c r="U521" i="40" s="1"/>
  <c r="T517" i="37" a="1"/>
  <c r="T517" s="1"/>
  <c r="T517" i="40" s="1"/>
  <c r="T511" i="37" a="1"/>
  <c r="T511" s="1"/>
  <c r="T511" i="40" s="1"/>
  <c r="U503" i="37" a="1"/>
  <c r="U503" s="1"/>
  <c r="U503" i="40" s="1"/>
  <c r="T573" i="37" a="1"/>
  <c r="T573" s="1"/>
  <c r="T573" i="40" s="1"/>
  <c r="S572" i="37" a="1"/>
  <c r="S572" s="1"/>
  <c r="S572" i="40" s="1"/>
  <c r="R571" i="37" a="1"/>
  <c r="R571" s="1"/>
  <c r="R571" i="40" s="1"/>
  <c r="S564" i="37" a="1"/>
  <c r="S564" s="1"/>
  <c r="S564" i="40" s="1"/>
  <c r="AA560" i="37" a="1"/>
  <c r="AA560" s="1"/>
  <c r="AA560" i="40" s="1"/>
  <c r="U552" i="37" a="1"/>
  <c r="U552" s="1"/>
  <c r="U552" i="40" s="1"/>
  <c r="Y544" i="37" a="1"/>
  <c r="Y544" s="1"/>
  <c r="Y544" i="40" s="1"/>
  <c r="R538" i="37" a="1"/>
  <c r="R538" s="1"/>
  <c r="R538" i="40" s="1"/>
  <c r="W530" i="37" a="1"/>
  <c r="W530" s="1"/>
  <c r="W530" i="40" s="1"/>
  <c r="U526" i="37" a="1"/>
  <c r="U526" s="1"/>
  <c r="U526" i="40" s="1"/>
  <c r="W518" i="37" a="1"/>
  <c r="W518" s="1"/>
  <c r="W518" i="40" s="1"/>
  <c r="W512" i="37" a="1"/>
  <c r="W512" s="1"/>
  <c r="W512" i="40" s="1"/>
  <c r="X506" i="37" a="1"/>
  <c r="X506" s="1"/>
  <c r="X506" i="40" s="1"/>
  <c r="AB565" i="37" a="1"/>
  <c r="AB565" s="1"/>
  <c r="AB565" i="40" s="1"/>
  <c r="X555" i="37" a="1"/>
  <c r="X555" s="1"/>
  <c r="X555" i="40" s="1"/>
  <c r="U549" i="37" a="1"/>
  <c r="U549" s="1"/>
  <c r="U549" i="40" s="1"/>
  <c r="V545" i="37" a="1"/>
  <c r="V545" s="1"/>
  <c r="V545" i="40" s="1"/>
  <c r="R537" i="37" a="1"/>
  <c r="R537" s="1"/>
  <c r="R537" i="40" s="1"/>
  <c r="X529" i="37" a="1"/>
  <c r="X529" s="1"/>
  <c r="X529" i="40" s="1"/>
  <c r="T521" i="37" a="1"/>
  <c r="T521" s="1"/>
  <c r="T521" i="40" s="1"/>
  <c r="Z517" i="37" a="1"/>
  <c r="Z517" s="1"/>
  <c r="Z517" i="40" s="1"/>
  <c r="AA511" i="37" a="1"/>
  <c r="AA511" s="1"/>
  <c r="AA511" i="40" s="1"/>
  <c r="S503" i="37" a="1"/>
  <c r="S503" s="1"/>
  <c r="S503" i="40" s="1"/>
  <c r="V577" i="37" a="1"/>
  <c r="V577" s="1"/>
  <c r="V577" i="40" s="1"/>
  <c r="V573" i="37" a="1"/>
  <c r="V573" s="1"/>
  <c r="V573" i="40" s="1"/>
  <c r="X573" i="37" a="1"/>
  <c r="X573" s="1"/>
  <c r="X573" i="40" s="1"/>
  <c r="X569" i="37" a="1"/>
  <c r="X569" s="1"/>
  <c r="Y578" a="1"/>
  <c r="Y578" s="1"/>
  <c r="Y578" i="40" s="1"/>
  <c r="Z578" i="37" a="1"/>
  <c r="Z578" s="1"/>
  <c r="Z578" i="40" s="1"/>
  <c r="R576" i="37" a="1"/>
  <c r="R576" s="1"/>
  <c r="R576" i="40" s="1"/>
  <c r="U574" i="37" a="1"/>
  <c r="U574" s="1"/>
  <c r="U574" i="40" s="1"/>
  <c r="T572" i="37" a="1"/>
  <c r="T572" s="1"/>
  <c r="T572" i="40" s="1"/>
  <c r="V572" i="37" a="1"/>
  <c r="V572" s="1"/>
  <c r="V572" i="40" s="1"/>
  <c r="X570" i="37" a="1"/>
  <c r="X570" s="1"/>
  <c r="X570" i="40" s="1"/>
  <c r="X579" i="37" a="1"/>
  <c r="X579" s="1"/>
  <c r="X579" i="40" s="1"/>
  <c r="Z575" i="37" a="1"/>
  <c r="Z575" s="1"/>
  <c r="Z575" i="40" s="1"/>
  <c r="T575" i="37" a="1"/>
  <c r="T575" s="1"/>
  <c r="T575" i="40" s="1"/>
  <c r="AA571" i="37" a="1"/>
  <c r="AA571" s="1"/>
  <c r="AA571" i="40" s="1"/>
  <c r="R568" i="37" a="1"/>
  <c r="R568" s="1"/>
  <c r="R568" i="40" s="1"/>
  <c r="Z568" i="37" a="1"/>
  <c r="Z568" s="1"/>
  <c r="Z568" i="40" s="1"/>
  <c r="X566" i="37" a="1"/>
  <c r="X566" s="1"/>
  <c r="X566" i="40" s="1"/>
  <c r="U564" i="37" a="1"/>
  <c r="U564" s="1"/>
  <c r="U564" i="40" s="1"/>
  <c r="Z562" i="37" a="1"/>
  <c r="Z562" s="1"/>
  <c r="Z562" i="40" s="1"/>
  <c r="R562" i="37" a="1"/>
  <c r="R562" s="1"/>
  <c r="R562" i="40" s="1"/>
  <c r="S560" i="37" a="1"/>
  <c r="S560" s="1"/>
  <c r="S560" i="40" s="1"/>
  <c r="Y558" i="37" a="1"/>
  <c r="Y558" s="1"/>
  <c r="Y558" i="40" s="1"/>
  <c r="Y556" i="37" a="1"/>
  <c r="Y556" s="1"/>
  <c r="Y556" i="40" s="1"/>
  <c r="Z556" i="37" a="1"/>
  <c r="Z556" s="1"/>
  <c r="Z556" i="40" s="1"/>
  <c r="T554" i="37" a="1"/>
  <c r="T554" s="1"/>
  <c r="T554" i="40" s="1"/>
  <c r="S552" i="37" a="1"/>
  <c r="S552" s="1"/>
  <c r="S552" i="40" s="1"/>
  <c r="Z552" i="37" a="1"/>
  <c r="Z552" s="1"/>
  <c r="Z552" i="40" s="1"/>
  <c r="AA550" i="37" a="1"/>
  <c r="AA550" s="1"/>
  <c r="AA550" i="40" s="1"/>
  <c r="Z548" i="37" a="1"/>
  <c r="Z548" s="1"/>
  <c r="Z548" i="40" s="1"/>
  <c r="AB546" i="37" a="1"/>
  <c r="AB546" s="1"/>
  <c r="AB546" i="40" s="1"/>
  <c r="X546" i="37" a="1"/>
  <c r="X546" s="1"/>
  <c r="X546" i="40" s="1"/>
  <c r="T544" i="37" a="1"/>
  <c r="T544" s="1"/>
  <c r="T544" i="40" s="1"/>
  <c r="X542" i="37" a="1"/>
  <c r="X542" s="1"/>
  <c r="X542" i="40" s="1"/>
  <c r="Y542" i="37" a="1"/>
  <c r="Y542" s="1"/>
  <c r="Y542" i="40" s="1"/>
  <c r="Y540" i="37" a="1"/>
  <c r="Y540" s="1"/>
  <c r="Y540" i="40" s="1"/>
  <c r="S538" i="37" a="1"/>
  <c r="S538" s="1"/>
  <c r="S538" i="40" s="1"/>
  <c r="W536" i="37" a="1"/>
  <c r="W536" s="1"/>
  <c r="W536" i="40" s="1"/>
  <c r="AA536" i="37" a="1"/>
  <c r="AA536" s="1"/>
  <c r="AA536" i="40" s="1"/>
  <c r="W534" i="37" a="1"/>
  <c r="W534" s="1"/>
  <c r="W534" i="40" s="1"/>
  <c r="S532" i="37" a="1"/>
  <c r="S532" s="1"/>
  <c r="S532" i="40" s="1"/>
  <c r="U530" i="37" a="1"/>
  <c r="U530" s="1"/>
  <c r="U530" i="40" s="1"/>
  <c r="X530" i="37" a="1"/>
  <c r="X530" s="1"/>
  <c r="X530" i="40" s="1"/>
  <c r="V528" i="37" a="1"/>
  <c r="V528" s="1"/>
  <c r="V528" i="40" s="1"/>
  <c r="X526" i="37" a="1"/>
  <c r="X526" s="1"/>
  <c r="X526" i="40" s="1"/>
  <c r="S526" i="37" a="1"/>
  <c r="S526" s="1"/>
  <c r="S526" i="40" s="1"/>
  <c r="Y524" i="37" a="1"/>
  <c r="Y524" s="1"/>
  <c r="Y524" i="40" s="1"/>
  <c r="Z522" i="37" a="1"/>
  <c r="Z522" s="1"/>
  <c r="Z522" i="40" s="1"/>
  <c r="S520" i="37" a="1"/>
  <c r="S520" s="1"/>
  <c r="S520" i="40" s="1"/>
  <c r="W520" i="37" a="1"/>
  <c r="W520" s="1"/>
  <c r="W520" i="40" s="1"/>
  <c r="Y518" i="37" a="1"/>
  <c r="Y518" s="1"/>
  <c r="Y518" i="40" s="1"/>
  <c r="W516" i="37" a="1"/>
  <c r="W516" s="1"/>
  <c r="W516" i="40" s="1"/>
  <c r="Y514" i="37" a="1"/>
  <c r="Y514" s="1"/>
  <c r="W514" a="1"/>
  <c r="W514" s="1"/>
  <c r="W514" i="40" s="1"/>
  <c r="Z512" i="37" a="1"/>
  <c r="Z512" s="1"/>
  <c r="Z512" i="40" s="1"/>
  <c r="T510" i="37" a="1"/>
  <c r="T510" s="1"/>
  <c r="T510" i="40" s="1"/>
  <c r="U510" i="37" a="1"/>
  <c r="U510" s="1"/>
  <c r="U510" i="40" s="1"/>
  <c r="W508" i="37" a="1"/>
  <c r="W508" s="1"/>
  <c r="W508" i="40" s="1"/>
  <c r="Z506" i="37" a="1"/>
  <c r="Z506" s="1"/>
  <c r="Z506" i="40" s="1"/>
  <c r="AA504" i="37" a="1"/>
  <c r="AA504" s="1"/>
  <c r="AA504" i="40" s="1"/>
  <c r="Z504" i="37" a="1"/>
  <c r="Z504" s="1"/>
  <c r="Z504" i="40" s="1"/>
  <c r="Y567" i="37" a="1"/>
  <c r="Y567" s="1"/>
  <c r="Y567" i="40" s="1"/>
  <c r="W565" i="37" a="1"/>
  <c r="W565" s="1"/>
  <c r="W565" i="40" s="1"/>
  <c r="V563" i="37" a="1"/>
  <c r="V563" s="1"/>
  <c r="V563" i="40" s="1"/>
  <c r="R563" i="37" a="1"/>
  <c r="R563" s="1"/>
  <c r="R563" i="40" s="1"/>
  <c r="V561" i="37" a="1"/>
  <c r="V561" s="1"/>
  <c r="V561" i="40" s="1"/>
  <c r="U559" i="37" a="1"/>
  <c r="U559" s="1"/>
  <c r="U559" i="40" s="1"/>
  <c r="W559" i="37" a="1"/>
  <c r="W559" s="1"/>
  <c r="W559" i="40" s="1"/>
  <c r="AA557" i="37" a="1"/>
  <c r="AA557" s="1"/>
  <c r="AA557" i="40" s="1"/>
  <c r="U555" i="37" a="1"/>
  <c r="U555" s="1"/>
  <c r="U555" i="40" s="1"/>
  <c r="T553" i="37" a="1"/>
  <c r="T553" s="1"/>
  <c r="T553" i="40" s="1"/>
  <c r="V553" i="37" a="1"/>
  <c r="V553" s="1"/>
  <c r="V553" i="40" s="1"/>
  <c r="AA551" i="37" a="1"/>
  <c r="AA551" s="1"/>
  <c r="AA551" i="40" s="1"/>
  <c r="AA549" i="37" a="1"/>
  <c r="AA549" s="1"/>
  <c r="AA549" i="40" s="1"/>
  <c r="Y549" i="37" a="1"/>
  <c r="Y549" s="1"/>
  <c r="Y549" i="40" s="1"/>
  <c r="S547" i="37" a="1"/>
  <c r="S547" s="1"/>
  <c r="S545" a="1"/>
  <c r="S545" s="1"/>
  <c r="S545" i="40" s="1"/>
  <c r="T543" i="37" a="1"/>
  <c r="T543" s="1"/>
  <c r="T543" i="40" s="1"/>
  <c r="U543" i="37" a="1"/>
  <c r="U543" s="1"/>
  <c r="U543" i="40" s="1"/>
  <c r="U541" i="37" a="1"/>
  <c r="U541" s="1"/>
  <c r="U541" i="40" s="1"/>
  <c r="Y539" i="37" a="1"/>
  <c r="Y539" s="1"/>
  <c r="Y539" i="40" s="1"/>
  <c r="Z537" i="37" a="1"/>
  <c r="Z537" s="1"/>
  <c r="Z537" i="40" s="1"/>
  <c r="V537" i="37" a="1"/>
  <c r="V537" s="1"/>
  <c r="V537" i="40" s="1"/>
  <c r="W535" i="37" a="1"/>
  <c r="W535" s="1"/>
  <c r="W535" i="40" s="1"/>
  <c r="V533" i="37" a="1"/>
  <c r="V533" s="1"/>
  <c r="V533" i="40" s="1"/>
  <c r="X533" i="37" a="1"/>
  <c r="X533" s="1"/>
  <c r="X533" i="40" s="1"/>
  <c r="S531" i="37" a="1"/>
  <c r="S531" s="1"/>
  <c r="S531" i="40" s="1"/>
  <c r="AB529" i="37" a="1"/>
  <c r="AB529" s="1"/>
  <c r="AB529" i="40" s="1"/>
  <c r="AA527" i="37" a="1"/>
  <c r="AA527" s="1"/>
  <c r="AA527" i="40" s="1"/>
  <c r="V527" i="37" a="1"/>
  <c r="V527" s="1"/>
  <c r="V527" i="40" s="1"/>
  <c r="Y525" i="37" a="1"/>
  <c r="Y525" s="1"/>
  <c r="Y525" i="40" s="1"/>
  <c r="S523" i="37" a="1"/>
  <c r="S523" s="1"/>
  <c r="T523" a="1"/>
  <c r="T523" s="1"/>
  <c r="X521" a="1"/>
  <c r="X521" s="1"/>
  <c r="X521" i="40" s="1"/>
  <c r="AA519" i="37" a="1"/>
  <c r="AA519" s="1"/>
  <c r="AA519" i="40" s="1"/>
  <c r="AB517" i="37" a="1"/>
  <c r="AB517" s="1"/>
  <c r="AB517" i="40" s="1"/>
  <c r="AA515" i="37" a="1"/>
  <c r="AA515" s="1"/>
  <c r="AA515" i="40" s="1"/>
  <c r="X513" i="37" a="1"/>
  <c r="X513" s="1"/>
  <c r="X513" i="40" s="1"/>
  <c r="AB513" i="37" a="1"/>
  <c r="AB513" s="1"/>
  <c r="AB513" i="40" s="1"/>
  <c r="W511" i="37" a="1"/>
  <c r="W511" s="1"/>
  <c r="W511" i="40" s="1"/>
  <c r="Z509" i="37" a="1"/>
  <c r="Z509" s="1"/>
  <c r="Z509" i="40" s="1"/>
  <c r="R509" i="37" a="1"/>
  <c r="R509" s="1"/>
  <c r="R509" i="40" s="1"/>
  <c r="AA507" i="37" a="1"/>
  <c r="AA507" s="1"/>
  <c r="AA507" i="40" s="1"/>
  <c r="U505" i="37" a="1"/>
  <c r="U505" s="1"/>
  <c r="U505" i="40" s="1"/>
  <c r="V503" i="37" a="1"/>
  <c r="V503" s="1"/>
  <c r="V503" i="40" s="1"/>
  <c r="AA503" i="37" a="1"/>
  <c r="AA503" s="1"/>
  <c r="AA503" i="40" s="1"/>
  <c r="AB577" i="37" a="1"/>
  <c r="AB577" s="1"/>
  <c r="AB577" i="40" s="1"/>
  <c r="AA573" i="37" a="1"/>
  <c r="AA573" s="1"/>
  <c r="AA573" i="40" s="1"/>
  <c r="AB573" i="37" a="1"/>
  <c r="AB573" s="1"/>
  <c r="AB573" i="40" s="1"/>
  <c r="Z569" i="37" a="1"/>
  <c r="Z569" s="1"/>
  <c r="X578" a="1"/>
  <c r="X578" s="1"/>
  <c r="X578" i="40" s="1"/>
  <c r="X572" i="37" a="1"/>
  <c r="X572" s="1"/>
  <c r="X572" i="40" s="1"/>
  <c r="X575" i="37" a="1"/>
  <c r="X575" s="1"/>
  <c r="X575" i="40" s="1"/>
  <c r="AA566" i="37" a="1"/>
  <c r="AA566" s="1"/>
  <c r="AA566" i="40" s="1"/>
  <c r="W562" i="37" a="1"/>
  <c r="W562" s="1"/>
  <c r="W562" i="40" s="1"/>
  <c r="AB554" i="37" a="1"/>
  <c r="AB554" s="1"/>
  <c r="AB554" i="40" s="1"/>
  <c r="T548" i="37" a="1"/>
  <c r="T548" s="1"/>
  <c r="T548" i="40" s="1"/>
  <c r="S542" i="37" a="1"/>
  <c r="S542" s="1"/>
  <c r="S542" i="40" s="1"/>
  <c r="AB536" i="37" a="1"/>
  <c r="AB536" s="1"/>
  <c r="AB536" i="40" s="1"/>
  <c r="AA530" i="37" a="1"/>
  <c r="AA530" s="1"/>
  <c r="AA530" i="40" s="1"/>
  <c r="W524" i="37" a="1"/>
  <c r="W524" s="1"/>
  <c r="W524" i="40" s="1"/>
  <c r="R520" i="37" a="1"/>
  <c r="R520" s="1"/>
  <c r="R520" i="40" s="1"/>
  <c r="AA514" i="37" a="1"/>
  <c r="AA514" s="1"/>
  <c r="AA514" i="40" s="1"/>
  <c r="AB508" i="37" a="1"/>
  <c r="AB508" s="1"/>
  <c r="AB508" i="40" s="1"/>
  <c r="U504" i="37" a="1"/>
  <c r="U504" s="1"/>
  <c r="X563" a="1"/>
  <c r="X563" s="1"/>
  <c r="X563" i="40" s="1"/>
  <c r="Y557" i="37" a="1"/>
  <c r="Y557" s="1"/>
  <c r="Y557" i="40" s="1"/>
  <c r="T549" i="37" a="1"/>
  <c r="T549" s="1"/>
  <c r="T549" i="40" s="1"/>
  <c r="AB543" i="37" a="1"/>
  <c r="AB543" s="1"/>
  <c r="AB543" i="40" s="1"/>
  <c r="AB537" i="37" a="1"/>
  <c r="AB537" s="1"/>
  <c r="AB537" i="40" s="1"/>
  <c r="T531" i="37" a="1"/>
  <c r="T531" s="1"/>
  <c r="T531" i="40" s="1"/>
  <c r="S525" i="37" a="1"/>
  <c r="S525" s="1"/>
  <c r="S525" i="40" s="1"/>
  <c r="R519" i="37" a="1"/>
  <c r="R519" s="1"/>
  <c r="R519" i="40" s="1"/>
  <c r="W513" i="37" a="1"/>
  <c r="W513" s="1"/>
  <c r="W513" i="40" s="1"/>
  <c r="Y507" i="37" a="1"/>
  <c r="Y507" s="1"/>
  <c r="Y507" i="40" s="1"/>
  <c r="R503" i="37" a="1"/>
  <c r="R503" s="1"/>
  <c r="R503" i="40" s="1"/>
  <c r="R578" i="37" a="1"/>
  <c r="R578" s="1"/>
  <c r="R578" i="40" s="1"/>
  <c r="R572" i="37" a="1"/>
  <c r="R572" s="1"/>
  <c r="R572" i="40" s="1"/>
  <c r="AB579" i="37" a="1"/>
  <c r="AB579" s="1"/>
  <c r="AB579" i="40" s="1"/>
  <c r="AB568" i="37" a="1"/>
  <c r="AB568" s="1"/>
  <c r="AB568" i="40" s="1"/>
  <c r="Y562" i="37" a="1"/>
  <c r="Y562" s="1"/>
  <c r="Y562" i="40" s="1"/>
  <c r="W556" i="37" a="1"/>
  <c r="W556" s="1"/>
  <c r="W556" i="40" s="1"/>
  <c r="W550" i="37" a="1"/>
  <c r="W550" s="1"/>
  <c r="W550" i="40" s="1"/>
  <c r="Y546" i="37" a="1"/>
  <c r="Y546" s="1"/>
  <c r="Y546" i="40" s="1"/>
  <c r="T540" i="37" a="1"/>
  <c r="T540" s="1"/>
  <c r="T540" i="40" s="1"/>
  <c r="T534" i="37" a="1"/>
  <c r="T534" s="1"/>
  <c r="T534" i="40" s="1"/>
  <c r="X528" i="37" a="1"/>
  <c r="X528" s="1"/>
  <c r="X528" i="40" s="1"/>
  <c r="Y522" i="37" a="1"/>
  <c r="Y522" s="1"/>
  <c r="Y522" i="40" s="1"/>
  <c r="S518" i="37" a="1"/>
  <c r="S518" s="1"/>
  <c r="S518" i="40" s="1"/>
  <c r="Y510" i="37" a="1"/>
  <c r="Y510" s="1"/>
  <c r="Y510" i="40" s="1"/>
  <c r="V567" i="37" a="1"/>
  <c r="V567" s="1"/>
  <c r="V567" i="40" s="1"/>
  <c r="AA561" i="37" a="1"/>
  <c r="AA561" s="1"/>
  <c r="AA561" i="40" s="1"/>
  <c r="AB557" i="37" a="1"/>
  <c r="AB557" s="1"/>
  <c r="AB557" i="40" s="1"/>
  <c r="AA547" i="37" a="1"/>
  <c r="AA547" s="1"/>
  <c r="AA541" a="1"/>
  <c r="AA541" s="1"/>
  <c r="AA541" i="40" s="1"/>
  <c r="T537" i="37" a="1"/>
  <c r="T537" s="1"/>
  <c r="T537" i="40" s="1"/>
  <c r="Y529" i="37" a="1"/>
  <c r="Y529" s="1"/>
  <c r="Y529" i="40" s="1"/>
  <c r="AB521" i="37" a="1"/>
  <c r="AB521" s="1"/>
  <c r="AB521" i="40" s="1"/>
  <c r="Y519" i="37" a="1"/>
  <c r="Y519" s="1"/>
  <c r="Y519" i="40" s="1"/>
  <c r="X511" i="37" a="1"/>
  <c r="X511" s="1"/>
  <c r="X511" i="40" s="1"/>
  <c r="X505" i="37" a="1"/>
  <c r="X505" s="1"/>
  <c r="X505" i="40" s="1"/>
  <c r="Z573" i="37" a="1"/>
  <c r="Z573" s="1"/>
  <c r="Z573" i="40" s="1"/>
  <c r="X576" i="37" a="1"/>
  <c r="X576" s="1"/>
  <c r="X576" i="40" s="1"/>
  <c r="W575" i="37" a="1"/>
  <c r="W575" s="1"/>
  <c r="W575" i="40" s="1"/>
  <c r="W566" i="37" a="1"/>
  <c r="W566" s="1"/>
  <c r="W566" i="40" s="1"/>
  <c r="W560" i="37" a="1"/>
  <c r="W560" s="1"/>
  <c r="W560" i="40" s="1"/>
  <c r="AB552" i="37" a="1"/>
  <c r="AB552" s="1"/>
  <c r="AB552" i="40" s="1"/>
  <c r="AA546" i="37" a="1"/>
  <c r="AA546" s="1"/>
  <c r="AA546" i="40" s="1"/>
  <c r="Z540" i="37" a="1"/>
  <c r="Z540" s="1"/>
  <c r="Z540" i="40" s="1"/>
  <c r="AB534" i="37" a="1"/>
  <c r="AB534" s="1"/>
  <c r="AB534" i="40" s="1"/>
  <c r="T528" i="37" a="1"/>
  <c r="T528" s="1"/>
  <c r="T528" i="40" s="1"/>
  <c r="V520" i="37" a="1"/>
  <c r="V520" s="1"/>
  <c r="V520" i="40" s="1"/>
  <c r="Y512" i="37" a="1"/>
  <c r="Y512" s="1"/>
  <c r="Y512" i="40" s="1"/>
  <c r="V508" i="37" a="1"/>
  <c r="V508" s="1"/>
  <c r="V508" i="40" s="1"/>
  <c r="S567" i="37" a="1"/>
  <c r="S567" s="1"/>
  <c r="S567" i="40" s="1"/>
  <c r="Z559" i="37" a="1"/>
  <c r="Z559" s="1"/>
  <c r="Z559" i="40" s="1"/>
  <c r="Z555" i="37" a="1"/>
  <c r="Z555" s="1"/>
  <c r="Z555" i="40" s="1"/>
  <c r="U547" i="37" a="1"/>
  <c r="U547" s="1"/>
  <c r="AB541" a="1"/>
  <c r="AB541" s="1"/>
  <c r="AB541" i="40" s="1"/>
  <c r="X535" i="37" a="1"/>
  <c r="X535" s="1"/>
  <c r="X535" i="40" s="1"/>
  <c r="Z527" i="37" a="1"/>
  <c r="Z527" s="1"/>
  <c r="Z527" i="40" s="1"/>
  <c r="W521" i="37" a="1"/>
  <c r="W521" s="1"/>
  <c r="W521" i="40" s="1"/>
  <c r="Z513" i="37" a="1"/>
  <c r="Z513" s="1"/>
  <c r="Z513" i="40" s="1"/>
  <c r="T507" i="37" a="1"/>
  <c r="T507" s="1"/>
  <c r="T507" i="40" s="1"/>
  <c r="U569" i="37" a="1"/>
  <c r="U569" s="1"/>
  <c r="S574" a="1"/>
  <c r="S574" s="1"/>
  <c r="S574" i="40" s="1"/>
  <c r="Y575" i="37" a="1"/>
  <c r="Y575" s="1"/>
  <c r="Y575" i="40" s="1"/>
  <c r="X564" i="37" a="1"/>
  <c r="X564" s="1"/>
  <c r="X564" i="40" s="1"/>
  <c r="V560" i="37" a="1"/>
  <c r="V560" s="1"/>
  <c r="V560" i="40" s="1"/>
  <c r="R554" i="37" a="1"/>
  <c r="R554" s="1"/>
  <c r="R554" i="40" s="1"/>
  <c r="U546" i="37" a="1"/>
  <c r="U546" s="1"/>
  <c r="U546" i="40" s="1"/>
  <c r="V538" i="37" a="1"/>
  <c r="V538" s="1"/>
  <c r="V538" i="40" s="1"/>
  <c r="AA534" i="37" a="1"/>
  <c r="AA534" s="1"/>
  <c r="AA534" i="40" s="1"/>
  <c r="R528" i="37" a="1"/>
  <c r="R528" s="1"/>
  <c r="R528" i="40" s="1"/>
  <c r="AA520" i="37" a="1"/>
  <c r="AA520" s="1"/>
  <c r="AA520" i="40" s="1"/>
  <c r="S512" i="37" a="1"/>
  <c r="S512" s="1"/>
  <c r="S512" i="40" s="1"/>
  <c r="AA508" i="37" a="1"/>
  <c r="AA508" s="1"/>
  <c r="AA508" i="40" s="1"/>
  <c r="Z567" i="37" a="1"/>
  <c r="Z567" s="1"/>
  <c r="Z567" i="40" s="1"/>
  <c r="S559" i="37" a="1"/>
  <c r="S559" s="1"/>
  <c r="S559" i="40" s="1"/>
  <c r="W555" i="37" a="1"/>
  <c r="W555" s="1"/>
  <c r="W555" i="40" s="1"/>
  <c r="T547" i="37" a="1"/>
  <c r="T547" s="1"/>
  <c r="Z541" a="1"/>
  <c r="Z541" s="1"/>
  <c r="Z541" i="40" s="1"/>
  <c r="AB535" i="37" a="1"/>
  <c r="AB535" s="1"/>
  <c r="AB535" i="40" s="1"/>
  <c r="T527" i="37" a="1"/>
  <c r="T527" s="1"/>
  <c r="T527" i="40" s="1"/>
  <c r="R521" i="37" a="1"/>
  <c r="R521" s="1"/>
  <c r="R521" i="40" s="1"/>
  <c r="R513" i="37" a="1"/>
  <c r="R513" s="1"/>
  <c r="R513" i="40" s="1"/>
  <c r="T509" i="37" a="1"/>
  <c r="T509" s="1"/>
  <c r="T509" i="40" s="1"/>
  <c r="U577" i="37" a="1"/>
  <c r="U577" s="1"/>
  <c r="U577" i="40" s="1"/>
  <c r="AA516" i="37" a="1"/>
  <c r="AA516" s="1"/>
  <c r="AA516" i="40" s="1"/>
  <c r="W506" i="37" a="1"/>
  <c r="W506" s="1"/>
  <c r="W506" i="40" s="1"/>
  <c r="Z563" i="37" a="1"/>
  <c r="Z563" s="1"/>
  <c r="Z563" i="40" s="1"/>
  <c r="R553" i="37" a="1"/>
  <c r="R553" s="1"/>
  <c r="R553" i="40" s="1"/>
  <c r="Y541" i="37" a="1"/>
  <c r="Y541" s="1"/>
  <c r="Y541" i="40" s="1"/>
  <c r="U533" i="37" a="1"/>
  <c r="U533" s="1"/>
  <c r="U533" i="40" s="1"/>
  <c r="R527" i="37" a="1"/>
  <c r="R527" s="1"/>
  <c r="R527" i="40" s="1"/>
  <c r="W515" i="37" a="1"/>
  <c r="W515" s="1"/>
  <c r="W515" i="40" s="1"/>
  <c r="S507" i="37" a="1"/>
  <c r="S507" s="1"/>
  <c r="S507" i="40" s="1"/>
  <c r="W578" i="37" a="1"/>
  <c r="W578" s="1"/>
  <c r="W578" i="40" s="1"/>
  <c r="U570" i="37" a="1"/>
  <c r="U570" s="1"/>
  <c r="U570" i="40" s="1"/>
  <c r="Z566" i="37" a="1"/>
  <c r="Z566" s="1"/>
  <c r="Z566" i="40" s="1"/>
  <c r="S558" i="37" a="1"/>
  <c r="S558" s="1"/>
  <c r="S558" i="40" s="1"/>
  <c r="V550" i="37" a="1"/>
  <c r="V550" s="1"/>
  <c r="V550" i="40" s="1"/>
  <c r="AB540" i="37" a="1"/>
  <c r="AB540" s="1"/>
  <c r="AB540" i="40" s="1"/>
  <c r="R530" i="37" a="1"/>
  <c r="R530" s="1"/>
  <c r="R530" i="40" s="1"/>
  <c r="X524" i="37" a="1"/>
  <c r="X524" s="1"/>
  <c r="X524" i="40" s="1"/>
  <c r="AB514" i="37" a="1"/>
  <c r="AB514" s="1"/>
  <c r="AB514" i="40" s="1"/>
  <c r="AB567" i="37" a="1"/>
  <c r="AB567" s="1"/>
  <c r="AB567" i="40" s="1"/>
  <c r="U561" i="37" a="1"/>
  <c r="U561" s="1"/>
  <c r="U561" i="40" s="1"/>
  <c r="X553" i="37" a="1"/>
  <c r="X553" s="1"/>
  <c r="X553" i="40" s="1"/>
  <c r="X545" i="37" a="1"/>
  <c r="X545" s="1"/>
  <c r="X545" i="40" s="1"/>
  <c r="S535" i="37" a="1"/>
  <c r="S535" s="1"/>
  <c r="S535" i="40" s="1"/>
  <c r="R529" i="37" a="1"/>
  <c r="R529" s="1"/>
  <c r="R529" i="40" s="1"/>
  <c r="X517" i="37" a="1"/>
  <c r="X517" s="1"/>
  <c r="X517" i="40" s="1"/>
  <c r="X509" i="37" a="1"/>
  <c r="X509" s="1"/>
  <c r="X509" i="40" s="1"/>
  <c r="T576" i="37" a="1"/>
  <c r="T576" s="1"/>
  <c r="T576" i="40" s="1"/>
  <c r="W570" i="37" a="1"/>
  <c r="W570" s="1"/>
  <c r="W570" i="40" s="1"/>
  <c r="X568" i="37" a="1"/>
  <c r="X568" s="1"/>
  <c r="X568" i="40" s="1"/>
  <c r="R556" i="37" a="1"/>
  <c r="R556" s="1"/>
  <c r="R556" i="40" s="1"/>
  <c r="Y550" i="37" a="1"/>
  <c r="Y550" s="1"/>
  <c r="Y550" i="40" s="1"/>
  <c r="AA540" i="37" a="1"/>
  <c r="AA540" s="1"/>
  <c r="AA540" i="40" s="1"/>
  <c r="AB532" i="37" a="1"/>
  <c r="AB532" s="1"/>
  <c r="AB532" i="40" s="1"/>
  <c r="AB522" i="37" a="1"/>
  <c r="AB522" s="1"/>
  <c r="AB522" i="40" s="1"/>
  <c r="Z514" i="37" a="1"/>
  <c r="Z514" s="1"/>
  <c r="Z514" i="40" s="1"/>
  <c r="U567" i="37" a="1"/>
  <c r="U567" s="1"/>
  <c r="U567" i="40" s="1"/>
  <c r="T561" i="37" a="1"/>
  <c r="T561" s="1"/>
  <c r="T561" i="40" s="1"/>
  <c r="Z553" i="37" a="1"/>
  <c r="Z553" s="1"/>
  <c r="Z553" i="40" s="1"/>
  <c r="X541" i="37" a="1"/>
  <c r="X541" s="1"/>
  <c r="X541" i="40" s="1"/>
  <c r="Y533" i="37" a="1"/>
  <c r="Y533" s="1"/>
  <c r="Y533" i="40" s="1"/>
  <c r="Z525" i="37" a="1"/>
  <c r="Z525" s="1"/>
  <c r="Z525" i="40" s="1"/>
  <c r="Z515" i="37" a="1"/>
  <c r="Z515" s="1"/>
  <c r="Z515" i="40" s="1"/>
  <c r="Y505" i="37" a="1"/>
  <c r="Y505" s="1"/>
  <c r="Y505" i="40" s="1"/>
  <c r="S577" i="37" a="1"/>
  <c r="S577" s="1"/>
  <c r="S577" i="40" s="1"/>
  <c r="AA501" i="37" a="1"/>
  <c r="AA501" s="1"/>
  <c r="AA501" i="40" s="1"/>
  <c r="U501" i="37" a="1"/>
  <c r="U501" s="1"/>
  <c r="U501" i="40" s="1"/>
  <c r="S499" i="37" a="1"/>
  <c r="S499" s="1"/>
  <c r="Z502" a="1"/>
  <c r="Z502" s="1"/>
  <c r="Z502" i="40" s="1"/>
  <c r="W500" i="37" a="1"/>
  <c r="W500" s="1"/>
  <c r="W500" i="40" s="1"/>
  <c r="AB500" i="37" a="1"/>
  <c r="AB500" s="1"/>
  <c r="AB500" i="40" s="1"/>
  <c r="R498" i="37" a="1"/>
  <c r="R498" s="1"/>
  <c r="R498" i="40" s="1"/>
  <c r="Y499" i="37" a="1"/>
  <c r="Y499" s="1"/>
  <c r="V498" a="1"/>
  <c r="V498" s="1"/>
  <c r="V498" i="40" s="1"/>
  <c r="Z501" i="37" a="1"/>
  <c r="Z501" s="1"/>
  <c r="Z501" i="40" s="1"/>
  <c r="W501" i="37" a="1"/>
  <c r="W501" s="1"/>
  <c r="W501" i="40" s="1"/>
  <c r="T501" i="37" a="1"/>
  <c r="T501" s="1"/>
  <c r="T501" i="40" s="1"/>
  <c r="AB501" i="37" a="1"/>
  <c r="AB501" s="1"/>
  <c r="AB501" i="40" s="1"/>
  <c r="Y501" i="37" a="1"/>
  <c r="Y501" s="1"/>
  <c r="Y501" i="40" s="1"/>
  <c r="AA499" i="37" a="1"/>
  <c r="AA499" s="1"/>
  <c r="W499" a="1"/>
  <c r="W499" s="1"/>
  <c r="AB502" a="1"/>
  <c r="AB502" s="1"/>
  <c r="AB502" i="40" s="1"/>
  <c r="S500" i="37" a="1"/>
  <c r="S500" s="1"/>
  <c r="S500" i="40" s="1"/>
  <c r="S498" i="37" a="1"/>
  <c r="S498" s="1"/>
  <c r="S498" i="40" s="1"/>
  <c r="W498" i="37" a="1"/>
  <c r="W498" s="1"/>
  <c r="W498" i="40" s="1"/>
  <c r="T499" i="37" a="1"/>
  <c r="T499" s="1"/>
  <c r="R500" a="1"/>
  <c r="R500" s="1"/>
  <c r="R500" i="40" s="1"/>
  <c r="V500" i="37" a="1"/>
  <c r="V500" s="1"/>
  <c r="V500" i="40" s="1"/>
  <c r="V499" i="37" a="1"/>
  <c r="V499" s="1"/>
  <c r="Y498" a="1"/>
  <c r="Y498" s="1"/>
  <c r="Y498" i="40" s="1"/>
  <c r="S501" i="37" a="1"/>
  <c r="S501" s="1"/>
  <c r="S501" i="40" s="1"/>
  <c r="U499" i="37" a="1"/>
  <c r="U499" s="1"/>
  <c r="U502" a="1"/>
  <c r="U502" s="1"/>
  <c r="U502" i="40" s="1"/>
  <c r="X502" i="37" a="1"/>
  <c r="X502" s="1"/>
  <c r="X502" i="40" s="1"/>
  <c r="X500" i="37" a="1"/>
  <c r="X500" s="1"/>
  <c r="X500" i="40" s="1"/>
  <c r="AA498" i="37" a="1"/>
  <c r="AA498" s="1"/>
  <c r="AA498" i="40" s="1"/>
  <c r="Z498" i="37" a="1"/>
  <c r="Z498" s="1"/>
  <c r="Z498" i="40" s="1"/>
  <c r="Y502" i="37" a="1"/>
  <c r="Y502" s="1"/>
  <c r="Y502" i="40" s="1"/>
  <c r="W502" i="37" a="1"/>
  <c r="W502" s="1"/>
  <c r="W502" i="40" s="1"/>
  <c r="AB498" i="37" a="1"/>
  <c r="AB498" s="1"/>
  <c r="AB498" i="40" s="1"/>
  <c r="Z500" i="37" a="1"/>
  <c r="Z500" s="1"/>
  <c r="Z500" i="40" s="1"/>
  <c r="X501" i="37" a="1"/>
  <c r="X501" s="1"/>
  <c r="X501" i="40" s="1"/>
  <c r="Z499" i="37" a="1"/>
  <c r="Z499" s="1"/>
  <c r="V502" a="1"/>
  <c r="V502" s="1"/>
  <c r="V502" i="40" s="1"/>
  <c r="S502" i="37" a="1"/>
  <c r="S502" s="1"/>
  <c r="S502" i="40" s="1"/>
  <c r="T500" i="37" a="1"/>
  <c r="T500" s="1"/>
  <c r="T500" i="40" s="1"/>
  <c r="T498" i="37" a="1"/>
  <c r="T498" s="1"/>
  <c r="T498" i="40" s="1"/>
  <c r="AA502" i="37" a="1"/>
  <c r="AA502" s="1"/>
  <c r="AA502" i="40" s="1"/>
  <c r="X498" i="37" a="1"/>
  <c r="X498" s="1"/>
  <c r="X498" i="40" s="1"/>
  <c r="Y500" i="37" a="1"/>
  <c r="Y500" s="1"/>
  <c r="Y500" i="40" s="1"/>
  <c r="AB499" i="37" a="1"/>
  <c r="AB499" s="1"/>
  <c r="R501" a="1"/>
  <c r="R501" s="1"/>
  <c r="R501" i="40" s="1"/>
  <c r="V501" i="37" a="1"/>
  <c r="V501" s="1"/>
  <c r="V501" i="40" s="1"/>
  <c r="R499" i="37" a="1"/>
  <c r="R499" s="1"/>
  <c r="T502" a="1"/>
  <c r="T502" s="1"/>
  <c r="T502" i="40" s="1"/>
  <c r="U500" i="37" a="1"/>
  <c r="U500" s="1"/>
  <c r="U500" i="40" s="1"/>
  <c r="AA500" i="37" a="1"/>
  <c r="AA500" s="1"/>
  <c r="AA500" i="40" s="1"/>
  <c r="U498" i="37" a="1"/>
  <c r="U498" s="1"/>
  <c r="U498" i="40" s="1"/>
  <c r="X499" i="37" a="1"/>
  <c r="X499" s="1"/>
  <c r="R502" a="1"/>
  <c r="R502" s="1"/>
  <c r="R502" i="40" s="1"/>
  <c r="E311" i="37" a="1"/>
  <c r="E311" s="1"/>
  <c r="E479" a="1"/>
  <c r="E479" s="1"/>
  <c r="K479" s="1"/>
  <c r="E443" a="1"/>
  <c r="E443" s="1"/>
  <c r="L443" s="1"/>
  <c r="E439" a="1"/>
  <c r="E439" s="1"/>
  <c r="M439" s="1"/>
  <c r="E411" a="1"/>
  <c r="E411" s="1"/>
  <c r="N411" s="1"/>
  <c r="E327" a="1"/>
  <c r="E327" s="1"/>
  <c r="L327" s="1"/>
  <c r="E319" a="1"/>
  <c r="E319" s="1"/>
  <c r="J319" s="1"/>
  <c r="E402" a="1"/>
  <c r="E402" s="1"/>
  <c r="E398" a="1"/>
  <c r="E398" s="1"/>
  <c r="E390" a="1"/>
  <c r="E390" s="1"/>
  <c r="E378" a="1"/>
  <c r="E378" s="1"/>
  <c r="E342" a="1"/>
  <c r="E342" s="1"/>
  <c r="E298" a="1"/>
  <c r="E298" s="1"/>
  <c r="E286" a="1"/>
  <c r="E286" s="1"/>
  <c r="E266" a="1"/>
  <c r="E266" s="1"/>
  <c r="E262" a="1"/>
  <c r="E262" s="1"/>
  <c r="E218" a="1"/>
  <c r="E218" s="1"/>
  <c r="E122" a="1"/>
  <c r="E122" s="1"/>
  <c r="E82" a="1"/>
  <c r="E82" s="1"/>
  <c r="E42" a="1"/>
  <c r="E42" s="1"/>
  <c r="E30" a="1"/>
  <c r="E30" s="1"/>
  <c r="E477" a="1"/>
  <c r="E477" s="1"/>
  <c r="E469" a="1"/>
  <c r="E469" s="1"/>
  <c r="E465" a="1"/>
  <c r="E465" s="1"/>
  <c r="E461" a="1"/>
  <c r="E461" s="1"/>
  <c r="E457" a="1"/>
  <c r="E457" s="1"/>
  <c r="E449" a="1"/>
  <c r="E449" s="1"/>
  <c r="E441" a="1"/>
  <c r="E441" s="1"/>
  <c r="E437" a="1"/>
  <c r="E437" s="1"/>
  <c r="E413" a="1"/>
  <c r="E413" s="1"/>
  <c r="E409" a="1"/>
  <c r="E409" s="1"/>
  <c r="E401" a="1"/>
  <c r="E401" s="1"/>
  <c r="E381" a="1"/>
  <c r="E381" s="1"/>
  <c r="E373" a="1"/>
  <c r="E373" s="1"/>
  <c r="E369" a="1"/>
  <c r="E369" s="1"/>
  <c r="E309" a="1"/>
  <c r="E309" s="1"/>
  <c r="E305" a="1"/>
  <c r="E305" s="1"/>
  <c r="E293" a="1"/>
  <c r="E293" s="1"/>
  <c r="E281" a="1"/>
  <c r="E281" s="1"/>
  <c r="E241" a="1"/>
  <c r="E241" s="1"/>
  <c r="E181" a="1"/>
  <c r="E181" s="1"/>
  <c r="E125" a="1"/>
  <c r="E125" s="1"/>
  <c r="E45" a="1"/>
  <c r="E45" s="1"/>
  <c r="E41" a="1"/>
  <c r="E41" s="1"/>
  <c r="E37" a="1"/>
  <c r="E37" s="1"/>
  <c r="E29" a="1"/>
  <c r="E29" s="1"/>
  <c r="E21" a="1"/>
  <c r="E21" s="1"/>
  <c r="E480" a="1"/>
  <c r="E480" s="1"/>
  <c r="E476" a="1"/>
  <c r="E476" s="1"/>
  <c r="E388" a="1"/>
  <c r="E388" s="1"/>
  <c r="E368" a="1"/>
  <c r="E368" s="1"/>
  <c r="E364" a="1"/>
  <c r="E364" s="1"/>
  <c r="E404" a="1"/>
  <c r="E404" s="1"/>
  <c r="E484" a="1"/>
  <c r="E484" s="1"/>
  <c r="E296" a="1"/>
  <c r="E296" s="1"/>
  <c r="E284" a="1"/>
  <c r="E284" s="1"/>
  <c r="E144" a="1"/>
  <c r="E144" s="1"/>
  <c r="E128" a="1"/>
  <c r="E128" s="1"/>
  <c r="E104" a="1"/>
  <c r="E104" s="1"/>
  <c r="E96" a="1"/>
  <c r="E96" s="1"/>
  <c r="E36" a="1"/>
  <c r="E36" s="1"/>
  <c r="E32" a="1"/>
  <c r="E32" s="1"/>
  <c r="E24" a="1"/>
  <c r="E24" s="1"/>
  <c r="E20" a="1"/>
  <c r="E20" s="1"/>
  <c r="H411"/>
  <c r="E435" a="1"/>
  <c r="E435" s="1"/>
  <c r="E423" a="1"/>
  <c r="E423" s="1"/>
  <c r="E343" a="1"/>
  <c r="E343" s="1"/>
  <c r="E331" a="1"/>
  <c r="E331" s="1"/>
  <c r="E239" a="1"/>
  <c r="E239" s="1"/>
  <c r="E187" a="1"/>
  <c r="E187" s="1"/>
  <c r="E155" a="1"/>
  <c r="E155" s="1"/>
  <c r="E135" a="1"/>
  <c r="E135" s="1"/>
  <c r="E75" a="1"/>
  <c r="E75" s="1"/>
  <c r="E27" a="1"/>
  <c r="E27" s="1"/>
  <c r="E3" a="1"/>
  <c r="E3" s="1"/>
  <c r="E458" a="1"/>
  <c r="E458" s="1"/>
  <c r="E454" a="1"/>
  <c r="E454" s="1"/>
  <c r="E442" a="1"/>
  <c r="E442" s="1"/>
  <c r="E418" a="1"/>
  <c r="E418" s="1"/>
  <c r="E318" a="1"/>
  <c r="E318" s="1"/>
  <c r="E214" a="1"/>
  <c r="E214" s="1"/>
  <c r="E206" a="1"/>
  <c r="E206" s="1"/>
  <c r="E194" a="1"/>
  <c r="E194" s="1"/>
  <c r="E182" a="1"/>
  <c r="E182" s="1"/>
  <c r="E66" a="1"/>
  <c r="E66" s="1"/>
  <c r="E54" a="1"/>
  <c r="E54" s="1"/>
  <c r="E483" a="1"/>
  <c r="E483" s="1"/>
  <c r="E471" a="1"/>
  <c r="E471" s="1"/>
  <c r="E459" a="1"/>
  <c r="E459" s="1"/>
  <c r="E447" a="1"/>
  <c r="E447" s="1"/>
  <c r="E431" a="1"/>
  <c r="E431" s="1"/>
  <c r="E321" a="1"/>
  <c r="E321" s="1"/>
  <c r="E269" a="1"/>
  <c r="E269" s="1"/>
  <c r="E257" a="1"/>
  <c r="E257" s="1"/>
  <c r="E245" a="1"/>
  <c r="E245" s="1"/>
  <c r="E352" a="1"/>
  <c r="E352" s="1"/>
  <c r="E344" a="1"/>
  <c r="E344" s="1"/>
  <c r="E336" a="1"/>
  <c r="E336" s="1"/>
  <c r="E189" a="1"/>
  <c r="E189" s="1"/>
  <c r="E85" a="1"/>
  <c r="E85" s="1"/>
  <c r="E81" a="1"/>
  <c r="E81" s="1"/>
  <c r="E57" a="1"/>
  <c r="E57" s="1"/>
  <c r="E33" a="1"/>
  <c r="E33" s="1"/>
  <c r="E372" a="1"/>
  <c r="E372" s="1"/>
  <c r="E380" a="1"/>
  <c r="E380" s="1"/>
  <c r="E482" a="1"/>
  <c r="E482" s="1"/>
  <c r="E470" a="1"/>
  <c r="E470" s="1"/>
  <c r="E462" a="1"/>
  <c r="E462" s="1"/>
  <c r="E438" a="1"/>
  <c r="E438" s="1"/>
  <c r="E407" a="1"/>
  <c r="E407" s="1"/>
  <c r="E280" a="1"/>
  <c r="E280" s="1"/>
  <c r="E264" a="1"/>
  <c r="E264" s="1"/>
  <c r="E493" a="1"/>
  <c r="E493" s="1"/>
  <c r="E485" a="1"/>
  <c r="E485" s="1"/>
  <c r="E379" a="1"/>
  <c r="E379" s="1"/>
  <c r="E371" a="1"/>
  <c r="E371" s="1"/>
  <c r="E363" a="1"/>
  <c r="E363" s="1"/>
  <c r="E355" a="1"/>
  <c r="E355" s="1"/>
  <c r="E200" a="1"/>
  <c r="E200" s="1"/>
  <c r="E176" a="1"/>
  <c r="E176" s="1"/>
  <c r="E80" a="1"/>
  <c r="E80" s="1"/>
  <c r="E60" a="1"/>
  <c r="E60" s="1"/>
  <c r="E44" a="1"/>
  <c r="E44" s="1"/>
  <c r="E410" a="1"/>
  <c r="E410" s="1"/>
  <c r="E291" a="1"/>
  <c r="E291" s="1"/>
  <c r="E263" a="1"/>
  <c r="E263" s="1"/>
  <c r="E243" a="1"/>
  <c r="E243" s="1"/>
  <c r="E386" a="1"/>
  <c r="E386" s="1"/>
  <c r="E374" a="1"/>
  <c r="E374" s="1"/>
  <c r="E358" a="1"/>
  <c r="E358" s="1"/>
  <c r="E219" a="1"/>
  <c r="E219" s="1"/>
  <c r="E179" a="1"/>
  <c r="E179" s="1"/>
  <c r="E83" a="1"/>
  <c r="E83" s="1"/>
  <c r="E79" a="1"/>
  <c r="E79" s="1"/>
  <c r="E71" a="1"/>
  <c r="E71" s="1"/>
  <c r="E39" a="1"/>
  <c r="E39" s="1"/>
  <c r="E15" a="1"/>
  <c r="E15" s="1"/>
  <c r="E460" a="1"/>
  <c r="E460" s="1"/>
  <c r="E448" a="1"/>
  <c r="E448" s="1"/>
  <c r="E440" a="1"/>
  <c r="E440" s="1"/>
  <c r="E436" a="1"/>
  <c r="E436" s="1"/>
  <c r="E432" a="1"/>
  <c r="E432" s="1"/>
  <c r="E424" a="1"/>
  <c r="E424" s="1"/>
  <c r="E405" a="1"/>
  <c r="E405" s="1"/>
  <c r="E322" a="1"/>
  <c r="E322" s="1"/>
  <c r="E254" a="1"/>
  <c r="E254" s="1"/>
  <c r="E246" a="1"/>
  <c r="E246" s="1"/>
  <c r="E492" a="1"/>
  <c r="E492" s="1"/>
  <c r="E472" a="1"/>
  <c r="E472" s="1"/>
  <c r="E464" a="1"/>
  <c r="E464" s="1"/>
  <c r="E399" a="1"/>
  <c r="E399" s="1"/>
  <c r="E333" a="1"/>
  <c r="E333" s="1"/>
  <c r="E250" a="1"/>
  <c r="E250" s="1"/>
  <c r="E209" a="1"/>
  <c r="E209" s="1"/>
  <c r="E169" a="1"/>
  <c r="E169" s="1"/>
  <c r="E50" a="1"/>
  <c r="E50" s="1"/>
  <c r="E47" a="1"/>
  <c r="E47" s="1"/>
  <c r="E5" a="1"/>
  <c r="E5" s="1"/>
  <c r="E406" a="1"/>
  <c r="E406" s="1"/>
  <c r="E396" a="1"/>
  <c r="E396" s="1"/>
  <c r="E387" a="1"/>
  <c r="E387" s="1"/>
  <c r="E377" a="1"/>
  <c r="E377" s="1"/>
  <c r="E353" a="1"/>
  <c r="E353" s="1"/>
  <c r="E276" a="1"/>
  <c r="E276" s="1"/>
  <c r="E270" a="1"/>
  <c r="E270" s="1"/>
  <c r="E235" a="1"/>
  <c r="E235" s="1"/>
  <c r="E229" a="1"/>
  <c r="E229" s="1"/>
  <c r="E226" a="1"/>
  <c r="E226" s="1"/>
  <c r="E180" a="1"/>
  <c r="E180" s="1"/>
  <c r="E137" a="1"/>
  <c r="E137" s="1"/>
  <c r="E131" a="1"/>
  <c r="E131" s="1"/>
  <c r="E105" a="1"/>
  <c r="E105" s="1"/>
  <c r="E76" a="1"/>
  <c r="E76" s="1"/>
  <c r="E38" a="1"/>
  <c r="E38" s="1"/>
  <c r="E25" a="1"/>
  <c r="E25" s="1"/>
  <c r="E324" a="1"/>
  <c r="E324" s="1"/>
  <c r="E148" a="1"/>
  <c r="E148" s="1"/>
  <c r="E452" a="1"/>
  <c r="E452" s="1"/>
  <c r="E428" a="1"/>
  <c r="E428" s="1"/>
  <c r="E145" a="1"/>
  <c r="E145" s="1"/>
  <c r="E119" a="1"/>
  <c r="E119" s="1"/>
  <c r="E49" a="1"/>
  <c r="E49" s="1"/>
  <c r="E46" a="1"/>
  <c r="E46" s="1"/>
  <c r="E35" a="1"/>
  <c r="E35" s="1"/>
  <c r="E10" a="1"/>
  <c r="E10" s="1"/>
  <c r="E7" a="1"/>
  <c r="E7" s="1"/>
  <c r="E446" a="1"/>
  <c r="E446" s="1"/>
  <c r="E433" a="1"/>
  <c r="E433" s="1"/>
  <c r="E395" a="1"/>
  <c r="E395" s="1"/>
  <c r="E360" a="1"/>
  <c r="E360" s="1"/>
  <c r="E307" a="1"/>
  <c r="E307" s="1"/>
  <c r="E275" a="1"/>
  <c r="E275" s="1"/>
  <c r="E240" a="1"/>
  <c r="E240" s="1"/>
  <c r="E234" a="1"/>
  <c r="E234" s="1"/>
  <c r="E228" a="1"/>
  <c r="E228" s="1"/>
  <c r="E208" a="1"/>
  <c r="E208" s="1"/>
  <c r="E205" a="1"/>
  <c r="E205" s="1"/>
  <c r="E202" a="1"/>
  <c r="E202" s="1"/>
  <c r="E165" a="1"/>
  <c r="E165" s="1"/>
  <c r="E116" a="1"/>
  <c r="E116" s="1"/>
  <c r="E468" a="1"/>
  <c r="E468" s="1"/>
  <c r="E323" a="1"/>
  <c r="E323" s="1"/>
  <c r="E225" a="1"/>
  <c r="E225" s="1"/>
  <c r="E213" a="1"/>
  <c r="E213" s="1"/>
  <c r="E196" a="1"/>
  <c r="E196" s="1"/>
  <c r="E156" a="1"/>
  <c r="E156" s="1"/>
  <c r="E121" a="1"/>
  <c r="E121" s="1"/>
  <c r="E18" a="1"/>
  <c r="E18" s="1"/>
  <c r="E490" a="1"/>
  <c r="E490" s="1"/>
  <c r="E421" a="1"/>
  <c r="E421" s="1"/>
  <c r="E400" a="1"/>
  <c r="E400" s="1"/>
  <c r="E375" a="1"/>
  <c r="E375" s="1"/>
  <c r="E362" a="1"/>
  <c r="E362" s="1"/>
  <c r="E337" a="1"/>
  <c r="E337" s="1"/>
  <c r="E315" a="1"/>
  <c r="E315" s="1"/>
  <c r="E312" a="1"/>
  <c r="E312" s="1"/>
  <c r="E277" a="1"/>
  <c r="E277" s="1"/>
  <c r="E251" a="1"/>
  <c r="E251" s="1"/>
  <c r="E248" a="1"/>
  <c r="E248" s="1"/>
  <c r="E227" a="1"/>
  <c r="E227" s="1"/>
  <c r="E210" a="1"/>
  <c r="E210" s="1"/>
  <c r="E207" a="1"/>
  <c r="E207" s="1"/>
  <c r="E193" a="1"/>
  <c r="E193" s="1"/>
  <c r="E190" a="1"/>
  <c r="E190" s="1"/>
  <c r="E77" a="1"/>
  <c r="E77" s="1"/>
  <c r="E48" a="1"/>
  <c r="E48" s="1"/>
  <c r="E34" a="1"/>
  <c r="E34" s="1"/>
  <c r="E12" a="1"/>
  <c r="E12" s="1"/>
  <c r="E6" a="1"/>
  <c r="E6" s="1"/>
  <c r="E26" a="1"/>
  <c r="E26" s="1"/>
  <c r="E478" a="1"/>
  <c r="E478" s="1"/>
  <c r="E475" a="1"/>
  <c r="E475" s="1"/>
  <c r="E467" a="1"/>
  <c r="E467" s="1"/>
  <c r="E456" a="1"/>
  <c r="E456" s="1"/>
  <c r="E391" a="1"/>
  <c r="E391" s="1"/>
  <c r="E382" a="1"/>
  <c r="E382" s="1"/>
  <c r="E356" a="1"/>
  <c r="E356" s="1"/>
  <c r="E325" a="1"/>
  <c r="E325" s="1"/>
  <c r="E303" a="1"/>
  <c r="E303" s="1"/>
  <c r="E288" a="1"/>
  <c r="E288" s="1"/>
  <c r="E285" a="1"/>
  <c r="E285" s="1"/>
  <c r="E268" a="1"/>
  <c r="E268" s="1"/>
  <c r="E256" a="1"/>
  <c r="E256" s="1"/>
  <c r="E221" a="1"/>
  <c r="E221" s="1"/>
  <c r="E212" a="1"/>
  <c r="E212" s="1"/>
  <c r="E178" a="1"/>
  <c r="E178" s="1"/>
  <c r="E172" a="1"/>
  <c r="E172" s="1"/>
  <c r="E164" a="1"/>
  <c r="E164" s="1"/>
  <c r="E129" a="1"/>
  <c r="E129" s="1"/>
  <c r="E123" a="1"/>
  <c r="E123" s="1"/>
  <c r="E74" a="1"/>
  <c r="E74" s="1"/>
  <c r="E68" a="1"/>
  <c r="E68" s="1"/>
  <c r="E62" a="1"/>
  <c r="E62" s="1"/>
  <c r="E17" a="1"/>
  <c r="E17" s="1"/>
  <c r="E412" a="1"/>
  <c r="E412" s="1"/>
  <c r="E351" a="1"/>
  <c r="E351" s="1"/>
  <c r="E317" a="1"/>
  <c r="E317" s="1"/>
  <c r="E295" a="1"/>
  <c r="E295" s="1"/>
  <c r="E414" a="1"/>
  <c r="E414" s="1"/>
  <c r="E397" a="1"/>
  <c r="E397" s="1"/>
  <c r="E345" a="1"/>
  <c r="E345" s="1"/>
  <c r="E332" a="1"/>
  <c r="E332" s="1"/>
  <c r="E150" a="1"/>
  <c r="E150" s="1"/>
  <c r="E354" a="1"/>
  <c r="E354" s="1"/>
  <c r="E385" a="1"/>
  <c r="E385" s="1"/>
  <c r="E486" a="1"/>
  <c r="E486" s="1"/>
  <c r="E350" a="1"/>
  <c r="E350" s="1"/>
  <c r="E222" a="1"/>
  <c r="E222" s="1"/>
  <c r="E488" a="1"/>
  <c r="E488" s="1"/>
  <c r="E308" a="1"/>
  <c r="E308" s="1"/>
  <c r="E69" a="1"/>
  <c r="E69" s="1"/>
  <c r="E383" a="1"/>
  <c r="E383" s="1"/>
  <c r="E416" a="1"/>
  <c r="E416" s="1"/>
  <c r="E365" a="1"/>
  <c r="E365" s="1"/>
  <c r="E450" a="1"/>
  <c r="E450" s="1"/>
  <c r="E430" a="1"/>
  <c r="E430" s="1"/>
  <c r="E367" a="1"/>
  <c r="E367" s="1"/>
  <c r="E426" a="1"/>
  <c r="E426" s="1"/>
  <c r="E341" a="1"/>
  <c r="E341" s="1"/>
  <c r="E112" a="1"/>
  <c r="E112" s="1"/>
  <c r="E473" a="1"/>
  <c r="E473" s="1"/>
  <c r="E451" a="1"/>
  <c r="E451" s="1"/>
  <c r="E347" a="1"/>
  <c r="E347" s="1"/>
  <c r="E238" a="1"/>
  <c r="E238" s="1"/>
  <c r="E9" a="1"/>
  <c r="E9" s="1"/>
  <c r="E455" a="1"/>
  <c r="E455" s="1"/>
  <c r="E453" a="1"/>
  <c r="E453" s="1"/>
  <c r="E429" a="1"/>
  <c r="E429" s="1"/>
  <c r="E419" a="1"/>
  <c r="E419" s="1"/>
  <c r="E417" a="1"/>
  <c r="E417" s="1"/>
  <c r="E415" a="1"/>
  <c r="E415" s="1"/>
  <c r="E392" a="1"/>
  <c r="E392" s="1"/>
  <c r="E370" a="1"/>
  <c r="E370" s="1"/>
  <c r="E349" a="1"/>
  <c r="E349" s="1"/>
  <c r="E272" a="1"/>
  <c r="E272" s="1"/>
  <c r="E73" a="1"/>
  <c r="E73" s="1"/>
  <c r="E491" a="1"/>
  <c r="E491" s="1"/>
  <c r="E366" a="1"/>
  <c r="E366" s="1"/>
  <c r="E299" a="1"/>
  <c r="E299" s="1"/>
  <c r="E297" a="1"/>
  <c r="E297" s="1"/>
  <c r="E232" a="1"/>
  <c r="E232" s="1"/>
  <c r="E220" a="1"/>
  <c r="E220" s="1"/>
  <c r="E22" a="1"/>
  <c r="E22" s="1"/>
  <c r="E173" a="1"/>
  <c r="E173" s="1"/>
  <c r="E487" a="1"/>
  <c r="E487" s="1"/>
  <c r="E474" a="1"/>
  <c r="E474" s="1"/>
  <c r="E420" a="1"/>
  <c r="E420" s="1"/>
  <c r="E403" a="1"/>
  <c r="E403" s="1"/>
  <c r="E348" a="1"/>
  <c r="E348" s="1"/>
  <c r="E316" a="1"/>
  <c r="E316" s="1"/>
  <c r="E306" a="1"/>
  <c r="E306" s="1"/>
  <c r="E294" a="1"/>
  <c r="E294" s="1"/>
  <c r="E292" a="1"/>
  <c r="E292" s="1"/>
  <c r="E271" a="1"/>
  <c r="E271" s="1"/>
  <c r="E255" a="1"/>
  <c r="E255" s="1"/>
  <c r="E481" a="1"/>
  <c r="E481" s="1"/>
  <c r="E434" a="1"/>
  <c r="E434" s="1"/>
  <c r="E408" a="1"/>
  <c r="E408" s="1"/>
  <c r="E329" a="1"/>
  <c r="E329" s="1"/>
  <c r="E224" a="1"/>
  <c r="E224" s="1"/>
  <c r="E152" a="1"/>
  <c r="E152" s="1"/>
  <c r="E107" a="1"/>
  <c r="E107" s="1"/>
  <c r="E58" a="1"/>
  <c r="E58" s="1"/>
  <c r="E359" a="1"/>
  <c r="E359" s="1"/>
  <c r="E346" a="1"/>
  <c r="E346" s="1"/>
  <c r="E330" a="1"/>
  <c r="E330" s="1"/>
  <c r="E301" a="1"/>
  <c r="E301" s="1"/>
  <c r="E258" a="1"/>
  <c r="E258" s="1"/>
  <c r="E489" a="1"/>
  <c r="E489" s="1"/>
  <c r="E466" a="1"/>
  <c r="E466" s="1"/>
  <c r="E444" a="1"/>
  <c r="E444" s="1"/>
  <c r="E427" a="1"/>
  <c r="E427" s="1"/>
  <c r="E425" a="1"/>
  <c r="E425" s="1"/>
  <c r="E394" a="1"/>
  <c r="E394" s="1"/>
  <c r="E376" a="1"/>
  <c r="E376" s="1"/>
  <c r="E340" a="1"/>
  <c r="E340" s="1"/>
  <c r="E283" a="1"/>
  <c r="E283" s="1"/>
  <c r="E216" a="1"/>
  <c r="E216" s="1"/>
  <c r="E153" a="1"/>
  <c r="E153" s="1"/>
  <c r="E463" a="1"/>
  <c r="E463" s="1"/>
  <c r="E445" a="1"/>
  <c r="E445" s="1"/>
  <c r="E422" a="1"/>
  <c r="E422" s="1"/>
  <c r="E393" a="1"/>
  <c r="E393" s="1"/>
  <c r="E389" a="1"/>
  <c r="E389" s="1"/>
  <c r="E384" a="1"/>
  <c r="E384" s="1"/>
  <c r="E361" a="1"/>
  <c r="E361" s="1"/>
  <c r="E357" a="1"/>
  <c r="E357" s="1"/>
  <c r="E310" a="1"/>
  <c r="E310" s="1"/>
  <c r="E287" a="1"/>
  <c r="E287" s="1"/>
  <c r="E279" a="1"/>
  <c r="E279" s="1"/>
  <c r="E260" a="1"/>
  <c r="E260" s="1"/>
  <c r="E236" a="1"/>
  <c r="E236" s="1"/>
  <c r="E109" a="1"/>
  <c r="E109" s="1"/>
  <c r="E87" a="1"/>
  <c r="E87" s="1"/>
  <c r="E52" a="1"/>
  <c r="E52" s="1"/>
  <c r="E198" a="1"/>
  <c r="E198" s="1"/>
  <c r="E120" a="1"/>
  <c r="E120" s="1"/>
  <c r="E108" a="1"/>
  <c r="E108" s="1"/>
  <c r="E51" a="1"/>
  <c r="E51" s="1"/>
  <c r="E237" a="1"/>
  <c r="E237" s="1"/>
  <c r="E233" a="1"/>
  <c r="E233" s="1"/>
  <c r="E231" a="1"/>
  <c r="E231" s="1"/>
  <c r="E204" a="1"/>
  <c r="E204" s="1"/>
  <c r="E183" a="1"/>
  <c r="E183" s="1"/>
  <c r="E149" a="1"/>
  <c r="E149" s="1"/>
  <c r="E141" a="1"/>
  <c r="E141" s="1"/>
  <c r="E92" a="1"/>
  <c r="E92" s="1"/>
  <c r="E90" a="1"/>
  <c r="E90" s="1"/>
  <c r="E88" a="1"/>
  <c r="E88" s="1"/>
  <c r="E86" a="1"/>
  <c r="E86" s="1"/>
  <c r="E84" a="1"/>
  <c r="E84" s="1"/>
  <c r="E61" a="1"/>
  <c r="E61" s="1"/>
  <c r="E53" a="1"/>
  <c r="E53" s="1"/>
  <c r="E40" a="1"/>
  <c r="E40" s="1"/>
  <c r="E8" a="1"/>
  <c r="E8" s="1"/>
  <c r="E195" a="1"/>
  <c r="E195" s="1"/>
  <c r="E191" a="1"/>
  <c r="E191" s="1"/>
  <c r="E185" a="1"/>
  <c r="E185" s="1"/>
  <c r="E170" a="1"/>
  <c r="E170" s="1"/>
  <c r="E143" a="1"/>
  <c r="E143" s="1"/>
  <c r="E134" a="1"/>
  <c r="E134" s="1"/>
  <c r="E132" a="1"/>
  <c r="E132" s="1"/>
  <c r="E126" a="1"/>
  <c r="E126" s="1"/>
  <c r="E113" a="1"/>
  <c r="E113" s="1"/>
  <c r="E78" a="1"/>
  <c r="E78" s="1"/>
  <c r="E72" a="1"/>
  <c r="E72" s="1"/>
  <c r="E63" a="1"/>
  <c r="E63" s="1"/>
  <c r="E217" a="1"/>
  <c r="E217" s="1"/>
  <c r="E215" a="1"/>
  <c r="E215" s="1"/>
  <c r="E174" a="1"/>
  <c r="E174" s="1"/>
  <c r="E136" a="1"/>
  <c r="E136" s="1"/>
  <c r="E65" a="1"/>
  <c r="E65" s="1"/>
  <c r="E31" a="1"/>
  <c r="E31" s="1"/>
  <c r="E335" a="1"/>
  <c r="E335" s="1"/>
  <c r="E261" a="1"/>
  <c r="E261" s="1"/>
  <c r="E244" a="1"/>
  <c r="E244" s="1"/>
  <c r="E230" a="1"/>
  <c r="E230" s="1"/>
  <c r="E188" a="1"/>
  <c r="E188" s="1"/>
  <c r="E186" a="1"/>
  <c r="E186" s="1"/>
  <c r="E184" a="1"/>
  <c r="E184" s="1"/>
  <c r="E171" a="1"/>
  <c r="E171" s="1"/>
  <c r="E140" a="1"/>
  <c r="E140" s="1"/>
  <c r="E133" a="1"/>
  <c r="E133" s="1"/>
  <c r="E95" a="1"/>
  <c r="E95" s="1"/>
  <c r="E64" a="1"/>
  <c r="E64" s="1"/>
  <c r="E56" a="1"/>
  <c r="E56" s="1"/>
  <c r="E28" a="1"/>
  <c r="E28" s="1"/>
  <c r="E11" a="1"/>
  <c r="E11" s="1"/>
  <c r="E13" a="1"/>
  <c r="E13" s="1"/>
  <c r="E339" a="1"/>
  <c r="E339" s="1"/>
  <c r="E300" a="1"/>
  <c r="E300" s="1"/>
  <c r="E304" a="1"/>
  <c r="E304" s="1"/>
  <c r="E278" a="1"/>
  <c r="E278" s="1"/>
  <c r="E320" a="1"/>
  <c r="E320" s="1"/>
  <c r="E314" a="1"/>
  <c r="E314" s="1"/>
  <c r="E328" a="1"/>
  <c r="E328" s="1"/>
  <c r="E289" a="1"/>
  <c r="E289" s="1"/>
  <c r="E253" a="1"/>
  <c r="E253" s="1"/>
  <c r="E203" a="1"/>
  <c r="E203" s="1"/>
  <c r="E313" a="1"/>
  <c r="E313" s="1"/>
  <c r="E161" a="1"/>
  <c r="E161" s="1"/>
  <c r="E282" a="1"/>
  <c r="E282" s="1"/>
  <c r="E259" a="1"/>
  <c r="E259" s="1"/>
  <c r="E168" a="1"/>
  <c r="E168" s="1"/>
  <c r="E147" a="1"/>
  <c r="E147" s="1"/>
  <c r="E338" a="1"/>
  <c r="E338" s="1"/>
  <c r="E334" a="1"/>
  <c r="E334" s="1"/>
  <c r="E290" a="1"/>
  <c r="E290" s="1"/>
  <c r="E252" a="1"/>
  <c r="E252" s="1"/>
  <c r="E326" a="1"/>
  <c r="E326" s="1"/>
  <c r="E302" a="1"/>
  <c r="E302" s="1"/>
  <c r="E267" a="1"/>
  <c r="E267" s="1"/>
  <c r="E192" a="1"/>
  <c r="E192" s="1"/>
  <c r="E197" a="1"/>
  <c r="E197" s="1"/>
  <c r="E242" a="1"/>
  <c r="E242" s="1"/>
  <c r="E157" a="1"/>
  <c r="E157" s="1"/>
  <c r="E4" a="1"/>
  <c r="E4" s="1"/>
  <c r="E274" a="1"/>
  <c r="E274" s="1"/>
  <c r="E158" a="1"/>
  <c r="E158" s="1"/>
  <c r="E111" a="1"/>
  <c r="E111" s="1"/>
  <c r="E265" a="1"/>
  <c r="E265" s="1"/>
  <c r="E211" a="1"/>
  <c r="E211" s="1"/>
  <c r="E177" a="1"/>
  <c r="E177" s="1"/>
  <c r="E166" a="1"/>
  <c r="E166" s="1"/>
  <c r="E100" a="1"/>
  <c r="E100" s="1"/>
  <c r="E273" a="1"/>
  <c r="E273" s="1"/>
  <c r="E249" a="1"/>
  <c r="E249" s="1"/>
  <c r="E160" a="1"/>
  <c r="E160" s="1"/>
  <c r="E98" a="1"/>
  <c r="E98" s="1"/>
  <c r="E70" a="1"/>
  <c r="E70" s="1"/>
  <c r="E201" a="1"/>
  <c r="E201" s="1"/>
  <c r="E167" a="1"/>
  <c r="E167" s="1"/>
  <c r="E138" a="1"/>
  <c r="E138" s="1"/>
  <c r="E97" a="1"/>
  <c r="E97" s="1"/>
  <c r="E93" a="1"/>
  <c r="E93" s="1"/>
  <c r="E101" a="1"/>
  <c r="E101" s="1"/>
  <c r="E59" a="1"/>
  <c r="E59" s="1"/>
  <c r="E55" a="1"/>
  <c r="E55" s="1"/>
  <c r="E23" a="1"/>
  <c r="E23" s="1"/>
  <c r="E159" a="1"/>
  <c r="E159" s="1"/>
  <c r="E146" a="1"/>
  <c r="E146" s="1"/>
  <c r="E102" a="1"/>
  <c r="E102" s="1"/>
  <c r="E117" a="1"/>
  <c r="E117" s="1"/>
  <c r="E99" a="1"/>
  <c r="E99" s="1"/>
  <c r="E67" a="1"/>
  <c r="E67" s="1"/>
  <c r="E43" a="1"/>
  <c r="E43" s="1"/>
  <c r="E14" a="1"/>
  <c r="E14" s="1"/>
  <c r="E247" a="1"/>
  <c r="E247" s="1"/>
  <c r="E223" a="1"/>
  <c r="E223" s="1"/>
  <c r="E199" a="1"/>
  <c r="E199" s="1"/>
  <c r="E175" a="1"/>
  <c r="E175" s="1"/>
  <c r="E124" a="1"/>
  <c r="E124" s="1"/>
  <c r="E114" a="1"/>
  <c r="E114" s="1"/>
  <c r="E110" a="1"/>
  <c r="E110" s="1"/>
  <c r="E89" a="1"/>
  <c r="E89" s="1"/>
  <c r="E19" a="1"/>
  <c r="E19" s="1"/>
  <c r="E162" a="1"/>
  <c r="E162" s="1"/>
  <c r="E16" a="1"/>
  <c r="E16" s="1"/>
  <c r="E163" a="1"/>
  <c r="E163" s="1"/>
  <c r="E151" a="1"/>
  <c r="E151" s="1"/>
  <c r="E139" a="1"/>
  <c r="E139" s="1"/>
  <c r="E127" a="1"/>
  <c r="E127" s="1"/>
  <c r="E115" a="1"/>
  <c r="E115" s="1"/>
  <c r="E103" a="1"/>
  <c r="E103" s="1"/>
  <c r="E91" a="1"/>
  <c r="E91" s="1"/>
  <c r="E154" a="1"/>
  <c r="E154" s="1"/>
  <c r="E142" a="1"/>
  <c r="E142" s="1"/>
  <c r="E130" a="1"/>
  <c r="E130" s="1"/>
  <c r="E118" a="1"/>
  <c r="E118" s="1"/>
  <c r="E106" a="1"/>
  <c r="E106" s="1"/>
  <c r="E94" a="1"/>
  <c r="E94" s="1"/>
  <c r="E1"/>
  <c r="T499" i="40" l="1"/>
  <c r="T25" i="52"/>
  <c r="E8" i="53"/>
  <c r="E8" i="52"/>
  <c r="E16" i="53"/>
  <c r="E16" i="52"/>
  <c r="Z569" i="40"/>
  <c r="Z28" i="52"/>
  <c r="Y523" i="40"/>
  <c r="Y26" i="52"/>
  <c r="R602" i="40"/>
  <c r="AE602" i="37"/>
  <c r="AE602" i="40" s="1"/>
  <c r="AI602" i="37"/>
  <c r="AH602" i="40" s="1"/>
  <c r="AC602" i="37"/>
  <c r="AC602" i="40" s="1"/>
  <c r="AD596" i="37"/>
  <c r="V596" i="40"/>
  <c r="S600"/>
  <c r="AG600" i="37"/>
  <c r="AN600"/>
  <c r="AH600"/>
  <c r="AD600"/>
  <c r="S607" i="40"/>
  <c r="AN607" i="37"/>
  <c r="AD607"/>
  <c r="AH607"/>
  <c r="AG607"/>
  <c r="R585" i="40"/>
  <c r="AC585" i="37"/>
  <c r="AC585" i="40" s="1"/>
  <c r="AI585" i="37"/>
  <c r="AH585" i="40" s="1"/>
  <c r="AE585" i="37"/>
  <c r="AE585" i="40" s="1"/>
  <c r="AA591"/>
  <c r="AA29" i="52"/>
  <c r="R587" i="40"/>
  <c r="AC587" i="37"/>
  <c r="AC587" i="40" s="1"/>
  <c r="AI587" i="37"/>
  <c r="AE587"/>
  <c r="AE587" i="40" s="1"/>
  <c r="R609"/>
  <c r="AE609" i="37"/>
  <c r="AE609" i="40" s="1"/>
  <c r="R603"/>
  <c r="AC603" i="37"/>
  <c r="AC603" i="40" s="1"/>
  <c r="AI603" i="37"/>
  <c r="AH603" i="40" s="1"/>
  <c r="AE603" i="37"/>
  <c r="AE603" i="40" s="1"/>
  <c r="S591"/>
  <c r="S29" i="52"/>
  <c r="AH591" i="37"/>
  <c r="AN591"/>
  <c r="AG591"/>
  <c r="Z591" i="40"/>
  <c r="Z29" i="52"/>
  <c r="W547" i="40"/>
  <c r="W27" i="52"/>
  <c r="E5" i="53"/>
  <c r="E5" i="52"/>
  <c r="E18" i="53"/>
  <c r="E18" i="52"/>
  <c r="E22" i="53"/>
  <c r="E22" i="52"/>
  <c r="E11" i="53"/>
  <c r="E11" i="52"/>
  <c r="E17" i="53"/>
  <c r="E17" i="52"/>
  <c r="U499" i="40"/>
  <c r="U25" i="52"/>
  <c r="S499" i="40"/>
  <c r="S25" i="52"/>
  <c r="U523" i="40"/>
  <c r="U26" i="52"/>
  <c r="W523" i="40"/>
  <c r="W26" i="52"/>
  <c r="T569" i="40"/>
  <c r="T28" i="52"/>
  <c r="R606" i="40"/>
  <c r="AI606" i="37"/>
  <c r="AH606" i="40" s="1"/>
  <c r="AE606" i="37"/>
  <c r="AE606" i="40" s="1"/>
  <c r="AC606" i="37"/>
  <c r="AC606" i="40" s="1"/>
  <c r="R610"/>
  <c r="AE610" i="37"/>
  <c r="AE610" i="40" s="1"/>
  <c r="AI610" i="37"/>
  <c r="AH610" i="40" s="1"/>
  <c r="AC610" i="37"/>
  <c r="AC610" i="40" s="1"/>
  <c r="S610"/>
  <c r="AN610" i="37"/>
  <c r="AD610"/>
  <c r="AH610"/>
  <c r="AG610"/>
  <c r="S608" i="40"/>
  <c r="AN608" i="37"/>
  <c r="AD608"/>
  <c r="AG608"/>
  <c r="AH608"/>
  <c r="R595" i="40"/>
  <c r="AI595" i="37"/>
  <c r="AH595" i="40" s="1"/>
  <c r="AE595" i="37"/>
  <c r="AE595" i="40" s="1"/>
  <c r="AC595" i="37"/>
  <c r="AC595" i="40" s="1"/>
  <c r="R597"/>
  <c r="AE597" i="37"/>
  <c r="AE597" i="40" s="1"/>
  <c r="AI597" i="37"/>
  <c r="AH597" i="40" s="1"/>
  <c r="AC597" i="37"/>
  <c r="AC597" i="40" s="1"/>
  <c r="S587"/>
  <c r="AG587" i="37"/>
  <c r="AN587"/>
  <c r="AD587"/>
  <c r="AH587"/>
  <c r="R594" i="40"/>
  <c r="AE594" i="37"/>
  <c r="AE594" i="40" s="1"/>
  <c r="AI594" i="37"/>
  <c r="AH594" i="40" s="1"/>
  <c r="AC594" i="37"/>
  <c r="AC594" i="40" s="1"/>
  <c r="S585"/>
  <c r="AN585" i="37"/>
  <c r="AG585"/>
  <c r="AD585"/>
  <c r="AH585"/>
  <c r="S582" i="40"/>
  <c r="AG582" i="37"/>
  <c r="AN582"/>
  <c r="AD582"/>
  <c r="AH582"/>
  <c r="R586" i="40"/>
  <c r="AC586" i="37"/>
  <c r="AC586" i="40" s="1"/>
  <c r="AE586" i="37"/>
  <c r="AE586" i="40" s="1"/>
  <c r="AI586" i="37"/>
  <c r="E23" i="53"/>
  <c r="E23" i="52"/>
  <c r="E7" i="53"/>
  <c r="E7" i="52"/>
  <c r="E15" i="53"/>
  <c r="E15" i="52"/>
  <c r="E13" i="53"/>
  <c r="E13" i="52"/>
  <c r="E20" i="53"/>
  <c r="E20" i="52"/>
  <c r="E2" i="53"/>
  <c r="E2" i="52"/>
  <c r="AB569" i="40"/>
  <c r="AB28" i="52"/>
  <c r="AA569" i="40"/>
  <c r="AA28" i="52"/>
  <c r="AI609" i="37"/>
  <c r="AH609" i="40" s="1"/>
  <c r="W609"/>
  <c r="R611"/>
  <c r="AC611" i="37"/>
  <c r="AC611" i="40" s="1"/>
  <c r="AI611" i="37"/>
  <c r="AH611" i="40" s="1"/>
  <c r="AE611" i="37"/>
  <c r="AE611" i="40" s="1"/>
  <c r="R604"/>
  <c r="AE604" i="37"/>
  <c r="AE604" i="40" s="1"/>
  <c r="AI604" i="37"/>
  <c r="AH604" i="40" s="1"/>
  <c r="AC604" i="37"/>
  <c r="AC604" i="40" s="1"/>
  <c r="S611"/>
  <c r="AN611" i="37"/>
  <c r="AD611"/>
  <c r="AH611"/>
  <c r="AG611"/>
  <c r="AI599"/>
  <c r="AH599" i="40" s="1"/>
  <c r="U599"/>
  <c r="R592"/>
  <c r="AE592" i="37"/>
  <c r="AE592" i="40" s="1"/>
  <c r="AC592" i="37"/>
  <c r="AC592" i="40" s="1"/>
  <c r="AN589" i="37"/>
  <c r="W589" i="40"/>
  <c r="AC584" i="37"/>
  <c r="AC584" i="40" s="1"/>
  <c r="T584"/>
  <c r="Y591"/>
  <c r="Y29" i="52"/>
  <c r="U591" i="40"/>
  <c r="U29" i="52"/>
  <c r="S584" i="40"/>
  <c r="AG584" i="37"/>
  <c r="AN584"/>
  <c r="AH584"/>
  <c r="AD584"/>
  <c r="R582" i="40"/>
  <c r="AC582" i="37"/>
  <c r="AC582" i="40" s="1"/>
  <c r="AE582" i="37"/>
  <c r="AE582" i="40" s="1"/>
  <c r="AI582" i="37"/>
  <c r="AH582" i="40" s="1"/>
  <c r="T547"/>
  <c r="T27" i="52"/>
  <c r="Y547" i="40"/>
  <c r="Y27" i="52"/>
  <c r="Z547" i="40"/>
  <c r="Z27" i="52"/>
  <c r="AH593" i="37"/>
  <c r="V593" i="40"/>
  <c r="S592"/>
  <c r="AG592" i="37"/>
  <c r="AD592"/>
  <c r="AH592"/>
  <c r="AN592"/>
  <c r="R590" i="40"/>
  <c r="AE590" i="37"/>
  <c r="AE590" i="40" s="1"/>
  <c r="AC590" i="37"/>
  <c r="AC590" i="40" s="1"/>
  <c r="AI590" i="37"/>
  <c r="AH590" i="40" s="1"/>
  <c r="S605"/>
  <c r="AG605" i="37"/>
  <c r="AD605"/>
  <c r="AH605"/>
  <c r="E6" i="53"/>
  <c r="E6" i="52"/>
  <c r="E14" i="53"/>
  <c r="E14" i="52"/>
  <c r="E12" i="53"/>
  <c r="E12" i="52"/>
  <c r="E4" i="53"/>
  <c r="E4" i="52"/>
  <c r="E21" i="53"/>
  <c r="E21" i="52"/>
  <c r="X499" i="40"/>
  <c r="X25" i="52"/>
  <c r="AB499" i="40"/>
  <c r="AB25" i="52"/>
  <c r="Z499" i="40"/>
  <c r="Z25" i="52"/>
  <c r="U547" i="40"/>
  <c r="U27" i="52"/>
  <c r="AA547" i="40"/>
  <c r="AA27" i="52"/>
  <c r="Z523" i="40"/>
  <c r="Z26" i="52"/>
  <c r="V569" i="40"/>
  <c r="V28" i="52"/>
  <c r="S603" i="40"/>
  <c r="AD603" i="37"/>
  <c r="AH603"/>
  <c r="AN603"/>
  <c r="AG603"/>
  <c r="AN594"/>
  <c r="V594" i="40"/>
  <c r="AI591" i="37"/>
  <c r="AH591" i="40" s="1"/>
  <c r="T591"/>
  <c r="T29" i="52"/>
  <c r="AN596" i="37"/>
  <c r="W596" i="40"/>
  <c r="R607"/>
  <c r="AC607" i="37"/>
  <c r="AC607" i="40" s="1"/>
  <c r="AE607" i="37"/>
  <c r="AE607" i="40" s="1"/>
  <c r="AI607" i="37"/>
  <c r="AH607" i="40" s="1"/>
  <c r="S599"/>
  <c r="AD599" i="37"/>
  <c r="AH599"/>
  <c r="AN599"/>
  <c r="AG599"/>
  <c r="S581" i="40"/>
  <c r="AD581" i="37"/>
  <c r="AG581"/>
  <c r="AN581"/>
  <c r="AH581"/>
  <c r="R601" i="40"/>
  <c r="AE601" i="37"/>
  <c r="AE601" i="40" s="1"/>
  <c r="AC601" i="37"/>
  <c r="AC601" i="40" s="1"/>
  <c r="AI601" i="37"/>
  <c r="AH601" i="40" s="1"/>
  <c r="S586"/>
  <c r="AG586" i="37"/>
  <c r="AN586"/>
  <c r="AD586"/>
  <c r="AH586"/>
  <c r="S583" i="40"/>
  <c r="AN583" i="37"/>
  <c r="AG583"/>
  <c r="AD583"/>
  <c r="AH583"/>
  <c r="S589" i="40"/>
  <c r="AG589" i="37"/>
  <c r="AH589"/>
  <c r="AD589"/>
  <c r="Y569" i="40"/>
  <c r="Y28" i="52"/>
  <c r="R591" i="40"/>
  <c r="R29" i="52"/>
  <c r="AC591" i="37"/>
  <c r="AE591"/>
  <c r="AA499" i="40"/>
  <c r="AA25" i="52"/>
  <c r="W569" i="40"/>
  <c r="W28" i="52"/>
  <c r="AB547" i="40"/>
  <c r="AB27" i="52"/>
  <c r="V523" i="40"/>
  <c r="V26" i="52"/>
  <c r="X547" i="40"/>
  <c r="X27" i="52"/>
  <c r="R569" i="40"/>
  <c r="R28" i="52"/>
  <c r="AA523" i="40"/>
  <c r="AA26" i="52"/>
  <c r="R598" i="40"/>
  <c r="AE598" i="37"/>
  <c r="AE598" i="40" s="1"/>
  <c r="AI598" i="37"/>
  <c r="AH598" i="40" s="1"/>
  <c r="AC598" i="37"/>
  <c r="AC598" i="40" s="1"/>
  <c r="S602"/>
  <c r="AG602" i="37"/>
  <c r="AH602"/>
  <c r="AD602"/>
  <c r="AN602"/>
  <c r="AC609"/>
  <c r="AC609" i="40" s="1"/>
  <c r="S609"/>
  <c r="AD609" i="37"/>
  <c r="AG609"/>
  <c r="AN609"/>
  <c r="AH609"/>
  <c r="S597" i="40"/>
  <c r="AN597" i="37"/>
  <c r="AG597"/>
  <c r="AH597"/>
  <c r="AD597"/>
  <c r="S595" i="40"/>
  <c r="AD595" i="37"/>
  <c r="AN595"/>
  <c r="AH595"/>
  <c r="AG595"/>
  <c r="AD591"/>
  <c r="V591" i="40"/>
  <c r="V29" i="52"/>
  <c r="R588" i="40"/>
  <c r="AC588" i="37"/>
  <c r="AC588" i="40" s="1"/>
  <c r="AI588" i="37"/>
  <c r="AH588" i="40" s="1"/>
  <c r="AE588" i="37"/>
  <c r="AE588" i="40" s="1"/>
  <c r="R584"/>
  <c r="AI584" i="37"/>
  <c r="AE584"/>
  <c r="AE584" i="40" s="1"/>
  <c r="S594"/>
  <c r="AD594" i="37"/>
  <c r="AG594"/>
  <c r="AH594"/>
  <c r="E24" i="53"/>
  <c r="E24" i="52"/>
  <c r="U569" i="40"/>
  <c r="U28" i="52"/>
  <c r="S601" i="40"/>
  <c r="AD601" i="37"/>
  <c r="AN601"/>
  <c r="AH601"/>
  <c r="AG601"/>
  <c r="S598" i="40"/>
  <c r="AG598" i="37"/>
  <c r="AN598"/>
  <c r="AD598"/>
  <c r="AH598"/>
  <c r="S596" i="40"/>
  <c r="AH596" i="37"/>
  <c r="AG596"/>
  <c r="E10" i="53"/>
  <c r="E10" i="52"/>
  <c r="E3" i="53"/>
  <c r="E3" i="52"/>
  <c r="V499" i="40"/>
  <c r="V25" i="52"/>
  <c r="S523" i="40"/>
  <c r="S26" i="52"/>
  <c r="S547" i="40"/>
  <c r="S27" i="52"/>
  <c r="X569" i="40"/>
  <c r="X28" i="52"/>
  <c r="R547" i="40"/>
  <c r="R27" i="52"/>
  <c r="R523" i="40"/>
  <c r="R26" i="52"/>
  <c r="V547" i="40"/>
  <c r="V27" i="52"/>
  <c r="S569" i="40"/>
  <c r="S28" i="52"/>
  <c r="R600" i="40"/>
  <c r="AI600" i="37"/>
  <c r="AH600" i="40" s="1"/>
  <c r="AE600" i="37"/>
  <c r="AE600" i="40" s="1"/>
  <c r="AC600" i="37"/>
  <c r="AC600" i="40" s="1"/>
  <c r="S606"/>
  <c r="AN606" i="37"/>
  <c r="AD606"/>
  <c r="AH606"/>
  <c r="AG606"/>
  <c r="S590" i="40"/>
  <c r="AG590" i="37"/>
  <c r="AN590"/>
  <c r="AD590"/>
  <c r="AH590"/>
  <c r="W591" i="40"/>
  <c r="W29" i="52"/>
  <c r="R589" i="40"/>
  <c r="AC589" i="37"/>
  <c r="AC589" i="40" s="1"/>
  <c r="AI589" i="37"/>
  <c r="AH589" i="40" s="1"/>
  <c r="AE589" i="37"/>
  <c r="AE589" i="40" s="1"/>
  <c r="R599"/>
  <c r="AC599" i="37"/>
  <c r="AC599" i="40" s="1"/>
  <c r="AE599" i="37"/>
  <c r="R583" i="40"/>
  <c r="AC583" i="37"/>
  <c r="AC583" i="40" s="1"/>
  <c r="AE583" i="37"/>
  <c r="AE583" i="40" s="1"/>
  <c r="AI583" i="37"/>
  <c r="S580" i="40"/>
  <c r="AH580" i="37"/>
  <c r="AD580"/>
  <c r="AN580"/>
  <c r="AG580"/>
  <c r="AI592"/>
  <c r="AH592" i="40" s="1"/>
  <c r="W592"/>
  <c r="AI608" i="37"/>
  <c r="AH608" i="40" s="1"/>
  <c r="W608"/>
  <c r="S588"/>
  <c r="AG588" i="37"/>
  <c r="AN588"/>
  <c r="AH588"/>
  <c r="AD588"/>
  <c r="E9" i="53"/>
  <c r="E9" i="52"/>
  <c r="W499" i="40"/>
  <c r="W25" i="52"/>
  <c r="Y499" i="40"/>
  <c r="Y25" i="52"/>
  <c r="E19" i="53"/>
  <c r="E19" i="52"/>
  <c r="R499" i="40"/>
  <c r="R25" i="52"/>
  <c r="AG504" i="37"/>
  <c r="U504" i="40"/>
  <c r="T523"/>
  <c r="T26" i="52"/>
  <c r="AG514" i="37"/>
  <c r="Y514" i="40"/>
  <c r="X523"/>
  <c r="X26" i="52"/>
  <c r="AB523" i="40"/>
  <c r="AB26" i="52"/>
  <c r="S593" i="40"/>
  <c r="AG593" i="37"/>
  <c r="AD593"/>
  <c r="AN593"/>
  <c r="AN605"/>
  <c r="V605" i="40"/>
  <c r="AI605" i="37"/>
  <c r="AH605" i="40" s="1"/>
  <c r="W605"/>
  <c r="R596"/>
  <c r="AC596" i="37"/>
  <c r="AC596" i="40" s="1"/>
  <c r="AE596" i="37"/>
  <c r="AI596"/>
  <c r="AH596" i="40" s="1"/>
  <c r="S604"/>
  <c r="AN604" i="37"/>
  <c r="AD604"/>
  <c r="AG604"/>
  <c r="AH604"/>
  <c r="X591" i="40"/>
  <c r="X29" i="52"/>
  <c r="R605" i="40"/>
  <c r="AE605" i="37"/>
  <c r="AE605" i="40" s="1"/>
  <c r="AC605" i="37"/>
  <c r="AC605" i="40" s="1"/>
  <c r="AB591"/>
  <c r="AB29" i="52"/>
  <c r="R608" i="40"/>
  <c r="AC608" i="37"/>
  <c r="AC608" i="40" s="1"/>
  <c r="AE608" i="37"/>
  <c r="AE608" i="40" s="1"/>
  <c r="R580"/>
  <c r="AE580" i="37"/>
  <c r="AE580" i="40" s="1"/>
  <c r="AI580" i="37"/>
  <c r="AH580" i="40" s="1"/>
  <c r="AC580" i="37"/>
  <c r="AC580" i="40" s="1"/>
  <c r="R593"/>
  <c r="AE593" i="37"/>
  <c r="AE593" i="40" s="1"/>
  <c r="AI593" i="37"/>
  <c r="AC593"/>
  <c r="R581" i="40"/>
  <c r="AC581" i="37"/>
  <c r="AC581" i="40" s="1"/>
  <c r="AE581" i="37"/>
  <c r="AI581"/>
  <c r="M411"/>
  <c r="AG543"/>
  <c r="AG560"/>
  <c r="AG578"/>
  <c r="AG499"/>
  <c r="AG25" i="52" s="1"/>
  <c r="AG569" i="37"/>
  <c r="AG28" i="52" s="1"/>
  <c r="AG538" i="37"/>
  <c r="AC577"/>
  <c r="AC577" i="40" s="1"/>
  <c r="AG576" i="37"/>
  <c r="AH502"/>
  <c r="AG502" i="40" s="1"/>
  <c r="AG502" i="37"/>
  <c r="AG554"/>
  <c r="AG498"/>
  <c r="AG579"/>
  <c r="AG500"/>
  <c r="AG573"/>
  <c r="AG540"/>
  <c r="AG545"/>
  <c r="AG542"/>
  <c r="AG521"/>
  <c r="AG570"/>
  <c r="AG530"/>
  <c r="AG513"/>
  <c r="AG524"/>
  <c r="AG515"/>
  <c r="AG567"/>
  <c r="L439"/>
  <c r="AG501"/>
  <c r="AG520"/>
  <c r="AG516"/>
  <c r="AG528"/>
  <c r="AG519"/>
  <c r="AG553"/>
  <c r="AG512"/>
  <c r="AG571"/>
  <c r="AG550"/>
  <c r="AG575"/>
  <c r="AG565"/>
  <c r="AG536"/>
  <c r="AG507"/>
  <c r="AG561"/>
  <c r="AG548"/>
  <c r="AG562"/>
  <c r="AG541"/>
  <c r="AG552"/>
  <c r="AG539"/>
  <c r="AG509"/>
  <c r="AG568"/>
  <c r="AG526"/>
  <c r="AG558"/>
  <c r="AG563"/>
  <c r="AG559"/>
  <c r="H479"/>
  <c r="AG527"/>
  <c r="AG518"/>
  <c r="AG546"/>
  <c r="AG535"/>
  <c r="AG523"/>
  <c r="AG26" i="52" s="1"/>
  <c r="AG506" i="37"/>
  <c r="AG572"/>
  <c r="AG522"/>
  <c r="AG505"/>
  <c r="AG555"/>
  <c r="AG531"/>
  <c r="AG511"/>
  <c r="AG529"/>
  <c r="AG508"/>
  <c r="AG525"/>
  <c r="AG534"/>
  <c r="AG566"/>
  <c r="AG574"/>
  <c r="AG551"/>
  <c r="AG517"/>
  <c r="AG510"/>
  <c r="AG533"/>
  <c r="AG549"/>
  <c r="I411"/>
  <c r="AG537"/>
  <c r="AG564"/>
  <c r="AG547"/>
  <c r="AG27" i="52" s="1"/>
  <c r="AG556" i="37"/>
  <c r="AG532"/>
  <c r="AG577"/>
  <c r="AG503"/>
  <c r="AG557"/>
  <c r="AG544"/>
  <c r="AC531"/>
  <c r="AC531" i="40" s="1"/>
  <c r="AC521" i="37"/>
  <c r="AC521" i="40" s="1"/>
  <c r="AC520" i="37"/>
  <c r="AC520" i="40" s="1"/>
  <c r="P479" i="37"/>
  <c r="AC533"/>
  <c r="AC533" i="40" s="1"/>
  <c r="I479" i="37"/>
  <c r="AC565"/>
  <c r="AC565" i="40" s="1"/>
  <c r="AC504" i="37"/>
  <c r="AC504" i="40" s="1"/>
  <c r="AC540" i="37"/>
  <c r="AC540" i="40" s="1"/>
  <c r="AC543" i="37"/>
  <c r="AC543" i="40" s="1"/>
  <c r="AC573" i="37"/>
  <c r="AC573" i="40" s="1"/>
  <c r="AC522" i="37"/>
  <c r="AC522" i="40" s="1"/>
  <c r="AC529" i="37"/>
  <c r="AC529" i="40" s="1"/>
  <c r="AC537" i="37"/>
  <c r="AC537" i="40" s="1"/>
  <c r="AC535" i="37"/>
  <c r="AC535" i="40" s="1"/>
  <c r="L411" i="37"/>
  <c r="AC500"/>
  <c r="AC500" i="40" s="1"/>
  <c r="AC502" i="37"/>
  <c r="AC502" i="40" s="1"/>
  <c r="AC499" i="37"/>
  <c r="AC516"/>
  <c r="AC516" i="40" s="1"/>
  <c r="AC514" i="37"/>
  <c r="AC514" i="40" s="1"/>
  <c r="AC576" i="37"/>
  <c r="AC576" i="40" s="1"/>
  <c r="AC561" i="37"/>
  <c r="AC561" i="40" s="1"/>
  <c r="AC510" i="37"/>
  <c r="AC510" i="40" s="1"/>
  <c r="AC509" i="37"/>
  <c r="AC509" i="40" s="1"/>
  <c r="AC566" i="37"/>
  <c r="AC566" i="40" s="1"/>
  <c r="AC539" i="37"/>
  <c r="AC539" i="40" s="1"/>
  <c r="AC523" i="37"/>
  <c r="AC511"/>
  <c r="AC511" i="40" s="1"/>
  <c r="AC550" i="37"/>
  <c r="AC550" i="40" s="1"/>
  <c r="AC562" i="37"/>
  <c r="AC562" i="40" s="1"/>
  <c r="AC544" i="37"/>
  <c r="AC544" i="40" s="1"/>
  <c r="AC551" i="37"/>
  <c r="AC551" i="40" s="1"/>
  <c r="AC542" i="37"/>
  <c r="AC542" i="40" s="1"/>
  <c r="AC569" i="37"/>
  <c r="AC498"/>
  <c r="AC498" i="40" s="1"/>
  <c r="AC553" i="37"/>
  <c r="AC553" i="40" s="1"/>
  <c r="AC559" i="37"/>
  <c r="AC559" i="40" s="1"/>
  <c r="AC513" i="37"/>
  <c r="AC513" i="40" s="1"/>
  <c r="AC556" i="37"/>
  <c r="AC556" i="40" s="1"/>
  <c r="AC557" i="37"/>
  <c r="AC557" i="40" s="1"/>
  <c r="AC558" i="37"/>
  <c r="AC558" i="40" s="1"/>
  <c r="AC538" i="37"/>
  <c r="AC538" i="40" s="1"/>
  <c r="AC527" i="37"/>
  <c r="AC527" i="40" s="1"/>
  <c r="AC554" i="37"/>
  <c r="AC554" i="40" s="1"/>
  <c r="P411" i="37"/>
  <c r="AC563"/>
  <c r="AC563" i="40" s="1"/>
  <c r="AC534" i="37"/>
  <c r="AC534" i="40" s="1"/>
  <c r="AC560" i="37"/>
  <c r="AC560" i="40" s="1"/>
  <c r="AC507" i="37"/>
  <c r="AC507" i="40" s="1"/>
  <c r="AC526" i="37"/>
  <c r="AC526" i="40" s="1"/>
  <c r="AC517" i="37"/>
  <c r="AC517" i="40" s="1"/>
  <c r="AC578" i="37"/>
  <c r="AC578" i="40" s="1"/>
  <c r="AC506" i="37"/>
  <c r="AC506" i="40" s="1"/>
  <c r="AC525" i="37"/>
  <c r="AC525" i="40" s="1"/>
  <c r="AC518" i="37"/>
  <c r="AC518" i="40" s="1"/>
  <c r="AC505" i="37"/>
  <c r="AC505" i="40" s="1"/>
  <c r="AC575" i="37"/>
  <c r="AC575" i="40" s="1"/>
  <c r="AC549" i="37"/>
  <c r="AC549" i="40" s="1"/>
  <c r="AC528" i="37"/>
  <c r="AC528" i="40" s="1"/>
  <c r="AC547" i="37"/>
  <c r="AC579"/>
  <c r="AC579" i="40" s="1"/>
  <c r="AC574" i="37"/>
  <c r="AC574" i="40" s="1"/>
  <c r="AC532" i="37"/>
  <c r="AC532" i="40" s="1"/>
  <c r="AC552" i="37"/>
  <c r="AC552" i="40" s="1"/>
  <c r="AC567" i="37"/>
  <c r="AC567" i="40" s="1"/>
  <c r="AC512" i="37"/>
  <c r="AC512" i="40" s="1"/>
  <c r="AC568" i="37"/>
  <c r="AC568" i="40" s="1"/>
  <c r="AC570" i="37"/>
  <c r="AC570" i="40" s="1"/>
  <c r="AC571" i="37"/>
  <c r="AC571" i="40" s="1"/>
  <c r="AC546" i="37"/>
  <c r="AC546" i="40" s="1"/>
  <c r="AC548" i="37"/>
  <c r="AC548" i="40" s="1"/>
  <c r="AC501" i="37"/>
  <c r="AC501" i="40" s="1"/>
  <c r="AC524" i="37"/>
  <c r="AC524" i="40" s="1"/>
  <c r="AC564" i="37"/>
  <c r="AC564" i="40" s="1"/>
  <c r="AC555" i="37"/>
  <c r="AC555" i="40" s="1"/>
  <c r="AC572" i="37"/>
  <c r="AC572" i="40" s="1"/>
  <c r="AC515" i="37"/>
  <c r="AC515" i="40" s="1"/>
  <c r="AC541" i="37"/>
  <c r="AC541" i="40" s="1"/>
  <c r="AC519" i="37"/>
  <c r="AC519" i="40" s="1"/>
  <c r="AC508" i="37"/>
  <c r="AC508" i="40" s="1"/>
  <c r="AC503" i="37"/>
  <c r="AC503" i="40" s="1"/>
  <c r="AC545" i="37"/>
  <c r="AC545" i="40" s="1"/>
  <c r="AC536" i="37"/>
  <c r="AC536" i="40" s="1"/>
  <c r="AC530" i="37"/>
  <c r="AC530" i="40" s="1"/>
  <c r="I439" i="37"/>
  <c r="G411"/>
  <c r="N439"/>
  <c r="Q439"/>
  <c r="P439"/>
  <c r="G439"/>
  <c r="K439"/>
  <c r="AI579"/>
  <c r="AH579" i="40" s="1"/>
  <c r="AE579" i="37"/>
  <c r="AE579" i="40" s="1"/>
  <c r="AE574" i="37"/>
  <c r="AE574" i="40" s="1"/>
  <c r="AI574" i="37"/>
  <c r="AH574" i="40" s="1"/>
  <c r="AN508" i="37"/>
  <c r="AD508"/>
  <c r="AD508" i="40" s="1"/>
  <c r="AF508" s="1"/>
  <c r="AH508" i="37"/>
  <c r="AG508" i="40" s="1"/>
  <c r="AD525" i="37"/>
  <c r="AD525" i="40" s="1"/>
  <c r="AH525" i="37"/>
  <c r="AG525" i="40" s="1"/>
  <c r="AN525" i="37"/>
  <c r="AE532"/>
  <c r="AE532" i="40" s="1"/>
  <c r="AI532" i="37"/>
  <c r="AH532" i="40" s="1"/>
  <c r="AN534" i="37"/>
  <c r="AD534"/>
  <c r="AD534" i="40" s="1"/>
  <c r="AF534" s="1"/>
  <c r="AH534" i="37"/>
  <c r="AG534" i="40" s="1"/>
  <c r="AH566" i="37"/>
  <c r="AG566" i="40" s="1"/>
  <c r="AD566" i="37"/>
  <c r="AD566" i="40" s="1"/>
  <c r="AN566" i="37"/>
  <c r="AH574"/>
  <c r="AG574" i="40" s="1"/>
  <c r="AN574" i="37"/>
  <c r="AD574"/>
  <c r="AD574" i="40" s="1"/>
  <c r="AF574" s="1"/>
  <c r="AI552" i="37"/>
  <c r="AH552" i="40" s="1"/>
  <c r="AE552" i="37"/>
  <c r="AE552" i="40" s="1"/>
  <c r="AN551" i="37"/>
  <c r="AH551"/>
  <c r="AG551" i="40" s="1"/>
  <c r="AD551" i="37"/>
  <c r="AD551" i="40" s="1"/>
  <c r="AI567" i="37"/>
  <c r="AH567" i="40" s="1"/>
  <c r="AE567" i="37"/>
  <c r="AE567" i="40" s="1"/>
  <c r="AE512" i="37"/>
  <c r="AE512" i="40" s="1"/>
  <c r="AI512" i="37"/>
  <c r="AH512" i="40" s="1"/>
  <c r="AN517" i="37"/>
  <c r="AD517"/>
  <c r="AD517" i="40" s="1"/>
  <c r="AH517" i="37"/>
  <c r="AG517" i="40" s="1"/>
  <c r="AN510" i="37"/>
  <c r="AD510"/>
  <c r="AD510" i="40" s="1"/>
  <c r="AH510" i="37"/>
  <c r="AG510" i="40" s="1"/>
  <c r="AN533" i="37"/>
  <c r="AH533"/>
  <c r="AG533" i="40" s="1"/>
  <c r="AI533" s="1"/>
  <c r="AK533" s="1"/>
  <c r="AD533" i="37"/>
  <c r="AD533" i="40" s="1"/>
  <c r="AD549" i="37"/>
  <c r="AD549" i="40" s="1"/>
  <c r="AH549" i="37"/>
  <c r="AG549" i="40" s="1"/>
  <c r="AN549" i="37"/>
  <c r="AI568"/>
  <c r="AH568" i="40" s="1"/>
  <c r="AE568" i="37"/>
  <c r="AE568" i="40" s="1"/>
  <c r="AI570" i="37"/>
  <c r="AH570" i="40" s="1"/>
  <c r="AE570" i="37"/>
  <c r="AE570" i="40" s="1"/>
  <c r="AN529" i="37"/>
  <c r="AH529"/>
  <c r="AG529" i="40" s="1"/>
  <c r="AD529" i="37"/>
  <c r="AD529" i="40" s="1"/>
  <c r="AN537" i="37"/>
  <c r="AH537"/>
  <c r="AG537" i="40" s="1"/>
  <c r="AD537" i="37"/>
  <c r="AD537" i="40" s="1"/>
  <c r="AH564" i="37"/>
  <c r="AG564" i="40" s="1"/>
  <c r="AN564" i="37"/>
  <c r="AD564"/>
  <c r="AD564" i="40" s="1"/>
  <c r="AH547" i="37"/>
  <c r="AG547" i="40" s="1"/>
  <c r="AD547" i="37"/>
  <c r="AD547" i="40" s="1"/>
  <c r="AN547" i="37"/>
  <c r="AN556"/>
  <c r="AH556"/>
  <c r="AG556" i="40" s="1"/>
  <c r="AD556" i="37"/>
  <c r="AD556" i="40" s="1"/>
  <c r="AF556" s="1"/>
  <c r="AI519" i="37"/>
  <c r="AH519" i="40" s="1"/>
  <c r="AE519" i="37"/>
  <c r="AE519" i="40" s="1"/>
  <c r="AN532" i="37"/>
  <c r="AD532"/>
  <c r="AD532" i="40" s="1"/>
  <c r="AF532" s="1"/>
  <c r="AH532" i="37"/>
  <c r="AG532" i="40" s="1"/>
  <c r="AN577" i="37"/>
  <c r="AH577"/>
  <c r="AG577" i="40" s="1"/>
  <c r="AD577" i="37"/>
  <c r="AD577" i="40" s="1"/>
  <c r="AF577" s="1"/>
  <c r="AN503" i="37"/>
  <c r="AH503"/>
  <c r="AG503" i="40" s="1"/>
  <c r="AI503" s="1"/>
  <c r="AK503" s="1"/>
  <c r="AD503" i="37"/>
  <c r="AD503" i="40" s="1"/>
  <c r="AH557" i="37"/>
  <c r="AG557" i="40" s="1"/>
  <c r="AN557" i="37"/>
  <c r="AD557"/>
  <c r="AD557" i="40" s="1"/>
  <c r="AE508" i="37"/>
  <c r="AE508" i="40" s="1"/>
  <c r="AI508" i="37"/>
  <c r="AH508" i="40" s="1"/>
  <c r="AI508" s="1"/>
  <c r="AK508" s="1"/>
  <c r="AN544" i="37"/>
  <c r="AH544"/>
  <c r="AG544" i="40" s="1"/>
  <c r="AD544" i="37"/>
  <c r="AD544" i="40" s="1"/>
  <c r="AE503" i="37"/>
  <c r="AE503" i="40" s="1"/>
  <c r="AI503" i="37"/>
  <c r="AH503" i="40" s="1"/>
  <c r="AI545" i="37"/>
  <c r="AH545" i="40" s="1"/>
  <c r="AE545" i="37"/>
  <c r="AE545" i="40" s="1"/>
  <c r="AE536" i="37"/>
  <c r="AE536" i="40" s="1"/>
  <c r="AI536" i="37"/>
  <c r="AH536" i="40" s="1"/>
  <c r="AE530" i="37"/>
  <c r="AE530" i="40" s="1"/>
  <c r="AI530" i="37"/>
  <c r="AH530" i="40" s="1"/>
  <c r="AH543" i="37"/>
  <c r="AG543" i="40" s="1"/>
  <c r="AN543" i="37"/>
  <c r="AD543"/>
  <c r="AD543" i="40" s="1"/>
  <c r="AN504" i="37"/>
  <c r="AD504"/>
  <c r="AD504" i="40" s="1"/>
  <c r="AF504" s="1"/>
  <c r="AH504" i="37"/>
  <c r="AG504" i="40" s="1"/>
  <c r="AN514" i="37"/>
  <c r="AH514"/>
  <c r="AG514" i="40" s="1"/>
  <c r="AD514" i="37"/>
  <c r="AD514" i="40" s="1"/>
  <c r="AE531" i="37"/>
  <c r="AE531" i="40" s="1"/>
  <c r="AI531" i="37"/>
  <c r="AH531" i="40" s="1"/>
  <c r="AN563" i="37"/>
  <c r="AD563"/>
  <c r="AD563" i="40" s="1"/>
  <c r="AF563" s="1"/>
  <c r="AH563" i="37"/>
  <c r="AG563" i="40" s="1"/>
  <c r="AI563" s="1"/>
  <c r="AK563" s="1"/>
  <c r="AE521" i="37"/>
  <c r="AE521" i="40" s="1"/>
  <c r="AI521" i="37"/>
  <c r="AH521" i="40" s="1"/>
  <c r="AN560" i="37"/>
  <c r="AH560"/>
  <c r="AG560" i="40" s="1"/>
  <c r="AD560" i="37"/>
  <c r="AD560" i="40" s="1"/>
  <c r="AI520" i="37"/>
  <c r="AH520" i="40" s="1"/>
  <c r="AE520" i="37"/>
  <c r="AE520" i="40" s="1"/>
  <c r="AN578" i="37"/>
  <c r="AD578"/>
  <c r="AD578" i="40" s="1"/>
  <c r="AH578" i="37"/>
  <c r="AG578" i="40" s="1"/>
  <c r="AH579" i="37"/>
  <c r="AG579" i="40" s="1"/>
  <c r="AI579" s="1"/>
  <c r="AK579" s="1"/>
  <c r="AN579" i="37"/>
  <c r="AD579"/>
  <c r="AD579" i="40" s="1"/>
  <c r="AF579" s="1"/>
  <c r="AD559" i="37"/>
  <c r="AD559" i="40" s="1"/>
  <c r="AN559" i="37"/>
  <c r="AH559"/>
  <c r="AG559" i="40" s="1"/>
  <c r="AI559" s="1"/>
  <c r="AK559" s="1"/>
  <c r="AE571" i="37"/>
  <c r="AE571" i="40" s="1"/>
  <c r="AI571" i="37"/>
  <c r="AH571" i="40" s="1"/>
  <c r="AI540" i="37"/>
  <c r="AH540" i="40" s="1"/>
  <c r="AE540" i="37"/>
  <c r="AE540" i="40" s="1"/>
  <c r="AN554" i="37"/>
  <c r="AD554"/>
  <c r="AD554" i="40" s="1"/>
  <c r="AH554" i="37"/>
  <c r="AG554" i="40" s="1"/>
  <c r="AI542" i="37"/>
  <c r="AH542" i="40" s="1"/>
  <c r="AE542" i="37"/>
  <c r="AE542" i="40" s="1"/>
  <c r="AE546" i="37"/>
  <c r="AE546" i="40" s="1"/>
  <c r="AI546" i="37"/>
  <c r="AH546" i="40" s="1"/>
  <c r="AI543" i="37"/>
  <c r="AH543" i="40" s="1"/>
  <c r="AE543" i="37"/>
  <c r="AE543" i="40" s="1"/>
  <c r="AI569" i="37"/>
  <c r="AH569" i="40" s="1"/>
  <c r="AE569" i="37"/>
  <c r="AE569" i="40" s="1"/>
  <c r="AI548" i="37"/>
  <c r="AH548" i="40" s="1"/>
  <c r="AI548" s="1"/>
  <c r="AK548" s="1"/>
  <c r="AE548" i="37"/>
  <c r="AE548" i="40" s="1"/>
  <c r="AH569" i="37"/>
  <c r="AG569" i="40" s="1"/>
  <c r="AI569" s="1"/>
  <c r="AK569" s="1"/>
  <c r="AD569" i="37"/>
  <c r="AD569" i="40" s="1"/>
  <c r="AN569" i="37"/>
  <c r="AH538"/>
  <c r="AG538" i="40" s="1"/>
  <c r="AN538" i="37"/>
  <c r="AD538"/>
  <c r="AD538" i="40" s="1"/>
  <c r="AH573" i="37"/>
  <c r="AG573" i="40" s="1"/>
  <c r="AI573" s="1"/>
  <c r="AK573" s="1"/>
  <c r="AD573" i="37"/>
  <c r="AD573" i="40" s="1"/>
  <c r="AN573" i="37"/>
  <c r="AI565"/>
  <c r="AH565" i="40" s="1"/>
  <c r="AE565" i="37"/>
  <c r="AE565" i="40" s="1"/>
  <c r="AN540" i="37"/>
  <c r="AH540"/>
  <c r="AG540" i="40" s="1"/>
  <c r="AD540" i="37"/>
  <c r="AD540" i="40" s="1"/>
  <c r="AF540" s="1"/>
  <c r="AE573" i="37"/>
  <c r="AE573" i="40" s="1"/>
  <c r="AI573" i="37"/>
  <c r="AH573" i="40" s="1"/>
  <c r="AN545" i="37"/>
  <c r="AH545"/>
  <c r="AG545" i="40" s="1"/>
  <c r="AI545" s="1"/>
  <c r="AK545" s="1"/>
  <c r="AD545" i="37"/>
  <c r="AD545" i="40" s="1"/>
  <c r="AF545" s="1"/>
  <c r="AN542" i="37"/>
  <c r="AD542"/>
  <c r="AD542" i="40" s="1"/>
  <c r="AF542" s="1"/>
  <c r="AH542" i="37"/>
  <c r="AG542" i="40" s="1"/>
  <c r="AE522" i="37"/>
  <c r="AE522" i="40" s="1"/>
  <c r="AI522" i="37"/>
  <c r="AH522" i="40" s="1"/>
  <c r="AH521" i="37"/>
  <c r="AD521"/>
  <c r="AD521" i="40" s="1"/>
  <c r="AF521" s="1"/>
  <c r="AN521" i="37"/>
  <c r="AN570"/>
  <c r="AD570"/>
  <c r="AD570" i="40" s="1"/>
  <c r="AH570" i="37"/>
  <c r="AH530"/>
  <c r="AG530" i="40" s="1"/>
  <c r="AD530" i="37"/>
  <c r="AD530" i="40" s="1"/>
  <c r="AF530" s="1"/>
  <c r="AN530" i="37"/>
  <c r="AN513"/>
  <c r="AD513"/>
  <c r="AD513" i="40" s="1"/>
  <c r="AH513" i="37"/>
  <c r="AG513" i="40" s="1"/>
  <c r="AN524" i="37"/>
  <c r="AD524"/>
  <c r="AD524" i="40" s="1"/>
  <c r="AF524" s="1"/>
  <c r="AH524" i="37"/>
  <c r="AG524" i="40" s="1"/>
  <c r="AI504" i="37"/>
  <c r="AH504" i="40" s="1"/>
  <c r="AE504" i="37"/>
  <c r="AE504" i="40" s="1"/>
  <c r="AH515" i="37"/>
  <c r="AG515" i="40" s="1"/>
  <c r="AN515" i="37"/>
  <c r="AD515"/>
  <c r="AD515" i="40" s="1"/>
  <c r="AN567" i="37"/>
  <c r="AD567"/>
  <c r="AD567" i="40" s="1"/>
  <c r="AF567" s="1"/>
  <c r="AH567" i="37"/>
  <c r="AG567" i="40" s="1"/>
  <c r="AI567" s="1"/>
  <c r="AK567" s="1"/>
  <c r="AI529" i="37"/>
  <c r="AH529" i="40" s="1"/>
  <c r="AE529" i="37"/>
  <c r="AE529" i="40" s="1"/>
  <c r="AE537" i="37"/>
  <c r="AE537" i="40" s="1"/>
  <c r="AI537" i="37"/>
  <c r="AH537" i="40" s="1"/>
  <c r="AI535" i="37"/>
  <c r="AH535" i="40" s="1"/>
  <c r="AE535" i="37"/>
  <c r="AE535" i="40" s="1"/>
  <c r="AE516" i="37"/>
  <c r="AE516" i="40" s="1"/>
  <c r="AI516" i="37"/>
  <c r="AH516" i="40" s="1"/>
  <c r="AI516" s="1"/>
  <c r="AK516" s="1"/>
  <c r="AN520" i="37"/>
  <c r="AD520"/>
  <c r="AD520" i="40" s="1"/>
  <c r="AH520" i="37"/>
  <c r="AG520" i="40" s="1"/>
  <c r="AN516" i="37"/>
  <c r="AD516"/>
  <c r="AD516" i="40" s="1"/>
  <c r="AH516" i="37"/>
  <c r="AG516" i="40" s="1"/>
  <c r="AE514" i="37"/>
  <c r="AE514" i="40" s="1"/>
  <c r="AI514" i="37"/>
  <c r="AH514" i="40" s="1"/>
  <c r="AI514" s="1"/>
  <c r="AK514" s="1"/>
  <c r="AI576" i="37"/>
  <c r="AH576" i="40" s="1"/>
  <c r="AE576" i="37"/>
  <c r="AE576" i="40" s="1"/>
  <c r="AI561" i="37"/>
  <c r="AH561" i="40" s="1"/>
  <c r="AE561" i="37"/>
  <c r="AE561" i="40" s="1"/>
  <c r="AE510" i="37"/>
  <c r="AE510" i="40" s="1"/>
  <c r="AI510" i="37"/>
  <c r="AH510" i="40" s="1"/>
  <c r="AI510" s="1"/>
  <c r="AK510" s="1"/>
  <c r="AI509" i="37"/>
  <c r="AH509" i="40" s="1"/>
  <c r="AE509" i="37"/>
  <c r="AE509" i="40" s="1"/>
  <c r="AN528" i="37"/>
  <c r="AH528"/>
  <c r="AG528" i="40" s="1"/>
  <c r="AD528" i="37"/>
  <c r="AD528" i="40" s="1"/>
  <c r="AI566" i="37"/>
  <c r="AH566" i="40" s="1"/>
  <c r="AI566" s="1"/>
  <c r="AK566" s="1"/>
  <c r="AE566" i="37"/>
  <c r="AE566" i="40" s="1"/>
  <c r="AI539" i="37"/>
  <c r="AH539" i="40" s="1"/>
  <c r="AE539" i="37"/>
  <c r="AE539" i="40" s="1"/>
  <c r="AI523" i="37"/>
  <c r="AH523" i="40" s="1"/>
  <c r="AE523" i="37"/>
  <c r="AE523" i="40" s="1"/>
  <c r="AE511" i="37"/>
  <c r="AE511" i="40" s="1"/>
  <c r="AI511" i="37"/>
  <c r="AH511" i="40" s="1"/>
  <c r="AE550" i="37"/>
  <c r="AE550" i="40" s="1"/>
  <c r="AI550" i="37"/>
  <c r="AH550" i="40" s="1"/>
  <c r="AN519" i="37"/>
  <c r="AH519"/>
  <c r="AG519" i="40" s="1"/>
  <c r="AI519" s="1"/>
  <c r="AK519" s="1"/>
  <c r="AD519" i="37"/>
  <c r="AD519" i="40" s="1"/>
  <c r="AF519" s="1"/>
  <c r="AN553" i="37"/>
  <c r="AH553"/>
  <c r="AG553" i="40" s="1"/>
  <c r="AD553" i="37"/>
  <c r="AD553" i="40" s="1"/>
  <c r="AE562" i="37"/>
  <c r="AE562" i="40" s="1"/>
  <c r="AI562" i="37"/>
  <c r="AH562" i="40" s="1"/>
  <c r="AN512" i="37"/>
  <c r="AH512"/>
  <c r="AG512" i="40" s="1"/>
  <c r="AD512" i="37"/>
  <c r="AD512" i="40" s="1"/>
  <c r="AE544" i="37"/>
  <c r="AE544" i="40" s="1"/>
  <c r="AI544" i="37"/>
  <c r="AH544" i="40" s="1"/>
  <c r="AI544" s="1"/>
  <c r="AK544" s="1"/>
  <c r="AI551" i="37"/>
  <c r="AH551" i="40" s="1"/>
  <c r="AE551" i="37"/>
  <c r="AE551" i="40" s="1"/>
  <c r="AN571" i="37"/>
  <c r="AD571"/>
  <c r="AD571" i="40" s="1"/>
  <c r="AF571" s="1"/>
  <c r="AH571" i="37"/>
  <c r="AG571" i="40" s="1"/>
  <c r="AI571" s="1"/>
  <c r="AK571" s="1"/>
  <c r="AN550" i="37"/>
  <c r="AH550"/>
  <c r="AG550" i="40" s="1"/>
  <c r="AD550" i="37"/>
  <c r="AD550" i="40" s="1"/>
  <c r="AF550" s="1"/>
  <c r="AE533" i="37"/>
  <c r="AE533" i="40" s="1"/>
  <c r="AI533" i="37"/>
  <c r="AH533" i="40" s="1"/>
  <c r="AI577" i="37"/>
  <c r="AH577" i="40" s="1"/>
  <c r="AE577" i="37"/>
  <c r="AE577" i="40" s="1"/>
  <c r="AI553" i="37"/>
  <c r="AH553" i="40" s="1"/>
  <c r="AE553" i="37"/>
  <c r="AE553" i="40" s="1"/>
  <c r="AN527" i="37"/>
  <c r="AH527"/>
  <c r="AG527" i="40" s="1"/>
  <c r="AD527" i="37"/>
  <c r="AD527" i="40" s="1"/>
  <c r="AN518" i="37"/>
  <c r="AH518"/>
  <c r="AG518" i="40" s="1"/>
  <c r="AD518" i="37"/>
  <c r="AD518" i="40" s="1"/>
  <c r="AN576" i="37"/>
  <c r="AD576"/>
  <c r="AD576" i="40" s="1"/>
  <c r="AF576" s="1"/>
  <c r="AH576" i="37"/>
  <c r="AG576" i="40" s="1"/>
  <c r="AN575" i="37"/>
  <c r="AD575"/>
  <c r="AD575" i="40" s="1"/>
  <c r="AH575" i="37"/>
  <c r="AG575" i="40" s="1"/>
  <c r="AI524" i="37"/>
  <c r="AH524" i="40" s="1"/>
  <c r="AE524" i="37"/>
  <c r="AE524" i="40" s="1"/>
  <c r="AN565" i="37"/>
  <c r="AH565"/>
  <c r="AG565" i="40" s="1"/>
  <c r="AI565" s="1"/>
  <c r="AK565" s="1"/>
  <c r="AD565" i="37"/>
  <c r="AD565" i="40" s="1"/>
  <c r="AF565" s="1"/>
  <c r="AI559" i="37"/>
  <c r="AH559" i="40" s="1"/>
  <c r="AE559" i="37"/>
  <c r="AE559" i="40" s="1"/>
  <c r="AI513" i="37"/>
  <c r="AH513" i="40" s="1"/>
  <c r="AE513" i="37"/>
  <c r="AE513" i="40" s="1"/>
  <c r="AD536" i="37"/>
  <c r="AD536" i="40" s="1"/>
  <c r="AH536" i="37"/>
  <c r="AG536" i="40" s="1"/>
  <c r="AN536" i="37"/>
  <c r="AD546"/>
  <c r="AD546" i="40" s="1"/>
  <c r="AH546" i="37"/>
  <c r="AG546" i="40" s="1"/>
  <c r="AN546" i="37"/>
  <c r="AN507"/>
  <c r="AH507"/>
  <c r="AG507" i="40" s="1"/>
  <c r="AD507" i="37"/>
  <c r="AD507" i="40" s="1"/>
  <c r="AI556" i="37"/>
  <c r="AH556" i="40" s="1"/>
  <c r="AI556" s="1"/>
  <c r="AK556" s="1"/>
  <c r="AE556" i="37"/>
  <c r="AE556" i="40" s="1"/>
  <c r="AE557" i="37"/>
  <c r="AE557" i="40" s="1"/>
  <c r="AI557" i="37"/>
  <c r="AH557" i="40" s="1"/>
  <c r="AE564" i="37"/>
  <c r="AE564" i="40" s="1"/>
  <c r="AI564" i="37"/>
  <c r="AH564" i="40" s="1"/>
  <c r="AE558" i="37"/>
  <c r="AE558" i="40" s="1"/>
  <c r="AI558" i="37"/>
  <c r="AH558" i="40" s="1"/>
  <c r="AI575" i="37"/>
  <c r="AH575" i="40" s="1"/>
  <c r="AE575" i="37"/>
  <c r="AE575" i="40" s="1"/>
  <c r="AD561" i="37"/>
  <c r="AD561" i="40" s="1"/>
  <c r="AF561" s="1"/>
  <c r="AH561" i="37"/>
  <c r="AG561" i="40" s="1"/>
  <c r="AI561" s="1"/>
  <c r="AK561" s="1"/>
  <c r="AN561" i="37"/>
  <c r="AN548"/>
  <c r="AD548"/>
  <c r="AD548" i="40" s="1"/>
  <c r="AF548" s="1"/>
  <c r="AH548" i="37"/>
  <c r="AG548" i="40" s="1"/>
  <c r="AE538" i="37"/>
  <c r="AE538" i="40" s="1"/>
  <c r="AI538" i="37"/>
  <c r="AH538" i="40" s="1"/>
  <c r="AI538" s="1"/>
  <c r="AK538" s="1"/>
  <c r="AI549" i="37"/>
  <c r="AH549" i="40" s="1"/>
  <c r="AE549" i="37"/>
  <c r="AE549" i="40" s="1"/>
  <c r="AD562" i="37"/>
  <c r="AD562" i="40" s="1"/>
  <c r="AF562" s="1"/>
  <c r="AN562" i="37"/>
  <c r="AH562"/>
  <c r="AG562" i="40" s="1"/>
  <c r="AD541" i="37"/>
  <c r="AD541" i="40" s="1"/>
  <c r="AH541" i="37"/>
  <c r="AG541" i="40" s="1"/>
  <c r="AI541" s="1"/>
  <c r="AK541" s="1"/>
  <c r="AN541" i="37"/>
  <c r="AE555"/>
  <c r="AE555" i="40" s="1"/>
  <c r="AI555" i="37"/>
  <c r="AH555" i="40" s="1"/>
  <c r="AI528" i="37"/>
  <c r="AH528" i="40" s="1"/>
  <c r="AI528" s="1"/>
  <c r="AK528" s="1"/>
  <c r="AE528" i="37"/>
  <c r="AE528" i="40" s="1"/>
  <c r="AN552" i="37"/>
  <c r="AD552"/>
  <c r="AD552" i="40" s="1"/>
  <c r="AF552" s="1"/>
  <c r="AH552" i="37"/>
  <c r="AG552" i="40" s="1"/>
  <c r="AN539" i="37"/>
  <c r="AD539"/>
  <c r="AD539" i="40" s="1"/>
  <c r="AH539" i="37"/>
  <c r="AG539" i="40" s="1"/>
  <c r="AI539" s="1"/>
  <c r="AK539" s="1"/>
  <c r="AH509" i="37"/>
  <c r="AG509" i="40" s="1"/>
  <c r="AN509" i="37"/>
  <c r="AD509"/>
  <c r="AD509" i="40" s="1"/>
  <c r="AH568" i="37"/>
  <c r="AG568" i="40" s="1"/>
  <c r="AD568" i="37"/>
  <c r="AD568" i="40" s="1"/>
  <c r="AN568" i="37"/>
  <c r="AI572"/>
  <c r="AH572" i="40" s="1"/>
  <c r="AE572" i="37"/>
  <c r="AE572" i="40" s="1"/>
  <c r="AI527" i="37"/>
  <c r="AH527" i="40" s="1"/>
  <c r="AE527" i="37"/>
  <c r="AE527" i="40" s="1"/>
  <c r="AE515" i="37"/>
  <c r="AE515" i="40" s="1"/>
  <c r="AI515" i="37"/>
  <c r="AH515" i="40" s="1"/>
  <c r="AN526" i="37"/>
  <c r="AH526"/>
  <c r="AG526" i="40" s="1"/>
  <c r="AD526" i="37"/>
  <c r="AD526" i="40" s="1"/>
  <c r="AI547" i="37"/>
  <c r="AH547" i="40" s="1"/>
  <c r="AE547" i="37"/>
  <c r="AE547" i="40" s="1"/>
  <c r="AI554" i="37"/>
  <c r="AH554" i="40" s="1"/>
  <c r="AE554" i="37"/>
  <c r="AE554" i="40" s="1"/>
  <c r="AI541" i="37"/>
  <c r="AH541" i="40" s="1"/>
  <c r="AE541" i="37"/>
  <c r="AE541" i="40" s="1"/>
  <c r="AN558" i="37"/>
  <c r="AD558"/>
  <c r="AD558" i="40" s="1"/>
  <c r="AF558" s="1"/>
  <c r="AH558" i="37"/>
  <c r="AG558" i="40" s="1"/>
  <c r="AD535" i="37"/>
  <c r="AD535" i="40" s="1"/>
  <c r="AF535" s="1"/>
  <c r="AN535" i="37"/>
  <c r="AH535"/>
  <c r="AG535" i="40" s="1"/>
  <c r="AI535" s="1"/>
  <c r="AK535" s="1"/>
  <c r="AD523" i="37"/>
  <c r="AD523" i="40" s="1"/>
  <c r="AF523" s="1"/>
  <c r="AN523" i="37"/>
  <c r="AH523"/>
  <c r="AG523" i="40" s="1"/>
  <c r="AI523" s="1"/>
  <c r="AK523" s="1"/>
  <c r="AE563" i="37"/>
  <c r="AE563" i="40" s="1"/>
  <c r="AI563" i="37"/>
  <c r="AH563" i="40" s="1"/>
  <c r="AE534" i="37"/>
  <c r="AE534" i="40" s="1"/>
  <c r="AI534" i="37"/>
  <c r="AH534" i="40" s="1"/>
  <c r="AI534" s="1"/>
  <c r="AK534" s="1"/>
  <c r="AN506" i="37"/>
  <c r="AH506"/>
  <c r="AG506" i="40" s="1"/>
  <c r="AD506" i="37"/>
  <c r="AD506" i="40" s="1"/>
  <c r="AN572" i="37"/>
  <c r="AD572"/>
  <c r="AD572" i="40" s="1"/>
  <c r="AF572" s="1"/>
  <c r="AH572" i="37"/>
  <c r="AG572" i="40" s="1"/>
  <c r="AN522" i="37"/>
  <c r="AH522"/>
  <c r="AG522" i="40" s="1"/>
  <c r="AD522" i="37"/>
  <c r="AD522" i="40" s="1"/>
  <c r="AI560" i="37"/>
  <c r="AH560" i="40" s="1"/>
  <c r="AI560" s="1"/>
  <c r="AK560" s="1"/>
  <c r="AE560" i="37"/>
  <c r="AE560" i="40" s="1"/>
  <c r="AE507" i="37"/>
  <c r="AE507" i="40" s="1"/>
  <c r="AI507" i="37"/>
  <c r="AH507" i="40" s="1"/>
  <c r="AE526" i="37"/>
  <c r="AE526" i="40" s="1"/>
  <c r="AI526" i="37"/>
  <c r="AH526" i="40" s="1"/>
  <c r="AI517" i="37"/>
  <c r="AH517" i="40" s="1"/>
  <c r="AE517" i="37"/>
  <c r="AE517" i="40" s="1"/>
  <c r="AN505" i="37"/>
  <c r="AD505"/>
  <c r="AD505" i="40" s="1"/>
  <c r="AH505" i="37"/>
  <c r="AG505" i="40" s="1"/>
  <c r="AI578" i="37"/>
  <c r="AH578" i="40" s="1"/>
  <c r="AI578" s="1"/>
  <c r="AK578" s="1"/>
  <c r="AE578" i="37"/>
  <c r="AE578" i="40" s="1"/>
  <c r="AD555" i="37"/>
  <c r="AD555" i="40" s="1"/>
  <c r="AF555" s="1"/>
  <c r="AH555" i="37"/>
  <c r="AG555" i="40" s="1"/>
  <c r="AI555" s="1"/>
  <c r="AK555" s="1"/>
  <c r="AN555" i="37"/>
  <c r="AI506"/>
  <c r="AH506" i="40" s="1"/>
  <c r="AI506" s="1"/>
  <c r="AK506" s="1"/>
  <c r="AE506" i="37"/>
  <c r="AE506" i="40" s="1"/>
  <c r="AE525" i="37"/>
  <c r="AE525" i="40" s="1"/>
  <c r="AI525" i="37"/>
  <c r="AH525" i="40" s="1"/>
  <c r="AN531" i="37"/>
  <c r="AH531"/>
  <c r="AG531" i="40" s="1"/>
  <c r="AI531" s="1"/>
  <c r="AK531" s="1"/>
  <c r="AD531" i="37"/>
  <c r="AD531" i="40" s="1"/>
  <c r="AF531" s="1"/>
  <c r="AI518" i="37"/>
  <c r="AH518" i="40" s="1"/>
  <c r="AI518" s="1"/>
  <c r="AK518" s="1"/>
  <c r="AE518" i="37"/>
  <c r="AE518" i="40" s="1"/>
  <c r="AE505" i="37"/>
  <c r="AI505"/>
  <c r="AH505" i="40" s="1"/>
  <c r="AN511" i="37"/>
  <c r="AD511"/>
  <c r="AD511" i="40" s="1"/>
  <c r="AF511" s="1"/>
  <c r="AH511" i="37"/>
  <c r="AG511" i="40" s="1"/>
  <c r="AI511" s="1"/>
  <c r="AK511" s="1"/>
  <c r="AN501" i="37"/>
  <c r="AH501"/>
  <c r="AG501" i="40" s="1"/>
  <c r="AD501" i="37"/>
  <c r="AD501" i="40" s="1"/>
  <c r="AD502" i="37"/>
  <c r="AD502" i="40" s="1"/>
  <c r="AN502" i="37"/>
  <c r="N443"/>
  <c r="M443"/>
  <c r="I443"/>
  <c r="O439"/>
  <c r="O479"/>
  <c r="AH498"/>
  <c r="AG498" i="40" s="1"/>
  <c r="AN498" i="37"/>
  <c r="AD498"/>
  <c r="AD498" i="40" s="1"/>
  <c r="AH499" i="37"/>
  <c r="AG499" i="40" s="1"/>
  <c r="AN499" i="37"/>
  <c r="AD499"/>
  <c r="AD499" i="40" s="1"/>
  <c r="J439" i="37"/>
  <c r="H439"/>
  <c r="AN500"/>
  <c r="AD500"/>
  <c r="AD500" i="40" s="1"/>
  <c r="AH500" i="37"/>
  <c r="AG500" i="40" s="1"/>
  <c r="Q311" i="37"/>
  <c r="K311"/>
  <c r="G311"/>
  <c r="K411"/>
  <c r="N311"/>
  <c r="M311"/>
  <c r="L311"/>
  <c r="K327"/>
  <c r="J311"/>
  <c r="Q327"/>
  <c r="I311"/>
  <c r="J479"/>
  <c r="H311"/>
  <c r="P311"/>
  <c r="O311"/>
  <c r="I319"/>
  <c r="H319"/>
  <c r="L319"/>
  <c r="J327"/>
  <c r="K443"/>
  <c r="N319"/>
  <c r="I327"/>
  <c r="J443"/>
  <c r="J411"/>
  <c r="M319"/>
  <c r="H327"/>
  <c r="Q479"/>
  <c r="Q411"/>
  <c r="P319"/>
  <c r="O327"/>
  <c r="Q443"/>
  <c r="H443"/>
  <c r="O443"/>
  <c r="O411"/>
  <c r="G327"/>
  <c r="N479"/>
  <c r="P443"/>
  <c r="G319"/>
  <c r="N327"/>
  <c r="M479"/>
  <c r="Q319"/>
  <c r="P327"/>
  <c r="G443"/>
  <c r="K319"/>
  <c r="M327"/>
  <c r="L479"/>
  <c r="O319"/>
  <c r="G479"/>
  <c r="O110"/>
  <c r="O6" i="53" s="1"/>
  <c r="P110" i="37"/>
  <c r="P6" i="53" s="1"/>
  <c r="Q110" i="37"/>
  <c r="Q6" i="53" s="1"/>
  <c r="H110" i="37"/>
  <c r="H6" i="53" s="1"/>
  <c r="I110" i="37"/>
  <c r="I6" i="53" s="1"/>
  <c r="J110" i="37"/>
  <c r="J6" i="53" s="1"/>
  <c r="K110" i="37"/>
  <c r="K6" i="53" s="1"/>
  <c r="L110" i="37"/>
  <c r="L6" i="53" s="1"/>
  <c r="M110" i="37"/>
  <c r="M6" i="53" s="1"/>
  <c r="N110" i="37"/>
  <c r="N6" i="53" s="1"/>
  <c r="G110" i="37"/>
  <c r="O422"/>
  <c r="P422"/>
  <c r="Q422"/>
  <c r="K422"/>
  <c r="L422"/>
  <c r="M422"/>
  <c r="N422"/>
  <c r="H422"/>
  <c r="I422"/>
  <c r="J422"/>
  <c r="G422"/>
  <c r="O325"/>
  <c r="P325"/>
  <c r="Q325"/>
  <c r="H325"/>
  <c r="I325"/>
  <c r="J325"/>
  <c r="K325"/>
  <c r="L325"/>
  <c r="M325"/>
  <c r="N325"/>
  <c r="G325"/>
  <c r="O360"/>
  <c r="P360"/>
  <c r="Q360"/>
  <c r="M360"/>
  <c r="N360"/>
  <c r="H360"/>
  <c r="I360"/>
  <c r="J360"/>
  <c r="K360"/>
  <c r="L360"/>
  <c r="G360"/>
  <c r="O114"/>
  <c r="P114"/>
  <c r="Q114"/>
  <c r="H114"/>
  <c r="I114"/>
  <c r="J114"/>
  <c r="K114"/>
  <c r="L114"/>
  <c r="M114"/>
  <c r="N114"/>
  <c r="G114"/>
  <c r="O146"/>
  <c r="P146"/>
  <c r="Q146"/>
  <c r="H146"/>
  <c r="I146"/>
  <c r="J146"/>
  <c r="K146"/>
  <c r="L146"/>
  <c r="M146"/>
  <c r="N146"/>
  <c r="G146"/>
  <c r="O98"/>
  <c r="P98"/>
  <c r="Q98"/>
  <c r="H98"/>
  <c r="I98"/>
  <c r="J98"/>
  <c r="K98"/>
  <c r="L98"/>
  <c r="M98"/>
  <c r="N98"/>
  <c r="G98"/>
  <c r="O4"/>
  <c r="P4"/>
  <c r="Q4"/>
  <c r="H4"/>
  <c r="I4"/>
  <c r="J4"/>
  <c r="K4"/>
  <c r="L4"/>
  <c r="M4"/>
  <c r="N4"/>
  <c r="G4"/>
  <c r="O147"/>
  <c r="P147"/>
  <c r="Q147"/>
  <c r="L147"/>
  <c r="M147"/>
  <c r="N147"/>
  <c r="H147"/>
  <c r="I147"/>
  <c r="J147"/>
  <c r="K147"/>
  <c r="G147"/>
  <c r="O278"/>
  <c r="O14" i="52" s="1"/>
  <c r="P278" i="37"/>
  <c r="P14" i="52" s="1"/>
  <c r="Q278" i="37"/>
  <c r="Q14" i="52" s="1"/>
  <c r="K278" i="37"/>
  <c r="K14" i="52" s="1"/>
  <c r="L278" i="37"/>
  <c r="L14" i="52" s="1"/>
  <c r="M278" i="37"/>
  <c r="M14" i="52" s="1"/>
  <c r="N278" i="37"/>
  <c r="N14" i="52" s="1"/>
  <c r="H278" i="37"/>
  <c r="H14" i="52" s="1"/>
  <c r="I278" i="37"/>
  <c r="I14" i="52" s="1"/>
  <c r="J278" i="37"/>
  <c r="J14" i="52" s="1"/>
  <c r="G278" i="37"/>
  <c r="G14" i="52" s="1"/>
  <c r="O171" i="37"/>
  <c r="P171"/>
  <c r="Q171"/>
  <c r="L171"/>
  <c r="M171"/>
  <c r="N171"/>
  <c r="H171"/>
  <c r="I171"/>
  <c r="J171"/>
  <c r="K171"/>
  <c r="G171"/>
  <c r="O215"/>
  <c r="P215"/>
  <c r="Q215"/>
  <c r="H215"/>
  <c r="I215"/>
  <c r="J215"/>
  <c r="K215"/>
  <c r="L215"/>
  <c r="M215"/>
  <c r="N215"/>
  <c r="G215"/>
  <c r="O191"/>
  <c r="P191"/>
  <c r="Q191"/>
  <c r="H191"/>
  <c r="I191"/>
  <c r="J191"/>
  <c r="K191"/>
  <c r="L191"/>
  <c r="M191"/>
  <c r="N191"/>
  <c r="G191"/>
  <c r="O149"/>
  <c r="P149"/>
  <c r="Q149"/>
  <c r="J149"/>
  <c r="K149"/>
  <c r="L149"/>
  <c r="M149"/>
  <c r="N149"/>
  <c r="H149"/>
  <c r="I149"/>
  <c r="G149"/>
  <c r="O109"/>
  <c r="P109"/>
  <c r="Q109"/>
  <c r="N109"/>
  <c r="H109"/>
  <c r="I109"/>
  <c r="J109"/>
  <c r="K109"/>
  <c r="L109"/>
  <c r="M109"/>
  <c r="G109"/>
  <c r="Q445"/>
  <c r="O445"/>
  <c r="P445"/>
  <c r="H445"/>
  <c r="I445"/>
  <c r="J445"/>
  <c r="K445"/>
  <c r="L445"/>
  <c r="M445"/>
  <c r="N445"/>
  <c r="G445"/>
  <c r="Q489"/>
  <c r="O489"/>
  <c r="P489"/>
  <c r="J489"/>
  <c r="K489"/>
  <c r="L489"/>
  <c r="M489"/>
  <c r="N489"/>
  <c r="H489"/>
  <c r="I489"/>
  <c r="G489"/>
  <c r="O329"/>
  <c r="P329"/>
  <c r="Q329"/>
  <c r="N329"/>
  <c r="H329"/>
  <c r="I329"/>
  <c r="J329"/>
  <c r="K329"/>
  <c r="L329"/>
  <c r="M329"/>
  <c r="G329"/>
  <c r="O306"/>
  <c r="P306"/>
  <c r="Q306"/>
  <c r="H306"/>
  <c r="I306"/>
  <c r="J306"/>
  <c r="K306"/>
  <c r="L306"/>
  <c r="M306"/>
  <c r="N306"/>
  <c r="G306"/>
  <c r="O297"/>
  <c r="P297"/>
  <c r="Q297"/>
  <c r="J297"/>
  <c r="K297"/>
  <c r="L297"/>
  <c r="M297"/>
  <c r="N297"/>
  <c r="H297"/>
  <c r="I297"/>
  <c r="G297"/>
  <c r="O419"/>
  <c r="P419"/>
  <c r="Q419"/>
  <c r="H419"/>
  <c r="I419"/>
  <c r="J419"/>
  <c r="K419"/>
  <c r="L419"/>
  <c r="M419"/>
  <c r="N419"/>
  <c r="G419"/>
  <c r="O367"/>
  <c r="P367"/>
  <c r="Q367"/>
  <c r="L367"/>
  <c r="M367"/>
  <c r="N367"/>
  <c r="H367"/>
  <c r="I367"/>
  <c r="J367"/>
  <c r="K367"/>
  <c r="G367"/>
  <c r="O129"/>
  <c r="P129"/>
  <c r="Q129"/>
  <c r="H129"/>
  <c r="I129"/>
  <c r="J129"/>
  <c r="K129"/>
  <c r="L129"/>
  <c r="M129"/>
  <c r="N129"/>
  <c r="G129"/>
  <c r="O356"/>
  <c r="P356"/>
  <c r="Q356"/>
  <c r="H356"/>
  <c r="I356"/>
  <c r="J356"/>
  <c r="K356"/>
  <c r="L356"/>
  <c r="M356"/>
  <c r="N356"/>
  <c r="G356"/>
  <c r="O77"/>
  <c r="P77"/>
  <c r="Q77"/>
  <c r="J77"/>
  <c r="K77"/>
  <c r="L77"/>
  <c r="M77"/>
  <c r="N77"/>
  <c r="H77"/>
  <c r="I77"/>
  <c r="G77"/>
  <c r="O362"/>
  <c r="P362"/>
  <c r="Q362"/>
  <c r="K362"/>
  <c r="L362"/>
  <c r="M362"/>
  <c r="N362"/>
  <c r="H362"/>
  <c r="I362"/>
  <c r="J362"/>
  <c r="G362"/>
  <c r="O468"/>
  <c r="O23" i="52" s="1"/>
  <c r="P468" i="37"/>
  <c r="P23" i="52" s="1"/>
  <c r="Q468" i="37"/>
  <c r="Q23" i="52" s="1"/>
  <c r="M468" i="37"/>
  <c r="M23" i="52" s="1"/>
  <c r="N468" i="37"/>
  <c r="N23" i="52" s="1"/>
  <c r="H468" i="37"/>
  <c r="H23" i="52" s="1"/>
  <c r="I468" i="37"/>
  <c r="I23" i="52" s="1"/>
  <c r="J468" i="37"/>
  <c r="J23" i="52" s="1"/>
  <c r="K468" i="37"/>
  <c r="K23" i="52" s="1"/>
  <c r="L468" i="37"/>
  <c r="L23" i="52" s="1"/>
  <c r="G468" i="37"/>
  <c r="G23" i="52" s="1"/>
  <c r="O395" i="37"/>
  <c r="P395"/>
  <c r="Q395"/>
  <c r="H395"/>
  <c r="I395"/>
  <c r="J395"/>
  <c r="K395"/>
  <c r="L395"/>
  <c r="M395"/>
  <c r="N395"/>
  <c r="G395"/>
  <c r="O148"/>
  <c r="P148"/>
  <c r="Q148"/>
  <c r="H148"/>
  <c r="I148"/>
  <c r="J148"/>
  <c r="K148"/>
  <c r="L148"/>
  <c r="M148"/>
  <c r="N148"/>
  <c r="G148"/>
  <c r="O270"/>
  <c r="P270"/>
  <c r="Q270"/>
  <c r="H270"/>
  <c r="I270"/>
  <c r="J270"/>
  <c r="K270"/>
  <c r="L270"/>
  <c r="M270"/>
  <c r="N270"/>
  <c r="G270"/>
  <c r="O250"/>
  <c r="P250"/>
  <c r="Q250"/>
  <c r="H250"/>
  <c r="I250"/>
  <c r="J250"/>
  <c r="K250"/>
  <c r="L250"/>
  <c r="M250"/>
  <c r="N250"/>
  <c r="G250"/>
  <c r="O436"/>
  <c r="O21" i="52" s="1"/>
  <c r="P436" i="37"/>
  <c r="P21" i="52" s="1"/>
  <c r="Q436" i="37"/>
  <c r="Q21" i="52" s="1"/>
  <c r="I436" i="37"/>
  <c r="I21" i="52" s="1"/>
  <c r="J436" i="37"/>
  <c r="J21" i="52" s="1"/>
  <c r="K436" i="37"/>
  <c r="K21" i="52" s="1"/>
  <c r="L436" i="37"/>
  <c r="L21" i="52" s="1"/>
  <c r="M436" i="37"/>
  <c r="M21" i="52" s="1"/>
  <c r="N436" i="37"/>
  <c r="N21" i="52" s="1"/>
  <c r="H436" i="37"/>
  <c r="H21" i="52" s="1"/>
  <c r="G436" i="37"/>
  <c r="G21" i="52" s="1"/>
  <c r="O179" i="37"/>
  <c r="P179"/>
  <c r="Q179"/>
  <c r="H179"/>
  <c r="I179"/>
  <c r="J179"/>
  <c r="K179"/>
  <c r="L179"/>
  <c r="M179"/>
  <c r="N179"/>
  <c r="G179"/>
  <c r="O80"/>
  <c r="P80"/>
  <c r="Q80"/>
  <c r="M80"/>
  <c r="N80"/>
  <c r="H80"/>
  <c r="I80"/>
  <c r="J80"/>
  <c r="K80"/>
  <c r="L80"/>
  <c r="G80"/>
  <c r="O407"/>
  <c r="P407"/>
  <c r="Q407"/>
  <c r="H407"/>
  <c r="I407"/>
  <c r="J407"/>
  <c r="K407"/>
  <c r="L407"/>
  <c r="M407"/>
  <c r="N407"/>
  <c r="G407"/>
  <c r="O189"/>
  <c r="P189"/>
  <c r="Q189"/>
  <c r="H189"/>
  <c r="I189"/>
  <c r="J189"/>
  <c r="K189"/>
  <c r="L189"/>
  <c r="M189"/>
  <c r="N189"/>
  <c r="G189"/>
  <c r="O483"/>
  <c r="P483"/>
  <c r="Q483"/>
  <c r="H483"/>
  <c r="I483"/>
  <c r="J483"/>
  <c r="K483"/>
  <c r="L483"/>
  <c r="M483"/>
  <c r="N483"/>
  <c r="G483"/>
  <c r="O454"/>
  <c r="P454"/>
  <c r="Q454"/>
  <c r="H454"/>
  <c r="I454"/>
  <c r="J454"/>
  <c r="K454"/>
  <c r="L454"/>
  <c r="M454"/>
  <c r="N454"/>
  <c r="G454"/>
  <c r="O70"/>
  <c r="O5" i="52" s="1"/>
  <c r="P70" i="37"/>
  <c r="P5" i="52" s="1"/>
  <c r="Q70" i="37"/>
  <c r="Q5" i="52" s="1"/>
  <c r="L70" i="37"/>
  <c r="L5" i="52" s="1"/>
  <c r="J70" i="37"/>
  <c r="J5" i="52" s="1"/>
  <c r="K70" i="37"/>
  <c r="K5" i="52" s="1"/>
  <c r="M70" i="37"/>
  <c r="M5" i="52" s="1"/>
  <c r="N70" i="37"/>
  <c r="N5" i="52" s="1"/>
  <c r="H70" i="37"/>
  <c r="H5" i="52" s="1"/>
  <c r="I70" i="37"/>
  <c r="I5" i="52" s="1"/>
  <c r="G70" i="37"/>
  <c r="G5" i="52" s="1"/>
  <c r="O488" i="37"/>
  <c r="P488"/>
  <c r="Q488"/>
  <c r="H488"/>
  <c r="I488"/>
  <c r="J488"/>
  <c r="K488"/>
  <c r="L488"/>
  <c r="M488"/>
  <c r="N488"/>
  <c r="G488"/>
  <c r="O323"/>
  <c r="P323"/>
  <c r="Q323"/>
  <c r="H323"/>
  <c r="I323"/>
  <c r="J323"/>
  <c r="K323"/>
  <c r="L323"/>
  <c r="M323"/>
  <c r="N323"/>
  <c r="G323"/>
  <c r="O209"/>
  <c r="O11" i="52" s="1"/>
  <c r="P209" i="37"/>
  <c r="P11" i="52" s="1"/>
  <c r="Q209" i="37"/>
  <c r="Q11" i="52" s="1"/>
  <c r="N209" i="37"/>
  <c r="N11" i="52" s="1"/>
  <c r="H209" i="37"/>
  <c r="H11" i="52" s="1"/>
  <c r="I209" i="37"/>
  <c r="I11" i="52" s="1"/>
  <c r="J209" i="37"/>
  <c r="J11" i="52" s="1"/>
  <c r="K209" i="37"/>
  <c r="K11" i="52" s="1"/>
  <c r="L209" i="37"/>
  <c r="L11" i="52" s="1"/>
  <c r="M209" i="37"/>
  <c r="M11" i="52" s="1"/>
  <c r="G209" i="37"/>
  <c r="G11" i="52" s="1"/>
  <c r="O280" i="37"/>
  <c r="P280"/>
  <c r="Q280"/>
  <c r="I280"/>
  <c r="J280"/>
  <c r="K280"/>
  <c r="L280"/>
  <c r="M280"/>
  <c r="N280"/>
  <c r="H280"/>
  <c r="G280"/>
  <c r="O471"/>
  <c r="P471"/>
  <c r="Q471"/>
  <c r="H471"/>
  <c r="I471"/>
  <c r="J471"/>
  <c r="K471"/>
  <c r="L471"/>
  <c r="M471"/>
  <c r="N471"/>
  <c r="G471"/>
  <c r="O91"/>
  <c r="O6" i="52" s="1"/>
  <c r="P91" i="37"/>
  <c r="P6" i="52" s="1"/>
  <c r="Q91" i="37"/>
  <c r="Q6" i="52" s="1"/>
  <c r="H91" i="37"/>
  <c r="H6" i="52" s="1"/>
  <c r="I91" i="37"/>
  <c r="I6" i="52" s="1"/>
  <c r="J91" i="37"/>
  <c r="J6" i="52" s="1"/>
  <c r="K91" i="37"/>
  <c r="K6" i="52" s="1"/>
  <c r="L91" i="37"/>
  <c r="L6" i="52" s="1"/>
  <c r="M91" i="37"/>
  <c r="M6" i="52" s="1"/>
  <c r="N91" i="37"/>
  <c r="N6" i="52" s="1"/>
  <c r="G91" i="37"/>
  <c r="G6" i="52" s="1"/>
  <c r="O159" i="37"/>
  <c r="P159"/>
  <c r="Q159"/>
  <c r="L159"/>
  <c r="M159"/>
  <c r="N159"/>
  <c r="H159"/>
  <c r="I159"/>
  <c r="J159"/>
  <c r="K159"/>
  <c r="G159"/>
  <c r="O157"/>
  <c r="P157"/>
  <c r="Q157"/>
  <c r="N157"/>
  <c r="H157"/>
  <c r="I157"/>
  <c r="J157"/>
  <c r="K157"/>
  <c r="L157"/>
  <c r="M157"/>
  <c r="G157"/>
  <c r="O304"/>
  <c r="P304"/>
  <c r="Q304"/>
  <c r="I304"/>
  <c r="J304"/>
  <c r="K304"/>
  <c r="L304"/>
  <c r="M304"/>
  <c r="N304"/>
  <c r="H304"/>
  <c r="G304"/>
  <c r="O195"/>
  <c r="P195"/>
  <c r="Q195"/>
  <c r="L195"/>
  <c r="M195"/>
  <c r="N195"/>
  <c r="H195"/>
  <c r="I195"/>
  <c r="J195"/>
  <c r="K195"/>
  <c r="G195"/>
  <c r="O236"/>
  <c r="P236"/>
  <c r="Q236"/>
  <c r="H236"/>
  <c r="I236"/>
  <c r="J236"/>
  <c r="K236"/>
  <c r="L236"/>
  <c r="M236"/>
  <c r="N236"/>
  <c r="G236"/>
  <c r="O299"/>
  <c r="P299"/>
  <c r="Q299"/>
  <c r="H299"/>
  <c r="I299"/>
  <c r="J299"/>
  <c r="K299"/>
  <c r="L299"/>
  <c r="M299"/>
  <c r="N299"/>
  <c r="G299"/>
  <c r="O430"/>
  <c r="P430"/>
  <c r="Q430"/>
  <c r="H430"/>
  <c r="I430"/>
  <c r="J430"/>
  <c r="K430"/>
  <c r="L430"/>
  <c r="M430"/>
  <c r="N430"/>
  <c r="G430"/>
  <c r="O190"/>
  <c r="P190"/>
  <c r="Q190"/>
  <c r="K190"/>
  <c r="L190"/>
  <c r="M190"/>
  <c r="N190"/>
  <c r="H190"/>
  <c r="I190"/>
  <c r="J190"/>
  <c r="G190"/>
  <c r="O116"/>
  <c r="P116"/>
  <c r="Q116"/>
  <c r="M116"/>
  <c r="N116"/>
  <c r="H116"/>
  <c r="I116"/>
  <c r="J116"/>
  <c r="K116"/>
  <c r="L116"/>
  <c r="G116"/>
  <c r="O276"/>
  <c r="P276"/>
  <c r="Q276"/>
  <c r="M276"/>
  <c r="N276"/>
  <c r="H276"/>
  <c r="I276"/>
  <c r="J276"/>
  <c r="K276"/>
  <c r="L276"/>
  <c r="G276"/>
  <c r="O440"/>
  <c r="P440"/>
  <c r="Q440"/>
  <c r="H440"/>
  <c r="I440"/>
  <c r="J440"/>
  <c r="K440"/>
  <c r="L440"/>
  <c r="M440"/>
  <c r="N440"/>
  <c r="G440"/>
  <c r="O176"/>
  <c r="P176"/>
  <c r="Q176"/>
  <c r="M176"/>
  <c r="N176"/>
  <c r="H176"/>
  <c r="I176"/>
  <c r="J176"/>
  <c r="K176"/>
  <c r="L176"/>
  <c r="G176"/>
  <c r="O135"/>
  <c r="P135"/>
  <c r="Q135"/>
  <c r="L135"/>
  <c r="M135"/>
  <c r="N135"/>
  <c r="H135"/>
  <c r="I135"/>
  <c r="J135"/>
  <c r="K135"/>
  <c r="G135"/>
  <c r="O274"/>
  <c r="O13" i="53" s="1"/>
  <c r="P274" i="37"/>
  <c r="P13" i="53" s="1"/>
  <c r="Q274" i="37"/>
  <c r="Q13" i="53" s="1"/>
  <c r="H274" i="37"/>
  <c r="H13" i="53" s="1"/>
  <c r="I274" i="37"/>
  <c r="I13" i="53" s="1"/>
  <c r="J274" i="37"/>
  <c r="J13" i="53" s="1"/>
  <c r="K274" i="37"/>
  <c r="K13" i="53" s="1"/>
  <c r="L274" i="37"/>
  <c r="L13" i="53" s="1"/>
  <c r="M274" i="37"/>
  <c r="M13" i="53" s="1"/>
  <c r="N274" i="37"/>
  <c r="N13" i="53" s="1"/>
  <c r="G274" i="37"/>
  <c r="O224"/>
  <c r="P224"/>
  <c r="Q224"/>
  <c r="H224"/>
  <c r="I224"/>
  <c r="J224"/>
  <c r="K224"/>
  <c r="L224"/>
  <c r="M224"/>
  <c r="N224"/>
  <c r="G224"/>
  <c r="O48"/>
  <c r="P48"/>
  <c r="Q48"/>
  <c r="K48"/>
  <c r="L48"/>
  <c r="M48"/>
  <c r="N48"/>
  <c r="H48"/>
  <c r="J48"/>
  <c r="I48"/>
  <c r="G48"/>
  <c r="O452"/>
  <c r="O22" i="52" s="1"/>
  <c r="P452" i="37"/>
  <c r="P22" i="52" s="1"/>
  <c r="Q452" i="37"/>
  <c r="Q22" i="52" s="1"/>
  <c r="H452" i="37"/>
  <c r="H22" i="52" s="1"/>
  <c r="I452" i="37"/>
  <c r="I22" i="52" s="1"/>
  <c r="J452" i="37"/>
  <c r="J22" i="52" s="1"/>
  <c r="K452" i="37"/>
  <c r="K22" i="52" s="1"/>
  <c r="L452" i="37"/>
  <c r="L22" i="52" s="1"/>
  <c r="M452" i="37"/>
  <c r="M22" i="52" s="1"/>
  <c r="N452" i="37"/>
  <c r="N22" i="52" s="1"/>
  <c r="G452" i="37"/>
  <c r="G22" i="52" s="1"/>
  <c r="O432" i="37"/>
  <c r="O20" i="53" s="1"/>
  <c r="P432" i="37"/>
  <c r="P20" i="53" s="1"/>
  <c r="Q432" i="37"/>
  <c r="Q20" i="53" s="1"/>
  <c r="M432" i="37"/>
  <c r="M20" i="53" s="1"/>
  <c r="N432" i="37"/>
  <c r="N20" i="53" s="1"/>
  <c r="H432" i="37"/>
  <c r="H20" i="53" s="1"/>
  <c r="I432" i="37"/>
  <c r="I20" i="53" s="1"/>
  <c r="J432" i="37"/>
  <c r="J20" i="53" s="1"/>
  <c r="K432" i="37"/>
  <c r="K20" i="53" s="1"/>
  <c r="L432" i="37"/>
  <c r="L20" i="53" s="1"/>
  <c r="G432" i="37"/>
  <c r="O60"/>
  <c r="P60"/>
  <c r="Q60"/>
  <c r="K60"/>
  <c r="L60"/>
  <c r="M60"/>
  <c r="N60"/>
  <c r="J60"/>
  <c r="H60"/>
  <c r="I60"/>
  <c r="G60"/>
  <c r="O85"/>
  <c r="P85"/>
  <c r="Q85"/>
  <c r="N85"/>
  <c r="H85"/>
  <c r="I85"/>
  <c r="J85"/>
  <c r="K85"/>
  <c r="L85"/>
  <c r="M85"/>
  <c r="G85"/>
  <c r="O442"/>
  <c r="P442"/>
  <c r="Q442"/>
  <c r="H442"/>
  <c r="I442"/>
  <c r="J442"/>
  <c r="K442"/>
  <c r="L442"/>
  <c r="M442"/>
  <c r="N442"/>
  <c r="G442"/>
  <c r="O103"/>
  <c r="P103"/>
  <c r="Q103"/>
  <c r="H103"/>
  <c r="I103"/>
  <c r="J103"/>
  <c r="K103"/>
  <c r="L103"/>
  <c r="M103"/>
  <c r="N103"/>
  <c r="G103"/>
  <c r="O124"/>
  <c r="P124"/>
  <c r="Q124"/>
  <c r="H124"/>
  <c r="I124"/>
  <c r="J124"/>
  <c r="K124"/>
  <c r="L124"/>
  <c r="M124"/>
  <c r="N124"/>
  <c r="G124"/>
  <c r="O160"/>
  <c r="P160"/>
  <c r="Q160"/>
  <c r="H160"/>
  <c r="I160"/>
  <c r="J160"/>
  <c r="K160"/>
  <c r="L160"/>
  <c r="M160"/>
  <c r="N160"/>
  <c r="G160"/>
  <c r="O168"/>
  <c r="P168"/>
  <c r="Q168"/>
  <c r="I168"/>
  <c r="J168"/>
  <c r="K168"/>
  <c r="L168"/>
  <c r="M168"/>
  <c r="N168"/>
  <c r="H168"/>
  <c r="G168"/>
  <c r="O184"/>
  <c r="P184"/>
  <c r="Q184"/>
  <c r="H184"/>
  <c r="I184"/>
  <c r="J184"/>
  <c r="K184"/>
  <c r="L184"/>
  <c r="M184"/>
  <c r="N184"/>
  <c r="G184"/>
  <c r="O217"/>
  <c r="P217"/>
  <c r="Q217"/>
  <c r="H217"/>
  <c r="I217"/>
  <c r="J217"/>
  <c r="K217"/>
  <c r="L217"/>
  <c r="M217"/>
  <c r="N217"/>
  <c r="G217"/>
  <c r="O183"/>
  <c r="P183"/>
  <c r="Q183"/>
  <c r="L183"/>
  <c r="M183"/>
  <c r="N183"/>
  <c r="H183"/>
  <c r="I183"/>
  <c r="J183"/>
  <c r="K183"/>
  <c r="G183"/>
  <c r="O463"/>
  <c r="P463"/>
  <c r="Q463"/>
  <c r="L463"/>
  <c r="M463"/>
  <c r="N463"/>
  <c r="H463"/>
  <c r="I463"/>
  <c r="J463"/>
  <c r="K463"/>
  <c r="G463"/>
  <c r="O408"/>
  <c r="P408"/>
  <c r="Q408"/>
  <c r="M408"/>
  <c r="N408"/>
  <c r="H408"/>
  <c r="I408"/>
  <c r="J408"/>
  <c r="K408"/>
  <c r="L408"/>
  <c r="G408"/>
  <c r="O316"/>
  <c r="P316"/>
  <c r="Q316"/>
  <c r="I316"/>
  <c r="J316"/>
  <c r="K316"/>
  <c r="L316"/>
  <c r="M316"/>
  <c r="N316"/>
  <c r="H316"/>
  <c r="G316"/>
  <c r="Q429"/>
  <c r="O429"/>
  <c r="P429"/>
  <c r="J429"/>
  <c r="K429"/>
  <c r="L429"/>
  <c r="M429"/>
  <c r="N429"/>
  <c r="H429"/>
  <c r="I429"/>
  <c r="G429"/>
  <c r="O164"/>
  <c r="P164"/>
  <c r="Q164"/>
  <c r="M164"/>
  <c r="N164"/>
  <c r="H164"/>
  <c r="I164"/>
  <c r="J164"/>
  <c r="K164"/>
  <c r="L164"/>
  <c r="G164"/>
  <c r="O382"/>
  <c r="P382"/>
  <c r="Q382"/>
  <c r="H382"/>
  <c r="I382"/>
  <c r="J382"/>
  <c r="K382"/>
  <c r="L382"/>
  <c r="M382"/>
  <c r="N382"/>
  <c r="G382"/>
  <c r="O375"/>
  <c r="P375"/>
  <c r="Q375"/>
  <c r="H375"/>
  <c r="I375"/>
  <c r="J375"/>
  <c r="K375"/>
  <c r="L375"/>
  <c r="M375"/>
  <c r="N375"/>
  <c r="G375"/>
  <c r="Q433"/>
  <c r="O433"/>
  <c r="P433"/>
  <c r="H433"/>
  <c r="I433"/>
  <c r="J433"/>
  <c r="K433"/>
  <c r="L433"/>
  <c r="M433"/>
  <c r="N433"/>
  <c r="G433"/>
  <c r="O324"/>
  <c r="P324"/>
  <c r="Q324"/>
  <c r="M324"/>
  <c r="N324"/>
  <c r="H324"/>
  <c r="I324"/>
  <c r="J324"/>
  <c r="K324"/>
  <c r="L324"/>
  <c r="G324"/>
  <c r="O333"/>
  <c r="P333"/>
  <c r="Q333"/>
  <c r="J333"/>
  <c r="K333"/>
  <c r="L333"/>
  <c r="M333"/>
  <c r="N333"/>
  <c r="H333"/>
  <c r="I333"/>
  <c r="G333"/>
  <c r="O219"/>
  <c r="P219"/>
  <c r="Q219"/>
  <c r="H219"/>
  <c r="I219"/>
  <c r="J219"/>
  <c r="K219"/>
  <c r="L219"/>
  <c r="M219"/>
  <c r="N219"/>
  <c r="G219"/>
  <c r="O438"/>
  <c r="P438"/>
  <c r="Q438"/>
  <c r="H438"/>
  <c r="I438"/>
  <c r="J438"/>
  <c r="K438"/>
  <c r="L438"/>
  <c r="M438"/>
  <c r="N438"/>
  <c r="G438"/>
  <c r="O336"/>
  <c r="P336"/>
  <c r="Q336"/>
  <c r="M336"/>
  <c r="N336"/>
  <c r="H336"/>
  <c r="I336"/>
  <c r="J336"/>
  <c r="K336"/>
  <c r="L336"/>
  <c r="G336"/>
  <c r="O458"/>
  <c r="P458"/>
  <c r="Q458"/>
  <c r="K458"/>
  <c r="L458"/>
  <c r="M458"/>
  <c r="N458"/>
  <c r="H458"/>
  <c r="I458"/>
  <c r="J458"/>
  <c r="G458"/>
  <c r="O115"/>
  <c r="O7" i="52" s="1"/>
  <c r="P115" i="37"/>
  <c r="P7" i="52" s="1"/>
  <c r="Q115" i="37"/>
  <c r="Q7" i="52" s="1"/>
  <c r="H115" i="37"/>
  <c r="H7" i="52" s="1"/>
  <c r="I115" i="37"/>
  <c r="I7" i="52" s="1"/>
  <c r="J115" i="37"/>
  <c r="J7" i="52" s="1"/>
  <c r="K115" i="37"/>
  <c r="K7" i="52" s="1"/>
  <c r="L115" i="37"/>
  <c r="L7" i="52" s="1"/>
  <c r="M115" i="37"/>
  <c r="M7" i="52" s="1"/>
  <c r="N115" i="37"/>
  <c r="N7" i="52" s="1"/>
  <c r="G115" i="37"/>
  <c r="G7" i="52" s="1"/>
  <c r="O175" i="37"/>
  <c r="P175"/>
  <c r="Q175"/>
  <c r="H175"/>
  <c r="I175"/>
  <c r="J175"/>
  <c r="K175"/>
  <c r="L175"/>
  <c r="M175"/>
  <c r="N175"/>
  <c r="G175"/>
  <c r="O23"/>
  <c r="P23"/>
  <c r="Q23"/>
  <c r="H23"/>
  <c r="I23"/>
  <c r="J23"/>
  <c r="K23"/>
  <c r="L23"/>
  <c r="M23"/>
  <c r="N23"/>
  <c r="G23"/>
  <c r="O249"/>
  <c r="P249"/>
  <c r="Q249"/>
  <c r="J249"/>
  <c r="K249"/>
  <c r="L249"/>
  <c r="M249"/>
  <c r="N249"/>
  <c r="H249"/>
  <c r="I249"/>
  <c r="G249"/>
  <c r="O242"/>
  <c r="P242"/>
  <c r="Q242"/>
  <c r="K242"/>
  <c r="L242"/>
  <c r="M242"/>
  <c r="N242"/>
  <c r="H242"/>
  <c r="I242"/>
  <c r="J242"/>
  <c r="G242"/>
  <c r="O259"/>
  <c r="P259"/>
  <c r="Q259"/>
  <c r="L259"/>
  <c r="M259"/>
  <c r="N259"/>
  <c r="H259"/>
  <c r="I259"/>
  <c r="J259"/>
  <c r="K259"/>
  <c r="G259"/>
  <c r="O300"/>
  <c r="O15" i="52" s="1"/>
  <c r="P300" i="37"/>
  <c r="P15" i="52" s="1"/>
  <c r="Q300" i="37"/>
  <c r="Q15" i="52" s="1"/>
  <c r="M300" i="37"/>
  <c r="M15" i="52" s="1"/>
  <c r="N300" i="37"/>
  <c r="N15" i="52" s="1"/>
  <c r="H300" i="37"/>
  <c r="H15" i="52" s="1"/>
  <c r="I300" i="37"/>
  <c r="I15" i="52" s="1"/>
  <c r="J300" i="37"/>
  <c r="J15" i="52" s="1"/>
  <c r="K300" i="37"/>
  <c r="K15" i="52" s="1"/>
  <c r="L300" i="37"/>
  <c r="L15" i="52" s="1"/>
  <c r="G300" i="37"/>
  <c r="G15" i="52" s="1"/>
  <c r="O186" i="37"/>
  <c r="O10" i="52" s="1"/>
  <c r="P186" i="37"/>
  <c r="P10" i="52" s="1"/>
  <c r="Q186" i="37"/>
  <c r="Q10" i="52" s="1"/>
  <c r="H186" i="37"/>
  <c r="H10" i="52" s="1"/>
  <c r="I186" i="37"/>
  <c r="I10" i="52" s="1"/>
  <c r="J186" i="37"/>
  <c r="J10" i="52" s="1"/>
  <c r="K186" i="37"/>
  <c r="K10" i="52" s="1"/>
  <c r="L186" i="37"/>
  <c r="L10" i="52" s="1"/>
  <c r="M186" i="37"/>
  <c r="M10" i="52" s="1"/>
  <c r="N186" i="37"/>
  <c r="N10" i="52" s="1"/>
  <c r="G186" i="37"/>
  <c r="G10" i="52" s="1"/>
  <c r="O63" i="37"/>
  <c r="P63"/>
  <c r="Q63"/>
  <c r="N63"/>
  <c r="M63"/>
  <c r="H63"/>
  <c r="I63"/>
  <c r="J63"/>
  <c r="K63"/>
  <c r="L63"/>
  <c r="G63"/>
  <c r="O8"/>
  <c r="P8"/>
  <c r="Q8"/>
  <c r="H8"/>
  <c r="I8"/>
  <c r="J8"/>
  <c r="K8"/>
  <c r="L8"/>
  <c r="M8"/>
  <c r="N8"/>
  <c r="G8"/>
  <c r="O204"/>
  <c r="P204"/>
  <c r="Q204"/>
  <c r="I204"/>
  <c r="J204"/>
  <c r="K204"/>
  <c r="L204"/>
  <c r="M204"/>
  <c r="N204"/>
  <c r="H204"/>
  <c r="G204"/>
  <c r="O260"/>
  <c r="P260"/>
  <c r="Q260"/>
  <c r="H260"/>
  <c r="I260"/>
  <c r="J260"/>
  <c r="K260"/>
  <c r="L260"/>
  <c r="M260"/>
  <c r="N260"/>
  <c r="G260"/>
  <c r="O153"/>
  <c r="P153"/>
  <c r="Q153"/>
  <c r="H153"/>
  <c r="I153"/>
  <c r="J153"/>
  <c r="K153"/>
  <c r="L153"/>
  <c r="M153"/>
  <c r="N153"/>
  <c r="G153"/>
  <c r="O434"/>
  <c r="P434"/>
  <c r="Q434"/>
  <c r="K434"/>
  <c r="L434"/>
  <c r="M434"/>
  <c r="N434"/>
  <c r="H434"/>
  <c r="I434"/>
  <c r="J434"/>
  <c r="G434"/>
  <c r="O348"/>
  <c r="P348"/>
  <c r="Q348"/>
  <c r="M348"/>
  <c r="N348"/>
  <c r="H348"/>
  <c r="I348"/>
  <c r="J348"/>
  <c r="K348"/>
  <c r="L348"/>
  <c r="G348"/>
  <c r="O366"/>
  <c r="O18" i="52" s="1"/>
  <c r="P366" i="37"/>
  <c r="P18" i="52" s="1"/>
  <c r="Q366" i="37"/>
  <c r="Q18" i="52" s="1"/>
  <c r="H366" i="37"/>
  <c r="H18" i="52" s="1"/>
  <c r="I366" i="37"/>
  <c r="I18" i="52" s="1"/>
  <c r="J366" i="37"/>
  <c r="J18" i="52" s="1"/>
  <c r="K366" i="37"/>
  <c r="K18" i="52" s="1"/>
  <c r="L366" i="37"/>
  <c r="L18" i="52" s="1"/>
  <c r="M366" i="37"/>
  <c r="M18" i="52" s="1"/>
  <c r="N366" i="37"/>
  <c r="N18" i="52" s="1"/>
  <c r="G366" i="37"/>
  <c r="G18" i="52" s="1"/>
  <c r="Q453" i="37"/>
  <c r="O453"/>
  <c r="P453"/>
  <c r="J453"/>
  <c r="K453"/>
  <c r="L453"/>
  <c r="M453"/>
  <c r="N453"/>
  <c r="H453"/>
  <c r="I453"/>
  <c r="G453"/>
  <c r="O450"/>
  <c r="O21" i="53" s="1"/>
  <c r="P450" i="37"/>
  <c r="P21" i="53" s="1"/>
  <c r="Q450" i="37"/>
  <c r="Q21" i="53" s="1"/>
  <c r="H450" i="37"/>
  <c r="H21" i="53" s="1"/>
  <c r="I450" i="37"/>
  <c r="I21" i="53" s="1"/>
  <c r="J450" i="37"/>
  <c r="J21" i="53" s="1"/>
  <c r="K450" i="37"/>
  <c r="K21" i="53" s="1"/>
  <c r="L450" i="37"/>
  <c r="L21" i="53" s="1"/>
  <c r="M450" i="37"/>
  <c r="M21" i="53" s="1"/>
  <c r="N450" i="37"/>
  <c r="N21" i="53" s="1"/>
  <c r="G450" i="37"/>
  <c r="O222"/>
  <c r="P222"/>
  <c r="Q222"/>
  <c r="H222"/>
  <c r="I222"/>
  <c r="J222"/>
  <c r="K222"/>
  <c r="L222"/>
  <c r="M222"/>
  <c r="N222"/>
  <c r="G222"/>
  <c r="O295"/>
  <c r="P295"/>
  <c r="Q295"/>
  <c r="L295"/>
  <c r="M295"/>
  <c r="N295"/>
  <c r="H295"/>
  <c r="I295"/>
  <c r="J295"/>
  <c r="K295"/>
  <c r="G295"/>
  <c r="O172"/>
  <c r="P172"/>
  <c r="Q172"/>
  <c r="H172"/>
  <c r="I172"/>
  <c r="J172"/>
  <c r="K172"/>
  <c r="L172"/>
  <c r="M172"/>
  <c r="N172"/>
  <c r="G172"/>
  <c r="O391"/>
  <c r="P391"/>
  <c r="Q391"/>
  <c r="L391"/>
  <c r="M391"/>
  <c r="N391"/>
  <c r="H391"/>
  <c r="I391"/>
  <c r="J391"/>
  <c r="K391"/>
  <c r="G391"/>
  <c r="O193"/>
  <c r="P193"/>
  <c r="Q193"/>
  <c r="N193"/>
  <c r="H193"/>
  <c r="I193"/>
  <c r="J193"/>
  <c r="K193"/>
  <c r="L193"/>
  <c r="M193"/>
  <c r="G193"/>
  <c r="O400"/>
  <c r="P400"/>
  <c r="Q400"/>
  <c r="I400"/>
  <c r="J400"/>
  <c r="K400"/>
  <c r="L400"/>
  <c r="M400"/>
  <c r="N400"/>
  <c r="H400"/>
  <c r="G400"/>
  <c r="O165"/>
  <c r="P165"/>
  <c r="Q165"/>
  <c r="H165"/>
  <c r="I165"/>
  <c r="J165"/>
  <c r="K165"/>
  <c r="L165"/>
  <c r="M165"/>
  <c r="N165"/>
  <c r="G165"/>
  <c r="O446"/>
  <c r="P446"/>
  <c r="Q446"/>
  <c r="K446"/>
  <c r="L446"/>
  <c r="M446"/>
  <c r="N446"/>
  <c r="H446"/>
  <c r="I446"/>
  <c r="J446"/>
  <c r="G446"/>
  <c r="O25"/>
  <c r="O3" i="52" s="1"/>
  <c r="P25" i="37"/>
  <c r="P3" i="52" s="1"/>
  <c r="Q25" i="37"/>
  <c r="Q3" i="52" s="1"/>
  <c r="H25" i="37"/>
  <c r="H3" i="52" s="1"/>
  <c r="I25" i="37"/>
  <c r="I3" i="52" s="1"/>
  <c r="J25" i="37"/>
  <c r="J3" i="52" s="1"/>
  <c r="K25" i="37"/>
  <c r="K3" i="52" s="1"/>
  <c r="L25" i="37"/>
  <c r="L3" i="52" s="1"/>
  <c r="M25" i="37"/>
  <c r="M3" i="52" s="1"/>
  <c r="N25" i="37"/>
  <c r="N3" i="52" s="1"/>
  <c r="G25" i="37"/>
  <c r="G3" i="52" s="1"/>
  <c r="Q353" i="37"/>
  <c r="O353"/>
  <c r="P353"/>
  <c r="N353"/>
  <c r="H353"/>
  <c r="I353"/>
  <c r="J353"/>
  <c r="K353"/>
  <c r="L353"/>
  <c r="M353"/>
  <c r="G353"/>
  <c r="O399"/>
  <c r="P399"/>
  <c r="Q399"/>
  <c r="H399"/>
  <c r="I399"/>
  <c r="J399"/>
  <c r="K399"/>
  <c r="L399"/>
  <c r="M399"/>
  <c r="N399"/>
  <c r="G399"/>
  <c r="O448"/>
  <c r="P448"/>
  <c r="Q448"/>
  <c r="I448"/>
  <c r="J448"/>
  <c r="K448"/>
  <c r="L448"/>
  <c r="M448"/>
  <c r="N448"/>
  <c r="H448"/>
  <c r="G448"/>
  <c r="O358"/>
  <c r="P358"/>
  <c r="Q358"/>
  <c r="H358"/>
  <c r="I358"/>
  <c r="J358"/>
  <c r="K358"/>
  <c r="L358"/>
  <c r="M358"/>
  <c r="N358"/>
  <c r="G358"/>
  <c r="O200"/>
  <c r="P200"/>
  <c r="Q200"/>
  <c r="M200"/>
  <c r="N200"/>
  <c r="H200"/>
  <c r="I200"/>
  <c r="J200"/>
  <c r="K200"/>
  <c r="L200"/>
  <c r="G200"/>
  <c r="O462"/>
  <c r="P462"/>
  <c r="Q462"/>
  <c r="H462"/>
  <c r="I462"/>
  <c r="J462"/>
  <c r="K462"/>
  <c r="L462"/>
  <c r="M462"/>
  <c r="N462"/>
  <c r="G462"/>
  <c r="O344"/>
  <c r="P344"/>
  <c r="Q344"/>
  <c r="H344"/>
  <c r="I344"/>
  <c r="J344"/>
  <c r="K344"/>
  <c r="L344"/>
  <c r="M344"/>
  <c r="N344"/>
  <c r="G344"/>
  <c r="O27"/>
  <c r="P27"/>
  <c r="Q27"/>
  <c r="N27"/>
  <c r="H27"/>
  <c r="I27"/>
  <c r="J27"/>
  <c r="K27"/>
  <c r="L27"/>
  <c r="M27"/>
  <c r="G27"/>
  <c r="O140"/>
  <c r="P140"/>
  <c r="Q140"/>
  <c r="M140"/>
  <c r="N140"/>
  <c r="H140"/>
  <c r="I140"/>
  <c r="J140"/>
  <c r="K140"/>
  <c r="L140"/>
  <c r="G140"/>
  <c r="O426"/>
  <c r="P426"/>
  <c r="Q426"/>
  <c r="H426"/>
  <c r="I426"/>
  <c r="J426"/>
  <c r="K426"/>
  <c r="L426"/>
  <c r="M426"/>
  <c r="N426"/>
  <c r="G426"/>
  <c r="O197"/>
  <c r="P197"/>
  <c r="Q197"/>
  <c r="J197"/>
  <c r="K197"/>
  <c r="L197"/>
  <c r="M197"/>
  <c r="N197"/>
  <c r="H197"/>
  <c r="I197"/>
  <c r="G197"/>
  <c r="O188"/>
  <c r="P188"/>
  <c r="Q188"/>
  <c r="M188"/>
  <c r="N188"/>
  <c r="H188"/>
  <c r="I188"/>
  <c r="J188"/>
  <c r="K188"/>
  <c r="L188"/>
  <c r="G188"/>
  <c r="O72"/>
  <c r="P72"/>
  <c r="Q72"/>
  <c r="I72"/>
  <c r="J72"/>
  <c r="K72"/>
  <c r="L72"/>
  <c r="M72"/>
  <c r="N72"/>
  <c r="H72"/>
  <c r="G72"/>
  <c r="O40"/>
  <c r="P40"/>
  <c r="Q40"/>
  <c r="H40"/>
  <c r="I40"/>
  <c r="J40"/>
  <c r="K40"/>
  <c r="L40"/>
  <c r="M40"/>
  <c r="N40"/>
  <c r="G40"/>
  <c r="O231"/>
  <c r="P231"/>
  <c r="Q231"/>
  <c r="H231"/>
  <c r="I231"/>
  <c r="J231"/>
  <c r="K231"/>
  <c r="L231"/>
  <c r="M231"/>
  <c r="N231"/>
  <c r="G231"/>
  <c r="O279"/>
  <c r="P279"/>
  <c r="Q279"/>
  <c r="H279"/>
  <c r="I279"/>
  <c r="J279"/>
  <c r="K279"/>
  <c r="L279"/>
  <c r="M279"/>
  <c r="N279"/>
  <c r="G279"/>
  <c r="O216"/>
  <c r="P216"/>
  <c r="Q216"/>
  <c r="M216"/>
  <c r="N216"/>
  <c r="H216"/>
  <c r="I216"/>
  <c r="J216"/>
  <c r="K216"/>
  <c r="L216"/>
  <c r="G216"/>
  <c r="O258"/>
  <c r="P258"/>
  <c r="Q258"/>
  <c r="H258"/>
  <c r="I258"/>
  <c r="J258"/>
  <c r="K258"/>
  <c r="L258"/>
  <c r="M258"/>
  <c r="N258"/>
  <c r="G258"/>
  <c r="Q481"/>
  <c r="O481"/>
  <c r="P481"/>
  <c r="H481"/>
  <c r="I481"/>
  <c r="J481"/>
  <c r="K481"/>
  <c r="L481"/>
  <c r="M481"/>
  <c r="N481"/>
  <c r="G481"/>
  <c r="O403"/>
  <c r="P403"/>
  <c r="Q403"/>
  <c r="L403"/>
  <c r="M403"/>
  <c r="N403"/>
  <c r="H403"/>
  <c r="I403"/>
  <c r="J403"/>
  <c r="K403"/>
  <c r="G403"/>
  <c r="O491"/>
  <c r="P491"/>
  <c r="Q491"/>
  <c r="H491"/>
  <c r="I491"/>
  <c r="J491"/>
  <c r="K491"/>
  <c r="L491"/>
  <c r="M491"/>
  <c r="N491"/>
  <c r="G491"/>
  <c r="O455"/>
  <c r="P455"/>
  <c r="Q455"/>
  <c r="H455"/>
  <c r="I455"/>
  <c r="J455"/>
  <c r="K455"/>
  <c r="L455"/>
  <c r="M455"/>
  <c r="N455"/>
  <c r="G455"/>
  <c r="O350"/>
  <c r="P350"/>
  <c r="Q350"/>
  <c r="K350"/>
  <c r="L350"/>
  <c r="M350"/>
  <c r="N350"/>
  <c r="H350"/>
  <c r="I350"/>
  <c r="J350"/>
  <c r="G350"/>
  <c r="O178"/>
  <c r="P178"/>
  <c r="Q178"/>
  <c r="K178"/>
  <c r="L178"/>
  <c r="M178"/>
  <c r="N178"/>
  <c r="H178"/>
  <c r="I178"/>
  <c r="J178"/>
  <c r="G178"/>
  <c r="O456"/>
  <c r="P456"/>
  <c r="Q456"/>
  <c r="M456"/>
  <c r="N456"/>
  <c r="H456"/>
  <c r="I456"/>
  <c r="J456"/>
  <c r="K456"/>
  <c r="L456"/>
  <c r="G456"/>
  <c r="O207"/>
  <c r="P207"/>
  <c r="Q207"/>
  <c r="H207"/>
  <c r="I207"/>
  <c r="J207"/>
  <c r="K207"/>
  <c r="L207"/>
  <c r="M207"/>
  <c r="N207"/>
  <c r="G207"/>
  <c r="Q421"/>
  <c r="O421"/>
  <c r="P421"/>
  <c r="H421"/>
  <c r="I421"/>
  <c r="J421"/>
  <c r="K421"/>
  <c r="L421"/>
  <c r="M421"/>
  <c r="N421"/>
  <c r="G421"/>
  <c r="O202"/>
  <c r="P202"/>
  <c r="Q202"/>
  <c r="K202"/>
  <c r="L202"/>
  <c r="M202"/>
  <c r="N202"/>
  <c r="H202"/>
  <c r="I202"/>
  <c r="J202"/>
  <c r="G202"/>
  <c r="O7"/>
  <c r="P7"/>
  <c r="Q7"/>
  <c r="J7"/>
  <c r="K7"/>
  <c r="L7"/>
  <c r="M7"/>
  <c r="N7"/>
  <c r="H7"/>
  <c r="I7"/>
  <c r="G7"/>
  <c r="O38"/>
  <c r="P38"/>
  <c r="Q38"/>
  <c r="I38"/>
  <c r="J38"/>
  <c r="K38"/>
  <c r="L38"/>
  <c r="M38"/>
  <c r="N38"/>
  <c r="H38"/>
  <c r="G38"/>
  <c r="Q377"/>
  <c r="O377"/>
  <c r="P377"/>
  <c r="N377"/>
  <c r="H377"/>
  <c r="I377"/>
  <c r="J377"/>
  <c r="K377"/>
  <c r="L377"/>
  <c r="M377"/>
  <c r="G377"/>
  <c r="O464"/>
  <c r="P464"/>
  <c r="Q464"/>
  <c r="H464"/>
  <c r="I464"/>
  <c r="J464"/>
  <c r="K464"/>
  <c r="L464"/>
  <c r="M464"/>
  <c r="N464"/>
  <c r="G464"/>
  <c r="O460"/>
  <c r="P460"/>
  <c r="Q460"/>
  <c r="I460"/>
  <c r="J460"/>
  <c r="K460"/>
  <c r="L460"/>
  <c r="M460"/>
  <c r="N460"/>
  <c r="H460"/>
  <c r="G460"/>
  <c r="O374"/>
  <c r="P374"/>
  <c r="Q374"/>
  <c r="K374"/>
  <c r="L374"/>
  <c r="M374"/>
  <c r="N374"/>
  <c r="H374"/>
  <c r="I374"/>
  <c r="J374"/>
  <c r="G374"/>
  <c r="O355"/>
  <c r="P355"/>
  <c r="Q355"/>
  <c r="L355"/>
  <c r="M355"/>
  <c r="N355"/>
  <c r="H355"/>
  <c r="I355"/>
  <c r="J355"/>
  <c r="K355"/>
  <c r="G355"/>
  <c r="O470"/>
  <c r="P470"/>
  <c r="Q470"/>
  <c r="K470"/>
  <c r="L470"/>
  <c r="M470"/>
  <c r="N470"/>
  <c r="H470"/>
  <c r="I470"/>
  <c r="J470"/>
  <c r="G470"/>
  <c r="O352"/>
  <c r="P352"/>
  <c r="Q352"/>
  <c r="I352"/>
  <c r="J352"/>
  <c r="K352"/>
  <c r="L352"/>
  <c r="M352"/>
  <c r="N352"/>
  <c r="H352"/>
  <c r="G352"/>
  <c r="O54"/>
  <c r="P54"/>
  <c r="Q54"/>
  <c r="H54"/>
  <c r="K54"/>
  <c r="I54"/>
  <c r="J54"/>
  <c r="L54"/>
  <c r="M54"/>
  <c r="N54"/>
  <c r="G54"/>
  <c r="O75"/>
  <c r="P75"/>
  <c r="Q75"/>
  <c r="L75"/>
  <c r="M75"/>
  <c r="N75"/>
  <c r="H75"/>
  <c r="I75"/>
  <c r="J75"/>
  <c r="K75"/>
  <c r="G75"/>
  <c r="O154"/>
  <c r="P154"/>
  <c r="Q154"/>
  <c r="K154"/>
  <c r="L154"/>
  <c r="M154"/>
  <c r="N154"/>
  <c r="H154"/>
  <c r="I154"/>
  <c r="J154"/>
  <c r="G154"/>
  <c r="Q417"/>
  <c r="O417"/>
  <c r="P417"/>
  <c r="J417"/>
  <c r="K417"/>
  <c r="L417"/>
  <c r="M417"/>
  <c r="N417"/>
  <c r="H417"/>
  <c r="I417"/>
  <c r="G417"/>
  <c r="O139"/>
  <c r="O8" i="52" s="1"/>
  <c r="P139" i="37"/>
  <c r="P8" i="52" s="1"/>
  <c r="Q139" i="37"/>
  <c r="Q8" i="52" s="1"/>
  <c r="H139" i="37"/>
  <c r="H8" i="52" s="1"/>
  <c r="I139" i="37"/>
  <c r="I8" i="52" s="1"/>
  <c r="J139" i="37"/>
  <c r="J8" i="52" s="1"/>
  <c r="K139" i="37"/>
  <c r="K8" i="52" s="1"/>
  <c r="L139" i="37"/>
  <c r="L8" i="52" s="1"/>
  <c r="M139" i="37"/>
  <c r="M8" i="52" s="1"/>
  <c r="N139" i="37"/>
  <c r="N8" i="52" s="1"/>
  <c r="G139" i="37"/>
  <c r="G8" i="52" s="1"/>
  <c r="O161" i="37"/>
  <c r="P161"/>
  <c r="Q161"/>
  <c r="J161"/>
  <c r="K161"/>
  <c r="L161"/>
  <c r="M161"/>
  <c r="N161"/>
  <c r="H161"/>
  <c r="I161"/>
  <c r="G161"/>
  <c r="O13"/>
  <c r="P13"/>
  <c r="Q13"/>
  <c r="H13"/>
  <c r="I13"/>
  <c r="J13"/>
  <c r="K13"/>
  <c r="L13"/>
  <c r="M13"/>
  <c r="N13"/>
  <c r="G13"/>
  <c r="O230"/>
  <c r="P230"/>
  <c r="Q230"/>
  <c r="K230"/>
  <c r="L230"/>
  <c r="M230"/>
  <c r="N230"/>
  <c r="H230"/>
  <c r="I230"/>
  <c r="J230"/>
  <c r="G230"/>
  <c r="O78"/>
  <c r="P78"/>
  <c r="Q78"/>
  <c r="H78"/>
  <c r="I78"/>
  <c r="J78"/>
  <c r="K78"/>
  <c r="L78"/>
  <c r="M78"/>
  <c r="N78"/>
  <c r="G78"/>
  <c r="O53"/>
  <c r="P53"/>
  <c r="Q53"/>
  <c r="L53"/>
  <c r="M53"/>
  <c r="N53"/>
  <c r="H53"/>
  <c r="K53"/>
  <c r="I53"/>
  <c r="J53"/>
  <c r="G53"/>
  <c r="O233"/>
  <c r="P233"/>
  <c r="Q233"/>
  <c r="N233"/>
  <c r="H233"/>
  <c r="I233"/>
  <c r="J233"/>
  <c r="K233"/>
  <c r="L233"/>
  <c r="M233"/>
  <c r="G233"/>
  <c r="O287"/>
  <c r="P287"/>
  <c r="Q287"/>
  <c r="H287"/>
  <c r="I287"/>
  <c r="J287"/>
  <c r="K287"/>
  <c r="L287"/>
  <c r="M287"/>
  <c r="N287"/>
  <c r="G287"/>
  <c r="O283"/>
  <c r="P283"/>
  <c r="Q283"/>
  <c r="L283"/>
  <c r="M283"/>
  <c r="N283"/>
  <c r="H283"/>
  <c r="I283"/>
  <c r="J283"/>
  <c r="K283"/>
  <c r="G283"/>
  <c r="O301"/>
  <c r="P301"/>
  <c r="Q301"/>
  <c r="H301"/>
  <c r="I301"/>
  <c r="J301"/>
  <c r="K301"/>
  <c r="L301"/>
  <c r="M301"/>
  <c r="N301"/>
  <c r="G301"/>
  <c r="O420"/>
  <c r="P420"/>
  <c r="Q420"/>
  <c r="M420"/>
  <c r="N420"/>
  <c r="H420"/>
  <c r="I420"/>
  <c r="J420"/>
  <c r="K420"/>
  <c r="L420"/>
  <c r="G420"/>
  <c r="O9"/>
  <c r="P9"/>
  <c r="Q9"/>
  <c r="H9"/>
  <c r="I9"/>
  <c r="J9"/>
  <c r="K9"/>
  <c r="L9"/>
  <c r="M9"/>
  <c r="N9"/>
  <c r="G9"/>
  <c r="O486"/>
  <c r="P486"/>
  <c r="Q486"/>
  <c r="H486"/>
  <c r="I486"/>
  <c r="J486"/>
  <c r="K486"/>
  <c r="L486"/>
  <c r="M486"/>
  <c r="N486"/>
  <c r="G486"/>
  <c r="O317"/>
  <c r="P317"/>
  <c r="Q317"/>
  <c r="N317"/>
  <c r="H317"/>
  <c r="I317"/>
  <c r="J317"/>
  <c r="K317"/>
  <c r="L317"/>
  <c r="M317"/>
  <c r="G317"/>
  <c r="O212"/>
  <c r="P212"/>
  <c r="Q212"/>
  <c r="H212"/>
  <c r="I212"/>
  <c r="J212"/>
  <c r="K212"/>
  <c r="L212"/>
  <c r="M212"/>
  <c r="N212"/>
  <c r="G212"/>
  <c r="O467"/>
  <c r="P467"/>
  <c r="Q467"/>
  <c r="H467"/>
  <c r="I467"/>
  <c r="J467"/>
  <c r="K467"/>
  <c r="L467"/>
  <c r="M467"/>
  <c r="N467"/>
  <c r="G467"/>
  <c r="O210"/>
  <c r="P210"/>
  <c r="Q210"/>
  <c r="H210"/>
  <c r="I210"/>
  <c r="J210"/>
  <c r="K210"/>
  <c r="L210"/>
  <c r="M210"/>
  <c r="N210"/>
  <c r="G210"/>
  <c r="O490"/>
  <c r="P490"/>
  <c r="Q490"/>
  <c r="H490"/>
  <c r="I490"/>
  <c r="J490"/>
  <c r="K490"/>
  <c r="L490"/>
  <c r="M490"/>
  <c r="N490"/>
  <c r="G490"/>
  <c r="O205"/>
  <c r="O10" i="53" s="1"/>
  <c r="P205" i="37"/>
  <c r="P10" i="53" s="1"/>
  <c r="Q205" i="37"/>
  <c r="Q10" i="53" s="1"/>
  <c r="H205" i="37"/>
  <c r="H10" i="53" s="1"/>
  <c r="J205" i="37"/>
  <c r="J10" i="53" s="1"/>
  <c r="I205" i="37"/>
  <c r="I10" i="53" s="1"/>
  <c r="K205" i="37"/>
  <c r="K10" i="53" s="1"/>
  <c r="L205" i="37"/>
  <c r="L10" i="53" s="1"/>
  <c r="M205" i="37"/>
  <c r="M10" i="53" s="1"/>
  <c r="N205" i="37"/>
  <c r="N10" i="53" s="1"/>
  <c r="G205" i="37"/>
  <c r="O10"/>
  <c r="P10"/>
  <c r="Q10"/>
  <c r="M10"/>
  <c r="N10"/>
  <c r="H10"/>
  <c r="I10"/>
  <c r="J10"/>
  <c r="K10"/>
  <c r="L10"/>
  <c r="G10"/>
  <c r="O76"/>
  <c r="P76"/>
  <c r="Q76"/>
  <c r="H76"/>
  <c r="I76"/>
  <c r="J76"/>
  <c r="K76"/>
  <c r="L76"/>
  <c r="M76"/>
  <c r="N76"/>
  <c r="G76"/>
  <c r="O387"/>
  <c r="P387"/>
  <c r="Q387"/>
  <c r="H387"/>
  <c r="I387"/>
  <c r="J387"/>
  <c r="K387"/>
  <c r="L387"/>
  <c r="M387"/>
  <c r="N387"/>
  <c r="G387"/>
  <c r="O472"/>
  <c r="P472"/>
  <c r="Q472"/>
  <c r="I472"/>
  <c r="J472"/>
  <c r="K472"/>
  <c r="L472"/>
  <c r="M472"/>
  <c r="N472"/>
  <c r="H472"/>
  <c r="G472"/>
  <c r="O386"/>
  <c r="P386"/>
  <c r="Q386"/>
  <c r="K386"/>
  <c r="L386"/>
  <c r="M386"/>
  <c r="N386"/>
  <c r="H386"/>
  <c r="I386"/>
  <c r="J386"/>
  <c r="G386"/>
  <c r="O363"/>
  <c r="P363"/>
  <c r="Q363"/>
  <c r="H363"/>
  <c r="I363"/>
  <c r="J363"/>
  <c r="K363"/>
  <c r="L363"/>
  <c r="M363"/>
  <c r="N363"/>
  <c r="G363"/>
  <c r="O482"/>
  <c r="O23" i="53" s="1"/>
  <c r="P482" i="37"/>
  <c r="P23" i="53" s="1"/>
  <c r="Q482" i="37"/>
  <c r="Q23" i="53" s="1"/>
  <c r="K482" i="37"/>
  <c r="K23" i="53" s="1"/>
  <c r="L482" i="37"/>
  <c r="L23" i="53" s="1"/>
  <c r="M482" i="37"/>
  <c r="M23" i="53" s="1"/>
  <c r="N482" i="37"/>
  <c r="N23" i="53" s="1"/>
  <c r="H482" i="37"/>
  <c r="H23" i="53" s="1"/>
  <c r="I482" i="37"/>
  <c r="I23" i="53" s="1"/>
  <c r="J482" i="37"/>
  <c r="J23" i="53" s="1"/>
  <c r="G482" i="37"/>
  <c r="O245"/>
  <c r="P245"/>
  <c r="Q245"/>
  <c r="N245"/>
  <c r="H245"/>
  <c r="I245"/>
  <c r="J245"/>
  <c r="K245"/>
  <c r="L245"/>
  <c r="M245"/>
  <c r="G245"/>
  <c r="O66"/>
  <c r="O4" i="53" s="1"/>
  <c r="P66" i="37"/>
  <c r="P4" i="53" s="1"/>
  <c r="Q66" i="37"/>
  <c r="Q4" i="53" s="1"/>
  <c r="H66" i="37"/>
  <c r="H4" i="53" s="1"/>
  <c r="I66" i="37"/>
  <c r="I4" i="53" s="1"/>
  <c r="J66" i="37"/>
  <c r="J4" i="53" s="1"/>
  <c r="K66" i="37"/>
  <c r="K4" i="53" s="1"/>
  <c r="L66" i="37"/>
  <c r="L4" i="53" s="1"/>
  <c r="M66" i="37"/>
  <c r="M4" i="53" s="1"/>
  <c r="N66" i="37"/>
  <c r="N4" i="53" s="1"/>
  <c r="G66" i="37"/>
  <c r="O338"/>
  <c r="O16" i="53" s="1"/>
  <c r="P338" i="37"/>
  <c r="P16" i="53" s="1"/>
  <c r="Q338" i="37"/>
  <c r="Q16" i="53" s="1"/>
  <c r="K338" i="37"/>
  <c r="K16" i="53" s="1"/>
  <c r="L338" i="37"/>
  <c r="L16" i="53" s="1"/>
  <c r="M338" i="37"/>
  <c r="M16" i="53" s="1"/>
  <c r="N338" i="37"/>
  <c r="N16" i="53" s="1"/>
  <c r="H338" i="37"/>
  <c r="H16" i="53" s="1"/>
  <c r="I338" i="37"/>
  <c r="I16" i="53" s="1"/>
  <c r="J338" i="37"/>
  <c r="J16" i="53" s="1"/>
  <c r="G338" i="37"/>
  <c r="O232"/>
  <c r="O12" i="52" s="1"/>
  <c r="P232" i="37"/>
  <c r="P12" i="52" s="1"/>
  <c r="Q232" i="37"/>
  <c r="Q12" i="52" s="1"/>
  <c r="I232" i="37"/>
  <c r="I12" i="52" s="1"/>
  <c r="J232" i="37"/>
  <c r="J12" i="52" s="1"/>
  <c r="K232" i="37"/>
  <c r="K12" i="52" s="1"/>
  <c r="L232" i="37"/>
  <c r="L12" i="52" s="1"/>
  <c r="M232" i="37"/>
  <c r="M12" i="52" s="1"/>
  <c r="N232" i="37"/>
  <c r="N12" i="52" s="1"/>
  <c r="H232" i="37"/>
  <c r="H12" i="52" s="1"/>
  <c r="G232" i="37"/>
  <c r="G12" i="52" s="1"/>
  <c r="O273" i="37"/>
  <c r="P273"/>
  <c r="Q273"/>
  <c r="J273"/>
  <c r="K273"/>
  <c r="L273"/>
  <c r="M273"/>
  <c r="N273"/>
  <c r="H273"/>
  <c r="I273"/>
  <c r="G273"/>
  <c r="O223"/>
  <c r="P223"/>
  <c r="Q223"/>
  <c r="L223"/>
  <c r="M223"/>
  <c r="N223"/>
  <c r="H223"/>
  <c r="I223"/>
  <c r="J223"/>
  <c r="K223"/>
  <c r="G223"/>
  <c r="O166"/>
  <c r="P166"/>
  <c r="Q166"/>
  <c r="K166"/>
  <c r="L166"/>
  <c r="M166"/>
  <c r="N166"/>
  <c r="H166"/>
  <c r="I166"/>
  <c r="J166"/>
  <c r="G166"/>
  <c r="O313"/>
  <c r="P313"/>
  <c r="Q313"/>
  <c r="H313"/>
  <c r="I313"/>
  <c r="J313"/>
  <c r="K313"/>
  <c r="L313"/>
  <c r="M313"/>
  <c r="N313"/>
  <c r="G313"/>
  <c r="O11"/>
  <c r="P11"/>
  <c r="Q11"/>
  <c r="H11"/>
  <c r="I11"/>
  <c r="J11"/>
  <c r="K11"/>
  <c r="L11"/>
  <c r="M11"/>
  <c r="N11"/>
  <c r="G11"/>
  <c r="O244"/>
  <c r="P244"/>
  <c r="Q244"/>
  <c r="I244"/>
  <c r="J244"/>
  <c r="K244"/>
  <c r="L244"/>
  <c r="M244"/>
  <c r="N244"/>
  <c r="H244"/>
  <c r="G244"/>
  <c r="O113"/>
  <c r="P113"/>
  <c r="Q113"/>
  <c r="J113"/>
  <c r="K113"/>
  <c r="L113"/>
  <c r="M113"/>
  <c r="N113"/>
  <c r="H113"/>
  <c r="I113"/>
  <c r="G113"/>
  <c r="O61"/>
  <c r="P61"/>
  <c r="Q61"/>
  <c r="L61"/>
  <c r="M61"/>
  <c r="N61"/>
  <c r="H61"/>
  <c r="I61"/>
  <c r="J61"/>
  <c r="K61"/>
  <c r="G61"/>
  <c r="O237"/>
  <c r="P237"/>
  <c r="Q237"/>
  <c r="J237"/>
  <c r="K237"/>
  <c r="L237"/>
  <c r="M237"/>
  <c r="N237"/>
  <c r="H237"/>
  <c r="I237"/>
  <c r="G237"/>
  <c r="O310"/>
  <c r="P310"/>
  <c r="Q310"/>
  <c r="H310"/>
  <c r="I310"/>
  <c r="J310"/>
  <c r="K310"/>
  <c r="L310"/>
  <c r="M310"/>
  <c r="N310"/>
  <c r="G310"/>
  <c r="O340"/>
  <c r="P340"/>
  <c r="Q340"/>
  <c r="I340"/>
  <c r="J340"/>
  <c r="K340"/>
  <c r="L340"/>
  <c r="M340"/>
  <c r="N340"/>
  <c r="H340"/>
  <c r="G340"/>
  <c r="O330"/>
  <c r="P330"/>
  <c r="Q330"/>
  <c r="H330"/>
  <c r="I330"/>
  <c r="J330"/>
  <c r="K330"/>
  <c r="L330"/>
  <c r="M330"/>
  <c r="N330"/>
  <c r="G330"/>
  <c r="O474"/>
  <c r="P474"/>
  <c r="Q474"/>
  <c r="H474"/>
  <c r="I474"/>
  <c r="J474"/>
  <c r="K474"/>
  <c r="L474"/>
  <c r="M474"/>
  <c r="N474"/>
  <c r="G474"/>
  <c r="O73"/>
  <c r="P73"/>
  <c r="Q73"/>
  <c r="N73"/>
  <c r="H73"/>
  <c r="I73"/>
  <c r="J73"/>
  <c r="K73"/>
  <c r="L73"/>
  <c r="M73"/>
  <c r="G73"/>
  <c r="O238"/>
  <c r="P238"/>
  <c r="Q238"/>
  <c r="H238"/>
  <c r="I238"/>
  <c r="J238"/>
  <c r="K238"/>
  <c r="L238"/>
  <c r="M238"/>
  <c r="N238"/>
  <c r="G238"/>
  <c r="Q365"/>
  <c r="O365"/>
  <c r="P365"/>
  <c r="N365"/>
  <c r="H365"/>
  <c r="I365"/>
  <c r="J365"/>
  <c r="K365"/>
  <c r="L365"/>
  <c r="M365"/>
  <c r="G365"/>
  <c r="Q385"/>
  <c r="Q18" i="53" s="1"/>
  <c r="O385" i="37"/>
  <c r="O18" i="53" s="1"/>
  <c r="P385" i="37"/>
  <c r="P18" i="53" s="1"/>
  <c r="H385" i="37"/>
  <c r="H18" i="53" s="1"/>
  <c r="I385" i="37"/>
  <c r="I18" i="53" s="1"/>
  <c r="J385" i="37"/>
  <c r="J18" i="53" s="1"/>
  <c r="K385" i="37"/>
  <c r="K18" i="53" s="1"/>
  <c r="L385" i="37"/>
  <c r="L18" i="53" s="1"/>
  <c r="M385" i="37"/>
  <c r="M18" i="53" s="1"/>
  <c r="N385" i="37"/>
  <c r="N18" i="53" s="1"/>
  <c r="G385" i="37"/>
  <c r="O351"/>
  <c r="P351"/>
  <c r="Q351"/>
  <c r="H351"/>
  <c r="I351"/>
  <c r="J351"/>
  <c r="K351"/>
  <c r="L351"/>
  <c r="M351"/>
  <c r="N351"/>
  <c r="G351"/>
  <c r="O221"/>
  <c r="P221"/>
  <c r="Q221"/>
  <c r="N221"/>
  <c r="H221"/>
  <c r="I221"/>
  <c r="J221"/>
  <c r="K221"/>
  <c r="L221"/>
  <c r="M221"/>
  <c r="G221"/>
  <c r="O475"/>
  <c r="P475"/>
  <c r="Q475"/>
  <c r="L475"/>
  <c r="M475"/>
  <c r="N475"/>
  <c r="H475"/>
  <c r="I475"/>
  <c r="J475"/>
  <c r="K475"/>
  <c r="G475"/>
  <c r="O227"/>
  <c r="P227"/>
  <c r="Q227"/>
  <c r="H227"/>
  <c r="I227"/>
  <c r="J227"/>
  <c r="K227"/>
  <c r="L227"/>
  <c r="M227"/>
  <c r="N227"/>
  <c r="G227"/>
  <c r="O18"/>
  <c r="P18"/>
  <c r="Q18"/>
  <c r="H18"/>
  <c r="I18"/>
  <c r="J18"/>
  <c r="K18"/>
  <c r="L18"/>
  <c r="M18"/>
  <c r="N18"/>
  <c r="G18"/>
  <c r="O208"/>
  <c r="P208"/>
  <c r="Q208"/>
  <c r="I208"/>
  <c r="J208"/>
  <c r="K208"/>
  <c r="L208"/>
  <c r="M208"/>
  <c r="N208"/>
  <c r="H208"/>
  <c r="G208"/>
  <c r="O35"/>
  <c r="P35"/>
  <c r="Q35"/>
  <c r="H35"/>
  <c r="I35"/>
  <c r="J35"/>
  <c r="K35"/>
  <c r="L35"/>
  <c r="M35"/>
  <c r="N35"/>
  <c r="G35"/>
  <c r="O105"/>
  <c r="P105"/>
  <c r="Q105"/>
  <c r="H105"/>
  <c r="I105"/>
  <c r="J105"/>
  <c r="K105"/>
  <c r="L105"/>
  <c r="M105"/>
  <c r="N105"/>
  <c r="G105"/>
  <c r="O396"/>
  <c r="P396"/>
  <c r="Q396"/>
  <c r="M396"/>
  <c r="N396"/>
  <c r="H396"/>
  <c r="I396"/>
  <c r="J396"/>
  <c r="K396"/>
  <c r="L396"/>
  <c r="G396"/>
  <c r="O492"/>
  <c r="P492"/>
  <c r="Q492"/>
  <c r="M492"/>
  <c r="N492"/>
  <c r="H492"/>
  <c r="I492"/>
  <c r="J492"/>
  <c r="K492"/>
  <c r="L492"/>
  <c r="G492"/>
  <c r="O371"/>
  <c r="P371"/>
  <c r="Q371"/>
  <c r="H371"/>
  <c r="I371"/>
  <c r="J371"/>
  <c r="K371"/>
  <c r="L371"/>
  <c r="M371"/>
  <c r="N371"/>
  <c r="G371"/>
  <c r="O257"/>
  <c r="P257"/>
  <c r="Q257"/>
  <c r="N257"/>
  <c r="H257"/>
  <c r="I257"/>
  <c r="J257"/>
  <c r="K257"/>
  <c r="L257"/>
  <c r="M257"/>
  <c r="G257"/>
  <c r="O182"/>
  <c r="O9" i="53" s="1"/>
  <c r="P182" i="37"/>
  <c r="P9" i="53" s="1"/>
  <c r="Q182" i="37"/>
  <c r="Q9" i="53" s="1"/>
  <c r="H182" i="37"/>
  <c r="H9" i="53" s="1"/>
  <c r="I182" i="37"/>
  <c r="I9" i="53" s="1"/>
  <c r="J182" i="37"/>
  <c r="J9" i="53" s="1"/>
  <c r="K182" i="37"/>
  <c r="K9" i="53" s="1"/>
  <c r="L182" i="37"/>
  <c r="L9" i="53" s="1"/>
  <c r="M182" i="37"/>
  <c r="M9" i="53" s="1"/>
  <c r="N182" i="37"/>
  <c r="N9" i="53" s="1"/>
  <c r="G182" i="37"/>
  <c r="O174"/>
  <c r="P174"/>
  <c r="Q174"/>
  <c r="H174"/>
  <c r="I174"/>
  <c r="J174"/>
  <c r="K174"/>
  <c r="L174"/>
  <c r="M174"/>
  <c r="N174"/>
  <c r="G174"/>
  <c r="O414"/>
  <c r="O20" i="52" s="1"/>
  <c r="P414" i="37"/>
  <c r="P20" i="52" s="1"/>
  <c r="Q414" i="37"/>
  <c r="Q20" i="52" s="1"/>
  <c r="H414" i="37"/>
  <c r="H20" i="52" s="1"/>
  <c r="I414" i="37"/>
  <c r="I20" i="52" s="1"/>
  <c r="J414" i="37"/>
  <c r="J20" i="52" s="1"/>
  <c r="K414" i="37"/>
  <c r="K20" i="52" s="1"/>
  <c r="L414" i="37"/>
  <c r="L20" i="52" s="1"/>
  <c r="M414" i="37"/>
  <c r="M20" i="52" s="1"/>
  <c r="N414" i="37"/>
  <c r="N20" i="52" s="1"/>
  <c r="G414" i="37"/>
  <c r="G20" i="52" s="1"/>
  <c r="O282" i="37"/>
  <c r="P282"/>
  <c r="Q282"/>
  <c r="H282"/>
  <c r="I282"/>
  <c r="J282"/>
  <c r="K282"/>
  <c r="L282"/>
  <c r="M282"/>
  <c r="N282"/>
  <c r="G282"/>
  <c r="O151"/>
  <c r="P151"/>
  <c r="Q151"/>
  <c r="H151"/>
  <c r="I151"/>
  <c r="J151"/>
  <c r="K151"/>
  <c r="L151"/>
  <c r="M151"/>
  <c r="N151"/>
  <c r="G151"/>
  <c r="O267"/>
  <c r="P267"/>
  <c r="Q267"/>
  <c r="H267"/>
  <c r="I267"/>
  <c r="J267"/>
  <c r="K267"/>
  <c r="L267"/>
  <c r="M267"/>
  <c r="N267"/>
  <c r="G267"/>
  <c r="O177"/>
  <c r="P177"/>
  <c r="Q177"/>
  <c r="H177"/>
  <c r="I177"/>
  <c r="J177"/>
  <c r="K177"/>
  <c r="L177"/>
  <c r="M177"/>
  <c r="N177"/>
  <c r="G177"/>
  <c r="O84"/>
  <c r="P84"/>
  <c r="Q84"/>
  <c r="I84"/>
  <c r="J84"/>
  <c r="K84"/>
  <c r="L84"/>
  <c r="M84"/>
  <c r="N84"/>
  <c r="H84"/>
  <c r="G84"/>
  <c r="O346"/>
  <c r="P346"/>
  <c r="Q346"/>
  <c r="H346"/>
  <c r="I346"/>
  <c r="J346"/>
  <c r="K346"/>
  <c r="L346"/>
  <c r="M346"/>
  <c r="N346"/>
  <c r="G346"/>
  <c r="O272"/>
  <c r="P272"/>
  <c r="Q272"/>
  <c r="H272"/>
  <c r="I272"/>
  <c r="J272"/>
  <c r="K272"/>
  <c r="L272"/>
  <c r="M272"/>
  <c r="N272"/>
  <c r="G272"/>
  <c r="O416"/>
  <c r="P416"/>
  <c r="Q416"/>
  <c r="H416"/>
  <c r="I416"/>
  <c r="J416"/>
  <c r="K416"/>
  <c r="L416"/>
  <c r="M416"/>
  <c r="N416"/>
  <c r="G416"/>
  <c r="O256"/>
  <c r="P256"/>
  <c r="Q256"/>
  <c r="I256"/>
  <c r="J256"/>
  <c r="K256"/>
  <c r="L256"/>
  <c r="M256"/>
  <c r="N256"/>
  <c r="H256"/>
  <c r="G256"/>
  <c r="O248"/>
  <c r="P248"/>
  <c r="Q248"/>
  <c r="H248"/>
  <c r="I248"/>
  <c r="J248"/>
  <c r="K248"/>
  <c r="L248"/>
  <c r="M248"/>
  <c r="N248"/>
  <c r="G248"/>
  <c r="O121"/>
  <c r="P121"/>
  <c r="Q121"/>
  <c r="N121"/>
  <c r="H121"/>
  <c r="I121"/>
  <c r="J121"/>
  <c r="K121"/>
  <c r="L121"/>
  <c r="M121"/>
  <c r="G121"/>
  <c r="O228"/>
  <c r="O11" i="53" s="1"/>
  <c r="P228" i="37"/>
  <c r="P11" i="53" s="1"/>
  <c r="Q228" i="37"/>
  <c r="Q11" i="53" s="1"/>
  <c r="M228" i="37"/>
  <c r="M11" i="53" s="1"/>
  <c r="N228" i="37"/>
  <c r="N11" i="53" s="1"/>
  <c r="H228" i="37"/>
  <c r="H11" i="53" s="1"/>
  <c r="I228" i="37"/>
  <c r="I11" i="53" s="1"/>
  <c r="J228" i="37"/>
  <c r="J11" i="53" s="1"/>
  <c r="K228" i="37"/>
  <c r="K11" i="53" s="1"/>
  <c r="L228" i="37"/>
  <c r="L11" i="53" s="1"/>
  <c r="G228" i="37"/>
  <c r="O46"/>
  <c r="P46"/>
  <c r="Q46"/>
  <c r="M46"/>
  <c r="N46"/>
  <c r="H46"/>
  <c r="I46"/>
  <c r="J46"/>
  <c r="K46"/>
  <c r="L46"/>
  <c r="G46"/>
  <c r="O131"/>
  <c r="P131"/>
  <c r="Q131"/>
  <c r="H131"/>
  <c r="I131"/>
  <c r="J131"/>
  <c r="K131"/>
  <c r="L131"/>
  <c r="M131"/>
  <c r="N131"/>
  <c r="G131"/>
  <c r="O406"/>
  <c r="P406"/>
  <c r="Q406"/>
  <c r="H406"/>
  <c r="I406"/>
  <c r="J406"/>
  <c r="K406"/>
  <c r="L406"/>
  <c r="M406"/>
  <c r="N406"/>
  <c r="G406"/>
  <c r="O246"/>
  <c r="P246"/>
  <c r="Q246"/>
  <c r="H246"/>
  <c r="I246"/>
  <c r="J246"/>
  <c r="K246"/>
  <c r="L246"/>
  <c r="M246"/>
  <c r="N246"/>
  <c r="G246"/>
  <c r="O243"/>
  <c r="P243"/>
  <c r="Q243"/>
  <c r="H243"/>
  <c r="I243"/>
  <c r="J243"/>
  <c r="K243"/>
  <c r="L243"/>
  <c r="M243"/>
  <c r="N243"/>
  <c r="G243"/>
  <c r="O379"/>
  <c r="P379"/>
  <c r="Q379"/>
  <c r="L379"/>
  <c r="M379"/>
  <c r="N379"/>
  <c r="H379"/>
  <c r="I379"/>
  <c r="J379"/>
  <c r="K379"/>
  <c r="G379"/>
  <c r="O380"/>
  <c r="P380"/>
  <c r="Q380"/>
  <c r="H380"/>
  <c r="I380"/>
  <c r="J380"/>
  <c r="K380"/>
  <c r="L380"/>
  <c r="M380"/>
  <c r="N380"/>
  <c r="G380"/>
  <c r="O269"/>
  <c r="P269"/>
  <c r="Q269"/>
  <c r="N269"/>
  <c r="H269"/>
  <c r="I269"/>
  <c r="J269"/>
  <c r="K269"/>
  <c r="L269"/>
  <c r="M269"/>
  <c r="G269"/>
  <c r="O194"/>
  <c r="P194"/>
  <c r="Q194"/>
  <c r="H194"/>
  <c r="I194"/>
  <c r="J194"/>
  <c r="K194"/>
  <c r="L194"/>
  <c r="M194"/>
  <c r="N194"/>
  <c r="G194"/>
  <c r="O87"/>
  <c r="O5" i="53" s="1"/>
  <c r="P87" i="37"/>
  <c r="P5" i="53" s="1"/>
  <c r="Q87" i="37"/>
  <c r="Q5" i="53" s="1"/>
  <c r="L87" i="37"/>
  <c r="L5" i="53" s="1"/>
  <c r="M87" i="37"/>
  <c r="M5" i="53" s="1"/>
  <c r="N87" i="37"/>
  <c r="N5" i="53" s="1"/>
  <c r="H87" i="37"/>
  <c r="H5" i="53" s="1"/>
  <c r="I87" i="37"/>
  <c r="I5" i="53" s="1"/>
  <c r="J87" i="37"/>
  <c r="J5" i="53" s="1"/>
  <c r="K87" i="37"/>
  <c r="K5" i="53" s="1"/>
  <c r="G87" i="37"/>
  <c r="O127"/>
  <c r="P127"/>
  <c r="Q127"/>
  <c r="H127"/>
  <c r="I127"/>
  <c r="J127"/>
  <c r="K127"/>
  <c r="L127"/>
  <c r="M127"/>
  <c r="N127"/>
  <c r="G127"/>
  <c r="O192"/>
  <c r="P192"/>
  <c r="Q192"/>
  <c r="I192"/>
  <c r="J192"/>
  <c r="K192"/>
  <c r="L192"/>
  <c r="M192"/>
  <c r="N192"/>
  <c r="H192"/>
  <c r="G192"/>
  <c r="O14"/>
  <c r="P14"/>
  <c r="Q14"/>
  <c r="I14"/>
  <c r="J14"/>
  <c r="K14"/>
  <c r="L14"/>
  <c r="M14"/>
  <c r="N14"/>
  <c r="H14"/>
  <c r="G14"/>
  <c r="O28"/>
  <c r="P28"/>
  <c r="Q28"/>
  <c r="H28"/>
  <c r="I28"/>
  <c r="J28"/>
  <c r="K28"/>
  <c r="L28"/>
  <c r="M28"/>
  <c r="N28"/>
  <c r="G28"/>
  <c r="O376"/>
  <c r="P376"/>
  <c r="Q376"/>
  <c r="I376"/>
  <c r="J376"/>
  <c r="K376"/>
  <c r="L376"/>
  <c r="M376"/>
  <c r="N376"/>
  <c r="H376"/>
  <c r="G376"/>
  <c r="O487"/>
  <c r="P487"/>
  <c r="Q487"/>
  <c r="L487"/>
  <c r="M487"/>
  <c r="N487"/>
  <c r="H487"/>
  <c r="I487"/>
  <c r="J487"/>
  <c r="K487"/>
  <c r="G487"/>
  <c r="O412"/>
  <c r="P412"/>
  <c r="Q412"/>
  <c r="I412"/>
  <c r="J412"/>
  <c r="K412"/>
  <c r="L412"/>
  <c r="M412"/>
  <c r="N412"/>
  <c r="H412"/>
  <c r="G412"/>
  <c r="O106"/>
  <c r="P106"/>
  <c r="Q106"/>
  <c r="K106"/>
  <c r="L106"/>
  <c r="M106"/>
  <c r="N106"/>
  <c r="H106"/>
  <c r="I106"/>
  <c r="J106"/>
  <c r="G106"/>
  <c r="O43"/>
  <c r="O3" i="53" s="1"/>
  <c r="P43" i="37"/>
  <c r="P3" i="53" s="1"/>
  <c r="Q43" i="37"/>
  <c r="Q3" i="53" s="1"/>
  <c r="J43" i="37"/>
  <c r="J3" i="53" s="1"/>
  <c r="K43" i="37"/>
  <c r="K3" i="53" s="1"/>
  <c r="L43" i="37"/>
  <c r="L3" i="53" s="1"/>
  <c r="M43" i="37"/>
  <c r="M3" i="53" s="1"/>
  <c r="N43" i="37"/>
  <c r="N3" i="53" s="1"/>
  <c r="H43" i="37"/>
  <c r="H3" i="53" s="1"/>
  <c r="I43" i="37"/>
  <c r="I3" i="53" s="1"/>
  <c r="G43" i="37"/>
  <c r="O211"/>
  <c r="P211"/>
  <c r="Q211"/>
  <c r="L211"/>
  <c r="M211"/>
  <c r="N211"/>
  <c r="H211"/>
  <c r="I211"/>
  <c r="J211"/>
  <c r="K211"/>
  <c r="G211"/>
  <c r="O56"/>
  <c r="P56"/>
  <c r="Q56"/>
  <c r="I56"/>
  <c r="N56"/>
  <c r="H56"/>
  <c r="J56"/>
  <c r="K56"/>
  <c r="L56"/>
  <c r="M56"/>
  <c r="G56"/>
  <c r="O132"/>
  <c r="P132"/>
  <c r="Q132"/>
  <c r="I132"/>
  <c r="J132"/>
  <c r="K132"/>
  <c r="L132"/>
  <c r="M132"/>
  <c r="N132"/>
  <c r="H132"/>
  <c r="G132"/>
  <c r="O108"/>
  <c r="P108"/>
  <c r="Q108"/>
  <c r="I108"/>
  <c r="J108"/>
  <c r="K108"/>
  <c r="L108"/>
  <c r="M108"/>
  <c r="N108"/>
  <c r="H108"/>
  <c r="G108"/>
  <c r="O359"/>
  <c r="P359"/>
  <c r="Q359"/>
  <c r="H359"/>
  <c r="I359"/>
  <c r="J359"/>
  <c r="K359"/>
  <c r="L359"/>
  <c r="M359"/>
  <c r="N359"/>
  <c r="G359"/>
  <c r="O451"/>
  <c r="P451"/>
  <c r="Q451"/>
  <c r="L451"/>
  <c r="M451"/>
  <c r="N451"/>
  <c r="H451"/>
  <c r="I451"/>
  <c r="J451"/>
  <c r="K451"/>
  <c r="G451"/>
  <c r="O17"/>
  <c r="P17"/>
  <c r="Q17"/>
  <c r="L17"/>
  <c r="M17"/>
  <c r="N17"/>
  <c r="H17"/>
  <c r="I17"/>
  <c r="J17"/>
  <c r="K17"/>
  <c r="G17"/>
  <c r="O26"/>
  <c r="P26"/>
  <c r="Q26"/>
  <c r="I26"/>
  <c r="J26"/>
  <c r="K26"/>
  <c r="L26"/>
  <c r="M26"/>
  <c r="N26"/>
  <c r="H26"/>
  <c r="G26"/>
  <c r="O156"/>
  <c r="P156"/>
  <c r="Q156"/>
  <c r="I156"/>
  <c r="J156"/>
  <c r="K156"/>
  <c r="L156"/>
  <c r="M156"/>
  <c r="N156"/>
  <c r="H156"/>
  <c r="G156"/>
  <c r="O49"/>
  <c r="P49"/>
  <c r="Q49"/>
  <c r="I49"/>
  <c r="J49"/>
  <c r="K49"/>
  <c r="L49"/>
  <c r="H49"/>
  <c r="M49"/>
  <c r="N49"/>
  <c r="G49"/>
  <c r="O254"/>
  <c r="P254"/>
  <c r="Q254"/>
  <c r="K254"/>
  <c r="L254"/>
  <c r="M254"/>
  <c r="N254"/>
  <c r="H254"/>
  <c r="I254"/>
  <c r="J254"/>
  <c r="G254"/>
  <c r="O263"/>
  <c r="P263"/>
  <c r="Q263"/>
  <c r="H263"/>
  <c r="I263"/>
  <c r="J263"/>
  <c r="K263"/>
  <c r="L263"/>
  <c r="M263"/>
  <c r="N263"/>
  <c r="G263"/>
  <c r="Q485"/>
  <c r="O485"/>
  <c r="P485"/>
  <c r="N485"/>
  <c r="H485"/>
  <c r="I485"/>
  <c r="J485"/>
  <c r="K485"/>
  <c r="L485"/>
  <c r="M485"/>
  <c r="G485"/>
  <c r="O372"/>
  <c r="P372"/>
  <c r="Q372"/>
  <c r="M372"/>
  <c r="N372"/>
  <c r="H372"/>
  <c r="I372"/>
  <c r="J372"/>
  <c r="K372"/>
  <c r="L372"/>
  <c r="G372"/>
  <c r="O321"/>
  <c r="P321"/>
  <c r="Q321"/>
  <c r="J321"/>
  <c r="K321"/>
  <c r="L321"/>
  <c r="M321"/>
  <c r="N321"/>
  <c r="H321"/>
  <c r="I321"/>
  <c r="G321"/>
  <c r="O206"/>
  <c r="P206"/>
  <c r="Q206"/>
  <c r="K206"/>
  <c r="L206"/>
  <c r="M206"/>
  <c r="N206"/>
  <c r="H206"/>
  <c r="I206"/>
  <c r="J206"/>
  <c r="G206"/>
  <c r="O3"/>
  <c r="O2" i="52" s="1"/>
  <c r="P3" i="37"/>
  <c r="P2" i="52" s="1"/>
  <c r="Q3" i="37"/>
  <c r="Q2" i="52" s="1"/>
  <c r="N3" i="37"/>
  <c r="N2" i="52" s="1"/>
  <c r="H3" i="37"/>
  <c r="H2" i="52" s="1"/>
  <c r="I3" i="37"/>
  <c r="I2" i="52" s="1"/>
  <c r="J3" i="37"/>
  <c r="J2" i="52" s="1"/>
  <c r="K3" i="37"/>
  <c r="K2" i="52" s="1"/>
  <c r="L3" i="37"/>
  <c r="L2" i="52" s="1"/>
  <c r="M3" i="37"/>
  <c r="M2" i="52" s="1"/>
  <c r="G3" i="37"/>
  <c r="G2" i="52" s="1"/>
  <c r="O185" i="37"/>
  <c r="P185"/>
  <c r="Q185"/>
  <c r="J185"/>
  <c r="K185"/>
  <c r="L185"/>
  <c r="M185"/>
  <c r="N185"/>
  <c r="H185"/>
  <c r="I185"/>
  <c r="G185"/>
  <c r="O123"/>
  <c r="P123"/>
  <c r="Q123"/>
  <c r="L123"/>
  <c r="M123"/>
  <c r="N123"/>
  <c r="H123"/>
  <c r="I123"/>
  <c r="J123"/>
  <c r="K123"/>
  <c r="G123"/>
  <c r="O339"/>
  <c r="P339"/>
  <c r="Q339"/>
  <c r="H339"/>
  <c r="I339"/>
  <c r="J339"/>
  <c r="K339"/>
  <c r="L339"/>
  <c r="M339"/>
  <c r="N339"/>
  <c r="G339"/>
  <c r="O247"/>
  <c r="P247"/>
  <c r="Q247"/>
  <c r="L247"/>
  <c r="M247"/>
  <c r="N247"/>
  <c r="H247"/>
  <c r="I247"/>
  <c r="J247"/>
  <c r="K247"/>
  <c r="G247"/>
  <c r="O163"/>
  <c r="O9" i="52" s="1"/>
  <c r="P163" i="37"/>
  <c r="P9" i="52" s="1"/>
  <c r="Q163" i="37"/>
  <c r="Q9" i="52" s="1"/>
  <c r="H163" i="37"/>
  <c r="H9" i="52" s="1"/>
  <c r="I163" i="37"/>
  <c r="I9" i="52" s="1"/>
  <c r="J163" i="37"/>
  <c r="J9" i="52" s="1"/>
  <c r="K163" i="37"/>
  <c r="K9" i="52" s="1"/>
  <c r="L163" i="37"/>
  <c r="L9" i="52" s="1"/>
  <c r="M163" i="37"/>
  <c r="M9" i="52" s="1"/>
  <c r="N163" i="37"/>
  <c r="N9" i="52" s="1"/>
  <c r="G163" i="37"/>
  <c r="G9" i="52" s="1"/>
  <c r="O302" i="37"/>
  <c r="P302"/>
  <c r="Q302"/>
  <c r="K302"/>
  <c r="L302"/>
  <c r="M302"/>
  <c r="N302"/>
  <c r="H302"/>
  <c r="I302"/>
  <c r="J302"/>
  <c r="G302"/>
  <c r="O126"/>
  <c r="P126"/>
  <c r="Q126"/>
  <c r="H126"/>
  <c r="I126"/>
  <c r="J126"/>
  <c r="K126"/>
  <c r="L126"/>
  <c r="M126"/>
  <c r="N126"/>
  <c r="G126"/>
  <c r="O347"/>
  <c r="P347"/>
  <c r="Q347"/>
  <c r="H347"/>
  <c r="I347"/>
  <c r="J347"/>
  <c r="K347"/>
  <c r="L347"/>
  <c r="M347"/>
  <c r="N347"/>
  <c r="G347"/>
  <c r="O354"/>
  <c r="P354"/>
  <c r="Q354"/>
  <c r="H354"/>
  <c r="I354"/>
  <c r="J354"/>
  <c r="K354"/>
  <c r="L354"/>
  <c r="M354"/>
  <c r="N354"/>
  <c r="G354"/>
  <c r="O478"/>
  <c r="P478"/>
  <c r="Q478"/>
  <c r="H478"/>
  <c r="I478"/>
  <c r="J478"/>
  <c r="K478"/>
  <c r="L478"/>
  <c r="M478"/>
  <c r="N478"/>
  <c r="G478"/>
  <c r="O16"/>
  <c r="P16"/>
  <c r="Q16"/>
  <c r="H16"/>
  <c r="I16"/>
  <c r="J16"/>
  <c r="K16"/>
  <c r="L16"/>
  <c r="M16"/>
  <c r="N16"/>
  <c r="G16"/>
  <c r="O97"/>
  <c r="P97"/>
  <c r="Q97"/>
  <c r="N97"/>
  <c r="H97"/>
  <c r="I97"/>
  <c r="J97"/>
  <c r="K97"/>
  <c r="L97"/>
  <c r="M97"/>
  <c r="G97"/>
  <c r="O326"/>
  <c r="P326"/>
  <c r="Q326"/>
  <c r="K326"/>
  <c r="L326"/>
  <c r="M326"/>
  <c r="N326"/>
  <c r="H326"/>
  <c r="I326"/>
  <c r="J326"/>
  <c r="G326"/>
  <c r="O253"/>
  <c r="P253"/>
  <c r="Q253"/>
  <c r="H253"/>
  <c r="I253"/>
  <c r="J253"/>
  <c r="K253"/>
  <c r="L253"/>
  <c r="M253"/>
  <c r="N253"/>
  <c r="G253"/>
  <c r="O335"/>
  <c r="P335"/>
  <c r="Q335"/>
  <c r="H335"/>
  <c r="I335"/>
  <c r="J335"/>
  <c r="K335"/>
  <c r="L335"/>
  <c r="M335"/>
  <c r="N335"/>
  <c r="G335"/>
  <c r="O86"/>
  <c r="P86"/>
  <c r="Q86"/>
  <c r="H86"/>
  <c r="I86"/>
  <c r="J86"/>
  <c r="K86"/>
  <c r="L86"/>
  <c r="M86"/>
  <c r="N86"/>
  <c r="G86"/>
  <c r="Q361"/>
  <c r="Q17" i="53" s="1"/>
  <c r="O361" i="37"/>
  <c r="O17" i="53" s="1"/>
  <c r="P361" i="37"/>
  <c r="P17" i="53" s="1"/>
  <c r="H361" i="37"/>
  <c r="H17" i="53" s="1"/>
  <c r="I361" i="37"/>
  <c r="I17" i="53" s="1"/>
  <c r="J361" i="37"/>
  <c r="J17" i="53" s="1"/>
  <c r="K361" i="37"/>
  <c r="K17" i="53" s="1"/>
  <c r="L361" i="37"/>
  <c r="L17" i="53" s="1"/>
  <c r="M361" i="37"/>
  <c r="M17" i="53" s="1"/>
  <c r="N361" i="37"/>
  <c r="N17" i="53" s="1"/>
  <c r="G361" i="37"/>
  <c r="O394"/>
  <c r="P394"/>
  <c r="Q394"/>
  <c r="H394"/>
  <c r="I394"/>
  <c r="J394"/>
  <c r="K394"/>
  <c r="L394"/>
  <c r="M394"/>
  <c r="N394"/>
  <c r="G394"/>
  <c r="Q349"/>
  <c r="O349"/>
  <c r="P349"/>
  <c r="H349"/>
  <c r="I349"/>
  <c r="J349"/>
  <c r="K349"/>
  <c r="L349"/>
  <c r="M349"/>
  <c r="N349"/>
  <c r="G349"/>
  <c r="O383"/>
  <c r="P383"/>
  <c r="Q383"/>
  <c r="H383"/>
  <c r="I383"/>
  <c r="J383"/>
  <c r="K383"/>
  <c r="L383"/>
  <c r="M383"/>
  <c r="N383"/>
  <c r="G383"/>
  <c r="O150"/>
  <c r="P150"/>
  <c r="Q150"/>
  <c r="H150"/>
  <c r="I150"/>
  <c r="J150"/>
  <c r="K150"/>
  <c r="L150"/>
  <c r="M150"/>
  <c r="N150"/>
  <c r="G150"/>
  <c r="O268"/>
  <c r="P268"/>
  <c r="Q268"/>
  <c r="I268"/>
  <c r="J268"/>
  <c r="K268"/>
  <c r="L268"/>
  <c r="M268"/>
  <c r="N268"/>
  <c r="H268"/>
  <c r="G268"/>
  <c r="O251"/>
  <c r="O12" i="53" s="1"/>
  <c r="P251" i="37"/>
  <c r="P12" i="53" s="1"/>
  <c r="Q251" i="37"/>
  <c r="Q12" i="53" s="1"/>
  <c r="H251" i="37"/>
  <c r="H12" i="53" s="1"/>
  <c r="I251" i="37"/>
  <c r="I12" i="53" s="1"/>
  <c r="J251" i="37"/>
  <c r="J12" i="53" s="1"/>
  <c r="K251" i="37"/>
  <c r="K12" i="53" s="1"/>
  <c r="L251" i="37"/>
  <c r="L12" i="53" s="1"/>
  <c r="M251" i="37"/>
  <c r="M12" i="53" s="1"/>
  <c r="N251" i="37"/>
  <c r="N12" i="53" s="1"/>
  <c r="G251" i="37"/>
  <c r="O234"/>
  <c r="P234"/>
  <c r="Q234"/>
  <c r="H234"/>
  <c r="I234"/>
  <c r="J234"/>
  <c r="K234"/>
  <c r="L234"/>
  <c r="M234"/>
  <c r="N234"/>
  <c r="G234"/>
  <c r="O137"/>
  <c r="P137"/>
  <c r="Q137"/>
  <c r="J137"/>
  <c r="K137"/>
  <c r="L137"/>
  <c r="M137"/>
  <c r="N137"/>
  <c r="H137"/>
  <c r="I137"/>
  <c r="G137"/>
  <c r="O5"/>
  <c r="P5"/>
  <c r="Q5"/>
  <c r="L5"/>
  <c r="M5"/>
  <c r="N5"/>
  <c r="H5"/>
  <c r="I5"/>
  <c r="J5"/>
  <c r="K5"/>
  <c r="G5"/>
  <c r="O15"/>
  <c r="P15"/>
  <c r="Q15"/>
  <c r="N15"/>
  <c r="H15"/>
  <c r="I15"/>
  <c r="J15"/>
  <c r="K15"/>
  <c r="L15"/>
  <c r="M15"/>
  <c r="G15"/>
  <c r="O118"/>
  <c r="P118"/>
  <c r="Q118"/>
  <c r="K118"/>
  <c r="L118"/>
  <c r="M118"/>
  <c r="N118"/>
  <c r="H118"/>
  <c r="I118"/>
  <c r="J118"/>
  <c r="G118"/>
  <c r="O162"/>
  <c r="P162"/>
  <c r="Q162"/>
  <c r="H162"/>
  <c r="I162"/>
  <c r="J162"/>
  <c r="K162"/>
  <c r="L162"/>
  <c r="M162"/>
  <c r="N162"/>
  <c r="G162"/>
  <c r="O67"/>
  <c r="P67"/>
  <c r="Q67"/>
  <c r="J67"/>
  <c r="K67"/>
  <c r="L67"/>
  <c r="M67"/>
  <c r="I67"/>
  <c r="N67"/>
  <c r="H67"/>
  <c r="G67"/>
  <c r="O138"/>
  <c r="P138"/>
  <c r="Q138"/>
  <c r="H138"/>
  <c r="I138"/>
  <c r="J138"/>
  <c r="K138"/>
  <c r="L138"/>
  <c r="M138"/>
  <c r="N138"/>
  <c r="G138"/>
  <c r="O265"/>
  <c r="P265"/>
  <c r="Q265"/>
  <c r="H265"/>
  <c r="I265"/>
  <c r="J265"/>
  <c r="K265"/>
  <c r="L265"/>
  <c r="M265"/>
  <c r="N265"/>
  <c r="G265"/>
  <c r="O252"/>
  <c r="P252"/>
  <c r="Q252"/>
  <c r="M252"/>
  <c r="N252"/>
  <c r="H252"/>
  <c r="I252"/>
  <c r="J252"/>
  <c r="K252"/>
  <c r="L252"/>
  <c r="G252"/>
  <c r="O289"/>
  <c r="P289"/>
  <c r="Q289"/>
  <c r="H289"/>
  <c r="I289"/>
  <c r="J289"/>
  <c r="K289"/>
  <c r="L289"/>
  <c r="M289"/>
  <c r="N289"/>
  <c r="G289"/>
  <c r="O64"/>
  <c r="P64"/>
  <c r="Q64"/>
  <c r="H64"/>
  <c r="I64"/>
  <c r="J64"/>
  <c r="M64"/>
  <c r="N64"/>
  <c r="K64"/>
  <c r="L64"/>
  <c r="G64"/>
  <c r="O31"/>
  <c r="P31"/>
  <c r="Q31"/>
  <c r="J31"/>
  <c r="K31"/>
  <c r="L31"/>
  <c r="M31"/>
  <c r="N31"/>
  <c r="H31"/>
  <c r="I31"/>
  <c r="G31"/>
  <c r="O134"/>
  <c r="O7" i="53" s="1"/>
  <c r="P134" i="37"/>
  <c r="P7" i="53" s="1"/>
  <c r="Q134" i="37"/>
  <c r="Q7" i="53" s="1"/>
  <c r="H134" i="37"/>
  <c r="H7" i="53" s="1"/>
  <c r="I134" i="37"/>
  <c r="I7" i="53" s="1"/>
  <c r="J134" i="37"/>
  <c r="J7" i="53" s="1"/>
  <c r="K134" i="37"/>
  <c r="K7" i="53" s="1"/>
  <c r="L134" i="37"/>
  <c r="L7" i="53" s="1"/>
  <c r="M134" i="37"/>
  <c r="M7" i="53" s="1"/>
  <c r="N134" i="37"/>
  <c r="N7" i="53" s="1"/>
  <c r="G134" i="37"/>
  <c r="O88"/>
  <c r="P88"/>
  <c r="Q88"/>
  <c r="H88"/>
  <c r="I88"/>
  <c r="J88"/>
  <c r="K88"/>
  <c r="L88"/>
  <c r="M88"/>
  <c r="N88"/>
  <c r="G88"/>
  <c r="O120"/>
  <c r="P120"/>
  <c r="Q120"/>
  <c r="I120"/>
  <c r="J120"/>
  <c r="K120"/>
  <c r="L120"/>
  <c r="M120"/>
  <c r="N120"/>
  <c r="H120"/>
  <c r="G120"/>
  <c r="O384"/>
  <c r="P384"/>
  <c r="Q384"/>
  <c r="M384"/>
  <c r="N384"/>
  <c r="H384"/>
  <c r="I384"/>
  <c r="J384"/>
  <c r="K384"/>
  <c r="L384"/>
  <c r="G384"/>
  <c r="Q425"/>
  <c r="O425"/>
  <c r="P425"/>
  <c r="N425"/>
  <c r="H425"/>
  <c r="I425"/>
  <c r="J425"/>
  <c r="K425"/>
  <c r="L425"/>
  <c r="M425"/>
  <c r="G425"/>
  <c r="O58"/>
  <c r="P58"/>
  <c r="Q58"/>
  <c r="M58"/>
  <c r="N58"/>
  <c r="L58"/>
  <c r="K58"/>
  <c r="H58"/>
  <c r="I58"/>
  <c r="J58"/>
  <c r="G58"/>
  <c r="O255"/>
  <c r="O13" i="52" s="1"/>
  <c r="P255" i="37"/>
  <c r="P13" i="52" s="1"/>
  <c r="Q255" i="37"/>
  <c r="Q13" i="52" s="1"/>
  <c r="H255" i="37"/>
  <c r="H13" i="52" s="1"/>
  <c r="I255" i="37"/>
  <c r="I13" i="52" s="1"/>
  <c r="J255" i="37"/>
  <c r="J13" i="52" s="1"/>
  <c r="K255" i="37"/>
  <c r="K13" i="52" s="1"/>
  <c r="L255" i="37"/>
  <c r="L13" i="52" s="1"/>
  <c r="M255" i="37"/>
  <c r="M13" i="52" s="1"/>
  <c r="N255" i="37"/>
  <c r="N13" i="52" s="1"/>
  <c r="G255" i="37"/>
  <c r="G13" i="52" s="1"/>
  <c r="O173" i="37"/>
  <c r="P173"/>
  <c r="Q173"/>
  <c r="J173"/>
  <c r="K173"/>
  <c r="L173"/>
  <c r="M173"/>
  <c r="N173"/>
  <c r="H173"/>
  <c r="I173"/>
  <c r="G173"/>
  <c r="O370"/>
  <c r="P370"/>
  <c r="Q370"/>
  <c r="H370"/>
  <c r="I370"/>
  <c r="J370"/>
  <c r="K370"/>
  <c r="L370"/>
  <c r="M370"/>
  <c r="N370"/>
  <c r="G370"/>
  <c r="Q473"/>
  <c r="O473"/>
  <c r="P473"/>
  <c r="N473"/>
  <c r="H473"/>
  <c r="I473"/>
  <c r="J473"/>
  <c r="K473"/>
  <c r="L473"/>
  <c r="M473"/>
  <c r="G473"/>
  <c r="O332"/>
  <c r="P332"/>
  <c r="Q332"/>
  <c r="H332"/>
  <c r="I332"/>
  <c r="J332"/>
  <c r="K332"/>
  <c r="L332"/>
  <c r="M332"/>
  <c r="N332"/>
  <c r="G332"/>
  <c r="O62"/>
  <c r="P62"/>
  <c r="Q62"/>
  <c r="I62"/>
  <c r="J62"/>
  <c r="K62"/>
  <c r="L62"/>
  <c r="H62"/>
  <c r="M62"/>
  <c r="N62"/>
  <c r="G62"/>
  <c r="O285"/>
  <c r="P285"/>
  <c r="Q285"/>
  <c r="J285"/>
  <c r="K285"/>
  <c r="L285"/>
  <c r="M285"/>
  <c r="N285"/>
  <c r="H285"/>
  <c r="I285"/>
  <c r="G285"/>
  <c r="O6"/>
  <c r="P6"/>
  <c r="Q6"/>
  <c r="H6"/>
  <c r="I6"/>
  <c r="J6"/>
  <c r="K6"/>
  <c r="L6"/>
  <c r="M6"/>
  <c r="N6"/>
  <c r="G6"/>
  <c r="O277"/>
  <c r="P277"/>
  <c r="Q277"/>
  <c r="H277"/>
  <c r="I277"/>
  <c r="J277"/>
  <c r="K277"/>
  <c r="L277"/>
  <c r="M277"/>
  <c r="N277"/>
  <c r="G277"/>
  <c r="O196"/>
  <c r="P196"/>
  <c r="Q196"/>
  <c r="H196"/>
  <c r="I196"/>
  <c r="J196"/>
  <c r="K196"/>
  <c r="L196"/>
  <c r="M196"/>
  <c r="N196"/>
  <c r="G196"/>
  <c r="O240"/>
  <c r="P240"/>
  <c r="Q240"/>
  <c r="M240"/>
  <c r="N240"/>
  <c r="H240"/>
  <c r="I240"/>
  <c r="J240"/>
  <c r="K240"/>
  <c r="L240"/>
  <c r="G240"/>
  <c r="O119"/>
  <c r="P119"/>
  <c r="Q119"/>
  <c r="H119"/>
  <c r="I119"/>
  <c r="J119"/>
  <c r="K119"/>
  <c r="L119"/>
  <c r="M119"/>
  <c r="N119"/>
  <c r="G119"/>
  <c r="O180"/>
  <c r="P180"/>
  <c r="Q180"/>
  <c r="I180"/>
  <c r="J180"/>
  <c r="K180"/>
  <c r="L180"/>
  <c r="M180"/>
  <c r="N180"/>
  <c r="H180"/>
  <c r="G180"/>
  <c r="O47"/>
  <c r="O4" i="52" s="1"/>
  <c r="P47" i="37"/>
  <c r="P4" i="52" s="1"/>
  <c r="Q47" i="37"/>
  <c r="Q4" i="52" s="1"/>
  <c r="H47" i="37"/>
  <c r="H4" i="52" s="1"/>
  <c r="I47" i="37"/>
  <c r="I4" i="52" s="1"/>
  <c r="J47" i="37"/>
  <c r="J4" i="52" s="1"/>
  <c r="K47" i="37"/>
  <c r="K4" i="52" s="1"/>
  <c r="L47" i="37"/>
  <c r="L4" i="52" s="1"/>
  <c r="M47" i="37"/>
  <c r="M4" i="52" s="1"/>
  <c r="N47" i="37"/>
  <c r="N4" i="52" s="1"/>
  <c r="G47" i="37"/>
  <c r="G4" i="52" s="1"/>
  <c r="O322" i="37"/>
  <c r="O16" i="52" s="1"/>
  <c r="P322" i="37"/>
  <c r="P16" i="52" s="1"/>
  <c r="Q322" i="37"/>
  <c r="Q16" i="52" s="1"/>
  <c r="H322" i="37"/>
  <c r="H16" i="52" s="1"/>
  <c r="I322" i="37"/>
  <c r="I16" i="52" s="1"/>
  <c r="J322" i="37"/>
  <c r="J16" i="52" s="1"/>
  <c r="K322" i="37"/>
  <c r="K16" i="52" s="1"/>
  <c r="L322" i="37"/>
  <c r="L16" i="52" s="1"/>
  <c r="M322" i="37"/>
  <c r="M16" i="52" s="1"/>
  <c r="N322" i="37"/>
  <c r="N16" i="52" s="1"/>
  <c r="G322" i="37"/>
  <c r="G16" i="52" s="1"/>
  <c r="O39" i="37"/>
  <c r="P39"/>
  <c r="Q39"/>
  <c r="N39"/>
  <c r="H39"/>
  <c r="I39"/>
  <c r="J39"/>
  <c r="K39"/>
  <c r="L39"/>
  <c r="M39"/>
  <c r="G39"/>
  <c r="O291"/>
  <c r="P291"/>
  <c r="Q291"/>
  <c r="H291"/>
  <c r="I291"/>
  <c r="J291"/>
  <c r="K291"/>
  <c r="L291"/>
  <c r="M291"/>
  <c r="N291"/>
  <c r="G291"/>
  <c r="Q493"/>
  <c r="O493"/>
  <c r="P493"/>
  <c r="H493"/>
  <c r="I493"/>
  <c r="J493"/>
  <c r="K493"/>
  <c r="L493"/>
  <c r="M493"/>
  <c r="N493"/>
  <c r="G493"/>
  <c r="O33"/>
  <c r="P33"/>
  <c r="Q33"/>
  <c r="H33"/>
  <c r="I33"/>
  <c r="J33"/>
  <c r="K33"/>
  <c r="L33"/>
  <c r="M33"/>
  <c r="N33"/>
  <c r="G33"/>
  <c r="O431"/>
  <c r="P431"/>
  <c r="Q431"/>
  <c r="H431"/>
  <c r="I431"/>
  <c r="J431"/>
  <c r="K431"/>
  <c r="L431"/>
  <c r="M431"/>
  <c r="N431"/>
  <c r="G431"/>
  <c r="O214"/>
  <c r="P214"/>
  <c r="Q214"/>
  <c r="H214"/>
  <c r="I214"/>
  <c r="J214"/>
  <c r="K214"/>
  <c r="L214"/>
  <c r="M214"/>
  <c r="N214"/>
  <c r="G214"/>
  <c r="O320"/>
  <c r="P320"/>
  <c r="Q320"/>
  <c r="H320"/>
  <c r="I320"/>
  <c r="J320"/>
  <c r="K320"/>
  <c r="L320"/>
  <c r="M320"/>
  <c r="N320"/>
  <c r="G320"/>
  <c r="O294"/>
  <c r="P294"/>
  <c r="Q294"/>
  <c r="H294"/>
  <c r="I294"/>
  <c r="J294"/>
  <c r="K294"/>
  <c r="L294"/>
  <c r="M294"/>
  <c r="N294"/>
  <c r="G294"/>
  <c r="O55"/>
  <c r="P55"/>
  <c r="Q55"/>
  <c r="J55"/>
  <c r="K55"/>
  <c r="L55"/>
  <c r="M55"/>
  <c r="I55"/>
  <c r="N55"/>
  <c r="H55"/>
  <c r="G55"/>
  <c r="O59"/>
  <c r="P59"/>
  <c r="Q59"/>
  <c r="H59"/>
  <c r="I59"/>
  <c r="J59"/>
  <c r="K59"/>
  <c r="L59"/>
  <c r="M59"/>
  <c r="N59"/>
  <c r="G59"/>
  <c r="O101"/>
  <c r="P101"/>
  <c r="Q101"/>
  <c r="J101"/>
  <c r="K101"/>
  <c r="L101"/>
  <c r="M101"/>
  <c r="N101"/>
  <c r="H101"/>
  <c r="I101"/>
  <c r="G101"/>
  <c r="O93"/>
  <c r="P93"/>
  <c r="Q93"/>
  <c r="H93"/>
  <c r="I93"/>
  <c r="J93"/>
  <c r="K93"/>
  <c r="L93"/>
  <c r="M93"/>
  <c r="N93"/>
  <c r="G93"/>
  <c r="O261"/>
  <c r="P261"/>
  <c r="Q261"/>
  <c r="J261"/>
  <c r="K261"/>
  <c r="L261"/>
  <c r="M261"/>
  <c r="N261"/>
  <c r="H261"/>
  <c r="I261"/>
  <c r="G261"/>
  <c r="O51"/>
  <c r="P51"/>
  <c r="Q51"/>
  <c r="N51"/>
  <c r="H51"/>
  <c r="J51"/>
  <c r="M51"/>
  <c r="L51"/>
  <c r="I51"/>
  <c r="K51"/>
  <c r="G51"/>
  <c r="O130"/>
  <c r="P130"/>
  <c r="Q130"/>
  <c r="K130"/>
  <c r="L130"/>
  <c r="M130"/>
  <c r="N130"/>
  <c r="H130"/>
  <c r="I130"/>
  <c r="J130"/>
  <c r="G130"/>
  <c r="O99"/>
  <c r="P99"/>
  <c r="Q99"/>
  <c r="L99"/>
  <c r="M99"/>
  <c r="N99"/>
  <c r="H99"/>
  <c r="I99"/>
  <c r="J99"/>
  <c r="K99"/>
  <c r="G99"/>
  <c r="O111"/>
  <c r="P111"/>
  <c r="Q111"/>
  <c r="L111"/>
  <c r="M111"/>
  <c r="N111"/>
  <c r="H111"/>
  <c r="I111"/>
  <c r="J111"/>
  <c r="K111"/>
  <c r="G111"/>
  <c r="O290"/>
  <c r="P290"/>
  <c r="Q290"/>
  <c r="K290"/>
  <c r="L290"/>
  <c r="M290"/>
  <c r="N290"/>
  <c r="H290"/>
  <c r="I290"/>
  <c r="J290"/>
  <c r="G290"/>
  <c r="O95"/>
  <c r="P95"/>
  <c r="Q95"/>
  <c r="H95"/>
  <c r="I95"/>
  <c r="J95"/>
  <c r="K95"/>
  <c r="L95"/>
  <c r="M95"/>
  <c r="N95"/>
  <c r="G95"/>
  <c r="O143"/>
  <c r="P143"/>
  <c r="Q143"/>
  <c r="H143"/>
  <c r="I143"/>
  <c r="J143"/>
  <c r="K143"/>
  <c r="L143"/>
  <c r="M143"/>
  <c r="N143"/>
  <c r="G143"/>
  <c r="O198"/>
  <c r="P198"/>
  <c r="Q198"/>
  <c r="H198"/>
  <c r="I198"/>
  <c r="J198"/>
  <c r="K198"/>
  <c r="L198"/>
  <c r="M198"/>
  <c r="N198"/>
  <c r="G198"/>
  <c r="O427"/>
  <c r="P427"/>
  <c r="Q427"/>
  <c r="L427"/>
  <c r="M427"/>
  <c r="N427"/>
  <c r="H427"/>
  <c r="I427"/>
  <c r="J427"/>
  <c r="K427"/>
  <c r="G427"/>
  <c r="O107"/>
  <c r="P107"/>
  <c r="Q107"/>
  <c r="H107"/>
  <c r="I107"/>
  <c r="J107"/>
  <c r="K107"/>
  <c r="L107"/>
  <c r="M107"/>
  <c r="N107"/>
  <c r="G107"/>
  <c r="O22"/>
  <c r="P22"/>
  <c r="Q22"/>
  <c r="M22"/>
  <c r="N22"/>
  <c r="H22"/>
  <c r="I22"/>
  <c r="J22"/>
  <c r="K22"/>
  <c r="L22"/>
  <c r="G22"/>
  <c r="O112"/>
  <c r="P112"/>
  <c r="Q112"/>
  <c r="H112"/>
  <c r="I112"/>
  <c r="J112"/>
  <c r="K112"/>
  <c r="L112"/>
  <c r="M112"/>
  <c r="N112"/>
  <c r="G112"/>
  <c r="Q345"/>
  <c r="O345"/>
  <c r="P345"/>
  <c r="J345"/>
  <c r="K345"/>
  <c r="L345"/>
  <c r="M345"/>
  <c r="N345"/>
  <c r="H345"/>
  <c r="I345"/>
  <c r="G345"/>
  <c r="O288"/>
  <c r="P288"/>
  <c r="Q288"/>
  <c r="M288"/>
  <c r="N288"/>
  <c r="H288"/>
  <c r="I288"/>
  <c r="J288"/>
  <c r="K288"/>
  <c r="L288"/>
  <c r="G288"/>
  <c r="O12"/>
  <c r="P12"/>
  <c r="Q12"/>
  <c r="K12"/>
  <c r="L12"/>
  <c r="M12"/>
  <c r="N12"/>
  <c r="H12"/>
  <c r="I12"/>
  <c r="J12"/>
  <c r="G12"/>
  <c r="O213"/>
  <c r="P213"/>
  <c r="Q213"/>
  <c r="J213"/>
  <c r="K213"/>
  <c r="L213"/>
  <c r="M213"/>
  <c r="N213"/>
  <c r="H213"/>
  <c r="I213"/>
  <c r="G213"/>
  <c r="O275"/>
  <c r="P275"/>
  <c r="Q275"/>
  <c r="H275"/>
  <c r="I275"/>
  <c r="J275"/>
  <c r="K275"/>
  <c r="L275"/>
  <c r="M275"/>
  <c r="N275"/>
  <c r="G275"/>
  <c r="O145"/>
  <c r="P145"/>
  <c r="Q145"/>
  <c r="N145"/>
  <c r="H145"/>
  <c r="I145"/>
  <c r="J145"/>
  <c r="K145"/>
  <c r="L145"/>
  <c r="M145"/>
  <c r="G145"/>
  <c r="O226"/>
  <c r="P226"/>
  <c r="Q226"/>
  <c r="H226"/>
  <c r="I226"/>
  <c r="J226"/>
  <c r="K226"/>
  <c r="L226"/>
  <c r="M226"/>
  <c r="N226"/>
  <c r="G226"/>
  <c r="O50"/>
  <c r="P50"/>
  <c r="Q50"/>
  <c r="I50"/>
  <c r="J50"/>
  <c r="K50"/>
  <c r="L50"/>
  <c r="H50"/>
  <c r="M50"/>
  <c r="N50"/>
  <c r="G50"/>
  <c r="Q405"/>
  <c r="O405"/>
  <c r="P405"/>
  <c r="J405"/>
  <c r="K405"/>
  <c r="L405"/>
  <c r="M405"/>
  <c r="N405"/>
  <c r="H405"/>
  <c r="I405"/>
  <c r="G405"/>
  <c r="O71"/>
  <c r="P71"/>
  <c r="Q71"/>
  <c r="H71"/>
  <c r="I71"/>
  <c r="J71"/>
  <c r="K71"/>
  <c r="L71"/>
  <c r="M71"/>
  <c r="N71"/>
  <c r="G71"/>
  <c r="O410"/>
  <c r="P410"/>
  <c r="Q410"/>
  <c r="K410"/>
  <c r="L410"/>
  <c r="M410"/>
  <c r="N410"/>
  <c r="H410"/>
  <c r="I410"/>
  <c r="J410"/>
  <c r="G410"/>
  <c r="O57"/>
  <c r="P57"/>
  <c r="Q57"/>
  <c r="H57"/>
  <c r="I57"/>
  <c r="J57"/>
  <c r="K57"/>
  <c r="L57"/>
  <c r="M57"/>
  <c r="N57"/>
  <c r="G57"/>
  <c r="O447"/>
  <c r="P447"/>
  <c r="Q447"/>
  <c r="H447"/>
  <c r="I447"/>
  <c r="J447"/>
  <c r="K447"/>
  <c r="L447"/>
  <c r="M447"/>
  <c r="N447"/>
  <c r="G447"/>
  <c r="O318"/>
  <c r="O15" i="53" s="1"/>
  <c r="P318" i="37"/>
  <c r="P15" i="53" s="1"/>
  <c r="Q318" i="37"/>
  <c r="Q15" i="53" s="1"/>
  <c r="H318" i="37"/>
  <c r="H15" i="53" s="1"/>
  <c r="I318" i="37"/>
  <c r="I15" i="53" s="1"/>
  <c r="J318" i="37"/>
  <c r="J15" i="53" s="1"/>
  <c r="K318" i="37"/>
  <c r="K15" i="53" s="1"/>
  <c r="L318" i="37"/>
  <c r="L15" i="53" s="1"/>
  <c r="M318" i="37"/>
  <c r="M15" i="53" s="1"/>
  <c r="N318" i="37"/>
  <c r="N15" i="53" s="1"/>
  <c r="G318" i="37"/>
  <c r="O155"/>
  <c r="P155"/>
  <c r="Q155"/>
  <c r="H155"/>
  <c r="I155"/>
  <c r="J155"/>
  <c r="K155"/>
  <c r="L155"/>
  <c r="M155"/>
  <c r="N155"/>
  <c r="G155"/>
  <c r="O141"/>
  <c r="P141"/>
  <c r="Q141"/>
  <c r="H141"/>
  <c r="I141"/>
  <c r="J141"/>
  <c r="K141"/>
  <c r="L141"/>
  <c r="M141"/>
  <c r="N141"/>
  <c r="G141"/>
  <c r="O199"/>
  <c r="P199"/>
  <c r="Q199"/>
  <c r="H199"/>
  <c r="I199"/>
  <c r="J199"/>
  <c r="K199"/>
  <c r="L199"/>
  <c r="M199"/>
  <c r="N199"/>
  <c r="G199"/>
  <c r="O100"/>
  <c r="P100"/>
  <c r="Q100"/>
  <c r="H100"/>
  <c r="I100"/>
  <c r="J100"/>
  <c r="K100"/>
  <c r="L100"/>
  <c r="M100"/>
  <c r="N100"/>
  <c r="G100"/>
  <c r="O94"/>
  <c r="P94"/>
  <c r="Q94"/>
  <c r="K94"/>
  <c r="L94"/>
  <c r="M94"/>
  <c r="N94"/>
  <c r="H94"/>
  <c r="I94"/>
  <c r="J94"/>
  <c r="G94"/>
  <c r="O203"/>
  <c r="P203"/>
  <c r="Q203"/>
  <c r="H203"/>
  <c r="I203"/>
  <c r="J203"/>
  <c r="K203"/>
  <c r="L203"/>
  <c r="M203"/>
  <c r="N203"/>
  <c r="G203"/>
  <c r="Q357"/>
  <c r="O357"/>
  <c r="P357"/>
  <c r="J357"/>
  <c r="K357"/>
  <c r="L357"/>
  <c r="M357"/>
  <c r="N357"/>
  <c r="H357"/>
  <c r="I357"/>
  <c r="G357"/>
  <c r="O19"/>
  <c r="P19"/>
  <c r="Q19"/>
  <c r="J19"/>
  <c r="K19"/>
  <c r="L19"/>
  <c r="M19"/>
  <c r="N19"/>
  <c r="H19"/>
  <c r="I19"/>
  <c r="G19"/>
  <c r="O167"/>
  <c r="P167"/>
  <c r="Q167"/>
  <c r="H167"/>
  <c r="I167"/>
  <c r="J167"/>
  <c r="K167"/>
  <c r="L167"/>
  <c r="M167"/>
  <c r="N167"/>
  <c r="G167"/>
  <c r="O328"/>
  <c r="P328"/>
  <c r="Q328"/>
  <c r="I328"/>
  <c r="J328"/>
  <c r="K328"/>
  <c r="L328"/>
  <c r="M328"/>
  <c r="N328"/>
  <c r="H328"/>
  <c r="G328"/>
  <c r="O65"/>
  <c r="P65"/>
  <c r="Q65"/>
  <c r="L65"/>
  <c r="M65"/>
  <c r="N65"/>
  <c r="K65"/>
  <c r="H65"/>
  <c r="I65"/>
  <c r="J65"/>
  <c r="G65"/>
  <c r="O90"/>
  <c r="P90"/>
  <c r="Q90"/>
  <c r="H90"/>
  <c r="I90"/>
  <c r="J90"/>
  <c r="K90"/>
  <c r="L90"/>
  <c r="M90"/>
  <c r="N90"/>
  <c r="G90"/>
  <c r="Q389"/>
  <c r="O389"/>
  <c r="P389"/>
  <c r="N389"/>
  <c r="H389"/>
  <c r="I389"/>
  <c r="J389"/>
  <c r="K389"/>
  <c r="L389"/>
  <c r="M389"/>
  <c r="G389"/>
  <c r="O271"/>
  <c r="P271"/>
  <c r="Q271"/>
  <c r="L271"/>
  <c r="M271"/>
  <c r="N271"/>
  <c r="H271"/>
  <c r="I271"/>
  <c r="J271"/>
  <c r="K271"/>
  <c r="G271"/>
  <c r="O392"/>
  <c r="P392"/>
  <c r="Q392"/>
  <c r="H392"/>
  <c r="I392"/>
  <c r="J392"/>
  <c r="K392"/>
  <c r="L392"/>
  <c r="M392"/>
  <c r="N392"/>
  <c r="G392"/>
  <c r="O69"/>
  <c r="P69"/>
  <c r="Q69"/>
  <c r="H69"/>
  <c r="I69"/>
  <c r="J69"/>
  <c r="K69"/>
  <c r="L69"/>
  <c r="M69"/>
  <c r="N69"/>
  <c r="G69"/>
  <c r="O68"/>
  <c r="P68"/>
  <c r="Q68"/>
  <c r="N68"/>
  <c r="H68"/>
  <c r="I68"/>
  <c r="J68"/>
  <c r="K68"/>
  <c r="L68"/>
  <c r="M68"/>
  <c r="G68"/>
  <c r="O312"/>
  <c r="P312"/>
  <c r="Q312"/>
  <c r="M312"/>
  <c r="N312"/>
  <c r="H312"/>
  <c r="I312"/>
  <c r="J312"/>
  <c r="K312"/>
  <c r="L312"/>
  <c r="G312"/>
  <c r="O142"/>
  <c r="P142"/>
  <c r="Q142"/>
  <c r="K142"/>
  <c r="L142"/>
  <c r="M142"/>
  <c r="N142"/>
  <c r="H142"/>
  <c r="I142"/>
  <c r="J142"/>
  <c r="G142"/>
  <c r="O89"/>
  <c r="P89"/>
  <c r="Q89"/>
  <c r="J89"/>
  <c r="K89"/>
  <c r="L89"/>
  <c r="M89"/>
  <c r="N89"/>
  <c r="H89"/>
  <c r="I89"/>
  <c r="G89"/>
  <c r="O117"/>
  <c r="P117"/>
  <c r="Q117"/>
  <c r="H117"/>
  <c r="I117"/>
  <c r="J117"/>
  <c r="K117"/>
  <c r="L117"/>
  <c r="M117"/>
  <c r="N117"/>
  <c r="G117"/>
  <c r="O201"/>
  <c r="P201"/>
  <c r="Q201"/>
  <c r="H201"/>
  <c r="I201"/>
  <c r="J201"/>
  <c r="K201"/>
  <c r="L201"/>
  <c r="M201"/>
  <c r="N201"/>
  <c r="G201"/>
  <c r="O158"/>
  <c r="O8" i="53" s="1"/>
  <c r="P158" i="37"/>
  <c r="P8" i="53" s="1"/>
  <c r="Q158" i="37"/>
  <c r="Q8" i="53" s="1"/>
  <c r="H158" i="37"/>
  <c r="H8" i="53" s="1"/>
  <c r="I158" i="37"/>
  <c r="I8" i="53" s="1"/>
  <c r="J158" i="37"/>
  <c r="J8" i="53" s="1"/>
  <c r="K158" i="37"/>
  <c r="K8" i="53" s="1"/>
  <c r="L158" i="37"/>
  <c r="L8" i="53" s="1"/>
  <c r="M158" i="37"/>
  <c r="M8" i="53" s="1"/>
  <c r="N158" i="37"/>
  <c r="N8" i="53" s="1"/>
  <c r="G158" i="37"/>
  <c r="O334"/>
  <c r="P334"/>
  <c r="Q334"/>
  <c r="H334"/>
  <c r="I334"/>
  <c r="J334"/>
  <c r="K334"/>
  <c r="L334"/>
  <c r="M334"/>
  <c r="N334"/>
  <c r="G334"/>
  <c r="O314"/>
  <c r="P314"/>
  <c r="Q314"/>
  <c r="K314"/>
  <c r="L314"/>
  <c r="M314"/>
  <c r="N314"/>
  <c r="H314"/>
  <c r="I314"/>
  <c r="J314"/>
  <c r="G314"/>
  <c r="O133"/>
  <c r="P133"/>
  <c r="Q133"/>
  <c r="N133"/>
  <c r="H133"/>
  <c r="I133"/>
  <c r="J133"/>
  <c r="K133"/>
  <c r="L133"/>
  <c r="M133"/>
  <c r="G133"/>
  <c r="O136"/>
  <c r="P136"/>
  <c r="Q136"/>
  <c r="H136"/>
  <c r="I136"/>
  <c r="J136"/>
  <c r="K136"/>
  <c r="L136"/>
  <c r="M136"/>
  <c r="N136"/>
  <c r="G136"/>
  <c r="O170"/>
  <c r="P170"/>
  <c r="Q170"/>
  <c r="H170"/>
  <c r="I170"/>
  <c r="J170"/>
  <c r="K170"/>
  <c r="L170"/>
  <c r="M170"/>
  <c r="N170"/>
  <c r="G170"/>
  <c r="O92"/>
  <c r="P92"/>
  <c r="Q92"/>
  <c r="M92"/>
  <c r="N92"/>
  <c r="H92"/>
  <c r="I92"/>
  <c r="J92"/>
  <c r="K92"/>
  <c r="L92"/>
  <c r="G92"/>
  <c r="O52"/>
  <c r="P52"/>
  <c r="Q52"/>
  <c r="H52"/>
  <c r="I52"/>
  <c r="J52"/>
  <c r="M52"/>
  <c r="K52"/>
  <c r="L52"/>
  <c r="N52"/>
  <c r="G52"/>
  <c r="Q393"/>
  <c r="O393"/>
  <c r="P393"/>
  <c r="J393"/>
  <c r="K393"/>
  <c r="L393"/>
  <c r="M393"/>
  <c r="N393"/>
  <c r="H393"/>
  <c r="I393"/>
  <c r="G393"/>
  <c r="O444"/>
  <c r="P444"/>
  <c r="Q444"/>
  <c r="M444"/>
  <c r="N444"/>
  <c r="H444"/>
  <c r="I444"/>
  <c r="J444"/>
  <c r="K444"/>
  <c r="L444"/>
  <c r="G444"/>
  <c r="O152"/>
  <c r="P152"/>
  <c r="Q152"/>
  <c r="M152"/>
  <c r="N152"/>
  <c r="H152"/>
  <c r="I152"/>
  <c r="J152"/>
  <c r="K152"/>
  <c r="L152"/>
  <c r="G152"/>
  <c r="O292"/>
  <c r="P292"/>
  <c r="Q292"/>
  <c r="I292"/>
  <c r="J292"/>
  <c r="K292"/>
  <c r="L292"/>
  <c r="M292"/>
  <c r="N292"/>
  <c r="H292"/>
  <c r="G292"/>
  <c r="O220"/>
  <c r="P220"/>
  <c r="Q220"/>
  <c r="I220"/>
  <c r="J220"/>
  <c r="K220"/>
  <c r="L220"/>
  <c r="M220"/>
  <c r="N220"/>
  <c r="H220"/>
  <c r="G220"/>
  <c r="O415"/>
  <c r="P415"/>
  <c r="Q415"/>
  <c r="L415"/>
  <c r="M415"/>
  <c r="N415"/>
  <c r="H415"/>
  <c r="I415"/>
  <c r="J415"/>
  <c r="K415"/>
  <c r="G415"/>
  <c r="O341"/>
  <c r="P341"/>
  <c r="Q341"/>
  <c r="N341"/>
  <c r="H341"/>
  <c r="I341"/>
  <c r="J341"/>
  <c r="K341"/>
  <c r="L341"/>
  <c r="M341"/>
  <c r="G341"/>
  <c r="O308"/>
  <c r="P308"/>
  <c r="Q308"/>
  <c r="H308"/>
  <c r="I308"/>
  <c r="J308"/>
  <c r="K308"/>
  <c r="L308"/>
  <c r="M308"/>
  <c r="N308"/>
  <c r="G308"/>
  <c r="Q397"/>
  <c r="O397"/>
  <c r="P397"/>
  <c r="H397"/>
  <c r="I397"/>
  <c r="J397"/>
  <c r="K397"/>
  <c r="L397"/>
  <c r="M397"/>
  <c r="N397"/>
  <c r="G397"/>
  <c r="O74"/>
  <c r="P74"/>
  <c r="Q74"/>
  <c r="H74"/>
  <c r="I74"/>
  <c r="J74"/>
  <c r="K74"/>
  <c r="L74"/>
  <c r="M74"/>
  <c r="N74"/>
  <c r="G74"/>
  <c r="O303"/>
  <c r="P303"/>
  <c r="Q303"/>
  <c r="H303"/>
  <c r="I303"/>
  <c r="J303"/>
  <c r="K303"/>
  <c r="L303"/>
  <c r="M303"/>
  <c r="N303"/>
  <c r="G303"/>
  <c r="O34"/>
  <c r="P34"/>
  <c r="Q34"/>
  <c r="M34"/>
  <c r="N34"/>
  <c r="H34"/>
  <c r="I34"/>
  <c r="J34"/>
  <c r="K34"/>
  <c r="L34"/>
  <c r="G34"/>
  <c r="O315"/>
  <c r="P315"/>
  <c r="Q315"/>
  <c r="H315"/>
  <c r="I315"/>
  <c r="J315"/>
  <c r="K315"/>
  <c r="L315"/>
  <c r="M315"/>
  <c r="N315"/>
  <c r="G315"/>
  <c r="O225"/>
  <c r="P225"/>
  <c r="Q225"/>
  <c r="J225"/>
  <c r="K225"/>
  <c r="L225"/>
  <c r="M225"/>
  <c r="N225"/>
  <c r="H225"/>
  <c r="I225"/>
  <c r="G225"/>
  <c r="O307"/>
  <c r="P307"/>
  <c r="Q307"/>
  <c r="L307"/>
  <c r="M307"/>
  <c r="N307"/>
  <c r="H307"/>
  <c r="I307"/>
  <c r="J307"/>
  <c r="K307"/>
  <c r="G307"/>
  <c r="O428"/>
  <c r="P428"/>
  <c r="Q428"/>
  <c r="H428"/>
  <c r="I428"/>
  <c r="J428"/>
  <c r="K428"/>
  <c r="L428"/>
  <c r="M428"/>
  <c r="N428"/>
  <c r="G428"/>
  <c r="O229"/>
  <c r="P229"/>
  <c r="Q229"/>
  <c r="H229"/>
  <c r="I229"/>
  <c r="J229"/>
  <c r="K229"/>
  <c r="L229"/>
  <c r="M229"/>
  <c r="N229"/>
  <c r="G229"/>
  <c r="O169"/>
  <c r="P169"/>
  <c r="Q169"/>
  <c r="N169"/>
  <c r="H169"/>
  <c r="I169"/>
  <c r="J169"/>
  <c r="K169"/>
  <c r="L169"/>
  <c r="M169"/>
  <c r="G169"/>
  <c r="O424"/>
  <c r="P424"/>
  <c r="Q424"/>
  <c r="I424"/>
  <c r="J424"/>
  <c r="K424"/>
  <c r="L424"/>
  <c r="M424"/>
  <c r="N424"/>
  <c r="H424"/>
  <c r="G424"/>
  <c r="O79"/>
  <c r="P79"/>
  <c r="Q79"/>
  <c r="H79"/>
  <c r="I79"/>
  <c r="J79"/>
  <c r="K79"/>
  <c r="L79"/>
  <c r="M79"/>
  <c r="N79"/>
  <c r="G79"/>
  <c r="O44"/>
  <c r="P44"/>
  <c r="Q44"/>
  <c r="H44"/>
  <c r="I44"/>
  <c r="J44"/>
  <c r="K44"/>
  <c r="L44"/>
  <c r="M44"/>
  <c r="N44"/>
  <c r="G44"/>
  <c r="O264"/>
  <c r="P264"/>
  <c r="Q264"/>
  <c r="M264"/>
  <c r="N264"/>
  <c r="H264"/>
  <c r="I264"/>
  <c r="J264"/>
  <c r="K264"/>
  <c r="L264"/>
  <c r="G264"/>
  <c r="O81"/>
  <c r="P81"/>
  <c r="Q81"/>
  <c r="H81"/>
  <c r="I81"/>
  <c r="J81"/>
  <c r="K81"/>
  <c r="L81"/>
  <c r="M81"/>
  <c r="N81"/>
  <c r="G81"/>
  <c r="O459"/>
  <c r="P459"/>
  <c r="Q459"/>
  <c r="H459"/>
  <c r="I459"/>
  <c r="J459"/>
  <c r="K459"/>
  <c r="L459"/>
  <c r="M459"/>
  <c r="N459"/>
  <c r="G459"/>
  <c r="O418"/>
  <c r="P418"/>
  <c r="Q418"/>
  <c r="H418"/>
  <c r="I418"/>
  <c r="J418"/>
  <c r="K418"/>
  <c r="L418"/>
  <c r="M418"/>
  <c r="N418"/>
  <c r="G418"/>
  <c r="O102"/>
  <c r="P102"/>
  <c r="Q102"/>
  <c r="H102"/>
  <c r="I102"/>
  <c r="J102"/>
  <c r="K102"/>
  <c r="L102"/>
  <c r="M102"/>
  <c r="N102"/>
  <c r="G102"/>
  <c r="O466"/>
  <c r="O22" i="53" s="1"/>
  <c r="P466" i="37"/>
  <c r="P22" i="53" s="1"/>
  <c r="Q466" i="37"/>
  <c r="Q22" i="53" s="1"/>
  <c r="H466" i="37"/>
  <c r="H22" i="53" s="1"/>
  <c r="I466" i="37"/>
  <c r="I22" i="53" s="1"/>
  <c r="J466" i="37"/>
  <c r="J22" i="53" s="1"/>
  <c r="K466" i="37"/>
  <c r="K22" i="53" s="1"/>
  <c r="L466" i="37"/>
  <c r="L22" i="53" s="1"/>
  <c r="M466" i="37"/>
  <c r="M22" i="53" s="1"/>
  <c r="N466" i="37"/>
  <c r="N22" i="53" s="1"/>
  <c r="G466" i="37"/>
  <c r="O337"/>
  <c r="P337"/>
  <c r="Q337"/>
  <c r="H337"/>
  <c r="I337"/>
  <c r="J337"/>
  <c r="K337"/>
  <c r="L337"/>
  <c r="M337"/>
  <c r="N337"/>
  <c r="G337"/>
  <c r="O235"/>
  <c r="P235"/>
  <c r="Q235"/>
  <c r="L235"/>
  <c r="M235"/>
  <c r="N235"/>
  <c r="H235"/>
  <c r="I235"/>
  <c r="J235"/>
  <c r="K235"/>
  <c r="G235"/>
  <c r="O83"/>
  <c r="P83"/>
  <c r="Q83"/>
  <c r="H83"/>
  <c r="I83"/>
  <c r="J83"/>
  <c r="K83"/>
  <c r="L83"/>
  <c r="M83"/>
  <c r="N83"/>
  <c r="G83"/>
  <c r="O96"/>
  <c r="P96"/>
  <c r="Q96"/>
  <c r="I96"/>
  <c r="J96"/>
  <c r="K96"/>
  <c r="L96"/>
  <c r="M96"/>
  <c r="N96"/>
  <c r="H96"/>
  <c r="G96"/>
  <c r="O368"/>
  <c r="P368"/>
  <c r="Q368"/>
  <c r="H368"/>
  <c r="I368"/>
  <c r="J368"/>
  <c r="K368"/>
  <c r="L368"/>
  <c r="M368"/>
  <c r="N368"/>
  <c r="G368"/>
  <c r="O125"/>
  <c r="P125"/>
  <c r="Q125"/>
  <c r="J125"/>
  <c r="K125"/>
  <c r="L125"/>
  <c r="M125"/>
  <c r="N125"/>
  <c r="H125"/>
  <c r="I125"/>
  <c r="G125"/>
  <c r="O343"/>
  <c r="P343"/>
  <c r="Q343"/>
  <c r="L343"/>
  <c r="M343"/>
  <c r="N343"/>
  <c r="H343"/>
  <c r="I343"/>
  <c r="J343"/>
  <c r="K343"/>
  <c r="G343"/>
  <c r="O187"/>
  <c r="P187"/>
  <c r="Q187"/>
  <c r="H187"/>
  <c r="I187"/>
  <c r="J187"/>
  <c r="K187"/>
  <c r="L187"/>
  <c r="M187"/>
  <c r="N187"/>
  <c r="G187"/>
  <c r="O239"/>
  <c r="P239"/>
  <c r="Q239"/>
  <c r="H239"/>
  <c r="I239"/>
  <c r="J239"/>
  <c r="K239"/>
  <c r="L239"/>
  <c r="M239"/>
  <c r="N239"/>
  <c r="G239"/>
  <c r="O32"/>
  <c r="P32"/>
  <c r="Q32"/>
  <c r="H32"/>
  <c r="I32"/>
  <c r="J32"/>
  <c r="K32"/>
  <c r="L32"/>
  <c r="M32"/>
  <c r="N32"/>
  <c r="G32"/>
  <c r="O36"/>
  <c r="P36"/>
  <c r="Q36"/>
  <c r="K36"/>
  <c r="L36"/>
  <c r="M36"/>
  <c r="N36"/>
  <c r="H36"/>
  <c r="I36"/>
  <c r="J36"/>
  <c r="G36"/>
  <c r="O476"/>
  <c r="P476"/>
  <c r="Q476"/>
  <c r="H476"/>
  <c r="I476"/>
  <c r="J476"/>
  <c r="K476"/>
  <c r="L476"/>
  <c r="M476"/>
  <c r="N476"/>
  <c r="G476"/>
  <c r="O45"/>
  <c r="P45"/>
  <c r="Q45"/>
  <c r="H45"/>
  <c r="I45"/>
  <c r="J45"/>
  <c r="K45"/>
  <c r="L45"/>
  <c r="M45"/>
  <c r="N45"/>
  <c r="G45"/>
  <c r="O331"/>
  <c r="P331"/>
  <c r="Q331"/>
  <c r="L331"/>
  <c r="M331"/>
  <c r="N331"/>
  <c r="H331"/>
  <c r="I331"/>
  <c r="J331"/>
  <c r="K331"/>
  <c r="G331"/>
  <c r="O20"/>
  <c r="P20"/>
  <c r="Q20"/>
  <c r="H20"/>
  <c r="I20"/>
  <c r="J20"/>
  <c r="K20"/>
  <c r="L20"/>
  <c r="M20"/>
  <c r="N20"/>
  <c r="G20"/>
  <c r="O24"/>
  <c r="P24"/>
  <c r="Q24"/>
  <c r="K24"/>
  <c r="L24"/>
  <c r="M24"/>
  <c r="N24"/>
  <c r="H24"/>
  <c r="I24"/>
  <c r="J24"/>
  <c r="G24"/>
  <c r="O144"/>
  <c r="P144"/>
  <c r="Q144"/>
  <c r="I144"/>
  <c r="J144"/>
  <c r="K144"/>
  <c r="L144"/>
  <c r="M144"/>
  <c r="N144"/>
  <c r="H144"/>
  <c r="G144"/>
  <c r="O296"/>
  <c r="O14" i="53" s="1"/>
  <c r="P296" i="37"/>
  <c r="P14" i="53" s="1"/>
  <c r="Q296" i="37"/>
  <c r="Q14" i="53" s="1"/>
  <c r="H296" i="37"/>
  <c r="H14" i="53" s="1"/>
  <c r="I296" i="37"/>
  <c r="I14" i="53" s="1"/>
  <c r="J296" i="37"/>
  <c r="J14" i="53" s="1"/>
  <c r="K296" i="37"/>
  <c r="K14" i="53" s="1"/>
  <c r="L296" i="37"/>
  <c r="L14" i="53" s="1"/>
  <c r="M296" i="37"/>
  <c r="M14" i="53" s="1"/>
  <c r="N296" i="37"/>
  <c r="N14" i="53" s="1"/>
  <c r="G296" i="37"/>
  <c r="O480"/>
  <c r="P480"/>
  <c r="Q480"/>
  <c r="M480"/>
  <c r="N480"/>
  <c r="H480"/>
  <c r="I480"/>
  <c r="J480"/>
  <c r="K480"/>
  <c r="L480"/>
  <c r="G480"/>
  <c r="O435"/>
  <c r="P435"/>
  <c r="Q435"/>
  <c r="H435"/>
  <c r="I435"/>
  <c r="J435"/>
  <c r="K435"/>
  <c r="L435"/>
  <c r="M435"/>
  <c r="N435"/>
  <c r="G435"/>
  <c r="O484"/>
  <c r="O24" i="52" s="1"/>
  <c r="P484" i="37"/>
  <c r="P24" i="52" s="1"/>
  <c r="Q484" i="37"/>
  <c r="Q24" i="52" s="1"/>
  <c r="I484" i="37"/>
  <c r="I24" i="52" s="1"/>
  <c r="J484" i="37"/>
  <c r="J24" i="52" s="1"/>
  <c r="K484" i="37"/>
  <c r="K24" i="52" s="1"/>
  <c r="L484" i="37"/>
  <c r="L24" i="52" s="1"/>
  <c r="M484" i="37"/>
  <c r="M24" i="52" s="1"/>
  <c r="N484" i="37"/>
  <c r="N24" i="52" s="1"/>
  <c r="H484" i="37"/>
  <c r="H24" i="52" s="1"/>
  <c r="G484" i="37"/>
  <c r="G24" i="52" s="1"/>
  <c r="O21" i="37"/>
  <c r="O2" i="53" s="1"/>
  <c r="P21" i="37"/>
  <c r="P2" i="53" s="1"/>
  <c r="Q21" i="37"/>
  <c r="Q2" i="53" s="1"/>
  <c r="H21" i="37"/>
  <c r="H2" i="53" s="1"/>
  <c r="I21" i="37"/>
  <c r="I2" i="53" s="1"/>
  <c r="J21" i="37"/>
  <c r="J2" i="53" s="1"/>
  <c r="K21" i="37"/>
  <c r="K2" i="53" s="1"/>
  <c r="L21" i="37"/>
  <c r="L2" i="53" s="1"/>
  <c r="M21" i="37"/>
  <c r="M2" i="53" s="1"/>
  <c r="N21" i="37"/>
  <c r="N2" i="53" s="1"/>
  <c r="G21" i="37"/>
  <c r="O41"/>
  <c r="P41"/>
  <c r="Q41"/>
  <c r="L41"/>
  <c r="M41"/>
  <c r="N41"/>
  <c r="H41"/>
  <c r="I41"/>
  <c r="J41"/>
  <c r="K41"/>
  <c r="G41"/>
  <c r="O284"/>
  <c r="P284"/>
  <c r="Q284"/>
  <c r="H284"/>
  <c r="I284"/>
  <c r="J284"/>
  <c r="K284"/>
  <c r="L284"/>
  <c r="M284"/>
  <c r="N284"/>
  <c r="G284"/>
  <c r="O423"/>
  <c r="P423"/>
  <c r="Q423"/>
  <c r="H423"/>
  <c r="I423"/>
  <c r="J423"/>
  <c r="K423"/>
  <c r="L423"/>
  <c r="M423"/>
  <c r="N423"/>
  <c r="G423"/>
  <c r="O128"/>
  <c r="P128"/>
  <c r="Q128"/>
  <c r="M128"/>
  <c r="N128"/>
  <c r="H128"/>
  <c r="I128"/>
  <c r="J128"/>
  <c r="K128"/>
  <c r="L128"/>
  <c r="G128"/>
  <c r="O404"/>
  <c r="P404"/>
  <c r="Q404"/>
  <c r="H404"/>
  <c r="I404"/>
  <c r="J404"/>
  <c r="K404"/>
  <c r="L404"/>
  <c r="M404"/>
  <c r="N404"/>
  <c r="G404"/>
  <c r="O37"/>
  <c r="P37"/>
  <c r="Q37"/>
  <c r="H37"/>
  <c r="I37"/>
  <c r="J37"/>
  <c r="K37"/>
  <c r="L37"/>
  <c r="M37"/>
  <c r="N37"/>
  <c r="G37"/>
  <c r="O241"/>
  <c r="P241"/>
  <c r="Q241"/>
  <c r="H241"/>
  <c r="I241"/>
  <c r="J241"/>
  <c r="K241"/>
  <c r="L241"/>
  <c r="M241"/>
  <c r="N241"/>
  <c r="G241"/>
  <c r="O104"/>
  <c r="P104"/>
  <c r="Q104"/>
  <c r="M104"/>
  <c r="N104"/>
  <c r="H104"/>
  <c r="I104"/>
  <c r="J104"/>
  <c r="K104"/>
  <c r="L104"/>
  <c r="G104"/>
  <c r="O364"/>
  <c r="P364"/>
  <c r="Q364"/>
  <c r="I364"/>
  <c r="J364"/>
  <c r="K364"/>
  <c r="L364"/>
  <c r="M364"/>
  <c r="N364"/>
  <c r="H364"/>
  <c r="G364"/>
  <c r="O29"/>
  <c r="P29"/>
  <c r="Q29"/>
  <c r="L29"/>
  <c r="M29"/>
  <c r="N29"/>
  <c r="H29"/>
  <c r="I29"/>
  <c r="J29"/>
  <c r="K29"/>
  <c r="G29"/>
  <c r="O388"/>
  <c r="P388"/>
  <c r="Q388"/>
  <c r="I388"/>
  <c r="J388"/>
  <c r="K388"/>
  <c r="L388"/>
  <c r="M388"/>
  <c r="N388"/>
  <c r="H388"/>
  <c r="G388"/>
  <c r="Q369"/>
  <c r="O369"/>
  <c r="P369"/>
  <c r="J369"/>
  <c r="K369"/>
  <c r="L369"/>
  <c r="M369"/>
  <c r="N369"/>
  <c r="H369"/>
  <c r="I369"/>
  <c r="G369"/>
  <c r="Q469"/>
  <c r="O469"/>
  <c r="P469"/>
  <c r="H469"/>
  <c r="I469"/>
  <c r="J469"/>
  <c r="K469"/>
  <c r="L469"/>
  <c r="M469"/>
  <c r="N469"/>
  <c r="G469"/>
  <c r="O42"/>
  <c r="P42"/>
  <c r="Q42"/>
  <c r="H42"/>
  <c r="I42"/>
  <c r="J42"/>
  <c r="K42"/>
  <c r="L42"/>
  <c r="M42"/>
  <c r="N42"/>
  <c r="G42"/>
  <c r="Q373"/>
  <c r="O373"/>
  <c r="P373"/>
  <c r="H373"/>
  <c r="I373"/>
  <c r="J373"/>
  <c r="K373"/>
  <c r="L373"/>
  <c r="M373"/>
  <c r="N373"/>
  <c r="G373"/>
  <c r="Q477"/>
  <c r="O477"/>
  <c r="P477"/>
  <c r="J477"/>
  <c r="K477"/>
  <c r="L477"/>
  <c r="M477"/>
  <c r="N477"/>
  <c r="H477"/>
  <c r="I477"/>
  <c r="G477"/>
  <c r="O342"/>
  <c r="O17" i="52" s="1"/>
  <c r="Q342" i="37"/>
  <c r="Q17" i="52" s="1"/>
  <c r="P342" i="37"/>
  <c r="P17" i="52" s="1"/>
  <c r="H342" i="37"/>
  <c r="H17" i="52" s="1"/>
  <c r="I342" i="37"/>
  <c r="I17" i="52" s="1"/>
  <c r="J342" i="37"/>
  <c r="J17" i="52" s="1"/>
  <c r="K342" i="37"/>
  <c r="K17" i="52" s="1"/>
  <c r="L342" i="37"/>
  <c r="L17" i="52" s="1"/>
  <c r="M342" i="37"/>
  <c r="M17" i="52" s="1"/>
  <c r="N342" i="37"/>
  <c r="N17" i="52" s="1"/>
  <c r="G342" i="37"/>
  <c r="G17" i="52" s="1"/>
  <c r="Q381" i="37"/>
  <c r="O381"/>
  <c r="P381"/>
  <c r="J381"/>
  <c r="K381"/>
  <c r="L381"/>
  <c r="M381"/>
  <c r="N381"/>
  <c r="H381"/>
  <c r="I381"/>
  <c r="G381"/>
  <c r="O30"/>
  <c r="P30"/>
  <c r="Q30"/>
  <c r="H30"/>
  <c r="I30"/>
  <c r="J30"/>
  <c r="K30"/>
  <c r="L30"/>
  <c r="M30"/>
  <c r="N30"/>
  <c r="G30"/>
  <c r="O398"/>
  <c r="P398"/>
  <c r="Q398"/>
  <c r="K398"/>
  <c r="L398"/>
  <c r="M398"/>
  <c r="N398"/>
  <c r="H398"/>
  <c r="I398"/>
  <c r="J398"/>
  <c r="G398"/>
  <c r="O402"/>
  <c r="P402"/>
  <c r="Q402"/>
  <c r="H402"/>
  <c r="I402"/>
  <c r="J402"/>
  <c r="K402"/>
  <c r="L402"/>
  <c r="M402"/>
  <c r="N402"/>
  <c r="G402"/>
  <c r="Q401"/>
  <c r="O401"/>
  <c r="P401"/>
  <c r="N401"/>
  <c r="H401"/>
  <c r="I401"/>
  <c r="J401"/>
  <c r="K401"/>
  <c r="L401"/>
  <c r="M401"/>
  <c r="G401"/>
  <c r="O82"/>
  <c r="P82"/>
  <c r="Q82"/>
  <c r="K82"/>
  <c r="L82"/>
  <c r="M82"/>
  <c r="N82"/>
  <c r="H82"/>
  <c r="I82"/>
  <c r="J82"/>
  <c r="G82"/>
  <c r="O298"/>
  <c r="P298"/>
  <c r="Q298"/>
  <c r="H298"/>
  <c r="I298"/>
  <c r="J298"/>
  <c r="K298"/>
  <c r="L298"/>
  <c r="M298"/>
  <c r="N298"/>
  <c r="G298"/>
  <c r="O390"/>
  <c r="O19" i="52" s="1"/>
  <c r="P390" i="37"/>
  <c r="P19" i="52" s="1"/>
  <c r="Q390" i="37"/>
  <c r="Q19" i="52" s="1"/>
  <c r="H390" i="37"/>
  <c r="H19" i="52" s="1"/>
  <c r="I390" i="37"/>
  <c r="I19" i="52" s="1"/>
  <c r="J390" i="37"/>
  <c r="J19" i="52" s="1"/>
  <c r="K390" i="37"/>
  <c r="K19" i="52" s="1"/>
  <c r="L390" i="37"/>
  <c r="L19" i="52" s="1"/>
  <c r="M390" i="37"/>
  <c r="M19" i="52" s="1"/>
  <c r="N390" i="37"/>
  <c r="N19" i="52" s="1"/>
  <c r="G390" i="37"/>
  <c r="G19" i="52" s="1"/>
  <c r="Q409" i="37"/>
  <c r="Q19" i="53" s="1"/>
  <c r="O409" i="37"/>
  <c r="O19" i="53" s="1"/>
  <c r="P409" i="37"/>
  <c r="P19" i="53" s="1"/>
  <c r="H409" i="37"/>
  <c r="H19" i="53" s="1"/>
  <c r="I409" i="37"/>
  <c r="I19" i="53" s="1"/>
  <c r="J409" i="37"/>
  <c r="J19" i="53" s="1"/>
  <c r="K409" i="37"/>
  <c r="K19" i="53" s="1"/>
  <c r="L409" i="37"/>
  <c r="L19" i="53" s="1"/>
  <c r="M409" i="37"/>
  <c r="M19" i="53" s="1"/>
  <c r="N409" i="37"/>
  <c r="N19" i="53" s="1"/>
  <c r="G409" i="37"/>
  <c r="Q413"/>
  <c r="O413"/>
  <c r="P413"/>
  <c r="N413"/>
  <c r="H413"/>
  <c r="I413"/>
  <c r="J413"/>
  <c r="K413"/>
  <c r="L413"/>
  <c r="M413"/>
  <c r="G413"/>
  <c r="O286"/>
  <c r="P286"/>
  <c r="Q286"/>
  <c r="H286"/>
  <c r="I286"/>
  <c r="J286"/>
  <c r="K286"/>
  <c r="L286"/>
  <c r="M286"/>
  <c r="N286"/>
  <c r="G286"/>
  <c r="O378"/>
  <c r="P378"/>
  <c r="Q378"/>
  <c r="H378"/>
  <c r="I378"/>
  <c r="J378"/>
  <c r="K378"/>
  <c r="L378"/>
  <c r="M378"/>
  <c r="N378"/>
  <c r="G378"/>
  <c r="Q437"/>
  <c r="O437"/>
  <c r="P437"/>
  <c r="N437"/>
  <c r="H437"/>
  <c r="I437"/>
  <c r="J437"/>
  <c r="K437"/>
  <c r="L437"/>
  <c r="M437"/>
  <c r="G437"/>
  <c r="O122"/>
  <c r="P122"/>
  <c r="Q122"/>
  <c r="H122"/>
  <c r="I122"/>
  <c r="J122"/>
  <c r="K122"/>
  <c r="L122"/>
  <c r="M122"/>
  <c r="N122"/>
  <c r="G122"/>
  <c r="O305"/>
  <c r="P305"/>
  <c r="Q305"/>
  <c r="N305"/>
  <c r="H305"/>
  <c r="I305"/>
  <c r="J305"/>
  <c r="K305"/>
  <c r="L305"/>
  <c r="M305"/>
  <c r="G305"/>
  <c r="O309"/>
  <c r="P309"/>
  <c r="Q309"/>
  <c r="J309"/>
  <c r="K309"/>
  <c r="L309"/>
  <c r="M309"/>
  <c r="N309"/>
  <c r="H309"/>
  <c r="I309"/>
  <c r="G309"/>
  <c r="Q441"/>
  <c r="O441"/>
  <c r="P441"/>
  <c r="J441"/>
  <c r="K441"/>
  <c r="L441"/>
  <c r="M441"/>
  <c r="N441"/>
  <c r="H441"/>
  <c r="I441"/>
  <c r="G441"/>
  <c r="O218"/>
  <c r="P218"/>
  <c r="Q218"/>
  <c r="K218"/>
  <c r="L218"/>
  <c r="M218"/>
  <c r="N218"/>
  <c r="H218"/>
  <c r="I218"/>
  <c r="J218"/>
  <c r="G218"/>
  <c r="Q449"/>
  <c r="O449"/>
  <c r="P449"/>
  <c r="N449"/>
  <c r="H449"/>
  <c r="I449"/>
  <c r="J449"/>
  <c r="K449"/>
  <c r="L449"/>
  <c r="M449"/>
  <c r="G449"/>
  <c r="O293"/>
  <c r="P293"/>
  <c r="Q293"/>
  <c r="N293"/>
  <c r="H293"/>
  <c r="I293"/>
  <c r="J293"/>
  <c r="K293"/>
  <c r="L293"/>
  <c r="M293"/>
  <c r="G293"/>
  <c r="Q457"/>
  <c r="O457"/>
  <c r="P457"/>
  <c r="H457"/>
  <c r="I457"/>
  <c r="J457"/>
  <c r="K457"/>
  <c r="L457"/>
  <c r="M457"/>
  <c r="N457"/>
  <c r="G457"/>
  <c r="O262"/>
  <c r="P262"/>
  <c r="Q262"/>
  <c r="H262"/>
  <c r="I262"/>
  <c r="J262"/>
  <c r="K262"/>
  <c r="L262"/>
  <c r="M262"/>
  <c r="N262"/>
  <c r="G262"/>
  <c r="O266"/>
  <c r="P266"/>
  <c r="Q266"/>
  <c r="K266"/>
  <c r="L266"/>
  <c r="M266"/>
  <c r="N266"/>
  <c r="H266"/>
  <c r="I266"/>
  <c r="J266"/>
  <c r="G266"/>
  <c r="O181"/>
  <c r="P181"/>
  <c r="Q181"/>
  <c r="N181"/>
  <c r="H181"/>
  <c r="I181"/>
  <c r="J181"/>
  <c r="K181"/>
  <c r="L181"/>
  <c r="M181"/>
  <c r="G181"/>
  <c r="Q461"/>
  <c r="O461"/>
  <c r="P461"/>
  <c r="N461"/>
  <c r="H461"/>
  <c r="I461"/>
  <c r="J461"/>
  <c r="K461"/>
  <c r="L461"/>
  <c r="M461"/>
  <c r="G461"/>
  <c r="O281"/>
  <c r="P281"/>
  <c r="Q281"/>
  <c r="N281"/>
  <c r="H281"/>
  <c r="I281"/>
  <c r="J281"/>
  <c r="K281"/>
  <c r="L281"/>
  <c r="M281"/>
  <c r="G281"/>
  <c r="Q465"/>
  <c r="O465"/>
  <c r="P465"/>
  <c r="J465"/>
  <c r="K465"/>
  <c r="L465"/>
  <c r="M465"/>
  <c r="N465"/>
  <c r="H465"/>
  <c r="I465"/>
  <c r="G465"/>
  <c r="B2"/>
  <c r="C2"/>
  <c r="D2"/>
  <c r="B1"/>
  <c r="C1"/>
  <c r="D1"/>
  <c r="A1"/>
  <c r="G11" i="53" l="1"/>
  <c r="C29" i="44"/>
  <c r="AF581" i="37"/>
  <c r="AE581" i="40"/>
  <c r="AK583" i="37"/>
  <c r="AM583" s="1"/>
  <c r="AH583" i="40"/>
  <c r="AG607"/>
  <c r="AI607" s="1"/>
  <c r="AK607" s="1"/>
  <c r="AJ607" i="37"/>
  <c r="AK607"/>
  <c r="AM607" s="1"/>
  <c r="G8" i="53"/>
  <c r="C26" i="44"/>
  <c r="G3" i="53"/>
  <c r="C21" i="44"/>
  <c r="AI29" i="52"/>
  <c r="AE29"/>
  <c r="AG605" i="40"/>
  <c r="AI605" s="1"/>
  <c r="AK605" s="1"/>
  <c r="AJ605" i="37"/>
  <c r="AK605"/>
  <c r="AM605" s="1"/>
  <c r="AD610" i="40"/>
  <c r="AF610" s="1"/>
  <c r="AO610" i="37"/>
  <c r="AF610"/>
  <c r="AF538" i="40"/>
  <c r="S19" i="53"/>
  <c r="S22"/>
  <c r="S17"/>
  <c r="AG609" i="40"/>
  <c r="AI609" s="1"/>
  <c r="AK609" s="1"/>
  <c r="AJ609" i="37"/>
  <c r="AK609"/>
  <c r="AM609" s="1"/>
  <c r="AD583" i="40"/>
  <c r="AF583" s="1"/>
  <c r="AO583" i="37"/>
  <c r="AF583"/>
  <c r="AD605" i="40"/>
  <c r="AF605" s="1"/>
  <c r="AO605" i="37"/>
  <c r="AF605"/>
  <c r="S20" i="53"/>
  <c r="V2"/>
  <c r="S2"/>
  <c r="S8"/>
  <c r="S12"/>
  <c r="S5"/>
  <c r="G13"/>
  <c r="C31" i="44"/>
  <c r="B46"/>
  <c r="AC569" i="40"/>
  <c r="AC28" i="52"/>
  <c r="B43" i="44"/>
  <c r="AC499" i="40"/>
  <c r="AC25" i="52"/>
  <c r="AG580" i="40"/>
  <c r="AJ580" i="37"/>
  <c r="AK580"/>
  <c r="AM580" s="1"/>
  <c r="AD590" i="40"/>
  <c r="AF590" i="37"/>
  <c r="AO590"/>
  <c r="B47" i="44"/>
  <c r="AC591" i="40"/>
  <c r="AC29" i="52"/>
  <c r="AD582" i="40"/>
  <c r="AF582" s="1"/>
  <c r="AF582" i="37"/>
  <c r="AO582"/>
  <c r="AG610" i="40"/>
  <c r="AK610" i="37"/>
  <c r="AM610" s="1"/>
  <c r="AJ610"/>
  <c r="AJ587"/>
  <c r="AH587" i="40"/>
  <c r="AI536"/>
  <c r="AK536" s="1"/>
  <c r="AF526"/>
  <c r="AI572"/>
  <c r="AK572" s="1"/>
  <c r="AF539"/>
  <c r="AI576"/>
  <c r="AK576" s="1"/>
  <c r="AI504"/>
  <c r="AK504" s="1"/>
  <c r="AF573"/>
  <c r="AF578"/>
  <c r="AF564"/>
  <c r="AF533"/>
  <c r="AJ570" i="37"/>
  <c r="AG570" i="40"/>
  <c r="AG601"/>
  <c r="AI601" s="1"/>
  <c r="AK601" s="1"/>
  <c r="AJ601" i="37"/>
  <c r="AK601"/>
  <c r="AM601" s="1"/>
  <c r="AG602" i="40"/>
  <c r="AK602" i="37"/>
  <c r="AM602" s="1"/>
  <c r="AJ602"/>
  <c r="AG592" i="40"/>
  <c r="AK592" i="37"/>
  <c r="AM592" s="1"/>
  <c r="AJ592"/>
  <c r="G2" i="53"/>
  <c r="C20" i="44"/>
  <c r="G12" i="53"/>
  <c r="C30" i="44"/>
  <c r="AD604" i="40"/>
  <c r="AF604" s="1"/>
  <c r="AF604" i="37"/>
  <c r="AO604"/>
  <c r="AI26" i="52"/>
  <c r="AE26"/>
  <c r="AB24" i="53"/>
  <c r="Z24"/>
  <c r="G7"/>
  <c r="C25" i="44"/>
  <c r="V11" i="53"/>
  <c r="S11"/>
  <c r="G10"/>
  <c r="C28" i="44"/>
  <c r="V13" i="53"/>
  <c r="S13"/>
  <c r="AN25" i="52"/>
  <c r="AC25" i="53"/>
  <c r="AE25" s="1"/>
  <c r="AJ521" i="37"/>
  <c r="AG521" i="40"/>
  <c r="AI521" s="1"/>
  <c r="AK521" s="1"/>
  <c r="B44" i="44"/>
  <c r="AC523" i="40"/>
  <c r="AC26" i="52"/>
  <c r="AG604" i="40"/>
  <c r="AI604" s="1"/>
  <c r="AK604" s="1"/>
  <c r="AK604" i="37"/>
  <c r="AM604" s="1"/>
  <c r="AJ604"/>
  <c r="AD580" i="40"/>
  <c r="AF580" s="1"/>
  <c r="AO580" i="37"/>
  <c r="AF580"/>
  <c r="AG590" i="40"/>
  <c r="AK590" i="37"/>
  <c r="AM590" s="1"/>
  <c r="AJ590"/>
  <c r="AD27" i="52"/>
  <c r="AH27"/>
  <c r="AK584" i="37"/>
  <c r="AM584" s="1"/>
  <c r="AH584" i="40"/>
  <c r="AD591"/>
  <c r="AF591" i="37"/>
  <c r="AO591"/>
  <c r="AE591" i="40"/>
  <c r="AD586"/>
  <c r="AF586" s="1"/>
  <c r="AO586" i="37"/>
  <c r="AF586"/>
  <c r="AG581" i="40"/>
  <c r="AK581" i="37"/>
  <c r="AM581" s="1"/>
  <c r="AD599" i="40"/>
  <c r="AF599" i="37"/>
  <c r="AD603" i="40"/>
  <c r="AF603" s="1"/>
  <c r="AO603" i="37"/>
  <c r="AF603"/>
  <c r="AG593" i="40"/>
  <c r="AJ593" i="37"/>
  <c r="AG582" i="40"/>
  <c r="AJ582" i="37"/>
  <c r="AK582"/>
  <c r="AM582" s="1"/>
  <c r="AH29" i="52"/>
  <c r="AD29"/>
  <c r="AG600" i="40"/>
  <c r="AJ600" i="37"/>
  <c r="AK600"/>
  <c r="AM600" s="1"/>
  <c r="AF506" i="40"/>
  <c r="AI570"/>
  <c r="AK570" s="1"/>
  <c r="AI580"/>
  <c r="AK580" s="1"/>
  <c r="AI542"/>
  <c r="AK542" s="1"/>
  <c r="AI527"/>
  <c r="AK527" s="1"/>
  <c r="AI553"/>
  <c r="AK553" s="1"/>
  <c r="AF520"/>
  <c r="AI530"/>
  <c r="AK530" s="1"/>
  <c r="AF544"/>
  <c r="AF503"/>
  <c r="AI547"/>
  <c r="AK547" s="1"/>
  <c r="AI529"/>
  <c r="AK529" s="1"/>
  <c r="AF549"/>
  <c r="AF517"/>
  <c r="AF525"/>
  <c r="C31" i="52"/>
  <c r="AJ26" i="41" s="1"/>
  <c r="S18" i="53"/>
  <c r="AI25" i="52"/>
  <c r="AE25"/>
  <c r="AD581" i="40"/>
  <c r="AF581" s="1"/>
  <c r="AO581" i="37"/>
  <c r="AD584" i="40"/>
  <c r="AF584" s="1"/>
  <c r="AO584" i="37"/>
  <c r="AF584"/>
  <c r="G16" i="53"/>
  <c r="C34" i="44"/>
  <c r="AJ581" i="37"/>
  <c r="AH581" i="40"/>
  <c r="AG595"/>
  <c r="AI595" s="1"/>
  <c r="AK595" s="1"/>
  <c r="AJ595" i="37"/>
  <c r="AK595"/>
  <c r="AM595" s="1"/>
  <c r="AG583" i="40"/>
  <c r="AI583" s="1"/>
  <c r="AK583" s="1"/>
  <c r="AJ583" i="37"/>
  <c r="G15" i="53"/>
  <c r="C33" i="44"/>
  <c r="V7" i="53"/>
  <c r="S7"/>
  <c r="V10"/>
  <c r="S10"/>
  <c r="G21"/>
  <c r="C39" i="44"/>
  <c r="G6" i="53"/>
  <c r="C24" i="44"/>
  <c r="B45"/>
  <c r="AC547" i="40"/>
  <c r="AC27" i="52"/>
  <c r="AK593" i="37"/>
  <c r="AM593" s="1"/>
  <c r="AH593" i="40"/>
  <c r="AO599" i="37"/>
  <c r="AE599" i="40"/>
  <c r="AD606"/>
  <c r="AF606" s="1"/>
  <c r="AF606" i="37"/>
  <c r="AO606"/>
  <c r="AG597" i="40"/>
  <c r="AI597" s="1"/>
  <c r="AK597" s="1"/>
  <c r="AK597" i="37"/>
  <c r="AM597" s="1"/>
  <c r="AJ597"/>
  <c r="AG589" i="40"/>
  <c r="AI589" s="1"/>
  <c r="AK589" s="1"/>
  <c r="AK589" i="37"/>
  <c r="AM589" s="1"/>
  <c r="AJ589"/>
  <c r="AG586" i="40"/>
  <c r="AK586" i="37"/>
  <c r="AM586" s="1"/>
  <c r="AG599" i="40"/>
  <c r="AI599" s="1"/>
  <c r="AK599" s="1"/>
  <c r="AJ599" i="37"/>
  <c r="AK599"/>
  <c r="AM599" s="1"/>
  <c r="AG603" i="40"/>
  <c r="AI603" s="1"/>
  <c r="AK603" s="1"/>
  <c r="AJ603" i="37"/>
  <c r="AK603"/>
  <c r="AM603" s="1"/>
  <c r="AD611" i="40"/>
  <c r="AF611" s="1"/>
  <c r="AF611" i="37"/>
  <c r="AO611"/>
  <c r="AD587" i="40"/>
  <c r="AF587" s="1"/>
  <c r="AF587" i="37"/>
  <c r="AO587"/>
  <c r="AG591" i="40"/>
  <c r="AI591" s="1"/>
  <c r="AK591" s="1"/>
  <c r="AK591" i="37"/>
  <c r="AD600" i="40"/>
  <c r="AF600" s="1"/>
  <c r="AO600" i="37"/>
  <c r="AF600"/>
  <c r="AI588" i="40"/>
  <c r="AK588" s="1"/>
  <c r="AI606"/>
  <c r="AK606" s="1"/>
  <c r="AI505"/>
  <c r="AK505" s="1"/>
  <c r="AI526"/>
  <c r="AK526" s="1"/>
  <c r="AI509"/>
  <c r="AK509" s="1"/>
  <c r="AF575"/>
  <c r="AF527"/>
  <c r="AF553"/>
  <c r="AF528"/>
  <c r="AI515"/>
  <c r="AK515" s="1"/>
  <c r="AF569"/>
  <c r="AI540"/>
  <c r="AK540" s="1"/>
  <c r="AF514"/>
  <c r="AI543"/>
  <c r="AK543" s="1"/>
  <c r="AI557"/>
  <c r="AK557" s="1"/>
  <c r="AF547"/>
  <c r="AF529"/>
  <c r="AI549"/>
  <c r="AK549" s="1"/>
  <c r="AI517"/>
  <c r="AK517" s="1"/>
  <c r="AI551"/>
  <c r="AK551" s="1"/>
  <c r="AF566"/>
  <c r="AI525"/>
  <c r="AK525" s="1"/>
  <c r="AI582"/>
  <c r="AK582" s="1"/>
  <c r="AI602"/>
  <c r="AK602" s="1"/>
  <c r="AN26" i="52"/>
  <c r="AC26" i="53"/>
  <c r="AE26" s="1"/>
  <c r="AG596" i="40"/>
  <c r="AK596" i="37"/>
  <c r="AM596" s="1"/>
  <c r="AJ596"/>
  <c r="AG608" i="40"/>
  <c r="AJ608" i="37"/>
  <c r="AK608"/>
  <c r="AM608" s="1"/>
  <c r="AD26" i="52"/>
  <c r="AO26" s="1"/>
  <c r="AH26"/>
  <c r="AJ26" s="1"/>
  <c r="G14" i="53"/>
  <c r="C32" i="44"/>
  <c r="V15" i="53"/>
  <c r="S15"/>
  <c r="S23"/>
  <c r="V21"/>
  <c r="S21"/>
  <c r="V6"/>
  <c r="S6"/>
  <c r="AN28" i="52"/>
  <c r="AC28" i="53"/>
  <c r="AE28" s="1"/>
  <c r="AN27" i="52"/>
  <c r="AC27" i="53"/>
  <c r="AE27" s="1"/>
  <c r="AF593" i="37"/>
  <c r="AC593" i="40"/>
  <c r="AO596" i="37"/>
  <c r="AE596" i="40"/>
  <c r="AO593" i="37"/>
  <c r="AD593" i="40"/>
  <c r="AF593" s="1"/>
  <c r="AG588"/>
  <c r="AK588" i="37"/>
  <c r="AM588" s="1"/>
  <c r="AJ588"/>
  <c r="AG606" i="40"/>
  <c r="AK606" i="37"/>
  <c r="AM606" s="1"/>
  <c r="AJ606"/>
  <c r="AD28" i="52"/>
  <c r="AH28"/>
  <c r="AD598" i="40"/>
  <c r="AF598" s="1"/>
  <c r="AO598" i="37"/>
  <c r="AF598"/>
  <c r="AD597" i="40"/>
  <c r="AF597" s="1"/>
  <c r="AO597" i="37"/>
  <c r="AF597"/>
  <c r="AD609" i="40"/>
  <c r="AF609" s="1"/>
  <c r="AF609" i="37"/>
  <c r="AO609"/>
  <c r="AD589" i="40"/>
  <c r="AF589" s="1"/>
  <c r="AF589" i="37"/>
  <c r="AO589"/>
  <c r="AG611" i="40"/>
  <c r="AI611" s="1"/>
  <c r="AK611" s="1"/>
  <c r="AK611" i="37"/>
  <c r="AM611" s="1"/>
  <c r="AJ611"/>
  <c r="AD585" i="40"/>
  <c r="AF585" s="1"/>
  <c r="AF585" i="37"/>
  <c r="AO585"/>
  <c r="AG587" i="40"/>
  <c r="AI587" s="1"/>
  <c r="AK587" s="1"/>
  <c r="AK587" i="37"/>
  <c r="AM587" s="1"/>
  <c r="AN29" i="52"/>
  <c r="AC29" i="53"/>
  <c r="AE29" s="1"/>
  <c r="AI552" i="40"/>
  <c r="AK552" s="1"/>
  <c r="AI554"/>
  <c r="AK554" s="1"/>
  <c r="AI564"/>
  <c r="AK564" s="1"/>
  <c r="AI575"/>
  <c r="AK575" s="1"/>
  <c r="AF513"/>
  <c r="AF551"/>
  <c r="AI610"/>
  <c r="AK610" s="1"/>
  <c r="AO505" i="37"/>
  <c r="AE505" i="40"/>
  <c r="AD602"/>
  <c r="AF602" s="1"/>
  <c r="AF602" i="37"/>
  <c r="AO602"/>
  <c r="S14" i="53"/>
  <c r="G5"/>
  <c r="C23" i="44"/>
  <c r="G9" i="53"/>
  <c r="C27" i="44"/>
  <c r="V16" i="53"/>
  <c r="S16"/>
  <c r="G4"/>
  <c r="C22" i="44"/>
  <c r="G20" i="53"/>
  <c r="C38" i="44"/>
  <c r="AD588" i="40"/>
  <c r="AF588" s="1"/>
  <c r="AO588" i="37"/>
  <c r="AF588"/>
  <c r="AG598" i="40"/>
  <c r="AI598" s="1"/>
  <c r="AK598" s="1"/>
  <c r="AJ598" i="37"/>
  <c r="AK598"/>
  <c r="AM598" s="1"/>
  <c r="AD601" i="40"/>
  <c r="AF601" s="1"/>
  <c r="AO601" i="37"/>
  <c r="AF601"/>
  <c r="AD594" i="40"/>
  <c r="AF594" s="1"/>
  <c r="AF594" i="37"/>
  <c r="AO594"/>
  <c r="AG585" i="40"/>
  <c r="AI585" s="1"/>
  <c r="AK585" s="1"/>
  <c r="AJ585" i="37"/>
  <c r="AK585"/>
  <c r="AM585" s="1"/>
  <c r="AD608" i="40"/>
  <c r="AF608" s="1"/>
  <c r="AO608" i="37"/>
  <c r="AF608"/>
  <c r="AJ591"/>
  <c r="AG29" i="52"/>
  <c r="AD596" i="40"/>
  <c r="AF596" s="1"/>
  <c r="AF596" i="37"/>
  <c r="AI608" i="40"/>
  <c r="AK608" s="1"/>
  <c r="AF512"/>
  <c r="AF509"/>
  <c r="AI507"/>
  <c r="AK507" s="1"/>
  <c r="AI524"/>
  <c r="AK524" s="1"/>
  <c r="AI562"/>
  <c r="AK562" s="1"/>
  <c r="AI550"/>
  <c r="AK550" s="1"/>
  <c r="AF516"/>
  <c r="AF515"/>
  <c r="AI513"/>
  <c r="AK513" s="1"/>
  <c r="AF560"/>
  <c r="AF543"/>
  <c r="AF557"/>
  <c r="AI537"/>
  <c r="AK537" s="1"/>
  <c r="AF510"/>
  <c r="AI596"/>
  <c r="AK596" s="1"/>
  <c r="AI592"/>
  <c r="AK592" s="1"/>
  <c r="G23" i="53"/>
  <c r="V23" s="1"/>
  <c r="C41" i="44"/>
  <c r="AG594" i="40"/>
  <c r="AK594" i="37"/>
  <c r="AM594" s="1"/>
  <c r="AJ594"/>
  <c r="AH25" i="52"/>
  <c r="AD25"/>
  <c r="G19" i="53"/>
  <c r="V19" s="1"/>
  <c r="C37" i="44"/>
  <c r="G22" i="53"/>
  <c r="C40" i="44"/>
  <c r="G17" i="53"/>
  <c r="C35" i="44"/>
  <c r="V3" i="53"/>
  <c r="S3"/>
  <c r="V9"/>
  <c r="S9"/>
  <c r="G18"/>
  <c r="C36" i="44"/>
  <c r="V4" i="53"/>
  <c r="S4"/>
  <c r="AE27" i="52"/>
  <c r="AI27"/>
  <c r="AD595" i="40"/>
  <c r="AF595" s="1"/>
  <c r="AO595" i="37"/>
  <c r="AF595"/>
  <c r="AE28" i="52"/>
  <c r="AI28"/>
  <c r="AD592" i="40"/>
  <c r="AF592" s="1"/>
  <c r="AO592" i="37"/>
  <c r="AF592"/>
  <c r="AG584" i="40"/>
  <c r="AJ584" i="37"/>
  <c r="AJ586"/>
  <c r="AH586" i="40"/>
  <c r="AI586" s="1"/>
  <c r="AK586" s="1"/>
  <c r="AD607"/>
  <c r="AF607" s="1"/>
  <c r="AO607" i="37"/>
  <c r="AF607"/>
  <c r="AF505" i="40"/>
  <c r="AI594"/>
  <c r="AK594" s="1"/>
  <c r="AI512"/>
  <c r="AK512" s="1"/>
  <c r="AF541"/>
  <c r="AI558"/>
  <c r="AK558" s="1"/>
  <c r="AF507"/>
  <c r="AF536"/>
  <c r="AF518"/>
  <c r="AF570"/>
  <c r="AF554"/>
  <c r="AF559"/>
  <c r="AI520"/>
  <c r="AK520" s="1"/>
  <c r="AI577"/>
  <c r="AK577" s="1"/>
  <c r="AF537"/>
  <c r="AI532"/>
  <c r="AK532" s="1"/>
  <c r="AI574"/>
  <c r="AK574" s="1"/>
  <c r="AI600"/>
  <c r="AK600" s="1"/>
  <c r="AO559" i="37"/>
  <c r="AJ555"/>
  <c r="AJ532"/>
  <c r="AJ531"/>
  <c r="AJ509"/>
  <c r="AO533"/>
  <c r="Y399" a="1"/>
  <c r="Y399" s="1"/>
  <c r="Y399" i="40" s="1"/>
  <c r="Y389" i="37" a="1"/>
  <c r="Y389" s="1"/>
  <c r="Y389" i="40" s="1"/>
  <c r="Y412" i="37" a="1"/>
  <c r="Y412" s="1"/>
  <c r="Y412" i="40" s="1"/>
  <c r="Y391" i="37" a="1"/>
  <c r="Y391" s="1"/>
  <c r="Y391" i="40" s="1"/>
  <c r="Y394" i="37" a="1"/>
  <c r="Y394" s="1"/>
  <c r="Y394" i="40" s="1"/>
  <c r="Y397" i="37" a="1"/>
  <c r="Y397" s="1"/>
  <c r="Y397" i="40" s="1"/>
  <c r="Y398" i="37" a="1"/>
  <c r="Y398" s="1"/>
  <c r="Y398" i="40" s="1"/>
  <c r="Y407" i="37" a="1"/>
  <c r="Y407" s="1"/>
  <c r="Y407" i="40" s="1"/>
  <c r="Y409" i="37" a="1"/>
  <c r="Y409" s="1"/>
  <c r="Y409" i="40" s="1"/>
  <c r="Y410" i="37" a="1"/>
  <c r="Y410" s="1"/>
  <c r="Y410" i="40" s="1"/>
  <c r="Y406" i="37" a="1"/>
  <c r="Y406" s="1"/>
  <c r="Y406" i="40" s="1"/>
  <c r="Y396" i="37" a="1"/>
  <c r="Y396" s="1"/>
  <c r="Y396" i="40" s="1"/>
  <c r="Y393" i="37" a="1"/>
  <c r="Y393" s="1"/>
  <c r="Y393" i="40" s="1"/>
  <c r="Y401" i="37" a="1"/>
  <c r="Y401" s="1"/>
  <c r="Y401" i="40" s="1"/>
  <c r="Y390" i="37" a="1"/>
  <c r="Y390" s="1"/>
  <c r="Y402" a="1"/>
  <c r="Y402" s="1"/>
  <c r="Y402" i="40" s="1"/>
  <c r="Y403" i="37" a="1"/>
  <c r="Y403" s="1"/>
  <c r="Y403" i="40" s="1"/>
  <c r="Y405" i="37" a="1"/>
  <c r="Y405" s="1"/>
  <c r="Y405" i="40" s="1"/>
  <c r="Y400" i="37" a="1"/>
  <c r="Y400" s="1"/>
  <c r="Y400" i="40" s="1"/>
  <c r="Y411" i="37" a="1"/>
  <c r="Y411" s="1"/>
  <c r="Y411" i="40" s="1"/>
  <c r="Y395" i="37" a="1"/>
  <c r="Y395" s="1"/>
  <c r="Y395" i="40" s="1"/>
  <c r="Y392" i="37" a="1"/>
  <c r="Y392" s="1"/>
  <c r="Y392" i="40" s="1"/>
  <c r="Y404" i="37" a="1"/>
  <c r="Y404" s="1"/>
  <c r="Y404" i="40" s="1"/>
  <c r="Y408" i="37" a="1"/>
  <c r="Y408" s="1"/>
  <c r="Y408" i="40" s="1"/>
  <c r="AA407" i="37" a="1"/>
  <c r="AA407" s="1"/>
  <c r="AA407" i="40" s="1"/>
  <c r="AA401" i="37" a="1"/>
  <c r="AA401" s="1"/>
  <c r="AA401" i="40" s="1"/>
  <c r="AA398" i="37" a="1"/>
  <c r="AA398" s="1"/>
  <c r="AA398" i="40" s="1"/>
  <c r="AA399" i="37" a="1"/>
  <c r="AA399" s="1"/>
  <c r="AA399" i="40" s="1"/>
  <c r="AA409" i="37" a="1"/>
  <c r="AA409" s="1"/>
  <c r="AA409" i="40" s="1"/>
  <c r="AA394" i="37" a="1"/>
  <c r="AA394" s="1"/>
  <c r="AA394" i="40" s="1"/>
  <c r="AA397" i="37" a="1"/>
  <c r="AA397" s="1"/>
  <c r="AA397" i="40" s="1"/>
  <c r="AA393" i="37" a="1"/>
  <c r="AA393" s="1"/>
  <c r="AA393" i="40" s="1"/>
  <c r="AA391" i="37" a="1"/>
  <c r="AA391" s="1"/>
  <c r="AA391" i="40" s="1"/>
  <c r="AA396" i="37" a="1"/>
  <c r="AA396" s="1"/>
  <c r="AA396" i="40" s="1"/>
  <c r="AA389" i="37" a="1"/>
  <c r="AA389" s="1"/>
  <c r="AA389" i="40" s="1"/>
  <c r="AA410" i="37" a="1"/>
  <c r="AA410" s="1"/>
  <c r="AA410" i="40" s="1"/>
  <c r="AA412" i="37" a="1"/>
  <c r="AA412" s="1"/>
  <c r="AA412" i="40" s="1"/>
  <c r="AA406" i="37" a="1"/>
  <c r="AA406" s="1"/>
  <c r="AA406" i="40" s="1"/>
  <c r="AA390" i="37" a="1"/>
  <c r="AA390" s="1"/>
  <c r="AA402" a="1"/>
  <c r="AA402" s="1"/>
  <c r="AA402" i="40" s="1"/>
  <c r="AA411" i="37" a="1"/>
  <c r="AA411" s="1"/>
  <c r="AA411" i="40" s="1"/>
  <c r="AA395" i="37" a="1"/>
  <c r="AA395" s="1"/>
  <c r="AA395" i="40" s="1"/>
  <c r="AA404" i="37" a="1"/>
  <c r="AA404" s="1"/>
  <c r="AA404" i="40" s="1"/>
  <c r="AA403" i="37" a="1"/>
  <c r="AA403" s="1"/>
  <c r="AA403" i="40" s="1"/>
  <c r="AA405" i="37" a="1"/>
  <c r="AA405" s="1"/>
  <c r="AA405" i="40" s="1"/>
  <c r="AA408" i="37" a="1"/>
  <c r="AA408" s="1"/>
  <c r="AA408" i="40" s="1"/>
  <c r="AA392" i="37" a="1"/>
  <c r="AA392" s="1"/>
  <c r="AA392" i="40" s="1"/>
  <c r="AA400" i="37" a="1"/>
  <c r="AA400" s="1"/>
  <c r="AA400" i="40" s="1"/>
  <c r="Y351" i="37" a="1"/>
  <c r="Y351" s="1"/>
  <c r="Y351" i="40" s="1"/>
  <c r="Y354" i="37" a="1"/>
  <c r="Y354" s="1"/>
  <c r="Y354" i="40" s="1"/>
  <c r="Y359" i="37" a="1"/>
  <c r="Y359" s="1"/>
  <c r="Y359" i="40" s="1"/>
  <c r="Y343" i="37" a="1"/>
  <c r="Y343" s="1"/>
  <c r="Y343" i="40" s="1"/>
  <c r="Y348" i="37" a="1"/>
  <c r="Y348" s="1"/>
  <c r="Y348" i="40" s="1"/>
  <c r="Y361" i="37" a="1"/>
  <c r="Y361" s="1"/>
  <c r="Y361" i="40" s="1"/>
  <c r="Y346" i="37" a="1"/>
  <c r="Y346" s="1"/>
  <c r="Y346" i="40" s="1"/>
  <c r="Y364" i="37" a="1"/>
  <c r="Y364" s="1"/>
  <c r="Y364" i="40" s="1"/>
  <c r="Y353" i="37" a="1"/>
  <c r="Y353" s="1"/>
  <c r="Y353" i="40" s="1"/>
  <c r="Y345" i="37" a="1"/>
  <c r="Y345" s="1"/>
  <c r="Y345" i="40" s="1"/>
  <c r="Y341" i="37" a="1"/>
  <c r="Y341" s="1"/>
  <c r="Y341" i="40" s="1"/>
  <c r="Y358" i="37" a="1"/>
  <c r="Y358" s="1"/>
  <c r="Y358" i="40" s="1"/>
  <c r="Y357" i="37" a="1"/>
  <c r="Y357" s="1"/>
  <c r="Y357" i="40" s="1"/>
  <c r="Y350" i="37" a="1"/>
  <c r="Y350" s="1"/>
  <c r="Y350" i="40" s="1"/>
  <c r="Y342" i="37" a="1"/>
  <c r="Y342" s="1"/>
  <c r="Y347" a="1"/>
  <c r="Y347" s="1"/>
  <c r="Y347" i="40" s="1"/>
  <c r="Y363" i="37" a="1"/>
  <c r="Y363" s="1"/>
  <c r="Y363" i="40" s="1"/>
  <c r="Y360" i="37" a="1"/>
  <c r="Y360" s="1"/>
  <c r="Y360" i="40" s="1"/>
  <c r="Y344" i="37" a="1"/>
  <c r="Y344" s="1"/>
  <c r="Y344" i="40" s="1"/>
  <c r="Y349" i="37" a="1"/>
  <c r="Y349" s="1"/>
  <c r="Y349" i="40" s="1"/>
  <c r="Y356" i="37" a="1"/>
  <c r="Y356" s="1"/>
  <c r="Y356" i="40" s="1"/>
  <c r="Y362" i="37" a="1"/>
  <c r="Y362" s="1"/>
  <c r="Y362" i="40" s="1"/>
  <c r="Y352" i="37" a="1"/>
  <c r="Y352" s="1"/>
  <c r="Y352" i="40" s="1"/>
  <c r="Y355" i="37" a="1"/>
  <c r="Y355" s="1"/>
  <c r="Y355" i="40" s="1"/>
  <c r="AB354" i="37" a="1"/>
  <c r="AB354" s="1"/>
  <c r="AB354" i="40" s="1"/>
  <c r="AB359" i="37" a="1"/>
  <c r="AB359" s="1"/>
  <c r="AB359" i="40" s="1"/>
  <c r="AB351" i="37" a="1"/>
  <c r="AB351" s="1"/>
  <c r="AB351" i="40" s="1"/>
  <c r="AB350" i="37" a="1"/>
  <c r="AB350" s="1"/>
  <c r="AB350" i="40" s="1"/>
  <c r="AB341" i="37" a="1"/>
  <c r="AB341" s="1"/>
  <c r="AB341" i="40" s="1"/>
  <c r="AB343" i="37" a="1"/>
  <c r="AB343" s="1"/>
  <c r="AB343" i="40" s="1"/>
  <c r="AB353" i="37" a="1"/>
  <c r="AB353" s="1"/>
  <c r="AB353" i="40" s="1"/>
  <c r="AB345" i="37" a="1"/>
  <c r="AB345" s="1"/>
  <c r="AB345" i="40" s="1"/>
  <c r="AB346" i="37" a="1"/>
  <c r="AB346" s="1"/>
  <c r="AB346" i="40" s="1"/>
  <c r="AB364" i="37" a="1"/>
  <c r="AB364" s="1"/>
  <c r="AB364" i="40" s="1"/>
  <c r="AB348" i="37" a="1"/>
  <c r="AB348" s="1"/>
  <c r="AB348" i="40" s="1"/>
  <c r="AB358" i="37" a="1"/>
  <c r="AB358" s="1"/>
  <c r="AB358" i="40" s="1"/>
  <c r="AB342" i="37" a="1"/>
  <c r="AB342" s="1"/>
  <c r="AB357" a="1"/>
  <c r="AB357" s="1"/>
  <c r="AB357" i="40" s="1"/>
  <c r="AB361" i="37" a="1"/>
  <c r="AB361" s="1"/>
  <c r="AB361" i="40" s="1"/>
  <c r="AB344" i="37" a="1"/>
  <c r="AB344" s="1"/>
  <c r="AB344" i="40" s="1"/>
  <c r="AB362" i="37" a="1"/>
  <c r="AB362" s="1"/>
  <c r="AB362" i="40" s="1"/>
  <c r="AB352" i="37" a="1"/>
  <c r="AB352" s="1"/>
  <c r="AB352" i="40" s="1"/>
  <c r="AB347" i="37" a="1"/>
  <c r="AB347" s="1"/>
  <c r="AB347" i="40" s="1"/>
  <c r="AB349" i="37" a="1"/>
  <c r="AB349" s="1"/>
  <c r="AB349" i="40" s="1"/>
  <c r="AB355" i="37" a="1"/>
  <c r="AB355" s="1"/>
  <c r="AB355" i="40" s="1"/>
  <c r="AB363" i="37" a="1"/>
  <c r="AB363" s="1"/>
  <c r="AB363" i="40" s="1"/>
  <c r="AB360" i="37" a="1"/>
  <c r="AB360" s="1"/>
  <c r="AB360" i="40" s="1"/>
  <c r="AB356" i="37" a="1"/>
  <c r="AB356" s="1"/>
  <c r="AB356" i="40" s="1"/>
  <c r="X487" i="37" a="1"/>
  <c r="X487" s="1"/>
  <c r="X487" i="40" s="1"/>
  <c r="X484" i="37" a="1"/>
  <c r="X484" s="1"/>
  <c r="X485" a="1"/>
  <c r="X485" s="1"/>
  <c r="X485" i="40" s="1"/>
  <c r="X489" i="37" a="1"/>
  <c r="X489" s="1"/>
  <c r="X489" i="40" s="1"/>
  <c r="X486" i="37" a="1"/>
  <c r="X486" s="1"/>
  <c r="X486" i="40" s="1"/>
  <c r="X493" i="37" a="1"/>
  <c r="X493" s="1"/>
  <c r="X493" i="40" s="1"/>
  <c r="X492" i="37" a="1"/>
  <c r="X492" s="1"/>
  <c r="X492" i="40" s="1"/>
  <c r="X491" i="37" a="1"/>
  <c r="X491" s="1"/>
  <c r="X491" i="40" s="1"/>
  <c r="X488" i="37" a="1"/>
  <c r="X488" s="1"/>
  <c r="X488" i="40" s="1"/>
  <c r="X495" i="37" a="1"/>
  <c r="X495" s="1"/>
  <c r="X495" i="40" s="1"/>
  <c r="X496" i="37" a="1"/>
  <c r="X496" s="1"/>
  <c r="X496" i="40" s="1"/>
  <c r="X490" i="37" a="1"/>
  <c r="X490" s="1"/>
  <c r="X490" i="40" s="1"/>
  <c r="X494" i="37" a="1"/>
  <c r="X494" s="1"/>
  <c r="X494" i="40" s="1"/>
  <c r="X497" i="37" a="1"/>
  <c r="X497" s="1"/>
  <c r="X497" i="40" s="1"/>
  <c r="V322" i="37" a="1"/>
  <c r="V322" s="1"/>
  <c r="V333" a="1"/>
  <c r="V333" s="1"/>
  <c r="V333" i="40" s="1"/>
  <c r="V321" i="37" a="1"/>
  <c r="V321" s="1"/>
  <c r="V321" i="40" s="1"/>
  <c r="V335" i="37" a="1"/>
  <c r="V335" s="1"/>
  <c r="V335" i="40" s="1"/>
  <c r="V329" i="37" a="1"/>
  <c r="V329" s="1"/>
  <c r="V329" i="40" s="1"/>
  <c r="V327" i="37" a="1"/>
  <c r="V327" s="1"/>
  <c r="V327" i="40" s="1"/>
  <c r="V338" i="37" a="1"/>
  <c r="V338" s="1"/>
  <c r="V338" i="40" s="1"/>
  <c r="V332" i="37" a="1"/>
  <c r="V332" s="1"/>
  <c r="V332" i="40" s="1"/>
  <c r="V337" i="37" a="1"/>
  <c r="V337" s="1"/>
  <c r="V337" i="40" s="1"/>
  <c r="V325" i="37" a="1"/>
  <c r="V325" s="1"/>
  <c r="V325" i="40" s="1"/>
  <c r="V324" i="37" a="1"/>
  <c r="V324" s="1"/>
  <c r="V324" i="40" s="1"/>
  <c r="V334" i="37" a="1"/>
  <c r="V334" s="1"/>
  <c r="V334" i="40" s="1"/>
  <c r="V326" i="37" a="1"/>
  <c r="V326" s="1"/>
  <c r="V326" i="40" s="1"/>
  <c r="V339" i="37" a="1"/>
  <c r="V339" s="1"/>
  <c r="V339" i="40" s="1"/>
  <c r="V331" i="37" a="1"/>
  <c r="V331" s="1"/>
  <c r="V331" i="40" s="1"/>
  <c r="V323" i="37" a="1"/>
  <c r="V323" s="1"/>
  <c r="V323" i="40" s="1"/>
  <c r="V330" i="37" a="1"/>
  <c r="V330" s="1"/>
  <c r="V330" i="40" s="1"/>
  <c r="V328" i="37" a="1"/>
  <c r="V328" s="1"/>
  <c r="V328" i="40" s="1"/>
  <c r="V340" i="37" a="1"/>
  <c r="V340" s="1"/>
  <c r="V340" i="40" s="1"/>
  <c r="V336" i="37" a="1"/>
  <c r="V336" s="1"/>
  <c r="V336" i="40" s="1"/>
  <c r="Y63" i="37" a="1"/>
  <c r="Y63" s="1"/>
  <c r="Y63" i="40" s="1"/>
  <c r="Y66" i="37" a="1"/>
  <c r="Y66" s="1"/>
  <c r="Y66" i="40" s="1"/>
  <c r="Y50" i="37" a="1"/>
  <c r="Y50" s="1"/>
  <c r="Y50" i="40" s="1"/>
  <c r="Y55" i="37" a="1"/>
  <c r="Y55" s="1"/>
  <c r="Y55" i="40" s="1"/>
  <c r="Y54" i="37" a="1"/>
  <c r="Y54" s="1"/>
  <c r="Y54" i="40" s="1"/>
  <c r="Y46" i="37" a="1"/>
  <c r="Y46" s="1"/>
  <c r="Y46" i="40" s="1"/>
  <c r="Y58" i="37" a="1"/>
  <c r="Y58" s="1"/>
  <c r="Y58" i="40" s="1"/>
  <c r="Y49" i="37" a="1"/>
  <c r="Y49" s="1"/>
  <c r="Y49" i="40" s="1"/>
  <c r="Y60" i="37" a="1"/>
  <c r="Y60" s="1"/>
  <c r="Y60" i="40" s="1"/>
  <c r="Y65" i="37" a="1"/>
  <c r="Y65" s="1"/>
  <c r="Y65" i="40" s="1"/>
  <c r="Y47" i="37" a="1"/>
  <c r="Y47" s="1"/>
  <c r="Y57" a="1"/>
  <c r="Y57" s="1"/>
  <c r="Y57" i="40" s="1"/>
  <c r="Y53" i="37" a="1"/>
  <c r="Y53" s="1"/>
  <c r="Y53" i="40" s="1"/>
  <c r="Y52" i="37" a="1"/>
  <c r="Y52" s="1"/>
  <c r="Y52" i="40" s="1"/>
  <c r="Y62" i="37" a="1"/>
  <c r="Y62" s="1"/>
  <c r="Y62" i="40" s="1"/>
  <c r="Y68" i="37" a="1"/>
  <c r="Y68" s="1"/>
  <c r="Y68" i="40" s="1"/>
  <c r="Y67" i="37" a="1"/>
  <c r="Y67" s="1"/>
  <c r="Y67" i="40" s="1"/>
  <c r="Y59" i="37" a="1"/>
  <c r="Y59" s="1"/>
  <c r="Y59" i="40" s="1"/>
  <c r="Y51" i="37" a="1"/>
  <c r="Y51" s="1"/>
  <c r="Y51" i="40" s="1"/>
  <c r="Y64" i="37" a="1"/>
  <c r="Y64" s="1"/>
  <c r="Y64" i="40" s="1"/>
  <c r="Y61" i="37" a="1"/>
  <c r="Y61" s="1"/>
  <c r="Y61" i="40" s="1"/>
  <c r="Y56" i="37" a="1"/>
  <c r="Y56" s="1"/>
  <c r="Y56" i="40" s="1"/>
  <c r="Y48" i="37" a="1"/>
  <c r="Y48" s="1"/>
  <c r="Y48" i="40" s="1"/>
  <c r="AA66" i="37" a="1"/>
  <c r="AA66" s="1"/>
  <c r="AA66" i="40" s="1"/>
  <c r="AA50" i="37" a="1"/>
  <c r="AA50" s="1"/>
  <c r="AA50" i="40" s="1"/>
  <c r="AA68" i="37" a="1"/>
  <c r="AA68" s="1"/>
  <c r="AA68" i="40" s="1"/>
  <c r="AA63" i="37" a="1"/>
  <c r="AA63" s="1"/>
  <c r="AA63" i="40" s="1"/>
  <c r="AA60" i="37" a="1"/>
  <c r="AA60" s="1"/>
  <c r="AA60" i="40" s="1"/>
  <c r="AA57" i="37" a="1"/>
  <c r="AA57" s="1"/>
  <c r="AA57" i="40" s="1"/>
  <c r="AA47" i="37" a="1"/>
  <c r="AA47" s="1"/>
  <c r="AA49" a="1"/>
  <c r="AA49" s="1"/>
  <c r="AA49" i="40" s="1"/>
  <c r="AA58" i="37" a="1"/>
  <c r="AA58" s="1"/>
  <c r="AA58" i="40" s="1"/>
  <c r="AA55" i="37" a="1"/>
  <c r="AA55" s="1"/>
  <c r="AA55" i="40" s="1"/>
  <c r="AA65" i="37" a="1"/>
  <c r="AA65" s="1"/>
  <c r="AA65" i="40" s="1"/>
  <c r="AA46" i="37" a="1"/>
  <c r="AA46" s="1"/>
  <c r="AA46" i="40" s="1"/>
  <c r="AA53" i="37" a="1"/>
  <c r="AA53" s="1"/>
  <c r="AA53" i="40" s="1"/>
  <c r="AA62" i="37" a="1"/>
  <c r="AA62" s="1"/>
  <c r="AA62" i="40" s="1"/>
  <c r="AA52" i="37" a="1"/>
  <c r="AA52" s="1"/>
  <c r="AA52" i="40" s="1"/>
  <c r="AA54" i="37" a="1"/>
  <c r="AA54" s="1"/>
  <c r="AA54" i="40" s="1"/>
  <c r="AA61" i="37" a="1"/>
  <c r="AA61" s="1"/>
  <c r="AA61" i="40" s="1"/>
  <c r="AA64" i="37" a="1"/>
  <c r="AA64" s="1"/>
  <c r="AA64" i="40" s="1"/>
  <c r="AA56" i="37" a="1"/>
  <c r="AA56" s="1"/>
  <c r="AA56" i="40" s="1"/>
  <c r="AA48" i="37" a="1"/>
  <c r="AA48" s="1"/>
  <c r="AA48" i="40" s="1"/>
  <c r="AA67" i="37" a="1"/>
  <c r="AA67" s="1"/>
  <c r="AA67" i="40" s="1"/>
  <c r="AA51" i="37" a="1"/>
  <c r="AA51" s="1"/>
  <c r="AA51" i="40" s="1"/>
  <c r="AA59" i="37" a="1"/>
  <c r="AA59" s="1"/>
  <c r="AA59" i="40" s="1"/>
  <c r="X261" i="37" a="1"/>
  <c r="X261" s="1"/>
  <c r="X261" i="40" s="1"/>
  <c r="X255" i="37" a="1"/>
  <c r="X255" s="1"/>
  <c r="X274" a="1"/>
  <c r="X274" s="1"/>
  <c r="X274" i="40" s="1"/>
  <c r="X271" i="37" a="1"/>
  <c r="X271" s="1"/>
  <c r="X271" i="40" s="1"/>
  <c r="X270" i="37" a="1"/>
  <c r="X270" s="1"/>
  <c r="X270" i="40" s="1"/>
  <c r="X262" i="37" a="1"/>
  <c r="X262" s="1"/>
  <c r="X262" i="40" s="1"/>
  <c r="X254" i="37" a="1"/>
  <c r="X254" s="1"/>
  <c r="X254" i="40" s="1"/>
  <c r="X266" i="37" a="1"/>
  <c r="X266" s="1"/>
  <c r="X266" i="40" s="1"/>
  <c r="X268" i="37" a="1"/>
  <c r="X268" s="1"/>
  <c r="X268" i="40" s="1"/>
  <c r="X263" i="37" a="1"/>
  <c r="X263" s="1"/>
  <c r="X263" i="40" s="1"/>
  <c r="X257" i="37" a="1"/>
  <c r="X257" s="1"/>
  <c r="X257" i="40" s="1"/>
  <c r="X265" i="37" a="1"/>
  <c r="X265" s="1"/>
  <c r="X265" i="40" s="1"/>
  <c r="X258" i="37" a="1"/>
  <c r="X258" s="1"/>
  <c r="X258" i="40" s="1"/>
  <c r="X273" i="37" a="1"/>
  <c r="X273" s="1"/>
  <c r="X273" i="40" s="1"/>
  <c r="X276" i="37" a="1"/>
  <c r="X276" s="1"/>
  <c r="X276" i="40" s="1"/>
  <c r="X260" i="37" a="1"/>
  <c r="X260" s="1"/>
  <c r="X260" i="40" s="1"/>
  <c r="X256" i="37" a="1"/>
  <c r="X256" s="1"/>
  <c r="X256" i="40" s="1"/>
  <c r="X269" i="37" a="1"/>
  <c r="X269" s="1"/>
  <c r="X269" i="40" s="1"/>
  <c r="X275" i="37" a="1"/>
  <c r="X275" s="1"/>
  <c r="X275" i="40" s="1"/>
  <c r="X267" i="37" a="1"/>
  <c r="X267" s="1"/>
  <c r="X267" i="40" s="1"/>
  <c r="X259" i="37" a="1"/>
  <c r="X259" s="1"/>
  <c r="X259" i="40" s="1"/>
  <c r="X272" i="37" a="1"/>
  <c r="X272" s="1"/>
  <c r="X272" i="40" s="1"/>
  <c r="X264" i="37" a="1"/>
  <c r="X264" s="1"/>
  <c r="X264" i="40" s="1"/>
  <c r="Z274" i="37" a="1"/>
  <c r="Z274" s="1"/>
  <c r="Z274" i="40" s="1"/>
  <c r="Z271" i="37" a="1"/>
  <c r="Z271" s="1"/>
  <c r="Z271" i="40" s="1"/>
  <c r="Z266" i="37" a="1"/>
  <c r="Z266" s="1"/>
  <c r="Z266" i="40" s="1"/>
  <c r="Z273" i="37" a="1"/>
  <c r="Z273" s="1"/>
  <c r="Z273" i="40" s="1"/>
  <c r="Z255" i="37" a="1"/>
  <c r="Z255" s="1"/>
  <c r="Z261" a="1"/>
  <c r="Z261" s="1"/>
  <c r="Z261" i="40" s="1"/>
  <c r="Z263" i="37" a="1"/>
  <c r="Z263" s="1"/>
  <c r="Z263" i="40" s="1"/>
  <c r="Z257" i="37" a="1"/>
  <c r="Z257" s="1"/>
  <c r="Z257" i="40" s="1"/>
  <c r="Z276" i="37" a="1"/>
  <c r="Z276" s="1"/>
  <c r="Z276" i="40" s="1"/>
  <c r="Z265" i="37" a="1"/>
  <c r="Z265" s="1"/>
  <c r="Z265" i="40" s="1"/>
  <c r="Z268" i="37" a="1"/>
  <c r="Z268" s="1"/>
  <c r="Z268" i="40" s="1"/>
  <c r="Z270" i="37" a="1"/>
  <c r="Z270" s="1"/>
  <c r="Z270" i="40" s="1"/>
  <c r="Z254" i="37" a="1"/>
  <c r="Z254" s="1"/>
  <c r="Z254" i="40" s="1"/>
  <c r="Z260" i="37" a="1"/>
  <c r="Z260" s="1"/>
  <c r="Z260" i="40" s="1"/>
  <c r="Z258" i="37" a="1"/>
  <c r="Z258" s="1"/>
  <c r="Z258" i="40" s="1"/>
  <c r="Z262" i="37" a="1"/>
  <c r="Z262" s="1"/>
  <c r="Z262" i="40" s="1"/>
  <c r="Z272" i="37" a="1"/>
  <c r="Z272" s="1"/>
  <c r="Z272" i="40" s="1"/>
  <c r="Z267" i="37" a="1"/>
  <c r="Z267" s="1"/>
  <c r="Z267" i="40" s="1"/>
  <c r="Z259" i="37" a="1"/>
  <c r="Z259" s="1"/>
  <c r="Z259" i="40" s="1"/>
  <c r="Z275" i="37" a="1"/>
  <c r="Z275" s="1"/>
  <c r="Z275" i="40" s="1"/>
  <c r="Z256" i="37" a="1"/>
  <c r="Z256" s="1"/>
  <c r="Z256" i="40" s="1"/>
  <c r="Z269" i="37" a="1"/>
  <c r="Z269" s="1"/>
  <c r="Z269" i="40" s="1"/>
  <c r="Z264" i="37" a="1"/>
  <c r="Z264" s="1"/>
  <c r="Z264" i="40" s="1"/>
  <c r="R178" i="37" a="1"/>
  <c r="R178" s="1"/>
  <c r="R178" i="40" s="1"/>
  <c r="R170" i="37" a="1"/>
  <c r="R170" s="1"/>
  <c r="R170" i="40" s="1"/>
  <c r="R165" i="37" a="1"/>
  <c r="R165" s="1"/>
  <c r="R165" i="40" s="1"/>
  <c r="R167" i="37" a="1"/>
  <c r="R167" s="1"/>
  <c r="R167" i="40" s="1"/>
  <c r="R182" i="37" a="1"/>
  <c r="R182" s="1"/>
  <c r="R182" i="40" s="1"/>
  <c r="R162" i="37" a="1"/>
  <c r="R162" s="1"/>
  <c r="R162" i="40" s="1"/>
  <c r="R173" i="37" a="1"/>
  <c r="R173" s="1"/>
  <c r="R173" i="40" s="1"/>
  <c r="R164" i="37" a="1"/>
  <c r="R164" s="1"/>
  <c r="R164" i="40" s="1"/>
  <c r="R177" i="37" a="1"/>
  <c r="R177" s="1"/>
  <c r="R177" i="40" s="1"/>
  <c r="R183" i="37" a="1"/>
  <c r="R183" s="1"/>
  <c r="R183" i="40" s="1"/>
  <c r="R169" i="37" a="1"/>
  <c r="R169" s="1"/>
  <c r="R169" i="40" s="1"/>
  <c r="R175" i="37" a="1"/>
  <c r="R175" s="1"/>
  <c r="R175" i="40" s="1"/>
  <c r="R174" i="37" a="1"/>
  <c r="R174" s="1"/>
  <c r="R174" i="40" s="1"/>
  <c r="R166" i="37" a="1"/>
  <c r="R166" s="1"/>
  <c r="R166" i="40" s="1"/>
  <c r="R172" i="37" a="1"/>
  <c r="R172" s="1"/>
  <c r="R172" i="40" s="1"/>
  <c r="R181" i="37" a="1"/>
  <c r="R181" s="1"/>
  <c r="R181" i="40" s="1"/>
  <c r="R180" i="37" a="1"/>
  <c r="R180" s="1"/>
  <c r="R180" i="40" s="1"/>
  <c r="R179" i="37" a="1"/>
  <c r="R179" s="1"/>
  <c r="R179" i="40" s="1"/>
  <c r="R168" i="37" a="1"/>
  <c r="R168" s="1"/>
  <c r="R168" i="40" s="1"/>
  <c r="R163" i="37" a="1"/>
  <c r="R163" s="1"/>
  <c r="R184" a="1"/>
  <c r="R184" s="1"/>
  <c r="R184" i="40" s="1"/>
  <c r="R176" i="37" a="1"/>
  <c r="R176" s="1"/>
  <c r="R176" i="40" s="1"/>
  <c r="R171" i="37" a="1"/>
  <c r="R171" s="1"/>
  <c r="R171" i="40" s="1"/>
  <c r="AB183" i="37" a="1"/>
  <c r="AB183" s="1"/>
  <c r="AB183" i="40" s="1"/>
  <c r="AB175" i="37" a="1"/>
  <c r="AB175" s="1"/>
  <c r="AB175" i="40" s="1"/>
  <c r="AB167" i="37" a="1"/>
  <c r="AB167" s="1"/>
  <c r="AB167" i="40" s="1"/>
  <c r="AB173" i="37" a="1"/>
  <c r="AB173" s="1"/>
  <c r="AB173" i="40" s="1"/>
  <c r="AB177" i="37" a="1"/>
  <c r="AB177" s="1"/>
  <c r="AB177" i="40" s="1"/>
  <c r="AB178" i="37" a="1"/>
  <c r="AB178" s="1"/>
  <c r="AB178" i="40" s="1"/>
  <c r="AB162" i="37" a="1"/>
  <c r="AB162" s="1"/>
  <c r="AB162" i="40" s="1"/>
  <c r="AB164" i="37" a="1"/>
  <c r="AB164" s="1"/>
  <c r="AB164" i="40" s="1"/>
  <c r="AB169" i="37" a="1"/>
  <c r="AB169" s="1"/>
  <c r="AB169" i="40" s="1"/>
  <c r="AB165" i="37" a="1"/>
  <c r="AB165" s="1"/>
  <c r="AB165" i="40" s="1"/>
  <c r="AB170" i="37" a="1"/>
  <c r="AB170" s="1"/>
  <c r="AB170" i="40" s="1"/>
  <c r="AB180" i="37" a="1"/>
  <c r="AB180" s="1"/>
  <c r="AB180" i="40" s="1"/>
  <c r="AB172" i="37" a="1"/>
  <c r="AB172" s="1"/>
  <c r="AB172" i="40" s="1"/>
  <c r="AB181" i="37" a="1"/>
  <c r="AB181" s="1"/>
  <c r="AB181" i="40" s="1"/>
  <c r="AB174" i="37" a="1"/>
  <c r="AB174" s="1"/>
  <c r="AB174" i="40" s="1"/>
  <c r="AB182" i="37" a="1"/>
  <c r="AB182" s="1"/>
  <c r="AB182" i="40" s="1"/>
  <c r="AB166" i="37" a="1"/>
  <c r="AB166" s="1"/>
  <c r="AB166" i="40" s="1"/>
  <c r="AB171" i="37" a="1"/>
  <c r="AB171" s="1"/>
  <c r="AB171" i="40" s="1"/>
  <c r="AB168" i="37" a="1"/>
  <c r="AB168" s="1"/>
  <c r="AB168" i="40" s="1"/>
  <c r="AB163" i="37" a="1"/>
  <c r="AB163" s="1"/>
  <c r="AB184" a="1"/>
  <c r="AB184" s="1"/>
  <c r="AB184" i="40" s="1"/>
  <c r="AB179" i="37" a="1"/>
  <c r="AB179" s="1"/>
  <c r="AB179" i="40" s="1"/>
  <c r="AB176" i="37" a="1"/>
  <c r="AB176" s="1"/>
  <c r="AB176" i="40" s="1"/>
  <c r="X10" i="37" a="1"/>
  <c r="X10" s="1"/>
  <c r="X10" i="40" s="1"/>
  <c r="X21" i="37" a="1"/>
  <c r="X21" s="1"/>
  <c r="X21" i="40" s="1"/>
  <c r="X17" i="37" a="1"/>
  <c r="X17" s="1"/>
  <c r="X17" i="40" s="1"/>
  <c r="X12" i="37" a="1"/>
  <c r="X12" s="1"/>
  <c r="X12" i="40" s="1"/>
  <c r="X5" i="37" a="1"/>
  <c r="X5" s="1"/>
  <c r="X5" i="40" s="1"/>
  <c r="X18" i="37" a="1"/>
  <c r="X18" s="1"/>
  <c r="X18" i="40" s="1"/>
  <c r="X20" i="37" a="1"/>
  <c r="X20" s="1"/>
  <c r="X20" i="40" s="1"/>
  <c r="X15" i="37" a="1"/>
  <c r="X15" s="1"/>
  <c r="X15" i="40" s="1"/>
  <c r="X7" i="37" a="1"/>
  <c r="X7" s="1"/>
  <c r="X7" i="40" s="1"/>
  <c r="X4" i="37" a="1"/>
  <c r="X4" s="1"/>
  <c r="X4" i="40" s="1"/>
  <c r="X9" i="37" a="1"/>
  <c r="X9" s="1"/>
  <c r="X9" i="40" s="1"/>
  <c r="X23" i="37" a="1"/>
  <c r="X23" s="1"/>
  <c r="X23" i="40" s="1"/>
  <c r="X14" i="37" a="1"/>
  <c r="X14" s="1"/>
  <c r="X14" i="40" s="1"/>
  <c r="X22" i="37" a="1"/>
  <c r="X22" s="1"/>
  <c r="X22" i="40" s="1"/>
  <c r="X6" i="37" a="1"/>
  <c r="X6" s="1"/>
  <c r="X6" i="40" s="1"/>
  <c r="X16" i="37" a="1"/>
  <c r="X16" s="1"/>
  <c r="X16" i="40" s="1"/>
  <c r="X8" i="37" a="1"/>
  <c r="X8" s="1"/>
  <c r="X8" i="40" s="1"/>
  <c r="X3" i="37" a="1"/>
  <c r="X3" s="1"/>
  <c r="X13" a="1"/>
  <c r="X13" s="1"/>
  <c r="X13" i="40" s="1"/>
  <c r="X11" i="37" a="1"/>
  <c r="X11" s="1"/>
  <c r="X11" i="40" s="1"/>
  <c r="X19" i="37" a="1"/>
  <c r="X19" s="1"/>
  <c r="X19" i="40" s="1"/>
  <c r="AA18" i="37" a="1"/>
  <c r="AA18" s="1"/>
  <c r="AA18" i="40" s="1"/>
  <c r="AA21" i="37" a="1"/>
  <c r="AA21" s="1"/>
  <c r="AA21" i="40" s="1"/>
  <c r="AA10" i="37" a="1"/>
  <c r="AA10" s="1"/>
  <c r="AA10" i="40" s="1"/>
  <c r="AA15" i="37" a="1"/>
  <c r="AA15" s="1"/>
  <c r="AA15" i="40" s="1"/>
  <c r="AA5" i="37" a="1"/>
  <c r="AA5" s="1"/>
  <c r="AA5" i="40" s="1"/>
  <c r="AA20" i="37" a="1"/>
  <c r="AA20" s="1"/>
  <c r="AA20" i="40" s="1"/>
  <c r="AA7" i="37" a="1"/>
  <c r="AA7" s="1"/>
  <c r="AA7" i="40" s="1"/>
  <c r="AA12" i="37" a="1"/>
  <c r="AA12" s="1"/>
  <c r="AA12" i="40" s="1"/>
  <c r="AA17" i="37" a="1"/>
  <c r="AA17" s="1"/>
  <c r="AA17" i="40" s="1"/>
  <c r="AA9" i="37" a="1"/>
  <c r="AA9" s="1"/>
  <c r="AA9" i="40" s="1"/>
  <c r="AA23" i="37" a="1"/>
  <c r="AA23" s="1"/>
  <c r="AA23" i="40" s="1"/>
  <c r="AA6" i="37" a="1"/>
  <c r="AA6" s="1"/>
  <c r="AA6" i="40" s="1"/>
  <c r="AA4" i="37" a="1"/>
  <c r="AA4" s="1"/>
  <c r="AA4" i="40" s="1"/>
  <c r="AA22" i="37" a="1"/>
  <c r="AA22" s="1"/>
  <c r="AA22" i="40" s="1"/>
  <c r="AA14" i="37" a="1"/>
  <c r="AA14" s="1"/>
  <c r="AA14" i="40" s="1"/>
  <c r="AA19" i="37" a="1"/>
  <c r="AA19" s="1"/>
  <c r="AA19" i="40" s="1"/>
  <c r="AA3" i="37" a="1"/>
  <c r="AA3" s="1"/>
  <c r="AA11" a="1"/>
  <c r="AA11" s="1"/>
  <c r="AA11" i="40" s="1"/>
  <c r="AA8" i="37" a="1"/>
  <c r="AA8" s="1"/>
  <c r="AA8" i="40" s="1"/>
  <c r="AA13" i="37" a="1"/>
  <c r="AA13" s="1"/>
  <c r="AA13" i="40" s="1"/>
  <c r="AA16" i="37" a="1"/>
  <c r="AA16" s="1"/>
  <c r="AA16" i="40" s="1"/>
  <c r="Y431" i="37" a="1"/>
  <c r="Y431" s="1"/>
  <c r="Y431" i="40" s="1"/>
  <c r="Y415" i="37" a="1"/>
  <c r="Y415" s="1"/>
  <c r="Y415" i="40" s="1"/>
  <c r="Y429" i="37" a="1"/>
  <c r="Y429" s="1"/>
  <c r="Y429" i="40" s="1"/>
  <c r="Y422" i="37" a="1"/>
  <c r="Y422" s="1"/>
  <c r="Y422" i="40" s="1"/>
  <c r="Y414" i="37" a="1"/>
  <c r="Y414" s="1"/>
  <c r="Y421" a="1"/>
  <c r="Y421" s="1"/>
  <c r="Y421" i="40" s="1"/>
  <c r="Y428" i="37" a="1"/>
  <c r="Y428" s="1"/>
  <c r="Y428" i="40" s="1"/>
  <c r="Y423" i="37" a="1"/>
  <c r="Y423" s="1"/>
  <c r="Y423" i="40" s="1"/>
  <c r="Y433" i="37" a="1"/>
  <c r="Y433" s="1"/>
  <c r="Y433" i="40" s="1"/>
  <c r="Y426" i="37" a="1"/>
  <c r="Y426" s="1"/>
  <c r="Y426" i="40" s="1"/>
  <c r="Y430" i="37" a="1"/>
  <c r="Y430" s="1"/>
  <c r="Y430" i="40" s="1"/>
  <c r="Y425" i="37" a="1"/>
  <c r="Y425" s="1"/>
  <c r="Y425" i="40" s="1"/>
  <c r="Y420" i="37" a="1"/>
  <c r="Y420" s="1"/>
  <c r="Y420" i="40" s="1"/>
  <c r="Y427" i="37" a="1"/>
  <c r="Y427" s="1"/>
  <c r="Y427" i="40" s="1"/>
  <c r="Y417" i="37" a="1"/>
  <c r="Y417" s="1"/>
  <c r="Y417" i="40" s="1"/>
  <c r="Y413" i="37" a="1"/>
  <c r="Y413" s="1"/>
  <c r="Y413" i="40" s="1"/>
  <c r="Y418" i="37" a="1"/>
  <c r="Y418" s="1"/>
  <c r="Y418" i="40" s="1"/>
  <c r="Y432" i="37" a="1"/>
  <c r="Y432" s="1"/>
  <c r="Y432" i="40" s="1"/>
  <c r="Y419" i="37" a="1"/>
  <c r="Y419" s="1"/>
  <c r="Y419" i="40" s="1"/>
  <c r="Y434" i="37" a="1"/>
  <c r="Y434" s="1"/>
  <c r="Y434" i="40" s="1"/>
  <c r="Y435" i="37" a="1"/>
  <c r="Y435" s="1"/>
  <c r="Y435" i="40" s="1"/>
  <c r="Y416" i="37" a="1"/>
  <c r="Y416" s="1"/>
  <c r="Y416" i="40" s="1"/>
  <c r="Y424" i="37" a="1"/>
  <c r="Y424" s="1"/>
  <c r="Y424" i="40" s="1"/>
  <c r="AA423" i="37" a="1"/>
  <c r="AA423" s="1"/>
  <c r="AA423" i="40" s="1"/>
  <c r="AA428" i="37" a="1"/>
  <c r="AA428" s="1"/>
  <c r="AA428" i="40" s="1"/>
  <c r="AA429" i="37" a="1"/>
  <c r="AA429" s="1"/>
  <c r="AA429" i="40" s="1"/>
  <c r="AA431" i="37" a="1"/>
  <c r="AA431" s="1"/>
  <c r="AA431" i="40" s="1"/>
  <c r="AA415" i="37" a="1"/>
  <c r="AA415" s="1"/>
  <c r="AA415" i="40" s="1"/>
  <c r="AA421" i="37" a="1"/>
  <c r="AA421" s="1"/>
  <c r="AA421" i="40" s="1"/>
  <c r="AA433" i="37" a="1"/>
  <c r="AA433" s="1"/>
  <c r="AA433" i="40" s="1"/>
  <c r="AA430" i="37" a="1"/>
  <c r="AA430" s="1"/>
  <c r="AA430" i="40" s="1"/>
  <c r="AA414" i="37" a="1"/>
  <c r="AA414" s="1"/>
  <c r="AA427" a="1"/>
  <c r="AA427" s="1"/>
  <c r="AA427" i="40" s="1"/>
  <c r="AA419" i="37" a="1"/>
  <c r="AA419" s="1"/>
  <c r="AA419" i="40" s="1"/>
  <c r="AA413" i="37" a="1"/>
  <c r="AA413" s="1"/>
  <c r="AA413" i="40" s="1"/>
  <c r="AA426" i="37" a="1"/>
  <c r="AA426" s="1"/>
  <c r="AA426" i="40" s="1"/>
  <c r="AA417" i="37" a="1"/>
  <c r="AA417" s="1"/>
  <c r="AA417" i="40" s="1"/>
  <c r="AA420" i="37" a="1"/>
  <c r="AA420" s="1"/>
  <c r="AA420" i="40" s="1"/>
  <c r="AA422" i="37" a="1"/>
  <c r="AA422" s="1"/>
  <c r="AA422" i="40" s="1"/>
  <c r="AA425" i="37" a="1"/>
  <c r="AA425" s="1"/>
  <c r="AA425" i="40" s="1"/>
  <c r="AA434" i="37" a="1"/>
  <c r="AA434" s="1"/>
  <c r="AA434" i="40" s="1"/>
  <c r="AA432" i="37" a="1"/>
  <c r="AA432" s="1"/>
  <c r="AA432" i="40" s="1"/>
  <c r="AA424" i="37" a="1"/>
  <c r="AA424" s="1"/>
  <c r="AA424" i="40" s="1"/>
  <c r="AA435" i="37" a="1"/>
  <c r="AA435" s="1"/>
  <c r="AA435" i="40" s="1"/>
  <c r="AA416" i="37" a="1"/>
  <c r="AA416" s="1"/>
  <c r="AA416" i="40" s="1"/>
  <c r="AA418" i="37" a="1"/>
  <c r="AA418" s="1"/>
  <c r="AA418" i="40" s="1"/>
  <c r="S250" i="37" a="1"/>
  <c r="S250" s="1"/>
  <c r="S250" i="40" s="1"/>
  <c r="S239" i="37" a="1"/>
  <c r="S239" s="1"/>
  <c r="S239" i="40" s="1"/>
  <c r="S253" i="37" a="1"/>
  <c r="S253" s="1"/>
  <c r="S253" i="40" s="1"/>
  <c r="S234" i="37" a="1"/>
  <c r="S234" s="1"/>
  <c r="S234" i="40" s="1"/>
  <c r="S231" i="37" a="1"/>
  <c r="S231" s="1"/>
  <c r="S231" i="40" s="1"/>
  <c r="S238" i="37" a="1"/>
  <c r="S238" s="1"/>
  <c r="S238" i="40" s="1"/>
  <c r="S242" i="37" a="1"/>
  <c r="S242" s="1"/>
  <c r="S242" i="40" s="1"/>
  <c r="S244" i="37" a="1"/>
  <c r="S244" s="1"/>
  <c r="S244" i="40" s="1"/>
  <c r="S236" i="37" a="1"/>
  <c r="S236" s="1"/>
  <c r="S236" i="40" s="1"/>
  <c r="S247" i="37" a="1"/>
  <c r="S247" s="1"/>
  <c r="S247" i="40" s="1"/>
  <c r="S249" i="37" a="1"/>
  <c r="S249" s="1"/>
  <c r="S249" i="40" s="1"/>
  <c r="S241" i="37" a="1"/>
  <c r="S241" s="1"/>
  <c r="S241" i="40" s="1"/>
  <c r="S233" i="37" a="1"/>
  <c r="S233" s="1"/>
  <c r="S233" i="40" s="1"/>
  <c r="S245" i="37" a="1"/>
  <c r="S245" s="1"/>
  <c r="S245" i="40" s="1"/>
  <c r="S237" i="37" a="1"/>
  <c r="S237" s="1"/>
  <c r="S237" i="40" s="1"/>
  <c r="S246" i="37" a="1"/>
  <c r="S246" s="1"/>
  <c r="S246" i="40" s="1"/>
  <c r="S248" i="37" a="1"/>
  <c r="S248" s="1"/>
  <c r="S248" i="40" s="1"/>
  <c r="S235" i="37" a="1"/>
  <c r="S235" s="1"/>
  <c r="S235" i="40" s="1"/>
  <c r="S240" i="37" a="1"/>
  <c r="S240" s="1"/>
  <c r="S240" i="40" s="1"/>
  <c r="S251" i="37" a="1"/>
  <c r="S251" s="1"/>
  <c r="S251" i="40" s="1"/>
  <c r="S243" i="37" a="1"/>
  <c r="S243" s="1"/>
  <c r="S243" i="40" s="1"/>
  <c r="S252" i="37" a="1"/>
  <c r="S252" s="1"/>
  <c r="S252" i="40" s="1"/>
  <c r="S232" i="37" a="1"/>
  <c r="S232" s="1"/>
  <c r="AA247" a="1"/>
  <c r="AA247" s="1"/>
  <c r="AA247" i="40" s="1"/>
  <c r="AA234" i="37" a="1"/>
  <c r="AA234" s="1"/>
  <c r="AA234" i="40" s="1"/>
  <c r="AA242" i="37" a="1"/>
  <c r="AA242" s="1"/>
  <c r="AA242" i="40" s="1"/>
  <c r="AA253" i="37" a="1"/>
  <c r="AA253" s="1"/>
  <c r="AA253" i="40" s="1"/>
  <c r="AA244" i="37" a="1"/>
  <c r="AA244" s="1"/>
  <c r="AA244" i="40" s="1"/>
  <c r="AA231" i="37" a="1"/>
  <c r="AA231" s="1"/>
  <c r="AA231" i="40" s="1"/>
  <c r="AA250" i="37" a="1"/>
  <c r="AA250" s="1"/>
  <c r="AA250" i="40" s="1"/>
  <c r="AA249" i="37" a="1"/>
  <c r="AA249" s="1"/>
  <c r="AA249" i="40" s="1"/>
  <c r="AA233" i="37" a="1"/>
  <c r="AA233" s="1"/>
  <c r="AA233" i="40" s="1"/>
  <c r="AA236" i="37" a="1"/>
  <c r="AA236" s="1"/>
  <c r="AA236" i="40" s="1"/>
  <c r="AA239" i="37" a="1"/>
  <c r="AA239" s="1"/>
  <c r="AA239" i="40" s="1"/>
  <c r="AA241" i="37" a="1"/>
  <c r="AA241" s="1"/>
  <c r="AA241" i="40" s="1"/>
  <c r="AA245" i="37" a="1"/>
  <c r="AA245" s="1"/>
  <c r="AA245" i="40" s="1"/>
  <c r="AA238" i="37" a="1"/>
  <c r="AA238" s="1"/>
  <c r="AA238" i="40" s="1"/>
  <c r="AA237" i="37" a="1"/>
  <c r="AA237" s="1"/>
  <c r="AA237" i="40" s="1"/>
  <c r="AA246" i="37" a="1"/>
  <c r="AA246" s="1"/>
  <c r="AA246" i="40" s="1"/>
  <c r="AA251" i="37" a="1"/>
  <c r="AA251" s="1"/>
  <c r="AA251" i="40" s="1"/>
  <c r="AA232" i="37" a="1"/>
  <c r="AA232" s="1"/>
  <c r="AA243" a="1"/>
  <c r="AA243" s="1"/>
  <c r="AA243" i="40" s="1"/>
  <c r="AA248" i="37" a="1"/>
  <c r="AA248" s="1"/>
  <c r="AA248" i="40" s="1"/>
  <c r="AA235" i="37" a="1"/>
  <c r="AA235" s="1"/>
  <c r="AA235" i="40" s="1"/>
  <c r="AA240" i="37" a="1"/>
  <c r="AA240" s="1"/>
  <c r="AA240" i="40" s="1"/>
  <c r="AA252" i="37" a="1"/>
  <c r="AA252" s="1"/>
  <c r="AA252" i="40" s="1"/>
  <c r="X157" i="37" a="1"/>
  <c r="X157" s="1"/>
  <c r="X157" i="40" s="1"/>
  <c r="X138" i="37" a="1"/>
  <c r="X138" s="1"/>
  <c r="X138" i="40" s="1"/>
  <c r="X146" i="37" a="1"/>
  <c r="X146" s="1"/>
  <c r="X146" i="40" s="1"/>
  <c r="X154" i="37" a="1"/>
  <c r="X154" s="1"/>
  <c r="X154" i="40" s="1"/>
  <c r="X143" i="37" a="1"/>
  <c r="X143" s="1"/>
  <c r="X143" i="40" s="1"/>
  <c r="X161" i="37" a="1"/>
  <c r="X161" s="1"/>
  <c r="X161" i="40" s="1"/>
  <c r="X159" i="37" a="1"/>
  <c r="X159" s="1"/>
  <c r="X159" i="40" s="1"/>
  <c r="X156" i="37" a="1"/>
  <c r="X156" s="1"/>
  <c r="X156" i="40" s="1"/>
  <c r="X145" i="37" a="1"/>
  <c r="X145" s="1"/>
  <c r="X145" i="40" s="1"/>
  <c r="X141" i="37" a="1"/>
  <c r="X141" s="1"/>
  <c r="X141" i="40" s="1"/>
  <c r="X153" i="37" a="1"/>
  <c r="X153" s="1"/>
  <c r="X153" i="40" s="1"/>
  <c r="X151" i="37" a="1"/>
  <c r="X151" s="1"/>
  <c r="X151" i="40" s="1"/>
  <c r="X149" i="37" a="1"/>
  <c r="X149" s="1"/>
  <c r="X149" i="40" s="1"/>
  <c r="X140" i="37" a="1"/>
  <c r="X140" s="1"/>
  <c r="X140" i="40" s="1"/>
  <c r="X158" i="37" a="1"/>
  <c r="X158" s="1"/>
  <c r="X158" i="40" s="1"/>
  <c r="X142" i="37" a="1"/>
  <c r="X142" s="1"/>
  <c r="X142" i="40" s="1"/>
  <c r="X150" i="37" a="1"/>
  <c r="X150" s="1"/>
  <c r="X150" i="40" s="1"/>
  <c r="X148" i="37" a="1"/>
  <c r="X148" s="1"/>
  <c r="X148" i="40" s="1"/>
  <c r="X152" i="37" a="1"/>
  <c r="X152" s="1"/>
  <c r="X152" i="40" s="1"/>
  <c r="X147" i="37" a="1"/>
  <c r="X147" s="1"/>
  <c r="X147" i="40" s="1"/>
  <c r="X155" i="37" a="1"/>
  <c r="X155" s="1"/>
  <c r="X155" i="40" s="1"/>
  <c r="X160" i="37" a="1"/>
  <c r="X160" s="1"/>
  <c r="X160" i="40" s="1"/>
  <c r="X144" i="37" a="1"/>
  <c r="X144" s="1"/>
  <c r="X144" i="40" s="1"/>
  <c r="X139" i="37" a="1"/>
  <c r="X139" s="1"/>
  <c r="Z154" a="1"/>
  <c r="Z154" s="1"/>
  <c r="Z154" i="40" s="1"/>
  <c r="Z146" i="37" a="1"/>
  <c r="Z146" s="1"/>
  <c r="Z146" i="40" s="1"/>
  <c r="Z138" i="37" a="1"/>
  <c r="Z138" s="1"/>
  <c r="Z138" i="40" s="1"/>
  <c r="Z157" i="37" a="1"/>
  <c r="Z157" s="1"/>
  <c r="Z157" i="40" s="1"/>
  <c r="Z159" i="37" a="1"/>
  <c r="Z159" s="1"/>
  <c r="Z159" i="40" s="1"/>
  <c r="Z153" i="37" a="1"/>
  <c r="Z153" s="1"/>
  <c r="Z153" i="40" s="1"/>
  <c r="Z141" i="37" a="1"/>
  <c r="Z141" s="1"/>
  <c r="Z141" i="40" s="1"/>
  <c r="Z140" i="37" a="1"/>
  <c r="Z140" s="1"/>
  <c r="Z140" i="40" s="1"/>
  <c r="Z149" i="37" a="1"/>
  <c r="Z149" s="1"/>
  <c r="Z149" i="40" s="1"/>
  <c r="Z161" i="37" a="1"/>
  <c r="Z161" s="1"/>
  <c r="Z161" i="40" s="1"/>
  <c r="Z151" i="37" a="1"/>
  <c r="Z151" s="1"/>
  <c r="Z151" i="40" s="1"/>
  <c r="Z143" i="37" a="1"/>
  <c r="Z143" s="1"/>
  <c r="Z143" i="40" s="1"/>
  <c r="Z156" i="37" a="1"/>
  <c r="Z156" s="1"/>
  <c r="Z156" i="40" s="1"/>
  <c r="Z145" i="37" a="1"/>
  <c r="Z145" s="1"/>
  <c r="Z145" i="40" s="1"/>
  <c r="Z150" i="37" a="1"/>
  <c r="Z150" s="1"/>
  <c r="Z150" i="40" s="1"/>
  <c r="Z148" i="37" a="1"/>
  <c r="Z148" s="1"/>
  <c r="Z148" i="40" s="1"/>
  <c r="Z158" i="37" a="1"/>
  <c r="Z158" s="1"/>
  <c r="Z158" i="40" s="1"/>
  <c r="Z142" i="37" a="1"/>
  <c r="Z142" s="1"/>
  <c r="Z142" i="40" s="1"/>
  <c r="Z139" i="37" a="1"/>
  <c r="Z139" s="1"/>
  <c r="Z144" a="1"/>
  <c r="Z144" s="1"/>
  <c r="Z144" i="40" s="1"/>
  <c r="Z155" i="37" a="1"/>
  <c r="Z155" s="1"/>
  <c r="Z155" i="40" s="1"/>
  <c r="Z160" i="37" a="1"/>
  <c r="Z160" s="1"/>
  <c r="Z160" i="40" s="1"/>
  <c r="Z147" i="37" a="1"/>
  <c r="Z147" s="1"/>
  <c r="Z147" i="40" s="1"/>
  <c r="Z152" i="37" a="1"/>
  <c r="Z152" s="1"/>
  <c r="Z152" i="40" s="1"/>
  <c r="V26" i="37" a="1"/>
  <c r="V26" s="1"/>
  <c r="V26" i="40" s="1"/>
  <c r="V29" i="37" a="1"/>
  <c r="V29" s="1"/>
  <c r="V29" i="40" s="1"/>
  <c r="V34" i="37" a="1"/>
  <c r="V34" s="1"/>
  <c r="V34" i="40" s="1"/>
  <c r="V39" i="37" a="1"/>
  <c r="V39" s="1"/>
  <c r="V39" i="40" s="1"/>
  <c r="V45" i="37" a="1"/>
  <c r="V45" s="1"/>
  <c r="V45" i="40" s="1"/>
  <c r="V42" i="37" a="1"/>
  <c r="V42" s="1"/>
  <c r="V42" i="40" s="1"/>
  <c r="V30" i="37" a="1"/>
  <c r="V30" s="1"/>
  <c r="V30" i="40" s="1"/>
  <c r="V28" i="37" a="1"/>
  <c r="V28" s="1"/>
  <c r="V28" i="40" s="1"/>
  <c r="V31" i="37" a="1"/>
  <c r="V31" s="1"/>
  <c r="V31" i="40" s="1"/>
  <c r="V33" i="37" a="1"/>
  <c r="V33" s="1"/>
  <c r="V33" i="40" s="1"/>
  <c r="V25" i="37" a="1"/>
  <c r="V25" s="1"/>
  <c r="V41" a="1"/>
  <c r="V41" s="1"/>
  <c r="V41" i="40" s="1"/>
  <c r="V44" i="37" a="1"/>
  <c r="V44" s="1"/>
  <c r="V44" i="40" s="1"/>
  <c r="V36" i="37" a="1"/>
  <c r="V36" s="1"/>
  <c r="V36" i="40" s="1"/>
  <c r="V38" i="37" a="1"/>
  <c r="V38" s="1"/>
  <c r="V38" i="40" s="1"/>
  <c r="V37" i="37" a="1"/>
  <c r="V37" s="1"/>
  <c r="V37" i="40" s="1"/>
  <c r="V32" i="37" a="1"/>
  <c r="V32" s="1"/>
  <c r="V32" i="40" s="1"/>
  <c r="V27" i="37" a="1"/>
  <c r="V27" s="1"/>
  <c r="V27" i="40" s="1"/>
  <c r="V40" i="37" a="1"/>
  <c r="V40" s="1"/>
  <c r="V40" i="40" s="1"/>
  <c r="V43" i="37" a="1"/>
  <c r="V43" s="1"/>
  <c r="V43" i="40" s="1"/>
  <c r="V35" i="37" a="1"/>
  <c r="V35" s="1"/>
  <c r="V35" i="40" s="1"/>
  <c r="V24" i="37" a="1"/>
  <c r="V24" s="1"/>
  <c r="V24" i="40" s="1"/>
  <c r="W381" i="37" a="1"/>
  <c r="W381" s="1"/>
  <c r="W381" i="40" s="1"/>
  <c r="W373" i="37" a="1"/>
  <c r="W373" s="1"/>
  <c r="W373" i="40" s="1"/>
  <c r="W383" i="37" a="1"/>
  <c r="W383" s="1"/>
  <c r="W383" i="40" s="1"/>
  <c r="W385" i="37" a="1"/>
  <c r="W385" s="1"/>
  <c r="W385" i="40" s="1"/>
  <c r="W378" i="37" a="1"/>
  <c r="W378" s="1"/>
  <c r="W378" i="40" s="1"/>
  <c r="W367" i="37" a="1"/>
  <c r="W367" s="1"/>
  <c r="W367" i="40" s="1"/>
  <c r="W386" i="37" a="1"/>
  <c r="W386" s="1"/>
  <c r="W386" i="40" s="1"/>
  <c r="W374" i="37" a="1"/>
  <c r="W374" s="1"/>
  <c r="W374" i="40" s="1"/>
  <c r="W380" i="37" a="1"/>
  <c r="W380" s="1"/>
  <c r="W380" i="40" s="1"/>
  <c r="W375" i="37" a="1"/>
  <c r="W375" s="1"/>
  <c r="W375" i="40" s="1"/>
  <c r="W369" i="37" a="1"/>
  <c r="W369" s="1"/>
  <c r="W369" i="40" s="1"/>
  <c r="W382" i="37" a="1"/>
  <c r="W382" s="1"/>
  <c r="W382" i="40" s="1"/>
  <c r="W366" i="37" a="1"/>
  <c r="W366" s="1"/>
  <c r="W372" a="1"/>
  <c r="W372" s="1"/>
  <c r="W372" i="40" s="1"/>
  <c r="W377" i="37" a="1"/>
  <c r="W377" s="1"/>
  <c r="W377" i="40" s="1"/>
  <c r="W370" i="37" a="1"/>
  <c r="W370" s="1"/>
  <c r="W370" i="40" s="1"/>
  <c r="W388" i="37" a="1"/>
  <c r="W388" s="1"/>
  <c r="W388" i="40" s="1"/>
  <c r="W379" i="37" a="1"/>
  <c r="W379" s="1"/>
  <c r="W379" i="40" s="1"/>
  <c r="W376" i="37" a="1"/>
  <c r="W376" s="1"/>
  <c r="W376" i="40" s="1"/>
  <c r="W371" i="37" a="1"/>
  <c r="W371" s="1"/>
  <c r="W371" i="40" s="1"/>
  <c r="W365" i="37" a="1"/>
  <c r="W365" s="1"/>
  <c r="W365" i="40" s="1"/>
  <c r="W384" i="37" a="1"/>
  <c r="W384" s="1"/>
  <c r="W384" i="40" s="1"/>
  <c r="W387" i="37" a="1"/>
  <c r="W387" s="1"/>
  <c r="W387" i="40" s="1"/>
  <c r="W368" i="37" a="1"/>
  <c r="W368" s="1"/>
  <c r="W368" i="40" s="1"/>
  <c r="W197" i="37" a="1"/>
  <c r="W197" s="1"/>
  <c r="W197" i="40" s="1"/>
  <c r="W202" i="37" a="1"/>
  <c r="W202" s="1"/>
  <c r="W202" i="40" s="1"/>
  <c r="W186" i="37" a="1"/>
  <c r="W186" s="1"/>
  <c r="W207" a="1"/>
  <c r="W207" s="1"/>
  <c r="W207" i="40" s="1"/>
  <c r="W189" i="37" a="1"/>
  <c r="W189" s="1"/>
  <c r="W189" i="40" s="1"/>
  <c r="W190" i="37" a="1"/>
  <c r="W190" s="1"/>
  <c r="W190" i="40" s="1"/>
  <c r="W196" i="37" a="1"/>
  <c r="W196" s="1"/>
  <c r="W196" i="40" s="1"/>
  <c r="W194" i="37" a="1"/>
  <c r="W194" s="1"/>
  <c r="W194" i="40" s="1"/>
  <c r="W199" i="37" a="1"/>
  <c r="W199" s="1"/>
  <c r="W199" i="40" s="1"/>
  <c r="W191" i="37" a="1"/>
  <c r="W191" s="1"/>
  <c r="W191" i="40" s="1"/>
  <c r="W205" i="37" a="1"/>
  <c r="W205" s="1"/>
  <c r="W205" i="40" s="1"/>
  <c r="W185" i="37" a="1"/>
  <c r="W185" s="1"/>
  <c r="W185" i="40" s="1"/>
  <c r="W204" i="37" a="1"/>
  <c r="W204" s="1"/>
  <c r="W204" i="40" s="1"/>
  <c r="W193" i="37" a="1"/>
  <c r="W193" s="1"/>
  <c r="W193" i="40" s="1"/>
  <c r="W201" i="37" a="1"/>
  <c r="W201" s="1"/>
  <c r="W201" i="40" s="1"/>
  <c r="W206" i="37" a="1"/>
  <c r="W206" s="1"/>
  <c r="W206" i="40" s="1"/>
  <c r="W188" i="37" a="1"/>
  <c r="W188" s="1"/>
  <c r="W188" i="40" s="1"/>
  <c r="W198" i="37" a="1"/>
  <c r="W198" s="1"/>
  <c r="W198" i="40" s="1"/>
  <c r="W187" i="37" a="1"/>
  <c r="W187" s="1"/>
  <c r="W187" i="40" s="1"/>
  <c r="W192" i="37" a="1"/>
  <c r="W192" s="1"/>
  <c r="W192" i="40" s="1"/>
  <c r="W195" i="37" a="1"/>
  <c r="W195" s="1"/>
  <c r="W195" i="40" s="1"/>
  <c r="W203" i="37" a="1"/>
  <c r="W203" s="1"/>
  <c r="W203" i="40" s="1"/>
  <c r="W200" i="37" a="1"/>
  <c r="W200" s="1"/>
  <c r="W200" i="40" s="1"/>
  <c r="R319" i="37" a="1"/>
  <c r="R319" s="1"/>
  <c r="R319" i="40" s="1"/>
  <c r="R305" i="37" a="1"/>
  <c r="R305" s="1"/>
  <c r="R305" i="40" s="1"/>
  <c r="R303" i="37" a="1"/>
  <c r="R303" s="1"/>
  <c r="R303" i="40" s="1"/>
  <c r="R317" i="37" a="1"/>
  <c r="R317" s="1"/>
  <c r="R317" i="40" s="1"/>
  <c r="R318" i="37" a="1"/>
  <c r="R318" s="1"/>
  <c r="R318" i="40" s="1"/>
  <c r="R310" i="37" a="1"/>
  <c r="R310" s="1"/>
  <c r="R310" i="40" s="1"/>
  <c r="R313" i="37" a="1"/>
  <c r="R313" s="1"/>
  <c r="R313" i="40" s="1"/>
  <c r="R311" i="37" a="1"/>
  <c r="R311" s="1"/>
  <c r="R311" i="40" s="1"/>
  <c r="R301" i="37" a="1"/>
  <c r="R301" s="1"/>
  <c r="R301" i="40" s="1"/>
  <c r="R308" i="37" a="1"/>
  <c r="R308" s="1"/>
  <c r="R308" i="40" s="1"/>
  <c r="R302" i="37" a="1"/>
  <c r="R302" s="1"/>
  <c r="R302" i="40" s="1"/>
  <c r="R309" i="37" a="1"/>
  <c r="R309" s="1"/>
  <c r="R309" i="40" s="1"/>
  <c r="R306" i="37" a="1"/>
  <c r="R306" s="1"/>
  <c r="R306" i="40" s="1"/>
  <c r="R299" i="37" a="1"/>
  <c r="R299" s="1"/>
  <c r="R299" i="40" s="1"/>
  <c r="R307" i="37" a="1"/>
  <c r="R307" s="1"/>
  <c r="R307" i="40" s="1"/>
  <c r="R315" i="37" a="1"/>
  <c r="R315" s="1"/>
  <c r="R315" i="40" s="1"/>
  <c r="R316" i="37" a="1"/>
  <c r="R316" s="1"/>
  <c r="R316" i="40" s="1"/>
  <c r="R300" i="37" a="1"/>
  <c r="R300" s="1"/>
  <c r="R304" a="1"/>
  <c r="R304" s="1"/>
  <c r="R304" i="40" s="1"/>
  <c r="R314" i="37" a="1"/>
  <c r="R314" s="1"/>
  <c r="R314" i="40" s="1"/>
  <c r="R320" i="37" a="1"/>
  <c r="R320" s="1"/>
  <c r="R320" i="40" s="1"/>
  <c r="R312" i="37" a="1"/>
  <c r="R312" s="1"/>
  <c r="R312" i="40" s="1"/>
  <c r="AB311" i="37" a="1"/>
  <c r="AB311" s="1"/>
  <c r="AB311" i="40" s="1"/>
  <c r="AB303" i="37" a="1"/>
  <c r="AB303" s="1"/>
  <c r="AB303" i="40" s="1"/>
  <c r="AB310" i="37" a="1"/>
  <c r="AB310" s="1"/>
  <c r="AB310" i="40" s="1"/>
  <c r="AB313" i="37" a="1"/>
  <c r="AB313" s="1"/>
  <c r="AB313" i="40" s="1"/>
  <c r="AB319" i="37" a="1"/>
  <c r="AB319" s="1"/>
  <c r="AB319" i="40" s="1"/>
  <c r="AB317" i="37" a="1"/>
  <c r="AB317" s="1"/>
  <c r="AB317" i="40" s="1"/>
  <c r="AB301" i="37" a="1"/>
  <c r="AB301" s="1"/>
  <c r="AB301" i="40" s="1"/>
  <c r="AB305" i="37" a="1"/>
  <c r="AB305" s="1"/>
  <c r="AB305" i="40" s="1"/>
  <c r="AB309" i="37" a="1"/>
  <c r="AB309" s="1"/>
  <c r="AB309" i="40" s="1"/>
  <c r="AB318" i="37" a="1"/>
  <c r="AB318" s="1"/>
  <c r="AB318" i="40" s="1"/>
  <c r="AB306" i="37" a="1"/>
  <c r="AB306" s="1"/>
  <c r="AB306" i="40" s="1"/>
  <c r="AB308" i="37" a="1"/>
  <c r="AB308" s="1"/>
  <c r="AB308" i="40" s="1"/>
  <c r="AB302" i="37" a="1"/>
  <c r="AB302" s="1"/>
  <c r="AB302" i="40" s="1"/>
  <c r="AB299" i="37" a="1"/>
  <c r="AB299" s="1"/>
  <c r="AB299" i="40" s="1"/>
  <c r="AB315" i="37" a="1"/>
  <c r="AB315" s="1"/>
  <c r="AB315" i="40" s="1"/>
  <c r="AB316" i="37" a="1"/>
  <c r="AB316" s="1"/>
  <c r="AB316" i="40" s="1"/>
  <c r="AB307" i="37" a="1"/>
  <c r="AB307" s="1"/>
  <c r="AB307" i="40" s="1"/>
  <c r="AB314" i="37" a="1"/>
  <c r="AB314" s="1"/>
  <c r="AB314" i="40" s="1"/>
  <c r="AB320" i="37" a="1"/>
  <c r="AB320" s="1"/>
  <c r="AB320" i="40" s="1"/>
  <c r="AB300" i="37" a="1"/>
  <c r="AB300" s="1"/>
  <c r="AB312" a="1"/>
  <c r="AB312" s="1"/>
  <c r="AB312" i="40" s="1"/>
  <c r="AB304" i="37" a="1"/>
  <c r="AB304" s="1"/>
  <c r="AB304" i="40" s="1"/>
  <c r="T125" i="37" a="1"/>
  <c r="T125" s="1"/>
  <c r="T125" i="40" s="1"/>
  <c r="T130" i="37" a="1"/>
  <c r="T130" s="1"/>
  <c r="T130" i="40" s="1"/>
  <c r="T127" i="37" a="1"/>
  <c r="T127" s="1"/>
  <c r="T127" i="40" s="1"/>
  <c r="T119" i="37" a="1"/>
  <c r="T119" s="1"/>
  <c r="T119" i="40" s="1"/>
  <c r="T129" i="37" a="1"/>
  <c r="T129" s="1"/>
  <c r="T129" i="40" s="1"/>
  <c r="T124" i="37" a="1"/>
  <c r="T124" s="1"/>
  <c r="T124" i="40" s="1"/>
  <c r="T118" i="37" a="1"/>
  <c r="T118" s="1"/>
  <c r="T118" i="40" s="1"/>
  <c r="T114" i="37" a="1"/>
  <c r="T114" s="1"/>
  <c r="T114" i="40" s="1"/>
  <c r="T121" i="37" a="1"/>
  <c r="T121" s="1"/>
  <c r="T121" i="40" s="1"/>
  <c r="T135" i="37" a="1"/>
  <c r="T135" s="1"/>
  <c r="T135" i="40" s="1"/>
  <c r="T122" i="37" a="1"/>
  <c r="T122" s="1"/>
  <c r="T122" i="40" s="1"/>
  <c r="T137" i="37" a="1"/>
  <c r="T137" s="1"/>
  <c r="T137" i="40" s="1"/>
  <c r="T134" i="37" a="1"/>
  <c r="T134" s="1"/>
  <c r="T134" i="40" s="1"/>
  <c r="T126" i="37" a="1"/>
  <c r="T126" s="1"/>
  <c r="T126" i="40" s="1"/>
  <c r="T116" i="37" a="1"/>
  <c r="T116" s="1"/>
  <c r="T116" i="40" s="1"/>
  <c r="T132" i="37" a="1"/>
  <c r="T132" s="1"/>
  <c r="T132" i="40" s="1"/>
  <c r="T123" i="37" a="1"/>
  <c r="T123" s="1"/>
  <c r="T123" i="40" s="1"/>
  <c r="T117" i="37" a="1"/>
  <c r="T117" s="1"/>
  <c r="T117" i="40" s="1"/>
  <c r="T120" i="37" a="1"/>
  <c r="T120" s="1"/>
  <c r="T120" i="40" s="1"/>
  <c r="T128" i="37" a="1"/>
  <c r="T128" s="1"/>
  <c r="T128" i="40" s="1"/>
  <c r="T133" i="37" a="1"/>
  <c r="T133" s="1"/>
  <c r="T133" i="40" s="1"/>
  <c r="T115" i="37" a="1"/>
  <c r="T115" s="1"/>
  <c r="T136" a="1"/>
  <c r="T136" s="1"/>
  <c r="T136" i="40" s="1"/>
  <c r="T131" i="37" a="1"/>
  <c r="T131" s="1"/>
  <c r="T131" i="40" s="1"/>
  <c r="R453" i="37" a="1"/>
  <c r="R453" s="1"/>
  <c r="R453" i="40" s="1"/>
  <c r="R466" i="37" a="1"/>
  <c r="R466" s="1"/>
  <c r="R466" i="40" s="1"/>
  <c r="R457" i="37" a="1"/>
  <c r="R457" s="1"/>
  <c r="R457" i="40" s="1"/>
  <c r="R461" i="37" a="1"/>
  <c r="R461" s="1"/>
  <c r="R461" i="40" s="1"/>
  <c r="R455" i="37" a="1"/>
  <c r="R455" s="1"/>
  <c r="R455" i="40" s="1"/>
  <c r="R463" i="37" a="1"/>
  <c r="R463" s="1"/>
  <c r="R463" i="40" s="1"/>
  <c r="R454" i="37" a="1"/>
  <c r="R454" s="1"/>
  <c r="R454" i="40" s="1"/>
  <c r="R462" i="37" a="1"/>
  <c r="R462" s="1"/>
  <c r="R462" i="40" s="1"/>
  <c r="R458" i="37" a="1"/>
  <c r="R458" s="1"/>
  <c r="R458" i="40" s="1"/>
  <c r="R460" i="37" a="1"/>
  <c r="R460" s="1"/>
  <c r="R460" i="40" s="1"/>
  <c r="R459" i="37" a="1"/>
  <c r="R459" s="1"/>
  <c r="R459" i="40" s="1"/>
  <c r="R467" i="37" a="1"/>
  <c r="R467" s="1"/>
  <c r="R467" i="40" s="1"/>
  <c r="R465" i="37" a="1"/>
  <c r="R465" s="1"/>
  <c r="R465" i="40" s="1"/>
  <c r="R452" i="37" a="1"/>
  <c r="R452" s="1"/>
  <c r="R464" a="1"/>
  <c r="R464" s="1"/>
  <c r="R464" i="40" s="1"/>
  <c r="R456" i="37" a="1"/>
  <c r="R456" s="1"/>
  <c r="R456" i="40" s="1"/>
  <c r="AB455" i="37" a="1"/>
  <c r="AB455" s="1"/>
  <c r="AB455" i="40" s="1"/>
  <c r="AB466" i="37" a="1"/>
  <c r="AB466" s="1"/>
  <c r="AB466" i="40" s="1"/>
  <c r="AB463" i="37" a="1"/>
  <c r="AB463" s="1"/>
  <c r="AB463" i="40" s="1"/>
  <c r="AB458" i="37" a="1"/>
  <c r="AB458" s="1"/>
  <c r="AB458" i="40" s="1"/>
  <c r="AB460" i="37" a="1"/>
  <c r="AB460" s="1"/>
  <c r="AB460" i="40" s="1"/>
  <c r="AB457" i="37" a="1"/>
  <c r="AB457" s="1"/>
  <c r="AB457" i="40" s="1"/>
  <c r="AB461" i="37" a="1"/>
  <c r="AB461" s="1"/>
  <c r="AB461" i="40" s="1"/>
  <c r="AB465" i="37" a="1"/>
  <c r="AB465" s="1"/>
  <c r="AB465" i="40" s="1"/>
  <c r="AB453" i="37" a="1"/>
  <c r="AB453" s="1"/>
  <c r="AB453" i="40" s="1"/>
  <c r="AB454" i="37" a="1"/>
  <c r="AB454" s="1"/>
  <c r="AB454" i="40" s="1"/>
  <c r="AB462" i="37" a="1"/>
  <c r="AB462" s="1"/>
  <c r="AB462" i="40" s="1"/>
  <c r="AB459" i="37" a="1"/>
  <c r="AB459" s="1"/>
  <c r="AB459" i="40" s="1"/>
  <c r="AB467" i="37" a="1"/>
  <c r="AB467" s="1"/>
  <c r="AB467" i="40" s="1"/>
  <c r="AB456" i="37" a="1"/>
  <c r="AB456" s="1"/>
  <c r="AB456" i="40" s="1"/>
  <c r="AB464" i="37" a="1"/>
  <c r="AB464" s="1"/>
  <c r="AB464" i="40" s="1"/>
  <c r="AB452" i="37" a="1"/>
  <c r="AB452" s="1"/>
  <c r="U106" a="1"/>
  <c r="U106" s="1"/>
  <c r="U106" i="40" s="1"/>
  <c r="U90" i="37" a="1"/>
  <c r="U90" s="1"/>
  <c r="U90" i="40" s="1"/>
  <c r="U109" i="37" a="1"/>
  <c r="U109" s="1"/>
  <c r="U109" i="40" s="1"/>
  <c r="U92" i="37" a="1"/>
  <c r="U92" s="1"/>
  <c r="U92" i="40" s="1"/>
  <c r="U94" i="37" a="1"/>
  <c r="U94" s="1"/>
  <c r="U94" i="40" s="1"/>
  <c r="U95" i="37" a="1"/>
  <c r="U95" s="1"/>
  <c r="U95" i="40" s="1"/>
  <c r="U100" i="37" a="1"/>
  <c r="U100" s="1"/>
  <c r="U100" i="40" s="1"/>
  <c r="U111" i="37" a="1"/>
  <c r="U111" s="1"/>
  <c r="U111" i="40" s="1"/>
  <c r="U103" i="37" a="1"/>
  <c r="U103" s="1"/>
  <c r="U103" i="40" s="1"/>
  <c r="U98" i="37" a="1"/>
  <c r="U98" s="1"/>
  <c r="U98" i="40" s="1"/>
  <c r="U101" i="37" a="1"/>
  <c r="U101" s="1"/>
  <c r="U101" i="40" s="1"/>
  <c r="U105" i="37" a="1"/>
  <c r="U105" s="1"/>
  <c r="U105" i="40" s="1"/>
  <c r="U97" i="37" a="1"/>
  <c r="U97" s="1"/>
  <c r="U97" i="40" s="1"/>
  <c r="U113" i="37" a="1"/>
  <c r="U113" s="1"/>
  <c r="U113" i="40" s="1"/>
  <c r="U102" i="37" a="1"/>
  <c r="U102" s="1"/>
  <c r="U102" i="40" s="1"/>
  <c r="U110" i="37" a="1"/>
  <c r="U110" s="1"/>
  <c r="U110" i="40" s="1"/>
  <c r="U93" i="37" a="1"/>
  <c r="U93" s="1"/>
  <c r="U93" i="40" s="1"/>
  <c r="U108" i="37" a="1"/>
  <c r="U108" s="1"/>
  <c r="U108" i="40" s="1"/>
  <c r="U104" i="37" a="1"/>
  <c r="U104" s="1"/>
  <c r="U104" i="40" s="1"/>
  <c r="U91" i="37" a="1"/>
  <c r="U91" s="1"/>
  <c r="U99" a="1"/>
  <c r="U99" s="1"/>
  <c r="U99" i="40" s="1"/>
  <c r="U112" i="37" a="1"/>
  <c r="U112" s="1"/>
  <c r="U112" i="40" s="1"/>
  <c r="U107" i="37" a="1"/>
  <c r="U107" s="1"/>
  <c r="U107" i="40" s="1"/>
  <c r="U96" i="37" a="1"/>
  <c r="U96" s="1"/>
  <c r="U96" i="40" s="1"/>
  <c r="U226" i="37" a="1"/>
  <c r="U226" s="1"/>
  <c r="U226" i="40" s="1"/>
  <c r="U218" i="37" a="1"/>
  <c r="U218" s="1"/>
  <c r="U218" i="40" s="1"/>
  <c r="U223" i="37" a="1"/>
  <c r="U223" s="1"/>
  <c r="U223" i="40" s="1"/>
  <c r="U215" i="37" a="1"/>
  <c r="U215" s="1"/>
  <c r="U215" i="40" s="1"/>
  <c r="U228" i="37" a="1"/>
  <c r="U228" s="1"/>
  <c r="U228" i="40" s="1"/>
  <c r="U217" i="37" a="1"/>
  <c r="U217" s="1"/>
  <c r="U217" i="40" s="1"/>
  <c r="U230" i="37" a="1"/>
  <c r="U230" s="1"/>
  <c r="U230" i="40" s="1"/>
  <c r="U210" i="37" a="1"/>
  <c r="U210" s="1"/>
  <c r="U210" i="40" s="1"/>
  <c r="U222" i="37" a="1"/>
  <c r="U222" s="1"/>
  <c r="U222" i="40" s="1"/>
  <c r="U213" i="37" a="1"/>
  <c r="U213" s="1"/>
  <c r="U213" i="40" s="1"/>
  <c r="U220" i="37" a="1"/>
  <c r="U220" s="1"/>
  <c r="U220" i="40" s="1"/>
  <c r="U225" i="37" a="1"/>
  <c r="U225" s="1"/>
  <c r="U225" i="40" s="1"/>
  <c r="U209" i="37" a="1"/>
  <c r="U209" s="1"/>
  <c r="U214" a="1"/>
  <c r="U214" s="1"/>
  <c r="U214" i="40" s="1"/>
  <c r="U212" i="37" a="1"/>
  <c r="U212" s="1"/>
  <c r="U212" i="40" s="1"/>
  <c r="U221" i="37" a="1"/>
  <c r="U221" s="1"/>
  <c r="U221" i="40" s="1"/>
  <c r="U229" i="37" a="1"/>
  <c r="U229" s="1"/>
  <c r="U229" i="40" s="1"/>
  <c r="U216" i="37" a="1"/>
  <c r="U216" s="1"/>
  <c r="U216" i="40" s="1"/>
  <c r="U219" i="37" a="1"/>
  <c r="U219" s="1"/>
  <c r="U219" i="40" s="1"/>
  <c r="U208" i="37" a="1"/>
  <c r="U208" s="1"/>
  <c r="U208" i="40" s="1"/>
  <c r="U224" i="37" a="1"/>
  <c r="U224" s="1"/>
  <c r="U224" i="40" s="1"/>
  <c r="U227" i="37" a="1"/>
  <c r="U227" s="1"/>
  <c r="U227" i="40" s="1"/>
  <c r="U211" i="37" a="1"/>
  <c r="U211" s="1"/>
  <c r="U211" i="40" s="1"/>
  <c r="Y74" i="37" a="1"/>
  <c r="Y74" s="1"/>
  <c r="Y74" i="40" s="1"/>
  <c r="Y79" i="37" a="1"/>
  <c r="Y79" s="1"/>
  <c r="Y79" i="40" s="1"/>
  <c r="Y71" i="37" a="1"/>
  <c r="Y71" s="1"/>
  <c r="Y71" i="40" s="1"/>
  <c r="Y89" i="37" a="1"/>
  <c r="Y89" s="1"/>
  <c r="Y89" i="40" s="1"/>
  <c r="Y77" i="37" a="1"/>
  <c r="Y77" s="1"/>
  <c r="Y77" i="40" s="1"/>
  <c r="Y82" i="37" a="1"/>
  <c r="Y82" s="1"/>
  <c r="Y82" i="40" s="1"/>
  <c r="Y76" i="37" a="1"/>
  <c r="Y76" s="1"/>
  <c r="Y76" i="40" s="1"/>
  <c r="Y81" i="37" a="1"/>
  <c r="Y81" s="1"/>
  <c r="Y81" i="40" s="1"/>
  <c r="Y69" i="37" a="1"/>
  <c r="Y69" s="1"/>
  <c r="Y69" i="40" s="1"/>
  <c r="Y84" i="37" a="1"/>
  <c r="Y84" s="1"/>
  <c r="Y84" i="40" s="1"/>
  <c r="Y87" i="37" a="1"/>
  <c r="Y87" s="1"/>
  <c r="Y87" i="40" s="1"/>
  <c r="Y73" i="37" a="1"/>
  <c r="Y73" s="1"/>
  <c r="Y73" i="40" s="1"/>
  <c r="Y85" i="37" a="1"/>
  <c r="Y85" s="1"/>
  <c r="Y85" i="40" s="1"/>
  <c r="Y70" i="37" a="1"/>
  <c r="Y70" s="1"/>
  <c r="Y86" a="1"/>
  <c r="Y86" s="1"/>
  <c r="Y86" i="40" s="1"/>
  <c r="Y78" i="37" a="1"/>
  <c r="Y78" s="1"/>
  <c r="Y78" i="40" s="1"/>
  <c r="Y83" i="37" a="1"/>
  <c r="Y83" s="1"/>
  <c r="Y83" i="40" s="1"/>
  <c r="Y75" i="37" a="1"/>
  <c r="Y75" s="1"/>
  <c r="Y75" i="40" s="1"/>
  <c r="Y88" i="37" a="1"/>
  <c r="Y88" s="1"/>
  <c r="Y88" i="40" s="1"/>
  <c r="Y80" i="37" a="1"/>
  <c r="Y80" s="1"/>
  <c r="Y80" i="40" s="1"/>
  <c r="Y72" i="37" a="1"/>
  <c r="Y72" s="1"/>
  <c r="Y72" i="40" s="1"/>
  <c r="U447" i="37" a="1"/>
  <c r="U447" s="1"/>
  <c r="U447" i="40" s="1"/>
  <c r="U439" i="37" a="1"/>
  <c r="U439" s="1"/>
  <c r="U439" i="40" s="1"/>
  <c r="U444" i="37" a="1"/>
  <c r="U444" s="1"/>
  <c r="U444" i="40" s="1"/>
  <c r="U445" i="37" a="1"/>
  <c r="U445" s="1"/>
  <c r="U445" i="40" s="1"/>
  <c r="U437" i="37" a="1"/>
  <c r="U437" s="1"/>
  <c r="U437" i="40" s="1"/>
  <c r="U451" i="37" a="1"/>
  <c r="U451" s="1"/>
  <c r="U451" i="40" s="1"/>
  <c r="U441" i="37" a="1"/>
  <c r="U441" s="1"/>
  <c r="U441" i="40" s="1"/>
  <c r="U449" i="37" a="1"/>
  <c r="U449" s="1"/>
  <c r="U449" i="40" s="1"/>
  <c r="U446" i="37" a="1"/>
  <c r="U446" s="1"/>
  <c r="U446" i="40" s="1"/>
  <c r="U443" i="37" a="1"/>
  <c r="U443" s="1"/>
  <c r="U443" i="40" s="1"/>
  <c r="U438" i="37" a="1"/>
  <c r="U438" s="1"/>
  <c r="U438" i="40" s="1"/>
  <c r="U442" i="37" a="1"/>
  <c r="U442" s="1"/>
  <c r="U442" i="40" s="1"/>
  <c r="U448" i="37" a="1"/>
  <c r="U448" s="1"/>
  <c r="U448" i="40" s="1"/>
  <c r="U440" i="37" a="1"/>
  <c r="U440" s="1"/>
  <c r="U440" i="40" s="1"/>
  <c r="U450" i="37" a="1"/>
  <c r="U450" s="1"/>
  <c r="U450" i="40" s="1"/>
  <c r="U436" i="37" a="1"/>
  <c r="U436" s="1"/>
  <c r="X469" a="1"/>
  <c r="X469" s="1"/>
  <c r="X469" i="40" s="1"/>
  <c r="X479" i="37" a="1"/>
  <c r="X479" s="1"/>
  <c r="X479" i="40" s="1"/>
  <c r="X477" i="37" a="1"/>
  <c r="X477" s="1"/>
  <c r="X477" i="40" s="1"/>
  <c r="X482" i="37" a="1"/>
  <c r="X482" s="1"/>
  <c r="X482" i="40" s="1"/>
  <c r="X473" i="37" a="1"/>
  <c r="X473" s="1"/>
  <c r="X473" i="40" s="1"/>
  <c r="X471" i="37" a="1"/>
  <c r="X471" s="1"/>
  <c r="X471" i="40" s="1"/>
  <c r="X478" i="37" a="1"/>
  <c r="X478" s="1"/>
  <c r="X478" i="40" s="1"/>
  <c r="X483" i="37" a="1"/>
  <c r="X483" s="1"/>
  <c r="X483" i="40" s="1"/>
  <c r="X481" i="37" a="1"/>
  <c r="X481" s="1"/>
  <c r="X481" i="40" s="1"/>
  <c r="X470" i="37" a="1"/>
  <c r="X470" s="1"/>
  <c r="X470" i="40" s="1"/>
  <c r="X468" i="37" a="1"/>
  <c r="X468" s="1"/>
  <c r="X475" a="1"/>
  <c r="X475" s="1"/>
  <c r="X475" i="40" s="1"/>
  <c r="X472" i="37" a="1"/>
  <c r="X472" s="1"/>
  <c r="X472" i="40" s="1"/>
  <c r="X480" i="37" a="1"/>
  <c r="X480" s="1"/>
  <c r="X480" i="40" s="1"/>
  <c r="X476" i="37" a="1"/>
  <c r="X476" s="1"/>
  <c r="X476" i="40" s="1"/>
  <c r="X474" i="37" a="1"/>
  <c r="X474" s="1"/>
  <c r="X474" i="40" s="1"/>
  <c r="Y282" i="37" a="1"/>
  <c r="Y282" s="1"/>
  <c r="Y282" i="40" s="1"/>
  <c r="Y295" i="37" a="1"/>
  <c r="Y295" s="1"/>
  <c r="Y295" i="40" s="1"/>
  <c r="Y279" i="37" a="1"/>
  <c r="Y279" s="1"/>
  <c r="Y279" i="40" s="1"/>
  <c r="Y286" i="37" a="1"/>
  <c r="Y286" s="1"/>
  <c r="Y286" i="40" s="1"/>
  <c r="Y293" i="37" a="1"/>
  <c r="Y293" s="1"/>
  <c r="Y293" i="40" s="1"/>
  <c r="Y289" i="37" a="1"/>
  <c r="Y289" s="1"/>
  <c r="Y289" i="40" s="1"/>
  <c r="Y287" i="37" a="1"/>
  <c r="Y287" s="1"/>
  <c r="Y287" i="40" s="1"/>
  <c r="Y284" i="37" a="1"/>
  <c r="Y284" s="1"/>
  <c r="Y284" i="40" s="1"/>
  <c r="Y294" i="37" a="1"/>
  <c r="Y294" s="1"/>
  <c r="Y294" i="40" s="1"/>
  <c r="Y297" i="37" a="1"/>
  <c r="Y297" s="1"/>
  <c r="Y297" i="40" s="1"/>
  <c r="Y281" i="37" a="1"/>
  <c r="Y281" s="1"/>
  <c r="Y281" i="40" s="1"/>
  <c r="Y285" i="37" a="1"/>
  <c r="Y285" s="1"/>
  <c r="Y285" i="40" s="1"/>
  <c r="Y277" i="37" a="1"/>
  <c r="Y277" s="1"/>
  <c r="Y277" i="40" s="1"/>
  <c r="Y278" i="37" a="1"/>
  <c r="Y278" s="1"/>
  <c r="Y290" a="1"/>
  <c r="Y290" s="1"/>
  <c r="Y290" i="40" s="1"/>
  <c r="Y292" i="37" a="1"/>
  <c r="Y292" s="1"/>
  <c r="Y292" i="40" s="1"/>
  <c r="Y296" i="37" a="1"/>
  <c r="Y296" s="1"/>
  <c r="Y296" i="40" s="1"/>
  <c r="Y280" i="37" a="1"/>
  <c r="Y280" s="1"/>
  <c r="Y280" i="40" s="1"/>
  <c r="Y298" i="37" a="1"/>
  <c r="Y298" s="1"/>
  <c r="Y298" i="40" s="1"/>
  <c r="Y283" i="37" a="1"/>
  <c r="Y283" s="1"/>
  <c r="Y283" i="40" s="1"/>
  <c r="Y291" i="37" a="1"/>
  <c r="Y291" s="1"/>
  <c r="Y291" i="40" s="1"/>
  <c r="Y288" i="37" a="1"/>
  <c r="Y288" s="1"/>
  <c r="Y288" i="40" s="1"/>
  <c r="X394" i="37" a="1"/>
  <c r="X394" s="1"/>
  <c r="X394" i="40" s="1"/>
  <c r="X391" i="37" a="1"/>
  <c r="X391" s="1"/>
  <c r="X391" i="40" s="1"/>
  <c r="X399" i="37" a="1"/>
  <c r="X399" s="1"/>
  <c r="X399" i="40" s="1"/>
  <c r="X409" i="37" a="1"/>
  <c r="X409" s="1"/>
  <c r="X409" i="40" s="1"/>
  <c r="X393" i="37" a="1"/>
  <c r="X393" s="1"/>
  <c r="X393" i="40" s="1"/>
  <c r="X406" i="37" a="1"/>
  <c r="X406" s="1"/>
  <c r="X406" i="40" s="1"/>
  <c r="X407" i="37" a="1"/>
  <c r="X407" s="1"/>
  <c r="X407" i="40" s="1"/>
  <c r="X401" i="37" a="1"/>
  <c r="X401" s="1"/>
  <c r="X401" i="40" s="1"/>
  <c r="X389" i="37" a="1"/>
  <c r="X389" s="1"/>
  <c r="X389" i="40" s="1"/>
  <c r="X397" i="37" a="1"/>
  <c r="X397" s="1"/>
  <c r="X397" i="40" s="1"/>
  <c r="X412" i="37" a="1"/>
  <c r="X412" s="1"/>
  <c r="X412" i="40" s="1"/>
  <c r="X402" i="37" a="1"/>
  <c r="X402" s="1"/>
  <c r="X402" i="40" s="1"/>
  <c r="X410" i="37" a="1"/>
  <c r="X410" s="1"/>
  <c r="X410" i="40" s="1"/>
  <c r="X398" i="37" a="1"/>
  <c r="X398" s="1"/>
  <c r="X398" i="40" s="1"/>
  <c r="X390" i="37" a="1"/>
  <c r="X390" s="1"/>
  <c r="X396" a="1"/>
  <c r="X396" s="1"/>
  <c r="X396" i="40" s="1"/>
  <c r="X408" i="37" a="1"/>
  <c r="X408" s="1"/>
  <c r="X408" i="40" s="1"/>
  <c r="X392" i="37" a="1"/>
  <c r="X392" s="1"/>
  <c r="X392" i="40" s="1"/>
  <c r="X403" i="37" a="1"/>
  <c r="X403" s="1"/>
  <c r="X403" i="40" s="1"/>
  <c r="X395" i="37" a="1"/>
  <c r="X395" s="1"/>
  <c r="X395" i="40" s="1"/>
  <c r="X400" i="37" a="1"/>
  <c r="X400" s="1"/>
  <c r="X400" i="40" s="1"/>
  <c r="X411" i="37" a="1"/>
  <c r="X411" s="1"/>
  <c r="X411" i="40" s="1"/>
  <c r="X405" i="37" a="1"/>
  <c r="X405" s="1"/>
  <c r="X405" i="40" s="1"/>
  <c r="X404" i="37" a="1"/>
  <c r="X404" s="1"/>
  <c r="X404" i="40" s="1"/>
  <c r="Z394" i="37" a="1"/>
  <c r="Z394" s="1"/>
  <c r="Z394" i="40" s="1"/>
  <c r="Z410" i="37" a="1"/>
  <c r="Z410" s="1"/>
  <c r="Z410" i="40" s="1"/>
  <c r="Z401" i="37" a="1"/>
  <c r="Z401" s="1"/>
  <c r="Z401" i="40" s="1"/>
  <c r="Z391" i="37" a="1"/>
  <c r="Z391" s="1"/>
  <c r="Z391" i="40" s="1"/>
  <c r="Z409" i="37" a="1"/>
  <c r="Z409" s="1"/>
  <c r="Z409" i="40" s="1"/>
  <c r="Z399" i="37" a="1"/>
  <c r="Z399" s="1"/>
  <c r="Z399" i="40" s="1"/>
  <c r="Z393" i="37" a="1"/>
  <c r="Z393" s="1"/>
  <c r="Z393" i="40" s="1"/>
  <c r="Z397" i="37" a="1"/>
  <c r="Z397" s="1"/>
  <c r="Z397" i="40" s="1"/>
  <c r="Z396" i="37" a="1"/>
  <c r="Z396" s="1"/>
  <c r="Z396" i="40" s="1"/>
  <c r="Z407" i="37" a="1"/>
  <c r="Z407" s="1"/>
  <c r="Z407" i="40" s="1"/>
  <c r="Z389" i="37" a="1"/>
  <c r="Z389" s="1"/>
  <c r="Z389" i="40" s="1"/>
  <c r="Z412" i="37" a="1"/>
  <c r="Z412" s="1"/>
  <c r="Z412" i="40" s="1"/>
  <c r="Z398" i="37" a="1"/>
  <c r="Z398" s="1"/>
  <c r="Z398" i="40" s="1"/>
  <c r="Z402" i="37" a="1"/>
  <c r="Z402" s="1"/>
  <c r="Z402" i="40" s="1"/>
  <c r="Z406" i="37" a="1"/>
  <c r="Z406" s="1"/>
  <c r="Z406" i="40" s="1"/>
  <c r="Z390" i="37" a="1"/>
  <c r="Z390" s="1"/>
  <c r="Z411" a="1"/>
  <c r="Z411" s="1"/>
  <c r="Z411" i="40" s="1"/>
  <c r="Z405" i="37" a="1"/>
  <c r="Z405" s="1"/>
  <c r="Z405" i="40" s="1"/>
  <c r="Z395" i="37" a="1"/>
  <c r="Z395" s="1"/>
  <c r="Z395" i="40" s="1"/>
  <c r="Z404" i="37" a="1"/>
  <c r="Z404" s="1"/>
  <c r="Z404" i="40" s="1"/>
  <c r="Z403" i="37" a="1"/>
  <c r="Z403" s="1"/>
  <c r="Z403" i="40" s="1"/>
  <c r="Z408" i="37" a="1"/>
  <c r="Z408" s="1"/>
  <c r="Z408" i="40" s="1"/>
  <c r="Z400" i="37" a="1"/>
  <c r="Z400" s="1"/>
  <c r="Z400" i="40" s="1"/>
  <c r="Z392" i="37" a="1"/>
  <c r="Z392" s="1"/>
  <c r="Z392" i="40" s="1"/>
  <c r="X354" i="37" a="1"/>
  <c r="X354" s="1"/>
  <c r="X354" i="40" s="1"/>
  <c r="X359" i="37" a="1"/>
  <c r="X359" s="1"/>
  <c r="X359" i="40" s="1"/>
  <c r="X343" i="37" a="1"/>
  <c r="X343" s="1"/>
  <c r="X343" i="40" s="1"/>
  <c r="X364" i="37" a="1"/>
  <c r="X364" s="1"/>
  <c r="X364" i="40" s="1"/>
  <c r="X351" i="37" a="1"/>
  <c r="X351" s="1"/>
  <c r="X351" i="40" s="1"/>
  <c r="X353" i="37" a="1"/>
  <c r="X353" s="1"/>
  <c r="X353" i="40" s="1"/>
  <c r="X345" i="37" a="1"/>
  <c r="X345" s="1"/>
  <c r="X345" i="40" s="1"/>
  <c r="X341" i="37" a="1"/>
  <c r="X341" s="1"/>
  <c r="X341" i="40" s="1"/>
  <c r="X346" i="37" a="1"/>
  <c r="X346" s="1"/>
  <c r="X346" i="40" s="1"/>
  <c r="X348" i="37" a="1"/>
  <c r="X348" s="1"/>
  <c r="X348" i="40" s="1"/>
  <c r="X357" i="37" a="1"/>
  <c r="X357" s="1"/>
  <c r="X357" i="40" s="1"/>
  <c r="X347" i="37" a="1"/>
  <c r="X347" s="1"/>
  <c r="X347" i="40" s="1"/>
  <c r="X361" i="37" a="1"/>
  <c r="X361" s="1"/>
  <c r="X361" i="40" s="1"/>
  <c r="X358" i="37" a="1"/>
  <c r="X358" s="1"/>
  <c r="X358" i="40" s="1"/>
  <c r="X342" i="37" a="1"/>
  <c r="X342" s="1"/>
  <c r="X350" a="1"/>
  <c r="X350" s="1"/>
  <c r="X350" i="40" s="1"/>
  <c r="X363" i="37" a="1"/>
  <c r="X363" s="1"/>
  <c r="X363" i="40" s="1"/>
  <c r="X360" i="37" a="1"/>
  <c r="X360" s="1"/>
  <c r="X360" i="40" s="1"/>
  <c r="X344" i="37" a="1"/>
  <c r="X344" s="1"/>
  <c r="X344" i="40" s="1"/>
  <c r="X356" i="37" a="1"/>
  <c r="X356" s="1"/>
  <c r="X356" i="40" s="1"/>
  <c r="X355" i="37" a="1"/>
  <c r="X355" s="1"/>
  <c r="X355" i="40" s="1"/>
  <c r="X352" i="37" a="1"/>
  <c r="X352" s="1"/>
  <c r="X352" i="40" s="1"/>
  <c r="X349" i="37" a="1"/>
  <c r="X349" s="1"/>
  <c r="X349" i="40" s="1"/>
  <c r="X362" i="37" a="1"/>
  <c r="X362" s="1"/>
  <c r="X362" i="40" s="1"/>
  <c r="Z343" i="37" a="1"/>
  <c r="Z343" s="1"/>
  <c r="Z343" i="40" s="1"/>
  <c r="Z364" i="37" a="1"/>
  <c r="Z364" s="1"/>
  <c r="Z364" i="40" s="1"/>
  <c r="Z358" i="37" a="1"/>
  <c r="Z358" s="1"/>
  <c r="Z358" i="40" s="1"/>
  <c r="Z359" i="37" a="1"/>
  <c r="Z359" s="1"/>
  <c r="Z359" i="40" s="1"/>
  <c r="Z346" i="37" a="1"/>
  <c r="Z346" s="1"/>
  <c r="Z346" i="40" s="1"/>
  <c r="Z354" i="37" a="1"/>
  <c r="Z354" s="1"/>
  <c r="Z354" i="40" s="1"/>
  <c r="Z351" i="37" a="1"/>
  <c r="Z351" s="1"/>
  <c r="Z351" i="40" s="1"/>
  <c r="Z345" i="37" a="1"/>
  <c r="Z345" s="1"/>
  <c r="Z345" i="40" s="1"/>
  <c r="Z341" i="37" a="1"/>
  <c r="Z341" s="1"/>
  <c r="Z341" i="40" s="1"/>
  <c r="Z353" i="37" a="1"/>
  <c r="Z353" s="1"/>
  <c r="Z353" i="40" s="1"/>
  <c r="Z357" i="37" a="1"/>
  <c r="Z357" s="1"/>
  <c r="Z357" i="40" s="1"/>
  <c r="Z355" i="37" a="1"/>
  <c r="Z355" s="1"/>
  <c r="Z355" i="40" s="1"/>
  <c r="Z350" i="37" a="1"/>
  <c r="Z350" s="1"/>
  <c r="Z350" i="40" s="1"/>
  <c r="Z342" i="37" a="1"/>
  <c r="Z342" s="1"/>
  <c r="Z361" a="1"/>
  <c r="Z361" s="1"/>
  <c r="Z361" i="40" s="1"/>
  <c r="Z348" i="37" a="1"/>
  <c r="Z348" s="1"/>
  <c r="Z348" i="40" s="1"/>
  <c r="Z362" i="37" a="1"/>
  <c r="Z362" s="1"/>
  <c r="Z362" i="40" s="1"/>
  <c r="Z360" i="37" a="1"/>
  <c r="Z360" s="1"/>
  <c r="Z360" i="40" s="1"/>
  <c r="Z356" i="37" a="1"/>
  <c r="Z356" s="1"/>
  <c r="Z356" i="40" s="1"/>
  <c r="Z363" i="37" a="1"/>
  <c r="Z363" s="1"/>
  <c r="Z363" i="40" s="1"/>
  <c r="Z347" i="37" a="1"/>
  <c r="Z347" s="1"/>
  <c r="Z347" i="40" s="1"/>
  <c r="Z352" i="37" a="1"/>
  <c r="Z352" s="1"/>
  <c r="Z352" i="40" s="1"/>
  <c r="Z349" i="37" a="1"/>
  <c r="Z349" s="1"/>
  <c r="Z349" i="40" s="1"/>
  <c r="Z344" i="37" a="1"/>
  <c r="Z344" s="1"/>
  <c r="Z344" i="40" s="1"/>
  <c r="W487" i="37" a="1"/>
  <c r="W487" s="1"/>
  <c r="W487" i="40" s="1"/>
  <c r="W484" i="37" a="1"/>
  <c r="W484" s="1"/>
  <c r="W489" a="1"/>
  <c r="W489" s="1"/>
  <c r="W489" i="40" s="1"/>
  <c r="W485" i="37" a="1"/>
  <c r="W485" s="1"/>
  <c r="W485" i="40" s="1"/>
  <c r="W493" i="37" a="1"/>
  <c r="W493" s="1"/>
  <c r="W493" i="40" s="1"/>
  <c r="W492" i="37" a="1"/>
  <c r="W492" s="1"/>
  <c r="W492" i="40" s="1"/>
  <c r="W486" i="37" a="1"/>
  <c r="W486" s="1"/>
  <c r="W486" i="40" s="1"/>
  <c r="W491" i="37" a="1"/>
  <c r="W491" s="1"/>
  <c r="W491" i="40" s="1"/>
  <c r="W494" i="37" a="1"/>
  <c r="W494" s="1"/>
  <c r="W494" i="40" s="1"/>
  <c r="W495" i="37" a="1"/>
  <c r="W495" s="1"/>
  <c r="W495" i="40" s="1"/>
  <c r="W496" i="37" a="1"/>
  <c r="W496" s="1"/>
  <c r="W496" i="40" s="1"/>
  <c r="W497" i="37" a="1"/>
  <c r="W497" s="1"/>
  <c r="W497" i="40" s="1"/>
  <c r="W490" i="37" a="1"/>
  <c r="W490" s="1"/>
  <c r="W490" i="40" s="1"/>
  <c r="W488" i="37" a="1"/>
  <c r="W488" s="1"/>
  <c r="W488" i="40" s="1"/>
  <c r="U335" i="37" a="1"/>
  <c r="U335" s="1"/>
  <c r="U335" i="40" s="1"/>
  <c r="U327" i="37" a="1"/>
  <c r="U327" s="1"/>
  <c r="U327" i="40" s="1"/>
  <c r="U334" i="37" a="1"/>
  <c r="U334" s="1"/>
  <c r="U334" i="40" s="1"/>
  <c r="U325" i="37" a="1"/>
  <c r="U325" s="1"/>
  <c r="U325" i="40" s="1"/>
  <c r="U321" i="37" a="1"/>
  <c r="U321" s="1"/>
  <c r="U321" i="40" s="1"/>
  <c r="U322" i="37" a="1"/>
  <c r="U322" s="1"/>
  <c r="U333" a="1"/>
  <c r="U333" s="1"/>
  <c r="U333" i="40" s="1"/>
  <c r="U329" i="37" a="1"/>
  <c r="U329" s="1"/>
  <c r="U329" i="40" s="1"/>
  <c r="U337" i="37" a="1"/>
  <c r="U337" s="1"/>
  <c r="U337" i="40" s="1"/>
  <c r="U332" i="37" a="1"/>
  <c r="U332" s="1"/>
  <c r="U332" i="40" s="1"/>
  <c r="U324" i="37" a="1"/>
  <c r="U324" s="1"/>
  <c r="U324" i="40" s="1"/>
  <c r="U338" i="37" a="1"/>
  <c r="U338" s="1"/>
  <c r="U338" i="40" s="1"/>
  <c r="U326" i="37" a="1"/>
  <c r="U326" s="1"/>
  <c r="U326" i="40" s="1"/>
  <c r="U339" i="37" a="1"/>
  <c r="U339" s="1"/>
  <c r="U339" i="40" s="1"/>
  <c r="U323" i="37" a="1"/>
  <c r="U323" s="1"/>
  <c r="U323" i="40" s="1"/>
  <c r="U331" i="37" a="1"/>
  <c r="U331" s="1"/>
  <c r="U331" i="40" s="1"/>
  <c r="U328" i="37" a="1"/>
  <c r="U328" s="1"/>
  <c r="U328" i="40" s="1"/>
  <c r="U330" i="37" a="1"/>
  <c r="U330" s="1"/>
  <c r="U330" i="40" s="1"/>
  <c r="U340" i="37" a="1"/>
  <c r="U340" s="1"/>
  <c r="U340" i="40" s="1"/>
  <c r="U336" i="37" a="1"/>
  <c r="U336" s="1"/>
  <c r="U336" i="40" s="1"/>
  <c r="X66" i="37" a="1"/>
  <c r="X66" s="1"/>
  <c r="X66" i="40" s="1"/>
  <c r="X50" i="37" a="1"/>
  <c r="X50" s="1"/>
  <c r="X50" i="40" s="1"/>
  <c r="X58" i="37" a="1"/>
  <c r="X58" s="1"/>
  <c r="X58" i="40" s="1"/>
  <c r="X60" i="37" a="1"/>
  <c r="X60" s="1"/>
  <c r="X60" i="40" s="1"/>
  <c r="X47" i="37" a="1"/>
  <c r="X47" s="1"/>
  <c r="X63" a="1"/>
  <c r="X63" s="1"/>
  <c r="X63" i="40" s="1"/>
  <c r="X53" i="37" a="1"/>
  <c r="X53" s="1"/>
  <c r="X53" i="40" s="1"/>
  <c r="X49" i="37" a="1"/>
  <c r="X49" s="1"/>
  <c r="X49" i="40" s="1"/>
  <c r="X68" i="37" a="1"/>
  <c r="X68" s="1"/>
  <c r="X68" i="40" s="1"/>
  <c r="X65" i="37" a="1"/>
  <c r="X65" s="1"/>
  <c r="X65" i="40" s="1"/>
  <c r="X57" i="37" a="1"/>
  <c r="X57" s="1"/>
  <c r="X57" i="40" s="1"/>
  <c r="X55" i="37" a="1"/>
  <c r="X55" s="1"/>
  <c r="X55" i="40" s="1"/>
  <c r="X52" i="37" a="1"/>
  <c r="X52" s="1"/>
  <c r="X52" i="40" s="1"/>
  <c r="X62" i="37" a="1"/>
  <c r="X62" s="1"/>
  <c r="X62" i="40" s="1"/>
  <c r="X54" i="37" a="1"/>
  <c r="X54" s="1"/>
  <c r="X54" i="40" s="1"/>
  <c r="X46" i="37" a="1"/>
  <c r="X46" s="1"/>
  <c r="X46" i="40" s="1"/>
  <c r="X64" i="37" a="1"/>
  <c r="X64" s="1"/>
  <c r="X64" i="40" s="1"/>
  <c r="X67" i="37" a="1"/>
  <c r="X67" s="1"/>
  <c r="X67" i="40" s="1"/>
  <c r="X56" i="37" a="1"/>
  <c r="X56" s="1"/>
  <c r="X56" i="40" s="1"/>
  <c r="X59" i="37" a="1"/>
  <c r="X59" s="1"/>
  <c r="X59" i="40" s="1"/>
  <c r="X61" i="37" a="1"/>
  <c r="X61" s="1"/>
  <c r="X61" i="40" s="1"/>
  <c r="X51" i="37" a="1"/>
  <c r="X51" s="1"/>
  <c r="X51" i="40" s="1"/>
  <c r="X48" i="37" a="1"/>
  <c r="X48" s="1"/>
  <c r="X48" i="40" s="1"/>
  <c r="Z50" i="37" a="1"/>
  <c r="Z50" s="1"/>
  <c r="Z50" i="40" s="1"/>
  <c r="Z66" i="37" a="1"/>
  <c r="Z66" s="1"/>
  <c r="Z66" i="40" s="1"/>
  <c r="Z58" i="37" a="1"/>
  <c r="Z58" s="1"/>
  <c r="Z58" i="40" s="1"/>
  <c r="Z47" i="37" a="1"/>
  <c r="Z47" s="1"/>
  <c r="Z54" a="1"/>
  <c r="Z54" s="1"/>
  <c r="Z54" i="40" s="1"/>
  <c r="Z63" i="37" a="1"/>
  <c r="Z63" s="1"/>
  <c r="Z63" i="40" s="1"/>
  <c r="Z55" i="37" a="1"/>
  <c r="Z55" s="1"/>
  <c r="Z55" i="40" s="1"/>
  <c r="Z65" i="37" a="1"/>
  <c r="Z65" s="1"/>
  <c r="Z65" i="40" s="1"/>
  <c r="Z57" i="37" a="1"/>
  <c r="Z57" s="1"/>
  <c r="Z57" i="40" s="1"/>
  <c r="Z60" i="37" a="1"/>
  <c r="Z60" s="1"/>
  <c r="Z60" i="40" s="1"/>
  <c r="Z49" i="37" a="1"/>
  <c r="Z49" s="1"/>
  <c r="Z49" i="40" s="1"/>
  <c r="Z53" i="37" a="1"/>
  <c r="Z53" s="1"/>
  <c r="Z53" i="40" s="1"/>
  <c r="Z46" i="37" a="1"/>
  <c r="Z46" s="1"/>
  <c r="Z46" i="40" s="1"/>
  <c r="Z62" i="37" a="1"/>
  <c r="Z62" s="1"/>
  <c r="Z62" i="40" s="1"/>
  <c r="Z68" i="37" a="1"/>
  <c r="Z68" s="1"/>
  <c r="Z68" i="40" s="1"/>
  <c r="Z52" i="37" a="1"/>
  <c r="Z52" s="1"/>
  <c r="Z52" i="40" s="1"/>
  <c r="Z64" i="37" a="1"/>
  <c r="Z64" s="1"/>
  <c r="Z64" i="40" s="1"/>
  <c r="Z59" i="37" a="1"/>
  <c r="Z59" s="1"/>
  <c r="Z59" i="40" s="1"/>
  <c r="Z51" i="37" a="1"/>
  <c r="Z51" s="1"/>
  <c r="Z51" i="40" s="1"/>
  <c r="Z61" i="37" a="1"/>
  <c r="Z61" s="1"/>
  <c r="Z61" i="40" s="1"/>
  <c r="Z56" i="37" a="1"/>
  <c r="Z56" s="1"/>
  <c r="Z56" i="40" s="1"/>
  <c r="Z48" i="37" a="1"/>
  <c r="Z48" s="1"/>
  <c r="Z48" i="40" s="1"/>
  <c r="Z67" i="37" a="1"/>
  <c r="Z67" s="1"/>
  <c r="Z67" i="40" s="1"/>
  <c r="W261" i="37" a="1"/>
  <c r="W261" s="1"/>
  <c r="W261" i="40" s="1"/>
  <c r="W274" i="37" a="1"/>
  <c r="W274" s="1"/>
  <c r="W274" i="40" s="1"/>
  <c r="W257" i="37" a="1"/>
  <c r="W257" s="1"/>
  <c r="W257" i="40" s="1"/>
  <c r="W268" i="37" a="1"/>
  <c r="W268" s="1"/>
  <c r="W268" i="40" s="1"/>
  <c r="W270" i="37" a="1"/>
  <c r="W270" s="1"/>
  <c r="W270" i="40" s="1"/>
  <c r="W263" i="37" a="1"/>
  <c r="W263" s="1"/>
  <c r="W263" i="40" s="1"/>
  <c r="W255" i="37" a="1"/>
  <c r="W255" s="1"/>
  <c r="W266" a="1"/>
  <c r="W266" s="1"/>
  <c r="W266" i="40" s="1"/>
  <c r="W271" i="37" a="1"/>
  <c r="W271" s="1"/>
  <c r="W271" i="40" s="1"/>
  <c r="W273" i="37" a="1"/>
  <c r="W273" s="1"/>
  <c r="W273" i="40" s="1"/>
  <c r="W276" i="37" a="1"/>
  <c r="W276" s="1"/>
  <c r="W276" i="40" s="1"/>
  <c r="W265" i="37" a="1"/>
  <c r="W265" s="1"/>
  <c r="W265" i="40" s="1"/>
  <c r="W258" i="37" a="1"/>
  <c r="W258" s="1"/>
  <c r="W258" i="40" s="1"/>
  <c r="W262" i="37" a="1"/>
  <c r="W262" s="1"/>
  <c r="W262" i="40" s="1"/>
  <c r="W260" i="37" a="1"/>
  <c r="W260" s="1"/>
  <c r="W260" i="40" s="1"/>
  <c r="W254" i="37" a="1"/>
  <c r="W254" s="1"/>
  <c r="W254" i="40" s="1"/>
  <c r="W256" i="37" a="1"/>
  <c r="W256" s="1"/>
  <c r="W256" i="40" s="1"/>
  <c r="W272" i="37" a="1"/>
  <c r="W272" s="1"/>
  <c r="W272" i="40" s="1"/>
  <c r="W264" i="37" a="1"/>
  <c r="W264" s="1"/>
  <c r="W264" i="40" s="1"/>
  <c r="W259" i="37" a="1"/>
  <c r="W259" s="1"/>
  <c r="W259" i="40" s="1"/>
  <c r="W269" i="37" a="1"/>
  <c r="W269" s="1"/>
  <c r="W269" i="40" s="1"/>
  <c r="W275" i="37" a="1"/>
  <c r="W275" s="1"/>
  <c r="W275" i="40" s="1"/>
  <c r="W267" i="37" a="1"/>
  <c r="W267" s="1"/>
  <c r="W267" i="40" s="1"/>
  <c r="Y178" i="37" a="1"/>
  <c r="Y178" s="1"/>
  <c r="Y178" i="40" s="1"/>
  <c r="Y165" i="37" a="1"/>
  <c r="Y165" s="1"/>
  <c r="Y165" i="40" s="1"/>
  <c r="Y170" i="37" a="1"/>
  <c r="Y170" s="1"/>
  <c r="Y170" i="40" s="1"/>
  <c r="Y183" i="37" a="1"/>
  <c r="Y183" s="1"/>
  <c r="Y183" i="40" s="1"/>
  <c r="Y175" i="37" a="1"/>
  <c r="Y175" s="1"/>
  <c r="Y175" i="40" s="1"/>
  <c r="Y173" i="37" a="1"/>
  <c r="Y173" s="1"/>
  <c r="Y173" i="40" s="1"/>
  <c r="Y169" i="37" a="1"/>
  <c r="Y169" s="1"/>
  <c r="Y169" i="40" s="1"/>
  <c r="Y174" i="37" a="1"/>
  <c r="Y174" s="1"/>
  <c r="Y174" i="40" s="1"/>
  <c r="Y164" i="37" a="1"/>
  <c r="Y164" s="1"/>
  <c r="Y164" i="40" s="1"/>
  <c r="Y162" i="37" a="1"/>
  <c r="Y162" s="1"/>
  <c r="Y162" i="40" s="1"/>
  <c r="Y167" i="37" a="1"/>
  <c r="Y167" s="1"/>
  <c r="Y167" i="40" s="1"/>
  <c r="Y177" i="37" a="1"/>
  <c r="Y177" s="1"/>
  <c r="Y177" i="40" s="1"/>
  <c r="Y182" i="37" a="1"/>
  <c r="Y182" s="1"/>
  <c r="Y182" i="40" s="1"/>
  <c r="Y172" i="37" a="1"/>
  <c r="Y172" s="1"/>
  <c r="Y172" i="40" s="1"/>
  <c r="Y166" i="37" a="1"/>
  <c r="Y166" s="1"/>
  <c r="Y166" i="40" s="1"/>
  <c r="Y181" i="37" a="1"/>
  <c r="Y181" s="1"/>
  <c r="Y181" i="40" s="1"/>
  <c r="Y180" i="37" a="1"/>
  <c r="Y180" s="1"/>
  <c r="Y180" i="40" s="1"/>
  <c r="Y168" i="37" a="1"/>
  <c r="Y168" s="1"/>
  <c r="Y168" i="40" s="1"/>
  <c r="Y179" i="37" a="1"/>
  <c r="Y179" s="1"/>
  <c r="Y179" i="40" s="1"/>
  <c r="Y184" i="37" a="1"/>
  <c r="Y184" s="1"/>
  <c r="Y184" i="40" s="1"/>
  <c r="Y163" i="37" a="1"/>
  <c r="Y163" s="1"/>
  <c r="Y171" a="1"/>
  <c r="Y171" s="1"/>
  <c r="Y171" i="40" s="1"/>
  <c r="Y176" i="37" a="1"/>
  <c r="Y176" s="1"/>
  <c r="Y176" i="40" s="1"/>
  <c r="AA170" i="37" a="1"/>
  <c r="AA170" s="1"/>
  <c r="AA170" i="40" s="1"/>
  <c r="AA175" i="37" a="1"/>
  <c r="AA175" s="1"/>
  <c r="AA175" i="40" s="1"/>
  <c r="AA165" i="37" a="1"/>
  <c r="AA165" s="1"/>
  <c r="AA165" i="40" s="1"/>
  <c r="AA183" i="37" a="1"/>
  <c r="AA183" s="1"/>
  <c r="AA183" i="40" s="1"/>
  <c r="AA162" i="37" a="1"/>
  <c r="AA162" s="1"/>
  <c r="AA162" i="40" s="1"/>
  <c r="AA178" i="37" a="1"/>
  <c r="AA178" s="1"/>
  <c r="AA178" i="40" s="1"/>
  <c r="AA167" i="37" a="1"/>
  <c r="AA167" s="1"/>
  <c r="AA167" i="40" s="1"/>
  <c r="AA164" i="37" a="1"/>
  <c r="AA164" s="1"/>
  <c r="AA164" i="40" s="1"/>
  <c r="AA173" i="37" a="1"/>
  <c r="AA173" s="1"/>
  <c r="AA173" i="40" s="1"/>
  <c r="AA169" i="37" a="1"/>
  <c r="AA169" s="1"/>
  <c r="AA169" i="40" s="1"/>
  <c r="AA177" i="37" a="1"/>
  <c r="AA177" s="1"/>
  <c r="AA177" i="40" s="1"/>
  <c r="AA180" i="37" a="1"/>
  <c r="AA180" s="1"/>
  <c r="AA180" i="40" s="1"/>
  <c r="AA181" i="37" a="1"/>
  <c r="AA181" s="1"/>
  <c r="AA181" i="40" s="1"/>
  <c r="AA166" i="37" a="1"/>
  <c r="AA166" s="1"/>
  <c r="AA166" i="40" s="1"/>
  <c r="AA172" i="37" a="1"/>
  <c r="AA172" s="1"/>
  <c r="AA172" i="40" s="1"/>
  <c r="AA182" i="37" a="1"/>
  <c r="AA182" s="1"/>
  <c r="AA182" i="40" s="1"/>
  <c r="AA174" i="37" a="1"/>
  <c r="AA174" s="1"/>
  <c r="AA174" i="40" s="1"/>
  <c r="AA171" i="37" a="1"/>
  <c r="AA171" s="1"/>
  <c r="AA171" i="40" s="1"/>
  <c r="AA179" i="37" a="1"/>
  <c r="AA179" s="1"/>
  <c r="AA179" i="40" s="1"/>
  <c r="AA176" i="37" a="1"/>
  <c r="AA176" s="1"/>
  <c r="AA176" i="40" s="1"/>
  <c r="AA184" i="37" a="1"/>
  <c r="AA184" s="1"/>
  <c r="AA184" i="40" s="1"/>
  <c r="AA168" i="37" a="1"/>
  <c r="AA168" s="1"/>
  <c r="AA168" i="40" s="1"/>
  <c r="AA163" i="37" a="1"/>
  <c r="AA163" s="1"/>
  <c r="W10" a="1"/>
  <c r="W10" s="1"/>
  <c r="W10" i="40" s="1"/>
  <c r="W15" i="37" a="1"/>
  <c r="W15" s="1"/>
  <c r="W15" i="40" s="1"/>
  <c r="W7" i="37" a="1"/>
  <c r="W7" s="1"/>
  <c r="W7" i="40" s="1"/>
  <c r="W14" i="37" a="1"/>
  <c r="W14" s="1"/>
  <c r="W14" i="40" s="1"/>
  <c r="W22" i="37" a="1"/>
  <c r="W22" s="1"/>
  <c r="W22" i="40" s="1"/>
  <c r="W23" i="37" a="1"/>
  <c r="W23" s="1"/>
  <c r="W23" i="40" s="1"/>
  <c r="W12" i="37" a="1"/>
  <c r="W12" s="1"/>
  <c r="W12" i="40" s="1"/>
  <c r="W20" i="37" a="1"/>
  <c r="W20" s="1"/>
  <c r="W20" i="40" s="1"/>
  <c r="W21" i="37" a="1"/>
  <c r="W21" s="1"/>
  <c r="W21" i="40" s="1"/>
  <c r="W18" i="37" a="1"/>
  <c r="W18" s="1"/>
  <c r="W18" i="40" s="1"/>
  <c r="W9" i="37" a="1"/>
  <c r="W9" s="1"/>
  <c r="W9" i="40" s="1"/>
  <c r="W17" i="37" a="1"/>
  <c r="W17" s="1"/>
  <c r="W17" i="40" s="1"/>
  <c r="W5" i="37" a="1"/>
  <c r="W5" s="1"/>
  <c r="W5" i="40" s="1"/>
  <c r="W4" i="37" a="1"/>
  <c r="W4" s="1"/>
  <c r="W4" i="40" s="1"/>
  <c r="W6" i="37" a="1"/>
  <c r="W6" s="1"/>
  <c r="W6" i="40" s="1"/>
  <c r="W11" i="37" a="1"/>
  <c r="W11" s="1"/>
  <c r="W11" i="40" s="1"/>
  <c r="W13" i="37" a="1"/>
  <c r="W13" s="1"/>
  <c r="W13" i="40" s="1"/>
  <c r="W8" i="37" a="1"/>
  <c r="W8" s="1"/>
  <c r="W8" i="40" s="1"/>
  <c r="W16" i="37" a="1"/>
  <c r="W16" s="1"/>
  <c r="W16" i="40" s="1"/>
  <c r="W3" i="37" a="1"/>
  <c r="W3" s="1"/>
  <c r="W19" a="1"/>
  <c r="W19" s="1"/>
  <c r="W19" i="40" s="1"/>
  <c r="Z23" i="37" a="1"/>
  <c r="Z23" s="1"/>
  <c r="Z23" i="40" s="1"/>
  <c r="Z18" i="37" a="1"/>
  <c r="Z18" s="1"/>
  <c r="Z18" i="40" s="1"/>
  <c r="Z10" i="37" a="1"/>
  <c r="Z10" s="1"/>
  <c r="Z10" i="40" s="1"/>
  <c r="Z7" i="37" a="1"/>
  <c r="Z7" s="1"/>
  <c r="Z7" i="40" s="1"/>
  <c r="Z4" i="37" a="1"/>
  <c r="Z4" s="1"/>
  <c r="Z4" i="40" s="1"/>
  <c r="Z15" i="37" a="1"/>
  <c r="Z15" s="1"/>
  <c r="Z15" i="40" s="1"/>
  <c r="Z17" i="37" a="1"/>
  <c r="Z17" s="1"/>
  <c r="Z17" i="40" s="1"/>
  <c r="Z21" i="37" a="1"/>
  <c r="Z21" s="1"/>
  <c r="Z21" i="40" s="1"/>
  <c r="Z12" i="37" a="1"/>
  <c r="Z12" s="1"/>
  <c r="Z12" i="40" s="1"/>
  <c r="Z5" i="37" a="1"/>
  <c r="Z5" s="1"/>
  <c r="Z5" i="40" s="1"/>
  <c r="Z20" i="37" a="1"/>
  <c r="Z20" s="1"/>
  <c r="Z20" i="40" s="1"/>
  <c r="Z9" i="37" a="1"/>
  <c r="Z9" s="1"/>
  <c r="Z9" i="40" s="1"/>
  <c r="Z6" i="37" a="1"/>
  <c r="Z6" s="1"/>
  <c r="Z6" i="40" s="1"/>
  <c r="Z14" i="37" a="1"/>
  <c r="Z14" s="1"/>
  <c r="Z14" i="40" s="1"/>
  <c r="Z22" i="37" a="1"/>
  <c r="Z22" s="1"/>
  <c r="Z22" i="40" s="1"/>
  <c r="Z8" i="37" a="1"/>
  <c r="Z8" s="1"/>
  <c r="Z8" i="40" s="1"/>
  <c r="Z16" i="37" a="1"/>
  <c r="Z16" s="1"/>
  <c r="Z16" i="40" s="1"/>
  <c r="Z19" i="37" a="1"/>
  <c r="Z19" s="1"/>
  <c r="Z19" i="40" s="1"/>
  <c r="Z11" i="37" a="1"/>
  <c r="Z11" s="1"/>
  <c r="Z11" i="40" s="1"/>
  <c r="Z3" i="37" a="1"/>
  <c r="Z3" s="1"/>
  <c r="Z13" a="1"/>
  <c r="Z13" s="1"/>
  <c r="Z13" i="40" s="1"/>
  <c r="X431" i="37" a="1"/>
  <c r="X431" s="1"/>
  <c r="X431" i="40" s="1"/>
  <c r="X423" i="37" a="1"/>
  <c r="X423" s="1"/>
  <c r="X423" i="40" s="1"/>
  <c r="X433" i="37" a="1"/>
  <c r="X433" s="1"/>
  <c r="X433" i="40" s="1"/>
  <c r="X421" i="37" a="1"/>
  <c r="X421" s="1"/>
  <c r="X421" i="40" s="1"/>
  <c r="X422" i="37" a="1"/>
  <c r="X422" s="1"/>
  <c r="X422" i="40" s="1"/>
  <c r="X429" i="37" a="1"/>
  <c r="X429" s="1"/>
  <c r="X429" i="40" s="1"/>
  <c r="X415" i="37" a="1"/>
  <c r="X415" s="1"/>
  <c r="X415" i="40" s="1"/>
  <c r="X428" i="37" a="1"/>
  <c r="X428" s="1"/>
  <c r="X428" i="40" s="1"/>
  <c r="X420" i="37" a="1"/>
  <c r="X420" s="1"/>
  <c r="X420" i="40" s="1"/>
  <c r="X430" i="37" a="1"/>
  <c r="X430" s="1"/>
  <c r="X430" i="40" s="1"/>
  <c r="X417" i="37" a="1"/>
  <c r="X417" s="1"/>
  <c r="X417" i="40" s="1"/>
  <c r="X414" i="37" a="1"/>
  <c r="X414" s="1"/>
  <c r="X413" a="1"/>
  <c r="X413" s="1"/>
  <c r="X413" i="40" s="1"/>
  <c r="X426" i="37" a="1"/>
  <c r="X426" s="1"/>
  <c r="X426" i="40" s="1"/>
  <c r="X425" i="37" a="1"/>
  <c r="X425" s="1"/>
  <c r="X425" i="40" s="1"/>
  <c r="X435" i="37" a="1"/>
  <c r="X435" s="1"/>
  <c r="X435" i="40" s="1"/>
  <c r="X427" i="37" a="1"/>
  <c r="X427" s="1"/>
  <c r="X427" i="40" s="1"/>
  <c r="X418" i="37" a="1"/>
  <c r="X418" s="1"/>
  <c r="X418" i="40" s="1"/>
  <c r="X424" i="37" a="1"/>
  <c r="X424" s="1"/>
  <c r="X424" i="40" s="1"/>
  <c r="X419" i="37" a="1"/>
  <c r="X419" s="1"/>
  <c r="X419" i="40" s="1"/>
  <c r="X434" i="37" a="1"/>
  <c r="X434" s="1"/>
  <c r="X434" i="40" s="1"/>
  <c r="X432" i="37" a="1"/>
  <c r="X432" s="1"/>
  <c r="X432" i="40" s="1"/>
  <c r="X416" i="37" a="1"/>
  <c r="X416" s="1"/>
  <c r="X416" i="40" s="1"/>
  <c r="Z415" i="37" a="1"/>
  <c r="Z415" s="1"/>
  <c r="Z415" i="40" s="1"/>
  <c r="Z423" i="37" a="1"/>
  <c r="Z423" s="1"/>
  <c r="Z423" i="40" s="1"/>
  <c r="Z421" i="37" a="1"/>
  <c r="Z421" s="1"/>
  <c r="Z421" i="40" s="1"/>
  <c r="Z414" i="37" a="1"/>
  <c r="Z414" s="1"/>
  <c r="Z428" a="1"/>
  <c r="Z428" s="1"/>
  <c r="Z428" i="40" s="1"/>
  <c r="Z431" i="37" a="1"/>
  <c r="Z431" s="1"/>
  <c r="Z431" i="40" s="1"/>
  <c r="Z433" i="37" a="1"/>
  <c r="Z433" s="1"/>
  <c r="Z433" i="40" s="1"/>
  <c r="Z429" i="37" a="1"/>
  <c r="Z429" s="1"/>
  <c r="Z429" i="40" s="1"/>
  <c r="Z420" i="37" a="1"/>
  <c r="Z420" s="1"/>
  <c r="Z420" i="40" s="1"/>
  <c r="Z422" i="37" a="1"/>
  <c r="Z422" s="1"/>
  <c r="Z422" i="40" s="1"/>
  <c r="Z425" i="37" a="1"/>
  <c r="Z425" s="1"/>
  <c r="Z425" i="40" s="1"/>
  <c r="Z413" i="37" a="1"/>
  <c r="Z413" s="1"/>
  <c r="Z413" i="40" s="1"/>
  <c r="Z426" i="37" a="1"/>
  <c r="Z426" s="1"/>
  <c r="Z426" i="40" s="1"/>
  <c r="Z417" i="37" a="1"/>
  <c r="Z417" s="1"/>
  <c r="Z417" i="40" s="1"/>
  <c r="Z430" i="37" a="1"/>
  <c r="Z430" s="1"/>
  <c r="Z430" i="40" s="1"/>
  <c r="Z419" i="37" a="1"/>
  <c r="Z419" s="1"/>
  <c r="Z419" i="40" s="1"/>
  <c r="Z418" i="37" a="1"/>
  <c r="Z418" s="1"/>
  <c r="Z418" i="40" s="1"/>
  <c r="Z434" i="37" a="1"/>
  <c r="Z434" s="1"/>
  <c r="Z434" i="40" s="1"/>
  <c r="Z435" i="37" a="1"/>
  <c r="Z435" s="1"/>
  <c r="Z435" i="40" s="1"/>
  <c r="Z432" i="37" a="1"/>
  <c r="Z432" s="1"/>
  <c r="Z432" i="40" s="1"/>
  <c r="Z416" i="37" a="1"/>
  <c r="Z416" s="1"/>
  <c r="Z416" i="40" s="1"/>
  <c r="Z427" i="37" a="1"/>
  <c r="Z427" s="1"/>
  <c r="Z427" i="40" s="1"/>
  <c r="Z424" i="37" a="1"/>
  <c r="Z424" s="1"/>
  <c r="Z424" i="40" s="1"/>
  <c r="Y250" i="37" a="1"/>
  <c r="Y250" s="1"/>
  <c r="Y250" i="40" s="1"/>
  <c r="Y242" i="37" a="1"/>
  <c r="Y242" s="1"/>
  <c r="Y242" i="40" s="1"/>
  <c r="Y239" i="37" a="1"/>
  <c r="Y239" s="1"/>
  <c r="Y239" i="40" s="1"/>
  <c r="Y253" i="37" a="1"/>
  <c r="Y253" s="1"/>
  <c r="Y253" i="40" s="1"/>
  <c r="Y234" i="37" a="1"/>
  <c r="Y234" s="1"/>
  <c r="Y234" i="40" s="1"/>
  <c r="Y233" i="37" a="1"/>
  <c r="Y233" s="1"/>
  <c r="Y233" i="40" s="1"/>
  <c r="Y246" i="37" a="1"/>
  <c r="Y246" s="1"/>
  <c r="Y246" i="40" s="1"/>
  <c r="Y249" i="37" a="1"/>
  <c r="Y249" s="1"/>
  <c r="Y249" i="40" s="1"/>
  <c r="Y236" i="37" a="1"/>
  <c r="Y236" s="1"/>
  <c r="Y236" i="40" s="1"/>
  <c r="Y231" i="37" a="1"/>
  <c r="Y231" s="1"/>
  <c r="Y231" i="40" s="1"/>
  <c r="Y244" i="37" a="1"/>
  <c r="Y244" s="1"/>
  <c r="Y244" i="40" s="1"/>
  <c r="Y247" i="37" a="1"/>
  <c r="Y247" s="1"/>
  <c r="Y247" i="40" s="1"/>
  <c r="Y245" i="37" a="1"/>
  <c r="Y245" s="1"/>
  <c r="Y245" i="40" s="1"/>
  <c r="Y237" i="37" a="1"/>
  <c r="Y237" s="1"/>
  <c r="Y237" i="40" s="1"/>
  <c r="Y241" i="37" a="1"/>
  <c r="Y241" s="1"/>
  <c r="Y241" i="40" s="1"/>
  <c r="Y238" i="37" a="1"/>
  <c r="Y238" s="1"/>
  <c r="Y238" i="40" s="1"/>
  <c r="Y243" i="37" a="1"/>
  <c r="Y243" s="1"/>
  <c r="Y243" i="40" s="1"/>
  <c r="Y232" i="37" a="1"/>
  <c r="Y232" s="1"/>
  <c r="Y248" a="1"/>
  <c r="Y248" s="1"/>
  <c r="Y248" i="40" s="1"/>
  <c r="Y251" i="37" a="1"/>
  <c r="Y251" s="1"/>
  <c r="Y251" i="40" s="1"/>
  <c r="Y235" i="37" a="1"/>
  <c r="Y235" s="1"/>
  <c r="Y235" i="40" s="1"/>
  <c r="Y252" i="37" a="1"/>
  <c r="Y252" s="1"/>
  <c r="Y252" i="40" s="1"/>
  <c r="Y240" i="37" a="1"/>
  <c r="Y240" s="1"/>
  <c r="Y240" i="40" s="1"/>
  <c r="Z242" i="37" a="1"/>
  <c r="Z242" s="1"/>
  <c r="Z242" i="40" s="1"/>
  <c r="Z253" i="37" a="1"/>
  <c r="Z253" s="1"/>
  <c r="Z253" i="40" s="1"/>
  <c r="Z234" i="37" a="1"/>
  <c r="Z234" s="1"/>
  <c r="Z234" i="40" s="1"/>
  <c r="Z231" i="37" a="1"/>
  <c r="Z231" s="1"/>
  <c r="Z231" i="40" s="1"/>
  <c r="Z247" i="37" a="1"/>
  <c r="Z247" s="1"/>
  <c r="Z247" i="40" s="1"/>
  <c r="Z249" i="37" a="1"/>
  <c r="Z249" s="1"/>
  <c r="Z249" i="40" s="1"/>
  <c r="Z238" i="37" a="1"/>
  <c r="Z238" s="1"/>
  <c r="Z238" i="40" s="1"/>
  <c r="Z241" i="37" a="1"/>
  <c r="Z241" s="1"/>
  <c r="Z241" i="40" s="1"/>
  <c r="Z250" i="37" a="1"/>
  <c r="Z250" s="1"/>
  <c r="Z250" i="40" s="1"/>
  <c r="Z239" i="37" a="1"/>
  <c r="Z239" s="1"/>
  <c r="Z239" i="40" s="1"/>
  <c r="Z233" i="37" a="1"/>
  <c r="Z233" s="1"/>
  <c r="Z233" i="40" s="1"/>
  <c r="Z237" i="37" a="1"/>
  <c r="Z237" s="1"/>
  <c r="Z237" i="40" s="1"/>
  <c r="Z236" i="37" a="1"/>
  <c r="Z236" s="1"/>
  <c r="Z236" i="40" s="1"/>
  <c r="Z244" i="37" a="1"/>
  <c r="Z244" s="1"/>
  <c r="Z244" i="40" s="1"/>
  <c r="Z245" i="37" a="1"/>
  <c r="Z245" s="1"/>
  <c r="Z245" i="40" s="1"/>
  <c r="Z246" i="37" a="1"/>
  <c r="Z246" s="1"/>
  <c r="Z246" i="40" s="1"/>
  <c r="Z243" i="37" a="1"/>
  <c r="Z243" s="1"/>
  <c r="Z243" i="40" s="1"/>
  <c r="Z232" i="37" a="1"/>
  <c r="Z232" s="1"/>
  <c r="Z251" a="1"/>
  <c r="Z251" s="1"/>
  <c r="Z251" i="40" s="1"/>
  <c r="Z235" i="37" a="1"/>
  <c r="Z235" s="1"/>
  <c r="Z235" i="40" s="1"/>
  <c r="Z248" i="37" a="1"/>
  <c r="Z248" s="1"/>
  <c r="Z248" i="40" s="1"/>
  <c r="Z240" i="37" a="1"/>
  <c r="Z240" s="1"/>
  <c r="Z240" i="40" s="1"/>
  <c r="Z252" i="37" a="1"/>
  <c r="Z252" s="1"/>
  <c r="Z252" i="40" s="1"/>
  <c r="W157" i="37" a="1"/>
  <c r="W157" s="1"/>
  <c r="W157" i="40" s="1"/>
  <c r="W151" i="37" a="1"/>
  <c r="W151" s="1"/>
  <c r="W151" i="40" s="1"/>
  <c r="W138" i="37" a="1"/>
  <c r="W138" s="1"/>
  <c r="W138" i="40" s="1"/>
  <c r="W146" i="37" a="1"/>
  <c r="W146" s="1"/>
  <c r="W146" i="40" s="1"/>
  <c r="W153" i="37" a="1"/>
  <c r="W153" s="1"/>
  <c r="W153" i="40" s="1"/>
  <c r="W149" i="37" a="1"/>
  <c r="W149" s="1"/>
  <c r="W149" i="40" s="1"/>
  <c r="W158" i="37" a="1"/>
  <c r="W158" s="1"/>
  <c r="W158" i="40" s="1"/>
  <c r="W159" i="37" a="1"/>
  <c r="W159" s="1"/>
  <c r="W159" i="40" s="1"/>
  <c r="W143" i="37" a="1"/>
  <c r="W143" s="1"/>
  <c r="W143" i="40" s="1"/>
  <c r="W145" i="37" a="1"/>
  <c r="W145" s="1"/>
  <c r="W145" i="40" s="1"/>
  <c r="W140" i="37" a="1"/>
  <c r="W140" s="1"/>
  <c r="W140" i="40" s="1"/>
  <c r="W154" i="37" a="1"/>
  <c r="W154" s="1"/>
  <c r="W154" i="40" s="1"/>
  <c r="W141" i="37" a="1"/>
  <c r="W141" s="1"/>
  <c r="W141" i="40" s="1"/>
  <c r="W161" i="37" a="1"/>
  <c r="W161" s="1"/>
  <c r="W161" i="40" s="1"/>
  <c r="W148" i="37" a="1"/>
  <c r="W148" s="1"/>
  <c r="W148" i="40" s="1"/>
  <c r="W156" i="37" a="1"/>
  <c r="W156" s="1"/>
  <c r="W156" i="40" s="1"/>
  <c r="W150" i="37" a="1"/>
  <c r="W150" s="1"/>
  <c r="W150" i="40" s="1"/>
  <c r="W142" i="37" a="1"/>
  <c r="W142" s="1"/>
  <c r="W142" i="40" s="1"/>
  <c r="W155" i="37" a="1"/>
  <c r="W155" s="1"/>
  <c r="W155" i="40" s="1"/>
  <c r="W147" i="37" a="1"/>
  <c r="W147" s="1"/>
  <c r="W147" i="40" s="1"/>
  <c r="W160" i="37" a="1"/>
  <c r="W160" s="1"/>
  <c r="W160" i="40" s="1"/>
  <c r="W139" i="37" a="1"/>
  <c r="W139" s="1"/>
  <c r="W144" a="1"/>
  <c r="W144" s="1"/>
  <c r="W144" i="40" s="1"/>
  <c r="W152" i="37" a="1"/>
  <c r="W152" s="1"/>
  <c r="W152" i="40" s="1"/>
  <c r="U42" i="37" a="1"/>
  <c r="U42" s="1"/>
  <c r="U42" i="40" s="1"/>
  <c r="U34" i="37" a="1"/>
  <c r="U34" s="1"/>
  <c r="U34" i="40" s="1"/>
  <c r="U29" i="37" a="1"/>
  <c r="U29" s="1"/>
  <c r="U29" i="40" s="1"/>
  <c r="U26" i="37" a="1"/>
  <c r="U26" s="1"/>
  <c r="U26" i="40" s="1"/>
  <c r="U41" i="37" a="1"/>
  <c r="U41" s="1"/>
  <c r="U41" i="40" s="1"/>
  <c r="U39" i="37" a="1"/>
  <c r="U39" s="1"/>
  <c r="U39" i="40" s="1"/>
  <c r="U28" i="37" a="1"/>
  <c r="U28" s="1"/>
  <c r="U28" i="40" s="1"/>
  <c r="U33" i="37" a="1"/>
  <c r="U33" s="1"/>
  <c r="U33" i="40" s="1"/>
  <c r="U25" i="37" a="1"/>
  <c r="U25" s="1"/>
  <c r="U31" a="1"/>
  <c r="U31" s="1"/>
  <c r="U31" i="40" s="1"/>
  <c r="U30" i="37" a="1"/>
  <c r="U30" s="1"/>
  <c r="U30" i="40" s="1"/>
  <c r="U38" i="37" a="1"/>
  <c r="U38" s="1"/>
  <c r="U38" i="40" s="1"/>
  <c r="U45" i="37" a="1"/>
  <c r="U45" s="1"/>
  <c r="U45" i="40" s="1"/>
  <c r="U44" i="37" a="1"/>
  <c r="U44" s="1"/>
  <c r="U44" i="40" s="1"/>
  <c r="U37" i="37" a="1"/>
  <c r="U37" s="1"/>
  <c r="U37" i="40" s="1"/>
  <c r="U36" i="37" a="1"/>
  <c r="U36" s="1"/>
  <c r="U36" i="40" s="1"/>
  <c r="U32" i="37" a="1"/>
  <c r="U32" s="1"/>
  <c r="U32" i="40" s="1"/>
  <c r="U35" i="37" a="1"/>
  <c r="U35" s="1"/>
  <c r="U35" i="40" s="1"/>
  <c r="U27" i="37" a="1"/>
  <c r="U27" s="1"/>
  <c r="U27" i="40" s="1"/>
  <c r="U43" i="37" a="1"/>
  <c r="U43" s="1"/>
  <c r="U43" i="40" s="1"/>
  <c r="U24" i="37" a="1"/>
  <c r="U24" s="1"/>
  <c r="U24" i="40" s="1"/>
  <c r="U40" i="37" a="1"/>
  <c r="U40" s="1"/>
  <c r="U40" i="40" s="1"/>
  <c r="V383" i="37" a="1"/>
  <c r="V383" s="1"/>
  <c r="V383" i="40" s="1"/>
  <c r="V381" i="37" a="1"/>
  <c r="V381" s="1"/>
  <c r="V381" i="40" s="1"/>
  <c r="V373" i="37" a="1"/>
  <c r="V373" s="1"/>
  <c r="V373" i="40" s="1"/>
  <c r="V375" i="37" a="1"/>
  <c r="V375" s="1"/>
  <c r="V375" i="40" s="1"/>
  <c r="V367" i="37" a="1"/>
  <c r="V367" s="1"/>
  <c r="V367" i="40" s="1"/>
  <c r="V386" i="37" a="1"/>
  <c r="V386" s="1"/>
  <c r="V386" i="40" s="1"/>
  <c r="V380" i="37" a="1"/>
  <c r="V380" s="1"/>
  <c r="V380" i="40" s="1"/>
  <c r="V369" i="37" a="1"/>
  <c r="V369" s="1"/>
  <c r="V369" i="40" s="1"/>
  <c r="V366" i="37" a="1"/>
  <c r="V366" s="1"/>
  <c r="V378" a="1"/>
  <c r="V378" s="1"/>
  <c r="V378" i="40" s="1"/>
  <c r="V385" i="37" a="1"/>
  <c r="V385" s="1"/>
  <c r="V385" i="40" s="1"/>
  <c r="V370" i="37" a="1"/>
  <c r="V370" s="1"/>
  <c r="V370" i="40" s="1"/>
  <c r="V377" i="37" a="1"/>
  <c r="V377" s="1"/>
  <c r="V377" i="40" s="1"/>
  <c r="V379" i="37" a="1"/>
  <c r="V379" s="1"/>
  <c r="V379" i="40" s="1"/>
  <c r="V374" i="37" a="1"/>
  <c r="V374" s="1"/>
  <c r="V374" i="40" s="1"/>
  <c r="V388" i="37" a="1"/>
  <c r="V388" s="1"/>
  <c r="V388" i="40" s="1"/>
  <c r="V372" i="37" a="1"/>
  <c r="V372" s="1"/>
  <c r="V372" i="40" s="1"/>
  <c r="V382" i="37" a="1"/>
  <c r="V382" s="1"/>
  <c r="V382" i="40" s="1"/>
  <c r="V368" i="37" a="1"/>
  <c r="V368" s="1"/>
  <c r="V368" i="40" s="1"/>
  <c r="V384" i="37" a="1"/>
  <c r="V384" s="1"/>
  <c r="V384" i="40" s="1"/>
  <c r="V376" i="37" a="1"/>
  <c r="V376" s="1"/>
  <c r="V376" i="40" s="1"/>
  <c r="V371" i="37" a="1"/>
  <c r="V371" s="1"/>
  <c r="V371" i="40" s="1"/>
  <c r="V365" i="37" a="1"/>
  <c r="V365" s="1"/>
  <c r="V365" i="40" s="1"/>
  <c r="V387" i="37" a="1"/>
  <c r="V387" s="1"/>
  <c r="V387" i="40" s="1"/>
  <c r="V194" i="37" a="1"/>
  <c r="V194" s="1"/>
  <c r="V194" i="40" s="1"/>
  <c r="V197" i="37" a="1"/>
  <c r="V197" s="1"/>
  <c r="V197" i="40" s="1"/>
  <c r="V202" i="37" a="1"/>
  <c r="V202" s="1"/>
  <c r="V202" i="40" s="1"/>
  <c r="V201" i="37" a="1"/>
  <c r="V201" s="1"/>
  <c r="V201" i="40" s="1"/>
  <c r="V206" i="37" a="1"/>
  <c r="V206" s="1"/>
  <c r="V206" i="40" s="1"/>
  <c r="V198" i="37" a="1"/>
  <c r="V198" s="1"/>
  <c r="V198" i="40" s="1"/>
  <c r="V189" i="37" a="1"/>
  <c r="V189" s="1"/>
  <c r="V189" i="40" s="1"/>
  <c r="V190" i="37" a="1"/>
  <c r="V190" s="1"/>
  <c r="V190" i="40" s="1"/>
  <c r="V196" i="37" a="1"/>
  <c r="V196" s="1"/>
  <c r="V196" i="40" s="1"/>
  <c r="V186" i="37" a="1"/>
  <c r="V186" s="1"/>
  <c r="V199" a="1"/>
  <c r="V199" s="1"/>
  <c r="V199" i="40" s="1"/>
  <c r="V191" i="37" a="1"/>
  <c r="V191" s="1"/>
  <c r="V191" i="40" s="1"/>
  <c r="V193" i="37" a="1"/>
  <c r="V193" s="1"/>
  <c r="V193" i="40" s="1"/>
  <c r="V185" i="37" a="1"/>
  <c r="V185" s="1"/>
  <c r="V185" i="40" s="1"/>
  <c r="V207" i="37" a="1"/>
  <c r="V207" s="1"/>
  <c r="V207" i="40" s="1"/>
  <c r="V205" i="37" a="1"/>
  <c r="V205" s="1"/>
  <c r="V205" i="40" s="1"/>
  <c r="V204" i="37" a="1"/>
  <c r="V204" s="1"/>
  <c r="V204" i="40" s="1"/>
  <c r="V188" i="37" a="1"/>
  <c r="V188" s="1"/>
  <c r="V188" i="40" s="1"/>
  <c r="V187" i="37" a="1"/>
  <c r="V187" s="1"/>
  <c r="V187" i="40" s="1"/>
  <c r="V195" i="37" a="1"/>
  <c r="V195" s="1"/>
  <c r="V195" i="40" s="1"/>
  <c r="V203" i="37" a="1"/>
  <c r="V203" s="1"/>
  <c r="V203" i="40" s="1"/>
  <c r="V192" i="37" a="1"/>
  <c r="V192" s="1"/>
  <c r="V192" i="40" s="1"/>
  <c r="V200" i="37" a="1"/>
  <c r="V200" s="1"/>
  <c r="V200" i="40" s="1"/>
  <c r="W319" i="37" a="1"/>
  <c r="W319" s="1"/>
  <c r="W319" i="40" s="1"/>
  <c r="W303" i="37" a="1"/>
  <c r="W303" s="1"/>
  <c r="W303" i="40" s="1"/>
  <c r="W318" i="37" a="1"/>
  <c r="W318" s="1"/>
  <c r="W318" i="40" s="1"/>
  <c r="W310" i="37" a="1"/>
  <c r="W310" s="1"/>
  <c r="W310" i="40" s="1"/>
  <c r="W305" i="37" a="1"/>
  <c r="W305" s="1"/>
  <c r="W305" i="40" s="1"/>
  <c r="W317" i="37" a="1"/>
  <c r="W317" s="1"/>
  <c r="W317" i="40" s="1"/>
  <c r="W311" i="37" a="1"/>
  <c r="W311" s="1"/>
  <c r="W311" i="40" s="1"/>
  <c r="W313" i="37" a="1"/>
  <c r="W313" s="1"/>
  <c r="W313" i="40" s="1"/>
  <c r="W301" i="37" a="1"/>
  <c r="W301" s="1"/>
  <c r="W301" i="40" s="1"/>
  <c r="W302" i="37" a="1"/>
  <c r="W302" s="1"/>
  <c r="W302" i="40" s="1"/>
  <c r="W309" i="37" a="1"/>
  <c r="W309" s="1"/>
  <c r="W309" i="40" s="1"/>
  <c r="W306" i="37" a="1"/>
  <c r="W306" s="1"/>
  <c r="W306" i="40" s="1"/>
  <c r="W308" i="37" a="1"/>
  <c r="W308" s="1"/>
  <c r="W308" i="40" s="1"/>
  <c r="W307" i="37" a="1"/>
  <c r="W307" s="1"/>
  <c r="W307" i="40" s="1"/>
  <c r="W314" i="37" a="1"/>
  <c r="W314" s="1"/>
  <c r="W314" i="40" s="1"/>
  <c r="W320" i="37" a="1"/>
  <c r="W320" s="1"/>
  <c r="W320" i="40" s="1"/>
  <c r="W316" i="37" a="1"/>
  <c r="W316" s="1"/>
  <c r="W316" i="40" s="1"/>
  <c r="W304" i="37" a="1"/>
  <c r="W304" s="1"/>
  <c r="W304" i="40" s="1"/>
  <c r="W315" i="37" a="1"/>
  <c r="W315" s="1"/>
  <c r="W315" i="40" s="1"/>
  <c r="W300" i="37" a="1"/>
  <c r="W300" s="1"/>
  <c r="W312" a="1"/>
  <c r="W312" s="1"/>
  <c r="W312" i="40" s="1"/>
  <c r="W299" i="37" a="1"/>
  <c r="W299" s="1"/>
  <c r="W299" i="40" s="1"/>
  <c r="AA311" i="37" a="1"/>
  <c r="AA311" s="1"/>
  <c r="AA311" i="40" s="1"/>
  <c r="AA313" i="37" a="1"/>
  <c r="AA313" s="1"/>
  <c r="AA313" i="40" s="1"/>
  <c r="AA305" i="37" a="1"/>
  <c r="AA305" s="1"/>
  <c r="AA305" i="40" s="1"/>
  <c r="AA301" i="37" a="1"/>
  <c r="AA301" s="1"/>
  <c r="AA301" i="40" s="1"/>
  <c r="AA319" i="37" a="1"/>
  <c r="AA319" s="1"/>
  <c r="AA319" i="40" s="1"/>
  <c r="AA303" i="37" a="1"/>
  <c r="AA303" s="1"/>
  <c r="AA303" i="40" s="1"/>
  <c r="AA317" i="37" a="1"/>
  <c r="AA317" s="1"/>
  <c r="AA317" i="40" s="1"/>
  <c r="AA310" i="37" a="1"/>
  <c r="AA310" s="1"/>
  <c r="AA310" i="40" s="1"/>
  <c r="AA309" i="37" a="1"/>
  <c r="AA309" s="1"/>
  <c r="AA309" i="40" s="1"/>
  <c r="AA308" i="37" a="1"/>
  <c r="AA308" s="1"/>
  <c r="AA308" i="40" s="1"/>
  <c r="AA318" i="37" a="1"/>
  <c r="AA318" s="1"/>
  <c r="AA318" i="40" s="1"/>
  <c r="AA302" i="37" a="1"/>
  <c r="AA302" s="1"/>
  <c r="AA302" i="40" s="1"/>
  <c r="AA306" i="37" a="1"/>
  <c r="AA306" s="1"/>
  <c r="AA306" i="40" s="1"/>
  <c r="AA320" i="37" a="1"/>
  <c r="AA320" s="1"/>
  <c r="AA320" i="40" s="1"/>
  <c r="AA312" i="37" a="1"/>
  <c r="AA312" s="1"/>
  <c r="AA312" i="40" s="1"/>
  <c r="AA315" i="37" a="1"/>
  <c r="AA315" s="1"/>
  <c r="AA315" i="40" s="1"/>
  <c r="AA299" i="37" a="1"/>
  <c r="AA299" s="1"/>
  <c r="AA299" i="40" s="1"/>
  <c r="AA316" i="37" a="1"/>
  <c r="AA316" s="1"/>
  <c r="AA316" i="40" s="1"/>
  <c r="AA307" i="37" a="1"/>
  <c r="AA307" s="1"/>
  <c r="AA307" i="40" s="1"/>
  <c r="AA314" i="37" a="1"/>
  <c r="AA314" s="1"/>
  <c r="AA314" i="40" s="1"/>
  <c r="AA300" i="37" a="1"/>
  <c r="AA300" s="1"/>
  <c r="AA304" a="1"/>
  <c r="AA304" s="1"/>
  <c r="AA304" i="40" s="1"/>
  <c r="S122" i="37" a="1"/>
  <c r="S122" s="1"/>
  <c r="S122" i="40" s="1"/>
  <c r="S125" i="37" a="1"/>
  <c r="S125" s="1"/>
  <c r="S125" i="40" s="1"/>
  <c r="S114" i="37" a="1"/>
  <c r="S114" s="1"/>
  <c r="S114" i="40" s="1"/>
  <c r="S135" i="37" a="1"/>
  <c r="S135" s="1"/>
  <c r="S135" i="40" s="1"/>
  <c r="S127" i="37" a="1"/>
  <c r="S127" s="1"/>
  <c r="S127" i="40" s="1"/>
  <c r="S129" i="37" a="1"/>
  <c r="S129" s="1"/>
  <c r="S129" i="40" s="1"/>
  <c r="S119" i="37" a="1"/>
  <c r="S119" s="1"/>
  <c r="S119" i="40" s="1"/>
  <c r="S124" i="37" a="1"/>
  <c r="S124" s="1"/>
  <c r="S124" i="40" s="1"/>
  <c r="S121" i="37" a="1"/>
  <c r="S121" s="1"/>
  <c r="S121" i="40" s="1"/>
  <c r="S130" i="37" a="1"/>
  <c r="S130" s="1"/>
  <c r="S130" i="40" s="1"/>
  <c r="S137" i="37" a="1"/>
  <c r="S137" s="1"/>
  <c r="S137" i="40" s="1"/>
  <c r="S134" i="37" a="1"/>
  <c r="S134" s="1"/>
  <c r="S134" i="40" s="1"/>
  <c r="S126" i="37" a="1"/>
  <c r="S126" s="1"/>
  <c r="S126" i="40" s="1"/>
  <c r="S118" i="37" a="1"/>
  <c r="S118" s="1"/>
  <c r="S118" i="40" s="1"/>
  <c r="S116" i="37" a="1"/>
  <c r="S116" s="1"/>
  <c r="S116" i="40" s="1"/>
  <c r="S132" i="37" a="1"/>
  <c r="S132" s="1"/>
  <c r="S132" i="40" s="1"/>
  <c r="S131" i="37" a="1"/>
  <c r="S131" s="1"/>
  <c r="S131" i="40" s="1"/>
  <c r="S128" i="37" a="1"/>
  <c r="S128" s="1"/>
  <c r="S128" i="40" s="1"/>
  <c r="S117" i="37" a="1"/>
  <c r="S117" s="1"/>
  <c r="S117" i="40" s="1"/>
  <c r="S123" i="37" a="1"/>
  <c r="S123" s="1"/>
  <c r="S123" i="40" s="1"/>
  <c r="S120" i="37" a="1"/>
  <c r="S120" s="1"/>
  <c r="S120" i="40" s="1"/>
  <c r="S115" i="37" a="1"/>
  <c r="S115" s="1"/>
  <c r="S133" a="1"/>
  <c r="S133" s="1"/>
  <c r="S133" i="40" s="1"/>
  <c r="S136" i="37" a="1"/>
  <c r="S136" s="1"/>
  <c r="S136" i="40" s="1"/>
  <c r="Y463" i="37" a="1"/>
  <c r="Y463" s="1"/>
  <c r="Y463" i="40" s="1"/>
  <c r="Y466" i="37" a="1"/>
  <c r="Y466" s="1"/>
  <c r="Y466" i="40" s="1"/>
  <c r="Y457" i="37" a="1"/>
  <c r="Y457" s="1"/>
  <c r="Y457" i="40" s="1"/>
  <c r="Y465" i="37" a="1"/>
  <c r="Y465" s="1"/>
  <c r="Y465" i="40" s="1"/>
  <c r="Y455" i="37" a="1"/>
  <c r="Y455" s="1"/>
  <c r="Y455" i="40" s="1"/>
  <c r="Y458" i="37" a="1"/>
  <c r="Y458" s="1"/>
  <c r="Y458" i="40" s="1"/>
  <c r="Y461" i="37" a="1"/>
  <c r="Y461" s="1"/>
  <c r="Y461" i="40" s="1"/>
  <c r="Y460" i="37" a="1"/>
  <c r="Y460" s="1"/>
  <c r="Y460" i="40" s="1"/>
  <c r="Y462" i="37" a="1"/>
  <c r="Y462" s="1"/>
  <c r="Y462" i="40" s="1"/>
  <c r="Y467" i="37" a="1"/>
  <c r="Y467" s="1"/>
  <c r="Y467" i="40" s="1"/>
  <c r="Y454" i="37" a="1"/>
  <c r="Y454" s="1"/>
  <c r="Y454" i="40" s="1"/>
  <c r="Y453" i="37" a="1"/>
  <c r="Y453" s="1"/>
  <c r="Y453" i="40" s="1"/>
  <c r="Y459" i="37" a="1"/>
  <c r="Y459" s="1"/>
  <c r="Y459" i="40" s="1"/>
  <c r="Y464" i="37" a="1"/>
  <c r="Y464" s="1"/>
  <c r="Y464" i="40" s="1"/>
  <c r="Y456" i="37" a="1"/>
  <c r="Y456" s="1"/>
  <c r="Y456" i="40" s="1"/>
  <c r="Y452" i="37" a="1"/>
  <c r="Y452" s="1"/>
  <c r="AA466" a="1"/>
  <c r="AA466" s="1"/>
  <c r="AA466" i="40" s="1"/>
  <c r="AA463" i="37" a="1"/>
  <c r="AA463" s="1"/>
  <c r="AA463" i="40" s="1"/>
  <c r="AA455" i="37" a="1"/>
  <c r="AA455" s="1"/>
  <c r="AA455" i="40" s="1"/>
  <c r="AA461" i="37" a="1"/>
  <c r="AA461" s="1"/>
  <c r="AA461" i="40" s="1"/>
  <c r="AA465" i="37" a="1"/>
  <c r="AA465" s="1"/>
  <c r="AA465" i="40" s="1"/>
  <c r="AA458" i="37" a="1"/>
  <c r="AA458" s="1"/>
  <c r="AA458" i="40" s="1"/>
  <c r="AA453" i="37" a="1"/>
  <c r="AA453" s="1"/>
  <c r="AA453" i="40" s="1"/>
  <c r="AA460" i="37" a="1"/>
  <c r="AA460" s="1"/>
  <c r="AA460" i="40" s="1"/>
  <c r="AA454" i="37" a="1"/>
  <c r="AA454" s="1"/>
  <c r="AA454" i="40" s="1"/>
  <c r="AA457" i="37" a="1"/>
  <c r="AA457" s="1"/>
  <c r="AA457" i="40" s="1"/>
  <c r="AA459" i="37" a="1"/>
  <c r="AA459" s="1"/>
  <c r="AA459" i="40" s="1"/>
  <c r="AA462" i="37" a="1"/>
  <c r="AA462" s="1"/>
  <c r="AA462" i="40" s="1"/>
  <c r="AA467" i="37" a="1"/>
  <c r="AA467" s="1"/>
  <c r="AA467" i="40" s="1"/>
  <c r="AA452" i="37" a="1"/>
  <c r="AA452" s="1"/>
  <c r="AA464" a="1"/>
  <c r="AA464" s="1"/>
  <c r="AA464" i="40" s="1"/>
  <c r="AA456" i="37" a="1"/>
  <c r="AA456" s="1"/>
  <c r="AA456" i="40" s="1"/>
  <c r="T98" i="37" a="1"/>
  <c r="T98" s="1"/>
  <c r="T98" i="40" s="1"/>
  <c r="T111" i="37" a="1"/>
  <c r="T111" s="1"/>
  <c r="T111" i="40" s="1"/>
  <c r="T106" i="37" a="1"/>
  <c r="T106" s="1"/>
  <c r="T106" i="40" s="1"/>
  <c r="T90" i="37" a="1"/>
  <c r="T90" s="1"/>
  <c r="T90" i="40" s="1"/>
  <c r="T101" i="37" a="1"/>
  <c r="T101" s="1"/>
  <c r="T101" i="40" s="1"/>
  <c r="T97" i="37" a="1"/>
  <c r="T97" s="1"/>
  <c r="T97" i="40" s="1"/>
  <c r="T92" i="37" a="1"/>
  <c r="T92" s="1"/>
  <c r="T92" i="40" s="1"/>
  <c r="T113" i="37" a="1"/>
  <c r="T113" s="1"/>
  <c r="T113" i="40" s="1"/>
  <c r="T100" i="37" a="1"/>
  <c r="T100" s="1"/>
  <c r="T100" i="40" s="1"/>
  <c r="T105" i="37" a="1"/>
  <c r="T105" s="1"/>
  <c r="T105" i="40" s="1"/>
  <c r="T109" i="37" a="1"/>
  <c r="T109" s="1"/>
  <c r="T109" i="40" s="1"/>
  <c r="T95" i="37" a="1"/>
  <c r="T95" s="1"/>
  <c r="T95" i="40" s="1"/>
  <c r="T103" i="37" a="1"/>
  <c r="T103" s="1"/>
  <c r="T103" i="40" s="1"/>
  <c r="T110" i="37" a="1"/>
  <c r="T110" s="1"/>
  <c r="T110" i="40" s="1"/>
  <c r="T94" i="37" a="1"/>
  <c r="T94" s="1"/>
  <c r="T94" i="40" s="1"/>
  <c r="T93" i="37" a="1"/>
  <c r="T93" s="1"/>
  <c r="T93" i="40" s="1"/>
  <c r="T108" i="37" a="1"/>
  <c r="T108" s="1"/>
  <c r="T108" i="40" s="1"/>
  <c r="T102" i="37" a="1"/>
  <c r="T102" s="1"/>
  <c r="T102" i="40" s="1"/>
  <c r="T112" i="37" a="1"/>
  <c r="T112" s="1"/>
  <c r="T112" i="40" s="1"/>
  <c r="T96" i="37" a="1"/>
  <c r="T96" s="1"/>
  <c r="T96" i="40" s="1"/>
  <c r="T104" i="37" a="1"/>
  <c r="T104" s="1"/>
  <c r="T104" i="40" s="1"/>
  <c r="T99" i="37" a="1"/>
  <c r="T99" s="1"/>
  <c r="T99" i="40" s="1"/>
  <c r="T107" i="37" a="1"/>
  <c r="T107" s="1"/>
  <c r="T107" i="40" s="1"/>
  <c r="T91" i="37" a="1"/>
  <c r="T91" s="1"/>
  <c r="T210" a="1"/>
  <c r="T210" s="1"/>
  <c r="T210" i="40" s="1"/>
  <c r="T226" i="37" a="1"/>
  <c r="T226" s="1"/>
  <c r="T226" i="40" s="1"/>
  <c r="T223" i="37" a="1"/>
  <c r="T223" s="1"/>
  <c r="T223" i="40" s="1"/>
  <c r="T217" i="37" a="1"/>
  <c r="T217" s="1"/>
  <c r="T217" i="40" s="1"/>
  <c r="T215" i="37" a="1"/>
  <c r="T215" s="1"/>
  <c r="T215" i="40" s="1"/>
  <c r="T209" i="37" a="1"/>
  <c r="T209" s="1"/>
  <c r="T218" a="1"/>
  <c r="T218" s="1"/>
  <c r="T218" i="40" s="1"/>
  <c r="T228" i="37" a="1"/>
  <c r="T228" s="1"/>
  <c r="T228" i="40" s="1"/>
  <c r="T225" i="37" a="1"/>
  <c r="T225" s="1"/>
  <c r="T225" i="40" s="1"/>
  <c r="T213" i="37" a="1"/>
  <c r="T213" s="1"/>
  <c r="T213" i="40" s="1"/>
  <c r="T220" i="37" a="1"/>
  <c r="T220" s="1"/>
  <c r="T220" i="40" s="1"/>
  <c r="T230" i="37" a="1"/>
  <c r="T230" s="1"/>
  <c r="T230" i="40" s="1"/>
  <c r="T214" i="37" a="1"/>
  <c r="T214" s="1"/>
  <c r="T214" i="40" s="1"/>
  <c r="T222" i="37" a="1"/>
  <c r="T222" s="1"/>
  <c r="T222" i="40" s="1"/>
  <c r="T212" i="37" a="1"/>
  <c r="T212" s="1"/>
  <c r="T212" i="40" s="1"/>
  <c r="T221" i="37" a="1"/>
  <c r="T221" s="1"/>
  <c r="T221" i="40" s="1"/>
  <c r="T227" i="37" a="1"/>
  <c r="T227" s="1"/>
  <c r="T227" i="40" s="1"/>
  <c r="T211" i="37" a="1"/>
  <c r="T211" s="1"/>
  <c r="T211" i="40" s="1"/>
  <c r="T224" i="37" a="1"/>
  <c r="T224" s="1"/>
  <c r="T224" i="40" s="1"/>
  <c r="T229" i="37" a="1"/>
  <c r="T229" s="1"/>
  <c r="T229" i="40" s="1"/>
  <c r="T216" i="37" a="1"/>
  <c r="T216" s="1"/>
  <c r="T216" i="40" s="1"/>
  <c r="T208" i="37" a="1"/>
  <c r="T208" s="1"/>
  <c r="T208" i="40" s="1"/>
  <c r="T219" i="37" a="1"/>
  <c r="T219" s="1"/>
  <c r="T219" i="40" s="1"/>
  <c r="X74" i="37" a="1"/>
  <c r="X74" s="1"/>
  <c r="X74" i="40" s="1"/>
  <c r="X87" i="37" a="1"/>
  <c r="X87" s="1"/>
  <c r="X87" i="40" s="1"/>
  <c r="X77" i="37" a="1"/>
  <c r="X77" s="1"/>
  <c r="X77" i="40" s="1"/>
  <c r="X82" i="37" a="1"/>
  <c r="X82" s="1"/>
  <c r="X82" i="40" s="1"/>
  <c r="X78" i="37" a="1"/>
  <c r="X78" s="1"/>
  <c r="X78" i="40" s="1"/>
  <c r="X70" i="37" a="1"/>
  <c r="X70" s="1"/>
  <c r="X71" a="1"/>
  <c r="X71" s="1"/>
  <c r="X71" i="40" s="1"/>
  <c r="X81" i="37" a="1"/>
  <c r="X81" s="1"/>
  <c r="X81" i="40" s="1"/>
  <c r="X73" i="37" a="1"/>
  <c r="X73" s="1"/>
  <c r="X73" i="40" s="1"/>
  <c r="X79" i="37" a="1"/>
  <c r="X79" s="1"/>
  <c r="X79" i="40" s="1"/>
  <c r="X89" i="37" a="1"/>
  <c r="X89" s="1"/>
  <c r="X89" i="40" s="1"/>
  <c r="X69" i="37" a="1"/>
  <c r="X69" s="1"/>
  <c r="X69" i="40" s="1"/>
  <c r="X85" i="37" a="1"/>
  <c r="X85" s="1"/>
  <c r="X85" i="40" s="1"/>
  <c r="X86" i="37" a="1"/>
  <c r="X86" s="1"/>
  <c r="X86" i="40" s="1"/>
  <c r="X76" i="37" a="1"/>
  <c r="X76" s="1"/>
  <c r="X76" i="40" s="1"/>
  <c r="X84" i="37" a="1"/>
  <c r="X84" s="1"/>
  <c r="X84" i="40" s="1"/>
  <c r="X75" i="37" a="1"/>
  <c r="X75" s="1"/>
  <c r="X75" i="40" s="1"/>
  <c r="X83" i="37" a="1"/>
  <c r="X83" s="1"/>
  <c r="X83" i="40" s="1"/>
  <c r="X72" i="37" a="1"/>
  <c r="X72" s="1"/>
  <c r="X72" i="40" s="1"/>
  <c r="X88" i="37" a="1"/>
  <c r="X88" s="1"/>
  <c r="X88" i="40" s="1"/>
  <c r="X80" i="37" a="1"/>
  <c r="X80" s="1"/>
  <c r="X80" i="40" s="1"/>
  <c r="T439" i="37" a="1"/>
  <c r="T439" s="1"/>
  <c r="T439" i="40" s="1"/>
  <c r="T437" i="37" a="1"/>
  <c r="T437" s="1"/>
  <c r="T437" i="40" s="1"/>
  <c r="T438" i="37" a="1"/>
  <c r="T438" s="1"/>
  <c r="T438" i="40" s="1"/>
  <c r="T447" i="37" a="1"/>
  <c r="T447" s="1"/>
  <c r="T447" i="40" s="1"/>
  <c r="T445" i="37" a="1"/>
  <c r="T445" s="1"/>
  <c r="T445" i="40" s="1"/>
  <c r="T444" i="37" a="1"/>
  <c r="T444" s="1"/>
  <c r="T444" i="40" s="1"/>
  <c r="T442" i="37" a="1"/>
  <c r="T442" s="1"/>
  <c r="T442" i="40" s="1"/>
  <c r="T446" i="37" a="1"/>
  <c r="T446" s="1"/>
  <c r="T446" i="40" s="1"/>
  <c r="T441" i="37" a="1"/>
  <c r="T441" s="1"/>
  <c r="T441" i="40" s="1"/>
  <c r="T443" i="37" a="1"/>
  <c r="T443" s="1"/>
  <c r="T443" i="40" s="1"/>
  <c r="T449" i="37" a="1"/>
  <c r="T449" s="1"/>
  <c r="T449" i="40" s="1"/>
  <c r="T440" i="37" a="1"/>
  <c r="T440" s="1"/>
  <c r="T440" i="40" s="1"/>
  <c r="T436" i="37" a="1"/>
  <c r="T436" s="1"/>
  <c r="T451" a="1"/>
  <c r="T451" s="1"/>
  <c r="T451" i="40" s="1"/>
  <c r="T450" i="37" a="1"/>
  <c r="T450" s="1"/>
  <c r="T450" i="40" s="1"/>
  <c r="T448" i="37" a="1"/>
  <c r="T448" s="1"/>
  <c r="T448" i="40" s="1"/>
  <c r="R479" i="37" a="1"/>
  <c r="R479" s="1"/>
  <c r="R479" i="40" s="1"/>
  <c r="R469" i="37" a="1"/>
  <c r="R469" s="1"/>
  <c r="R469" i="40" s="1"/>
  <c r="R471" i="37" a="1"/>
  <c r="R471" s="1"/>
  <c r="R471" i="40" s="1"/>
  <c r="R482" i="37" a="1"/>
  <c r="R482" s="1"/>
  <c r="R482" i="40" s="1"/>
  <c r="R477" i="37" a="1"/>
  <c r="R477" s="1"/>
  <c r="R477" i="40" s="1"/>
  <c r="R470" i="37" a="1"/>
  <c r="R470" s="1"/>
  <c r="R470" i="40" s="1"/>
  <c r="R473" i="37" a="1"/>
  <c r="R473" s="1"/>
  <c r="R473" i="40" s="1"/>
  <c r="R481" i="37" a="1"/>
  <c r="R481" s="1"/>
  <c r="R481" i="40" s="1"/>
  <c r="R468" i="37" a="1"/>
  <c r="R468" s="1"/>
  <c r="R475" a="1"/>
  <c r="R475" s="1"/>
  <c r="R475" i="40" s="1"/>
  <c r="R483" i="37" a="1"/>
  <c r="R483" s="1"/>
  <c r="R483" i="40" s="1"/>
  <c r="R478" i="37" a="1"/>
  <c r="R478" s="1"/>
  <c r="R478" i="40" s="1"/>
  <c r="R476" i="37" a="1"/>
  <c r="R476" s="1"/>
  <c r="R476" i="40" s="1"/>
  <c r="R472" i="37" a="1"/>
  <c r="R472" s="1"/>
  <c r="R472" i="40" s="1"/>
  <c r="R480" i="37" a="1"/>
  <c r="R480" s="1"/>
  <c r="R480" i="40" s="1"/>
  <c r="R474" i="37" a="1"/>
  <c r="R474" s="1"/>
  <c r="R474" i="40" s="1"/>
  <c r="AB469" i="37" a="1"/>
  <c r="AB469" s="1"/>
  <c r="AB469" i="40" s="1"/>
  <c r="AB471" i="37" a="1"/>
  <c r="AB471" s="1"/>
  <c r="AB471" i="40" s="1"/>
  <c r="AB479" i="37" a="1"/>
  <c r="AB479" s="1"/>
  <c r="AB479" i="40" s="1"/>
  <c r="AB473" i="37" a="1"/>
  <c r="AB473" s="1"/>
  <c r="AB473" i="40" s="1"/>
  <c r="AB470" i="37" a="1"/>
  <c r="AB470" s="1"/>
  <c r="AB470" i="40" s="1"/>
  <c r="AB482" i="37" a="1"/>
  <c r="AB482" s="1"/>
  <c r="AB482" i="40" s="1"/>
  <c r="AB477" i="37" a="1"/>
  <c r="AB477" s="1"/>
  <c r="AB477" i="40" s="1"/>
  <c r="AB483" i="37" a="1"/>
  <c r="AB483" s="1"/>
  <c r="AB483" i="40" s="1"/>
  <c r="AB475" i="37" a="1"/>
  <c r="AB475" s="1"/>
  <c r="AB475" i="40" s="1"/>
  <c r="AB478" i="37" a="1"/>
  <c r="AB478" s="1"/>
  <c r="AB478" i="40" s="1"/>
  <c r="AB468" i="37" a="1"/>
  <c r="AB468" s="1"/>
  <c r="AB481" a="1"/>
  <c r="AB481" s="1"/>
  <c r="AB481" i="40" s="1"/>
  <c r="AB474" i="37" a="1"/>
  <c r="AB474" s="1"/>
  <c r="AB474" i="40" s="1"/>
  <c r="AB476" i="37" a="1"/>
  <c r="AB476" s="1"/>
  <c r="AB476" i="40" s="1"/>
  <c r="AB480" i="37" a="1"/>
  <c r="AB480" s="1"/>
  <c r="AB480" i="40" s="1"/>
  <c r="AB472" i="37" a="1"/>
  <c r="AB472" s="1"/>
  <c r="AB472" i="40" s="1"/>
  <c r="X279" i="37" a="1"/>
  <c r="X279" s="1"/>
  <c r="X279" i="40" s="1"/>
  <c r="X282" i="37" a="1"/>
  <c r="X282" s="1"/>
  <c r="X282" i="40" s="1"/>
  <c r="X285" i="37" a="1"/>
  <c r="X285" s="1"/>
  <c r="X285" i="40" s="1"/>
  <c r="X297" i="37" a="1"/>
  <c r="X297" s="1"/>
  <c r="X297" i="40" s="1"/>
  <c r="X295" i="37" a="1"/>
  <c r="X295" s="1"/>
  <c r="X295" i="40" s="1"/>
  <c r="X293" i="37" a="1"/>
  <c r="X293" s="1"/>
  <c r="X293" i="40" s="1"/>
  <c r="X289" i="37" a="1"/>
  <c r="X289" s="1"/>
  <c r="X289" i="40" s="1"/>
  <c r="X287" i="37" a="1"/>
  <c r="X287" s="1"/>
  <c r="X287" i="40" s="1"/>
  <c r="X284" i="37" a="1"/>
  <c r="X284" s="1"/>
  <c r="X284" i="40" s="1"/>
  <c r="X281" i="37" a="1"/>
  <c r="X281" s="1"/>
  <c r="X281" i="40" s="1"/>
  <c r="X278" i="37" a="1"/>
  <c r="X278" s="1"/>
  <c r="X290" a="1"/>
  <c r="X290" s="1"/>
  <c r="X290" i="40" s="1"/>
  <c r="X292" i="37" a="1"/>
  <c r="X292" s="1"/>
  <c r="X292" i="40" s="1"/>
  <c r="X294" i="37" a="1"/>
  <c r="X294" s="1"/>
  <c r="X294" i="40" s="1"/>
  <c r="X286" i="37" a="1"/>
  <c r="X286" s="1"/>
  <c r="X286" i="40" s="1"/>
  <c r="X277" i="37" a="1"/>
  <c r="X277" s="1"/>
  <c r="X277" i="40" s="1"/>
  <c r="X296" i="37" a="1"/>
  <c r="X296" s="1"/>
  <c r="X296" i="40" s="1"/>
  <c r="X280" i="37" a="1"/>
  <c r="X280" s="1"/>
  <c r="X280" i="40" s="1"/>
  <c r="X298" i="37" a="1"/>
  <c r="X298" s="1"/>
  <c r="X298" i="40" s="1"/>
  <c r="X283" i="37" a="1"/>
  <c r="X283" s="1"/>
  <c r="X283" i="40" s="1"/>
  <c r="X291" i="37" a="1"/>
  <c r="X291" s="1"/>
  <c r="X291" i="40" s="1"/>
  <c r="X288" i="37" a="1"/>
  <c r="X288" s="1"/>
  <c r="X288" i="40" s="1"/>
  <c r="W399" i="37" a="1"/>
  <c r="W399" s="1"/>
  <c r="W399" i="40" s="1"/>
  <c r="W407" i="37" a="1"/>
  <c r="W407" s="1"/>
  <c r="W407" i="40" s="1"/>
  <c r="W391" i="37" a="1"/>
  <c r="W391" s="1"/>
  <c r="W391" i="40" s="1"/>
  <c r="W412" i="37" a="1"/>
  <c r="W412" s="1"/>
  <c r="W412" i="40" s="1"/>
  <c r="W389" i="37" a="1"/>
  <c r="W389" s="1"/>
  <c r="W389" i="40" s="1"/>
  <c r="W409" i="37" a="1"/>
  <c r="W409" s="1"/>
  <c r="W409" i="40" s="1"/>
  <c r="W401" i="37" a="1"/>
  <c r="W401" s="1"/>
  <c r="W401" i="40" s="1"/>
  <c r="W410" i="37" a="1"/>
  <c r="W410" s="1"/>
  <c r="W410" i="40" s="1"/>
  <c r="W396" i="37" a="1"/>
  <c r="W396" s="1"/>
  <c r="W396" i="40" s="1"/>
  <c r="W397" i="37" a="1"/>
  <c r="W397" s="1"/>
  <c r="W397" i="40" s="1"/>
  <c r="W394" i="37" a="1"/>
  <c r="W394" s="1"/>
  <c r="W394" i="40" s="1"/>
  <c r="W402" i="37" a="1"/>
  <c r="W402" s="1"/>
  <c r="W402" i="40" s="1"/>
  <c r="W393" i="37" a="1"/>
  <c r="W393" s="1"/>
  <c r="W393" i="40" s="1"/>
  <c r="W398" i="37" a="1"/>
  <c r="W398" s="1"/>
  <c r="W398" i="40" s="1"/>
  <c r="W406" i="37" a="1"/>
  <c r="W406" s="1"/>
  <c r="W406" i="40" s="1"/>
  <c r="W390" i="37" a="1"/>
  <c r="W390" s="1"/>
  <c r="W395" a="1"/>
  <c r="W395" s="1"/>
  <c r="W395" i="40" s="1"/>
  <c r="W408" i="37" a="1"/>
  <c r="W408" s="1"/>
  <c r="W408" i="40" s="1"/>
  <c r="W403" i="37" a="1"/>
  <c r="W403" s="1"/>
  <c r="W403" i="40" s="1"/>
  <c r="W411" i="37" a="1"/>
  <c r="W411" s="1"/>
  <c r="W411" i="40" s="1"/>
  <c r="W392" i="37" a="1"/>
  <c r="W392" s="1"/>
  <c r="W392" i="40" s="1"/>
  <c r="W400" i="37" a="1"/>
  <c r="W400" s="1"/>
  <c r="W400" i="40" s="1"/>
  <c r="W405" i="37" a="1"/>
  <c r="W405" s="1"/>
  <c r="W405" i="40" s="1"/>
  <c r="W404" i="37" a="1"/>
  <c r="W404" s="1"/>
  <c r="W404" i="40" s="1"/>
  <c r="W354" i="37" a="1"/>
  <c r="W354" s="1"/>
  <c r="W354" i="40" s="1"/>
  <c r="W361" i="37" a="1"/>
  <c r="W361" s="1"/>
  <c r="W361" i="40" s="1"/>
  <c r="W351" i="37" a="1"/>
  <c r="W351" s="1"/>
  <c r="W351" i="40" s="1"/>
  <c r="W348" i="37" a="1"/>
  <c r="W348" s="1"/>
  <c r="W348" i="40" s="1"/>
  <c r="W350" i="37" a="1"/>
  <c r="W350" s="1"/>
  <c r="W350" i="40" s="1"/>
  <c r="W345" i="37" a="1"/>
  <c r="W345" s="1"/>
  <c r="W345" i="40" s="1"/>
  <c r="W343" i="37" a="1"/>
  <c r="W343" s="1"/>
  <c r="W343" i="40" s="1"/>
  <c r="W364" i="37" a="1"/>
  <c r="W364" s="1"/>
  <c r="W364" i="40" s="1"/>
  <c r="W358" i="37" a="1"/>
  <c r="W358" s="1"/>
  <c r="W358" i="40" s="1"/>
  <c r="W342" i="37" a="1"/>
  <c r="W342" s="1"/>
  <c r="W359" a="1"/>
  <c r="W359" s="1"/>
  <c r="W359" i="40" s="1"/>
  <c r="W341" i="37" a="1"/>
  <c r="W341" s="1"/>
  <c r="W341" i="40" s="1"/>
  <c r="W346" i="37" a="1"/>
  <c r="W346" s="1"/>
  <c r="W346" i="40" s="1"/>
  <c r="W353" i="37" a="1"/>
  <c r="W353" s="1"/>
  <c r="W353" i="40" s="1"/>
  <c r="W357" i="37" a="1"/>
  <c r="W357" s="1"/>
  <c r="W357" i="40" s="1"/>
  <c r="W352" i="37" a="1"/>
  <c r="W352" s="1"/>
  <c r="W352" i="40" s="1"/>
  <c r="W363" i="37" a="1"/>
  <c r="W363" s="1"/>
  <c r="W363" i="40" s="1"/>
  <c r="W362" i="37" a="1"/>
  <c r="W362" s="1"/>
  <c r="W362" i="40" s="1"/>
  <c r="W347" i="37" a="1"/>
  <c r="W347" s="1"/>
  <c r="W347" i="40" s="1"/>
  <c r="W355" i="37" a="1"/>
  <c r="W355" s="1"/>
  <c r="W355" i="40" s="1"/>
  <c r="W360" i="37" a="1"/>
  <c r="W360" s="1"/>
  <c r="W360" i="40" s="1"/>
  <c r="W344" i="37" a="1"/>
  <c r="W344" s="1"/>
  <c r="W344" i="40" s="1"/>
  <c r="W356" i="37" a="1"/>
  <c r="W356" s="1"/>
  <c r="W356" i="40" s="1"/>
  <c r="W349" i="37" a="1"/>
  <c r="W349" s="1"/>
  <c r="W349" i="40" s="1"/>
  <c r="V487" i="37" a="1"/>
  <c r="V487" s="1"/>
  <c r="V487" i="40" s="1"/>
  <c r="V485" i="37" a="1"/>
  <c r="V485" s="1"/>
  <c r="V485" i="40" s="1"/>
  <c r="V484" i="37" a="1"/>
  <c r="V484" s="1"/>
  <c r="V486" a="1"/>
  <c r="V486" s="1"/>
  <c r="V486" i="40" s="1"/>
  <c r="V491" i="37" a="1"/>
  <c r="V491" s="1"/>
  <c r="V491" i="40" s="1"/>
  <c r="V489" i="37" a="1"/>
  <c r="V489" s="1"/>
  <c r="V489" i="40" s="1"/>
  <c r="V493" i="37" a="1"/>
  <c r="V493" s="1"/>
  <c r="V493" i="40" s="1"/>
  <c r="V492" i="37" a="1"/>
  <c r="V492" s="1"/>
  <c r="V492" i="40" s="1"/>
  <c r="V488" i="37" a="1"/>
  <c r="V488" s="1"/>
  <c r="V488" i="40" s="1"/>
  <c r="V495" i="37" a="1"/>
  <c r="V495" s="1"/>
  <c r="V495" i="40" s="1"/>
  <c r="V496" i="37" a="1"/>
  <c r="V496" s="1"/>
  <c r="V496" i="40" s="1"/>
  <c r="V494" i="37" a="1"/>
  <c r="V494" s="1"/>
  <c r="V494" i="40" s="1"/>
  <c r="V490" i="37" a="1"/>
  <c r="V490" s="1"/>
  <c r="V490" i="40" s="1"/>
  <c r="V497" i="37" a="1"/>
  <c r="V497" s="1"/>
  <c r="V497" i="40" s="1"/>
  <c r="T335" i="37" a="1"/>
  <c r="T335" s="1"/>
  <c r="T335" i="40" s="1"/>
  <c r="T322" i="37" a="1"/>
  <c r="T322" s="1"/>
  <c r="T327" a="1"/>
  <c r="T327" s="1"/>
  <c r="T327" i="40" s="1"/>
  <c r="T337" i="37" a="1"/>
  <c r="T337" s="1"/>
  <c r="T337" i="40" s="1"/>
  <c r="T321" i="37" a="1"/>
  <c r="T321" s="1"/>
  <c r="T321" i="40" s="1"/>
  <c r="T326" i="37" a="1"/>
  <c r="T326" s="1"/>
  <c r="T326" i="40" s="1"/>
  <c r="T333" i="37" a="1"/>
  <c r="T333" s="1"/>
  <c r="T333" i="40" s="1"/>
  <c r="T325" i="37" a="1"/>
  <c r="T325" s="1"/>
  <c r="T325" i="40" s="1"/>
  <c r="T329" i="37" a="1"/>
  <c r="T329" s="1"/>
  <c r="T329" i="40" s="1"/>
  <c r="T334" i="37" a="1"/>
  <c r="T334" s="1"/>
  <c r="T334" i="40" s="1"/>
  <c r="T338" i="37" a="1"/>
  <c r="T338" s="1"/>
  <c r="T338" i="40" s="1"/>
  <c r="T332" i="37" a="1"/>
  <c r="T332" s="1"/>
  <c r="T332" i="40" s="1"/>
  <c r="T324" i="37" a="1"/>
  <c r="T324" s="1"/>
  <c r="T324" i="40" s="1"/>
  <c r="T336" i="37" a="1"/>
  <c r="T336" s="1"/>
  <c r="T336" i="40" s="1"/>
  <c r="T339" i="37" a="1"/>
  <c r="T339" s="1"/>
  <c r="T339" i="40" s="1"/>
  <c r="T323" i="37" a="1"/>
  <c r="T323" s="1"/>
  <c r="T323" i="40" s="1"/>
  <c r="T331" i="37" a="1"/>
  <c r="T331" s="1"/>
  <c r="T331" i="40" s="1"/>
  <c r="T330" i="37" a="1"/>
  <c r="T330" s="1"/>
  <c r="T330" i="40" s="1"/>
  <c r="T340" i="37" a="1"/>
  <c r="T340" s="1"/>
  <c r="T340" i="40" s="1"/>
  <c r="T328" i="37" a="1"/>
  <c r="T328" s="1"/>
  <c r="T328" i="40" s="1"/>
  <c r="W66" i="37" a="1"/>
  <c r="W66" s="1"/>
  <c r="W66" i="40" s="1"/>
  <c r="W65" i="37" a="1"/>
  <c r="W65" s="1"/>
  <c r="W65" i="40" s="1"/>
  <c r="W68" i="37" a="1"/>
  <c r="W68" s="1"/>
  <c r="W68" i="40" s="1"/>
  <c r="W47" i="37" a="1"/>
  <c r="W47" s="1"/>
  <c r="W60" a="1"/>
  <c r="W60" s="1"/>
  <c r="W60" i="40" s="1"/>
  <c r="W50" i="37" a="1"/>
  <c r="W50" s="1"/>
  <c r="W50" i="40" s="1"/>
  <c r="W63" i="37" a="1"/>
  <c r="W63" s="1"/>
  <c r="W63" i="40" s="1"/>
  <c r="W55" i="37" a="1"/>
  <c r="W55" s="1"/>
  <c r="W55" i="40" s="1"/>
  <c r="W57" i="37" a="1"/>
  <c r="W57" s="1"/>
  <c r="W57" i="40" s="1"/>
  <c r="W58" i="37" a="1"/>
  <c r="W58" s="1"/>
  <c r="W58" i="40" s="1"/>
  <c r="W53" i="37" a="1"/>
  <c r="W53" s="1"/>
  <c r="W53" i="40" s="1"/>
  <c r="W49" i="37" a="1"/>
  <c r="W49" s="1"/>
  <c r="W49" i="40" s="1"/>
  <c r="W54" i="37" a="1"/>
  <c r="W54" s="1"/>
  <c r="W54" i="40" s="1"/>
  <c r="W46" i="37" a="1"/>
  <c r="W46" s="1"/>
  <c r="W46" i="40" s="1"/>
  <c r="W62" i="37" a="1"/>
  <c r="W62" s="1"/>
  <c r="W62" i="40" s="1"/>
  <c r="W52" i="37" a="1"/>
  <c r="W52" s="1"/>
  <c r="W52" i="40" s="1"/>
  <c r="W51" i="37" a="1"/>
  <c r="W51" s="1"/>
  <c r="W51" i="40" s="1"/>
  <c r="W67" i="37" a="1"/>
  <c r="W67" s="1"/>
  <c r="W67" i="40" s="1"/>
  <c r="W56" i="37" a="1"/>
  <c r="W56" s="1"/>
  <c r="W56" i="40" s="1"/>
  <c r="W48" i="37" a="1"/>
  <c r="W48" s="1"/>
  <c r="W48" i="40" s="1"/>
  <c r="W59" i="37" a="1"/>
  <c r="W59" s="1"/>
  <c r="W59" i="40" s="1"/>
  <c r="W61" i="37" a="1"/>
  <c r="W61" s="1"/>
  <c r="W61" i="40" s="1"/>
  <c r="W64" i="37" a="1"/>
  <c r="W64" s="1"/>
  <c r="W64" i="40" s="1"/>
  <c r="V274" i="37" a="1"/>
  <c r="V274" s="1"/>
  <c r="V274" i="40" s="1"/>
  <c r="V268" i="37" a="1"/>
  <c r="V268" s="1"/>
  <c r="V268" i="40" s="1"/>
  <c r="V271" i="37" a="1"/>
  <c r="V271" s="1"/>
  <c r="V271" i="40" s="1"/>
  <c r="V265" i="37" a="1"/>
  <c r="V265" s="1"/>
  <c r="V265" i="40" s="1"/>
  <c r="V266" i="37" a="1"/>
  <c r="V266" s="1"/>
  <c r="V266" i="40" s="1"/>
  <c r="V273" i="37" a="1"/>
  <c r="V273" s="1"/>
  <c r="V273" i="40" s="1"/>
  <c r="V255" i="37" a="1"/>
  <c r="V255" s="1"/>
  <c r="V258" a="1"/>
  <c r="V258" s="1"/>
  <c r="V258" i="40" s="1"/>
  <c r="V257" i="37" a="1"/>
  <c r="V257" s="1"/>
  <c r="V257" i="40" s="1"/>
  <c r="V261" i="37" a="1"/>
  <c r="V261" s="1"/>
  <c r="V261" i="40" s="1"/>
  <c r="V263" i="37" a="1"/>
  <c r="V263" s="1"/>
  <c r="V263" i="40" s="1"/>
  <c r="V276" i="37" a="1"/>
  <c r="V276" s="1"/>
  <c r="V276" i="40" s="1"/>
  <c r="V262" i="37" a="1"/>
  <c r="V262" s="1"/>
  <c r="V262" i="40" s="1"/>
  <c r="V260" i="37" a="1"/>
  <c r="V260" s="1"/>
  <c r="V260" i="40" s="1"/>
  <c r="V270" i="37" a="1"/>
  <c r="V270" s="1"/>
  <c r="V270" i="40" s="1"/>
  <c r="V254" i="37" a="1"/>
  <c r="V254" s="1"/>
  <c r="V254" i="40" s="1"/>
  <c r="V269" i="37" a="1"/>
  <c r="V269" s="1"/>
  <c r="V269" i="40" s="1"/>
  <c r="V267" i="37" a="1"/>
  <c r="V267" s="1"/>
  <c r="V267" i="40" s="1"/>
  <c r="V272" i="37" a="1"/>
  <c r="V272" s="1"/>
  <c r="V272" i="40" s="1"/>
  <c r="V256" i="37" a="1"/>
  <c r="V256" s="1"/>
  <c r="V256" i="40" s="1"/>
  <c r="V264" i="37" a="1"/>
  <c r="V264" s="1"/>
  <c r="V264" i="40" s="1"/>
  <c r="V259" i="37" a="1"/>
  <c r="V259" s="1"/>
  <c r="V259" i="40" s="1"/>
  <c r="V275" i="37" a="1"/>
  <c r="V275" s="1"/>
  <c r="V275" i="40" s="1"/>
  <c r="X162" i="37" a="1"/>
  <c r="X162" s="1"/>
  <c r="X162" i="40" s="1"/>
  <c r="X178" i="37" a="1"/>
  <c r="X178" s="1"/>
  <c r="X178" i="40" s="1"/>
  <c r="X170" i="37" a="1"/>
  <c r="X170" s="1"/>
  <c r="X170" i="40" s="1"/>
  <c r="X165" i="37" a="1"/>
  <c r="X165" s="1"/>
  <c r="X165" i="40" s="1"/>
  <c r="X175" i="37" a="1"/>
  <c r="X175" s="1"/>
  <c r="X175" i="40" s="1"/>
  <c r="X182" i="37" a="1"/>
  <c r="X182" s="1"/>
  <c r="X182" i="40" s="1"/>
  <c r="X166" i="37" a="1"/>
  <c r="X166" s="1"/>
  <c r="X166" i="40" s="1"/>
  <c r="X173" i="37" a="1"/>
  <c r="X173" s="1"/>
  <c r="X173" i="40" s="1"/>
  <c r="X183" i="37" a="1"/>
  <c r="X183" s="1"/>
  <c r="X183" i="40" s="1"/>
  <c r="X169" i="37" a="1"/>
  <c r="X169" s="1"/>
  <c r="X169" i="40" s="1"/>
  <c r="X167" i="37" a="1"/>
  <c r="X167" s="1"/>
  <c r="X167" i="40" s="1"/>
  <c r="X164" i="37" a="1"/>
  <c r="X164" s="1"/>
  <c r="X164" i="40" s="1"/>
  <c r="X177" i="37" a="1"/>
  <c r="X177" s="1"/>
  <c r="X177" i="40" s="1"/>
  <c r="X174" i="37" a="1"/>
  <c r="X174" s="1"/>
  <c r="X174" i="40" s="1"/>
  <c r="X172" i="37" a="1"/>
  <c r="X172" s="1"/>
  <c r="X172" i="40" s="1"/>
  <c r="X181" i="37" a="1"/>
  <c r="X181" s="1"/>
  <c r="X181" i="40" s="1"/>
  <c r="X180" i="37" a="1"/>
  <c r="X180" s="1"/>
  <c r="X180" i="40" s="1"/>
  <c r="X176" i="37" a="1"/>
  <c r="X176" s="1"/>
  <c r="X176" i="40" s="1"/>
  <c r="X179" i="37" a="1"/>
  <c r="X179" s="1"/>
  <c r="X179" i="40" s="1"/>
  <c r="X171" i="37" a="1"/>
  <c r="X171" s="1"/>
  <c r="X171" i="40" s="1"/>
  <c r="X168" i="37" a="1"/>
  <c r="X168" s="1"/>
  <c r="X168" i="40" s="1"/>
  <c r="X163" i="37" a="1"/>
  <c r="X163" s="1"/>
  <c r="X184" a="1"/>
  <c r="X184" s="1"/>
  <c r="X184" i="40" s="1"/>
  <c r="Z162" i="37" a="1"/>
  <c r="Z162" s="1"/>
  <c r="Z162" i="40" s="1"/>
  <c r="Z167" i="37" a="1"/>
  <c r="Z167" s="1"/>
  <c r="Z167" i="40" s="1"/>
  <c r="Z170" i="37" a="1"/>
  <c r="Z170" s="1"/>
  <c r="Z170" i="40" s="1"/>
  <c r="Z183" i="37" a="1"/>
  <c r="Z183" s="1"/>
  <c r="Z183" i="40" s="1"/>
  <c r="Z178" i="37" a="1"/>
  <c r="Z178" s="1"/>
  <c r="Z178" i="40" s="1"/>
  <c r="Z173" i="37" a="1"/>
  <c r="Z173" s="1"/>
  <c r="Z173" i="40" s="1"/>
  <c r="Z174" i="37" a="1"/>
  <c r="Z174" s="1"/>
  <c r="Z174" i="40" s="1"/>
  <c r="Z165" i="37" a="1"/>
  <c r="Z165" s="1"/>
  <c r="Z165" i="40" s="1"/>
  <c r="Z177" i="37" a="1"/>
  <c r="Z177" s="1"/>
  <c r="Z177" i="40" s="1"/>
  <c r="Z175" i="37" a="1"/>
  <c r="Z175" s="1"/>
  <c r="Z175" i="40" s="1"/>
  <c r="Z164" i="37" a="1"/>
  <c r="Z164" s="1"/>
  <c r="Z164" i="40" s="1"/>
  <c r="Z169" i="37" a="1"/>
  <c r="Z169" s="1"/>
  <c r="Z169" i="40" s="1"/>
  <c r="Z182" i="37" a="1"/>
  <c r="Z182" s="1"/>
  <c r="Z182" i="40" s="1"/>
  <c r="Z166" i="37" a="1"/>
  <c r="Z166" s="1"/>
  <c r="Z166" i="40" s="1"/>
  <c r="Z181" i="37" a="1"/>
  <c r="Z181" s="1"/>
  <c r="Z181" i="40" s="1"/>
  <c r="Z180" i="37" a="1"/>
  <c r="Z180" s="1"/>
  <c r="Z180" i="40" s="1"/>
  <c r="Z172" i="37" a="1"/>
  <c r="Z172" s="1"/>
  <c r="Z172" i="40" s="1"/>
  <c r="Z163" i="37" a="1"/>
  <c r="Z163" s="1"/>
  <c r="Z179" a="1"/>
  <c r="Z179" s="1"/>
  <c r="Z179" i="40" s="1"/>
  <c r="Z171" i="37" a="1"/>
  <c r="Z171" s="1"/>
  <c r="Z171" i="40" s="1"/>
  <c r="Z184" i="37" a="1"/>
  <c r="Z184" s="1"/>
  <c r="Z184" i="40" s="1"/>
  <c r="Z168" i="37" a="1"/>
  <c r="Z168" s="1"/>
  <c r="Z168" i="40" s="1"/>
  <c r="Z176" i="37" a="1"/>
  <c r="Z176" s="1"/>
  <c r="Z176" i="40" s="1"/>
  <c r="V18" i="37" a="1"/>
  <c r="V18" s="1"/>
  <c r="V18" i="40" s="1"/>
  <c r="V17" i="37" a="1"/>
  <c r="V17" s="1"/>
  <c r="V17" i="40" s="1"/>
  <c r="V5" i="37" a="1"/>
  <c r="V5" s="1"/>
  <c r="V5" i="40" s="1"/>
  <c r="V6" i="37" a="1"/>
  <c r="V6" s="1"/>
  <c r="V6" i="40" s="1"/>
  <c r="V10" i="37" a="1"/>
  <c r="V10" s="1"/>
  <c r="V10" i="40" s="1"/>
  <c r="V7" i="37" a="1"/>
  <c r="V7" s="1"/>
  <c r="V7" i="40" s="1"/>
  <c r="V23" i="37" a="1"/>
  <c r="V23" s="1"/>
  <c r="V23" i="40" s="1"/>
  <c r="V12" i="37" a="1"/>
  <c r="V12" s="1"/>
  <c r="V12" i="40" s="1"/>
  <c r="V20" i="37" a="1"/>
  <c r="V20" s="1"/>
  <c r="V20" i="40" s="1"/>
  <c r="V15" i="37" a="1"/>
  <c r="V15" s="1"/>
  <c r="V15" i="40" s="1"/>
  <c r="V9" i="37" a="1"/>
  <c r="V9" s="1"/>
  <c r="V9" i="40" s="1"/>
  <c r="V21" i="37" a="1"/>
  <c r="V21" s="1"/>
  <c r="V21" i="40" s="1"/>
  <c r="V14" i="37" a="1"/>
  <c r="V14" s="1"/>
  <c r="V14" i="40" s="1"/>
  <c r="V4" i="37" a="1"/>
  <c r="V4" s="1"/>
  <c r="V4" i="40" s="1"/>
  <c r="V22" i="37" a="1"/>
  <c r="V22" s="1"/>
  <c r="V22" i="40" s="1"/>
  <c r="V13" i="37" a="1"/>
  <c r="V13" s="1"/>
  <c r="V13" i="40" s="1"/>
  <c r="V11" i="37" a="1"/>
  <c r="V11" s="1"/>
  <c r="V11" i="40" s="1"/>
  <c r="V3" i="37" a="1"/>
  <c r="V3" s="1"/>
  <c r="V19" a="1"/>
  <c r="V19" s="1"/>
  <c r="V19" i="40" s="1"/>
  <c r="V8" i="37" a="1"/>
  <c r="V8" s="1"/>
  <c r="V8" i="40" s="1"/>
  <c r="V16" i="37" a="1"/>
  <c r="V16" s="1"/>
  <c r="V16" i="40" s="1"/>
  <c r="W433" i="37" a="1"/>
  <c r="W433" s="1"/>
  <c r="W433" i="40" s="1"/>
  <c r="W431" i="37" a="1"/>
  <c r="W431" s="1"/>
  <c r="W431" i="40" s="1"/>
  <c r="W415" i="37" a="1"/>
  <c r="W415" s="1"/>
  <c r="W415" i="40" s="1"/>
  <c r="W423" i="37" a="1"/>
  <c r="W423" s="1"/>
  <c r="W423" i="40" s="1"/>
  <c r="W429" i="37" a="1"/>
  <c r="W429" s="1"/>
  <c r="W429" i="40" s="1"/>
  <c r="W421" i="37" a="1"/>
  <c r="W421" s="1"/>
  <c r="W421" i="40" s="1"/>
  <c r="W428" i="37" a="1"/>
  <c r="W428" s="1"/>
  <c r="W428" i="40" s="1"/>
  <c r="W419" i="37" a="1"/>
  <c r="W419" s="1"/>
  <c r="W419" i="40" s="1"/>
  <c r="W413" i="37" a="1"/>
  <c r="W413" s="1"/>
  <c r="W413" i="40" s="1"/>
  <c r="W422" i="37" a="1"/>
  <c r="W422" s="1"/>
  <c r="W422" i="40" s="1"/>
  <c r="W414" i="37" a="1"/>
  <c r="W414" s="1"/>
  <c r="W426" a="1"/>
  <c r="W426" s="1"/>
  <c r="W426" i="40" s="1"/>
  <c r="W425" i="37" a="1"/>
  <c r="W425" s="1"/>
  <c r="W425" i="40" s="1"/>
  <c r="W430" i="37" a="1"/>
  <c r="W430" s="1"/>
  <c r="W430" i="40" s="1"/>
  <c r="W420" i="37" a="1"/>
  <c r="W420" s="1"/>
  <c r="W420" i="40" s="1"/>
  <c r="W417" i="37" a="1"/>
  <c r="W417" s="1"/>
  <c r="W417" i="40" s="1"/>
  <c r="W427" i="37" a="1"/>
  <c r="W427" s="1"/>
  <c r="W427" i="40" s="1"/>
  <c r="W435" i="37" a="1"/>
  <c r="W435" s="1"/>
  <c r="W435" i="40" s="1"/>
  <c r="W424" i="37" a="1"/>
  <c r="W424" s="1"/>
  <c r="W424" i="40" s="1"/>
  <c r="W434" i="37" a="1"/>
  <c r="W434" s="1"/>
  <c r="W434" i="40" s="1"/>
  <c r="W418" i="37" a="1"/>
  <c r="W418" s="1"/>
  <c r="W418" i="40" s="1"/>
  <c r="W416" i="37" a="1"/>
  <c r="W416" s="1"/>
  <c r="W416" i="40" s="1"/>
  <c r="W432" i="37" a="1"/>
  <c r="W432" s="1"/>
  <c r="W432" i="40" s="1"/>
  <c r="X250" i="37" a="1"/>
  <c r="X250" s="1"/>
  <c r="X250" i="40" s="1"/>
  <c r="X242" i="37" a="1"/>
  <c r="X242" s="1"/>
  <c r="X242" i="40" s="1"/>
  <c r="X236" i="37" a="1"/>
  <c r="X236" s="1"/>
  <c r="X236" i="40" s="1"/>
  <c r="X237" i="37" a="1"/>
  <c r="X237" s="1"/>
  <c r="X237" i="40" s="1"/>
  <c r="X247" i="37" a="1"/>
  <c r="X247" s="1"/>
  <c r="X247" i="40" s="1"/>
  <c r="X233" i="37" a="1"/>
  <c r="X233" s="1"/>
  <c r="X233" i="40" s="1"/>
  <c r="X234" i="37" a="1"/>
  <c r="X234" s="1"/>
  <c r="X234" i="40" s="1"/>
  <c r="X239" i="37" a="1"/>
  <c r="X239" s="1"/>
  <c r="X239" i="40" s="1"/>
  <c r="X244" i="37" a="1"/>
  <c r="X244" s="1"/>
  <c r="X244" i="40" s="1"/>
  <c r="X249" i="37" a="1"/>
  <c r="X249" s="1"/>
  <c r="X249" i="40" s="1"/>
  <c r="X253" i="37" a="1"/>
  <c r="X253" s="1"/>
  <c r="X253" i="40" s="1"/>
  <c r="X241" i="37" a="1"/>
  <c r="X241" s="1"/>
  <c r="X241" i="40" s="1"/>
  <c r="X245" i="37" a="1"/>
  <c r="X245" s="1"/>
  <c r="X245" i="40" s="1"/>
  <c r="X231" i="37" a="1"/>
  <c r="X231" s="1"/>
  <c r="X231" i="40" s="1"/>
  <c r="X238" i="37" a="1"/>
  <c r="X238" s="1"/>
  <c r="X238" i="40" s="1"/>
  <c r="X246" i="37" a="1"/>
  <c r="X246" s="1"/>
  <c r="X246" i="40" s="1"/>
  <c r="X252" i="37" a="1"/>
  <c r="X252" s="1"/>
  <c r="X252" i="40" s="1"/>
  <c r="X243" i="37" a="1"/>
  <c r="X243" s="1"/>
  <c r="X243" i="40" s="1"/>
  <c r="X232" i="37" a="1"/>
  <c r="X232" s="1"/>
  <c r="X248" a="1"/>
  <c r="X248" s="1"/>
  <c r="X248" i="40" s="1"/>
  <c r="X251" i="37" a="1"/>
  <c r="X251" s="1"/>
  <c r="X251" i="40" s="1"/>
  <c r="X235" i="37" a="1"/>
  <c r="X235" s="1"/>
  <c r="X235" i="40" s="1"/>
  <c r="X240" i="37" a="1"/>
  <c r="X240" s="1"/>
  <c r="X240" i="40" s="1"/>
  <c r="V143" i="37" a="1"/>
  <c r="V143" s="1"/>
  <c r="V143" i="40" s="1"/>
  <c r="V157" i="37" a="1"/>
  <c r="V157" s="1"/>
  <c r="V157" i="40" s="1"/>
  <c r="V138" i="37" a="1"/>
  <c r="V138" s="1"/>
  <c r="V138" i="40" s="1"/>
  <c r="V153" i="37" a="1"/>
  <c r="V153" s="1"/>
  <c r="V153" i="40" s="1"/>
  <c r="V149" i="37" a="1"/>
  <c r="V149" s="1"/>
  <c r="V149" i="40" s="1"/>
  <c r="V146" i="37" a="1"/>
  <c r="V146" s="1"/>
  <c r="V146" i="40" s="1"/>
  <c r="V159" i="37" a="1"/>
  <c r="V159" s="1"/>
  <c r="V159" i="40" s="1"/>
  <c r="V145" i="37" a="1"/>
  <c r="V145" s="1"/>
  <c r="V145" i="40" s="1"/>
  <c r="V154" i="37" a="1"/>
  <c r="V154" s="1"/>
  <c r="V154" i="40" s="1"/>
  <c r="V151" i="37" a="1"/>
  <c r="V151" s="1"/>
  <c r="V151" i="40" s="1"/>
  <c r="V161" i="37" a="1"/>
  <c r="V161" s="1"/>
  <c r="V161" i="40" s="1"/>
  <c r="V141" i="37" a="1"/>
  <c r="V141" s="1"/>
  <c r="V141" i="40" s="1"/>
  <c r="V140" i="37" a="1"/>
  <c r="V140" s="1"/>
  <c r="V140" i="40" s="1"/>
  <c r="V158" i="37" a="1"/>
  <c r="V158" s="1"/>
  <c r="V158" i="40" s="1"/>
  <c r="V142" i="37" a="1"/>
  <c r="V142" s="1"/>
  <c r="V142" i="40" s="1"/>
  <c r="V150" i="37" a="1"/>
  <c r="V150" s="1"/>
  <c r="V150" i="40" s="1"/>
  <c r="V156" i="37" a="1"/>
  <c r="V156" s="1"/>
  <c r="V156" i="40" s="1"/>
  <c r="V148" i="37" a="1"/>
  <c r="V148" s="1"/>
  <c r="V148" i="40" s="1"/>
  <c r="V155" i="37" a="1"/>
  <c r="V155" s="1"/>
  <c r="V155" i="40" s="1"/>
  <c r="V152" i="37" a="1"/>
  <c r="V152" s="1"/>
  <c r="V152" i="40" s="1"/>
  <c r="V144" i="37" a="1"/>
  <c r="V144" s="1"/>
  <c r="V144" i="40" s="1"/>
  <c r="V160" i="37" a="1"/>
  <c r="V160" s="1"/>
  <c r="V160" i="40" s="1"/>
  <c r="V147" i="37" a="1"/>
  <c r="V147" s="1"/>
  <c r="V147" i="40" s="1"/>
  <c r="V139" i="37" a="1"/>
  <c r="V139" s="1"/>
  <c r="T26" a="1"/>
  <c r="T26" s="1"/>
  <c r="T26" i="40" s="1"/>
  <c r="T42" i="37" a="1"/>
  <c r="T42" s="1"/>
  <c r="T42" i="40" s="1"/>
  <c r="T29" i="37" a="1"/>
  <c r="T29" s="1"/>
  <c r="T29" i="40" s="1"/>
  <c r="T31" i="37" a="1"/>
  <c r="T31" s="1"/>
  <c r="T31" i="40" s="1"/>
  <c r="T30" i="37" a="1"/>
  <c r="T30" s="1"/>
  <c r="T30" i="40" s="1"/>
  <c r="T41" i="37" a="1"/>
  <c r="T41" s="1"/>
  <c r="T41" i="40" s="1"/>
  <c r="T33" i="37" a="1"/>
  <c r="T33" s="1"/>
  <c r="T33" i="40" s="1"/>
  <c r="T39" i="37" a="1"/>
  <c r="T39" s="1"/>
  <c r="T39" i="40" s="1"/>
  <c r="T28" i="37" a="1"/>
  <c r="T28" s="1"/>
  <c r="T28" i="40" s="1"/>
  <c r="T34" i="37" a="1"/>
  <c r="T34" s="1"/>
  <c r="T34" i="40" s="1"/>
  <c r="T25" i="37" a="1"/>
  <c r="T25" s="1"/>
  <c r="T45" a="1"/>
  <c r="T45" s="1"/>
  <c r="T45" i="40" s="1"/>
  <c r="T37" i="37" a="1"/>
  <c r="T37" s="1"/>
  <c r="T37" i="40" s="1"/>
  <c r="T38" i="37" a="1"/>
  <c r="T38" s="1"/>
  <c r="T38" i="40" s="1"/>
  <c r="T44" i="37" a="1"/>
  <c r="T44" s="1"/>
  <c r="T44" i="40" s="1"/>
  <c r="T36" i="37" a="1"/>
  <c r="T36" s="1"/>
  <c r="T36" i="40" s="1"/>
  <c r="T24" i="37" a="1"/>
  <c r="T24" s="1"/>
  <c r="T24" i="40" s="1"/>
  <c r="T32" i="37" a="1"/>
  <c r="T32" s="1"/>
  <c r="T32" i="40" s="1"/>
  <c r="T43" i="37" a="1"/>
  <c r="T43" s="1"/>
  <c r="T43" i="40" s="1"/>
  <c r="T35" i="37" a="1"/>
  <c r="T35" s="1"/>
  <c r="T35" i="40" s="1"/>
  <c r="T27" i="37" a="1"/>
  <c r="T27" s="1"/>
  <c r="T27" i="40" s="1"/>
  <c r="T40" i="37" a="1"/>
  <c r="T40" s="1"/>
  <c r="T40" i="40" s="1"/>
  <c r="U367" i="37" a="1"/>
  <c r="U367" s="1"/>
  <c r="U367" i="40" s="1"/>
  <c r="U373" i="37" a="1"/>
  <c r="U373" s="1"/>
  <c r="U373" i="40" s="1"/>
  <c r="U375" i="37" a="1"/>
  <c r="U375" s="1"/>
  <c r="U375" i="40" s="1"/>
  <c r="U385" i="37" a="1"/>
  <c r="U385" s="1"/>
  <c r="U385" i="40" s="1"/>
  <c r="U369" i="37" a="1"/>
  <c r="U369" s="1"/>
  <c r="U369" i="40" s="1"/>
  <c r="U383" i="37" a="1"/>
  <c r="U383" s="1"/>
  <c r="U383" i="40" s="1"/>
  <c r="U381" i="37" a="1"/>
  <c r="U381" s="1"/>
  <c r="U381" i="40" s="1"/>
  <c r="U378" i="37" a="1"/>
  <c r="U378" s="1"/>
  <c r="U378" i="40" s="1"/>
  <c r="U386" i="37" a="1"/>
  <c r="U386" s="1"/>
  <c r="U386" i="40" s="1"/>
  <c r="U380" i="37" a="1"/>
  <c r="U380" s="1"/>
  <c r="U380" i="40" s="1"/>
  <c r="U387" i="37" a="1"/>
  <c r="U387" s="1"/>
  <c r="U387" i="40" s="1"/>
  <c r="U370" i="37" a="1"/>
  <c r="U370" s="1"/>
  <c r="U370" i="40" s="1"/>
  <c r="U374" i="37" a="1"/>
  <c r="U374" s="1"/>
  <c r="U374" i="40" s="1"/>
  <c r="U366" i="37" a="1"/>
  <c r="U366" s="1"/>
  <c r="U382" a="1"/>
  <c r="U382" s="1"/>
  <c r="U382" i="40" s="1"/>
  <c r="U388" i="37" a="1"/>
  <c r="U388" s="1"/>
  <c r="U388" i="40" s="1"/>
  <c r="U372" i="37" a="1"/>
  <c r="U372" s="1"/>
  <c r="U372" i="40" s="1"/>
  <c r="U377" i="37" a="1"/>
  <c r="U377" s="1"/>
  <c r="U377" i="40" s="1"/>
  <c r="U384" i="37" a="1"/>
  <c r="U384" s="1"/>
  <c r="U384" i="40" s="1"/>
  <c r="U365" i="37" a="1"/>
  <c r="U365" s="1"/>
  <c r="U365" i="40" s="1"/>
  <c r="U376" i="37" a="1"/>
  <c r="U376" s="1"/>
  <c r="U376" i="40" s="1"/>
  <c r="U371" i="37" a="1"/>
  <c r="U371" s="1"/>
  <c r="U371" i="40" s="1"/>
  <c r="U368" i="37" a="1"/>
  <c r="U368" s="1"/>
  <c r="U368" i="40" s="1"/>
  <c r="U379" i="37" a="1"/>
  <c r="U379" s="1"/>
  <c r="U379" i="40" s="1"/>
  <c r="U205" i="37" a="1"/>
  <c r="U205" s="1"/>
  <c r="U205" i="40" s="1"/>
  <c r="U199" i="37" a="1"/>
  <c r="U199" s="1"/>
  <c r="U199" i="40" s="1"/>
  <c r="U194" i="37" a="1"/>
  <c r="U194" s="1"/>
  <c r="U194" i="40" s="1"/>
  <c r="U207" i="37" a="1"/>
  <c r="U207" s="1"/>
  <c r="U207" i="40" s="1"/>
  <c r="U191" i="37" a="1"/>
  <c r="U191" s="1"/>
  <c r="U191" i="40" s="1"/>
  <c r="U197" i="37" a="1"/>
  <c r="U197" s="1"/>
  <c r="U197" i="40" s="1"/>
  <c r="U202" i="37" a="1"/>
  <c r="U202" s="1"/>
  <c r="U202" i="40" s="1"/>
  <c r="U201" i="37" a="1"/>
  <c r="U201" s="1"/>
  <c r="U201" i="40" s="1"/>
  <c r="U198" i="37" a="1"/>
  <c r="U198" s="1"/>
  <c r="U198" i="40" s="1"/>
  <c r="U196" i="37" a="1"/>
  <c r="U196" s="1"/>
  <c r="U196" i="40" s="1"/>
  <c r="U186" i="37" a="1"/>
  <c r="U186" s="1"/>
  <c r="U185" a="1"/>
  <c r="U185" s="1"/>
  <c r="U185" i="40" s="1"/>
  <c r="U193" i="37" a="1"/>
  <c r="U193" s="1"/>
  <c r="U193" i="40" s="1"/>
  <c r="U190" i="37" a="1"/>
  <c r="U190" s="1"/>
  <c r="U190" i="40" s="1"/>
  <c r="U206" i="37" a="1"/>
  <c r="U206" s="1"/>
  <c r="U206" i="40" s="1"/>
  <c r="U189" i="37" a="1"/>
  <c r="U189" s="1"/>
  <c r="U189" i="40" s="1"/>
  <c r="U204" i="37" a="1"/>
  <c r="U204" s="1"/>
  <c r="U204" i="40" s="1"/>
  <c r="U188" i="37" a="1"/>
  <c r="U188" s="1"/>
  <c r="U188" i="40" s="1"/>
  <c r="U195" i="37" a="1"/>
  <c r="U195" s="1"/>
  <c r="U195" i="40" s="1"/>
  <c r="U187" i="37" a="1"/>
  <c r="U187" s="1"/>
  <c r="U187" i="40" s="1"/>
  <c r="U203" i="37" a="1"/>
  <c r="U203" s="1"/>
  <c r="U203" i="40" s="1"/>
  <c r="U200" i="37" a="1"/>
  <c r="U200" s="1"/>
  <c r="U200" i="40" s="1"/>
  <c r="U192" i="37" a="1"/>
  <c r="U192" s="1"/>
  <c r="U192" i="40" s="1"/>
  <c r="V303" i="37" a="1"/>
  <c r="V303" s="1"/>
  <c r="V303" i="40" s="1"/>
  <c r="V310" i="37" a="1"/>
  <c r="V310" s="1"/>
  <c r="V310" i="40" s="1"/>
  <c r="V311" i="37" a="1"/>
  <c r="V311" s="1"/>
  <c r="V311" i="40" s="1"/>
  <c r="V313" i="37" a="1"/>
  <c r="V313" s="1"/>
  <c r="V313" i="40" s="1"/>
  <c r="V301" i="37" a="1"/>
  <c r="V301" s="1"/>
  <c r="V301" i="40" s="1"/>
  <c r="V319" i="37" a="1"/>
  <c r="V319" s="1"/>
  <c r="V319" i="40" s="1"/>
  <c r="V305" i="37" a="1"/>
  <c r="V305" s="1"/>
  <c r="V305" i="40" s="1"/>
  <c r="V317" i="37" a="1"/>
  <c r="V317" s="1"/>
  <c r="V317" i="40" s="1"/>
  <c r="V302" i="37" a="1"/>
  <c r="V302" s="1"/>
  <c r="V302" i="40" s="1"/>
  <c r="V318" i="37" a="1"/>
  <c r="V318" s="1"/>
  <c r="V318" i="40" s="1"/>
  <c r="V308" i="37" a="1"/>
  <c r="V308" s="1"/>
  <c r="V308" i="40" s="1"/>
  <c r="V309" i="37" a="1"/>
  <c r="V309" s="1"/>
  <c r="V309" i="40" s="1"/>
  <c r="V306" i="37" a="1"/>
  <c r="V306" s="1"/>
  <c r="V306" i="40" s="1"/>
  <c r="V316" i="37" a="1"/>
  <c r="V316" s="1"/>
  <c r="V316" i="40" s="1"/>
  <c r="V314" i="37" a="1"/>
  <c r="V314" s="1"/>
  <c r="V314" i="40" s="1"/>
  <c r="V320" i="37" a="1"/>
  <c r="V320" s="1"/>
  <c r="V320" i="40" s="1"/>
  <c r="V304" i="37" a="1"/>
  <c r="V304" s="1"/>
  <c r="V304" i="40" s="1"/>
  <c r="V299" i="37" a="1"/>
  <c r="V299" s="1"/>
  <c r="V299" i="40" s="1"/>
  <c r="V300" i="37" a="1"/>
  <c r="V300" s="1"/>
  <c r="V312" a="1"/>
  <c r="V312" s="1"/>
  <c r="V312" i="40" s="1"/>
  <c r="V315" i="37" a="1"/>
  <c r="V315" s="1"/>
  <c r="V315" i="40" s="1"/>
  <c r="V307" i="37" a="1"/>
  <c r="V307" s="1"/>
  <c r="V307" i="40" s="1"/>
  <c r="Z319" i="37" a="1"/>
  <c r="Z319" s="1"/>
  <c r="Z319" i="40" s="1"/>
  <c r="Z311" i="37" a="1"/>
  <c r="Z311" s="1"/>
  <c r="Z311" i="40" s="1"/>
  <c r="Z313" i="37" a="1"/>
  <c r="Z313" s="1"/>
  <c r="Z313" i="40" s="1"/>
  <c r="Z317" i="37" a="1"/>
  <c r="Z317" s="1"/>
  <c r="Z317" i="40" s="1"/>
  <c r="Z301" i="37" a="1"/>
  <c r="Z301" s="1"/>
  <c r="Z301" i="40" s="1"/>
  <c r="Z303" i="37" a="1"/>
  <c r="Z303" s="1"/>
  <c r="Z303" i="40" s="1"/>
  <c r="Z305" i="37" a="1"/>
  <c r="Z305" s="1"/>
  <c r="Z305" i="40" s="1"/>
  <c r="Z310" i="37" a="1"/>
  <c r="Z310" s="1"/>
  <c r="Z310" i="40" s="1"/>
  <c r="Z309" i="37" a="1"/>
  <c r="Z309" s="1"/>
  <c r="Z309" i="40" s="1"/>
  <c r="Z306" i="37" a="1"/>
  <c r="Z306" s="1"/>
  <c r="Z306" i="40" s="1"/>
  <c r="Z302" i="37" a="1"/>
  <c r="Z302" s="1"/>
  <c r="Z302" i="40" s="1"/>
  <c r="Z308" i="37" a="1"/>
  <c r="Z308" s="1"/>
  <c r="Z308" i="40" s="1"/>
  <c r="Z318" i="37" a="1"/>
  <c r="Z318" s="1"/>
  <c r="Z318" i="40" s="1"/>
  <c r="Z300" i="37" a="1"/>
  <c r="Z300" s="1"/>
  <c r="Z304" a="1"/>
  <c r="Z304" s="1"/>
  <c r="Z304" i="40" s="1"/>
  <c r="Z320" i="37" a="1"/>
  <c r="Z320" s="1"/>
  <c r="Z320" i="40" s="1"/>
  <c r="Z312" i="37" a="1"/>
  <c r="Z312" s="1"/>
  <c r="Z312" i="40" s="1"/>
  <c r="Z299" i="37" a="1"/>
  <c r="Z299" s="1"/>
  <c r="Z299" i="40" s="1"/>
  <c r="Z315" i="37" a="1"/>
  <c r="Z315" s="1"/>
  <c r="Z315" i="40" s="1"/>
  <c r="Z307" i="37" a="1"/>
  <c r="Z307" s="1"/>
  <c r="Z307" i="40" s="1"/>
  <c r="Z316" i="37" a="1"/>
  <c r="Z316" s="1"/>
  <c r="Z316" i="40" s="1"/>
  <c r="Z314" i="37" a="1"/>
  <c r="Z314" s="1"/>
  <c r="Z314" i="40" s="1"/>
  <c r="R125" i="37" a="1"/>
  <c r="R125" s="1"/>
  <c r="R125" i="40" s="1"/>
  <c r="R121" i="37" a="1"/>
  <c r="R121" s="1"/>
  <c r="R121" i="40" s="1"/>
  <c r="R134" i="37" a="1"/>
  <c r="R134" s="1"/>
  <c r="R134" i="40" s="1"/>
  <c r="R118" i="37" a="1"/>
  <c r="R118" s="1"/>
  <c r="R118" i="40" s="1"/>
  <c r="R130" i="37" a="1"/>
  <c r="R130" s="1"/>
  <c r="R130" i="40" s="1"/>
  <c r="R137" i="37" a="1"/>
  <c r="R137" s="1"/>
  <c r="R137" i="40" s="1"/>
  <c r="R114" i="37" a="1"/>
  <c r="R114" s="1"/>
  <c r="R114" i="40" s="1"/>
  <c r="R119" i="37" a="1"/>
  <c r="R119" s="1"/>
  <c r="R119" i="40" s="1"/>
  <c r="R132" i="37" a="1"/>
  <c r="R132" s="1"/>
  <c r="R132" i="40" s="1"/>
  <c r="R129" i="37" a="1"/>
  <c r="R129" s="1"/>
  <c r="R129" i="40" s="1"/>
  <c r="R135" i="37" a="1"/>
  <c r="R135" s="1"/>
  <c r="R135" i="40" s="1"/>
  <c r="R127" i="37" a="1"/>
  <c r="R127" s="1"/>
  <c r="R127" i="40" s="1"/>
  <c r="R122" i="37" a="1"/>
  <c r="R122" s="1"/>
  <c r="R122" i="40" s="1"/>
  <c r="R126" i="37" a="1"/>
  <c r="R126" s="1"/>
  <c r="R126" i="40" s="1"/>
  <c r="R124" i="37" a="1"/>
  <c r="R124" s="1"/>
  <c r="R124" i="40" s="1"/>
  <c r="R116" i="37" a="1"/>
  <c r="R116" s="1"/>
  <c r="R116" i="40" s="1"/>
  <c r="R128" i="37" a="1"/>
  <c r="R128" s="1"/>
  <c r="R128" i="40" s="1"/>
  <c r="R131" i="37" a="1"/>
  <c r="R131" s="1"/>
  <c r="R131" i="40" s="1"/>
  <c r="R117" i="37" a="1"/>
  <c r="R117" s="1"/>
  <c r="R117" i="40" s="1"/>
  <c r="R133" i="37" a="1"/>
  <c r="R133" s="1"/>
  <c r="R133" i="40" s="1"/>
  <c r="R136" i="37" a="1"/>
  <c r="R136" s="1"/>
  <c r="R136" i="40" s="1"/>
  <c r="R120" i="37" a="1"/>
  <c r="R120" s="1"/>
  <c r="R120" i="40" s="1"/>
  <c r="R123" i="37" a="1"/>
  <c r="R123" s="1"/>
  <c r="R123" i="40" s="1"/>
  <c r="R115" i="37" a="1"/>
  <c r="R115" s="1"/>
  <c r="AB130" a="1"/>
  <c r="AB130" s="1"/>
  <c r="AB130" i="40" s="1"/>
  <c r="AB119" i="37" a="1"/>
  <c r="AB119" s="1"/>
  <c r="AB119" i="40" s="1"/>
  <c r="AB125" i="37" a="1"/>
  <c r="AB125" s="1"/>
  <c r="AB125" i="40" s="1"/>
  <c r="AB122" i="37" a="1"/>
  <c r="AB122" s="1"/>
  <c r="AB122" i="40" s="1"/>
  <c r="AB132" i="37" a="1"/>
  <c r="AB132" s="1"/>
  <c r="AB132" i="40" s="1"/>
  <c r="AB135" i="37" a="1"/>
  <c r="AB135" s="1"/>
  <c r="AB135" i="40" s="1"/>
  <c r="AB134" i="37" a="1"/>
  <c r="AB134" s="1"/>
  <c r="AB134" i="40" s="1"/>
  <c r="AB114" i="37" a="1"/>
  <c r="AB114" s="1"/>
  <c r="AB114" i="40" s="1"/>
  <c r="AB127" i="37" a="1"/>
  <c r="AB127" s="1"/>
  <c r="AB127" i="40" s="1"/>
  <c r="AB121" i="37" a="1"/>
  <c r="AB121" s="1"/>
  <c r="AB121" i="40" s="1"/>
  <c r="AB129" i="37" a="1"/>
  <c r="AB129" s="1"/>
  <c r="AB129" i="40" s="1"/>
  <c r="AB137" i="37" a="1"/>
  <c r="AB137" s="1"/>
  <c r="AB137" i="40" s="1"/>
  <c r="AB118" i="37" a="1"/>
  <c r="AB118" s="1"/>
  <c r="AB118" i="40" s="1"/>
  <c r="AB124" i="37" a="1"/>
  <c r="AB124" s="1"/>
  <c r="AB124" i="40" s="1"/>
  <c r="AB116" i="37" a="1"/>
  <c r="AB116" s="1"/>
  <c r="AB116" i="40" s="1"/>
  <c r="AB126" i="37" a="1"/>
  <c r="AB126" s="1"/>
  <c r="AB126" i="40" s="1"/>
  <c r="AB123" i="37" a="1"/>
  <c r="AB123" s="1"/>
  <c r="AB123" i="40" s="1"/>
  <c r="AB115" i="37" a="1"/>
  <c r="AB115" s="1"/>
  <c r="AB131" a="1"/>
  <c r="AB131" s="1"/>
  <c r="AB131" i="40" s="1"/>
  <c r="AB117" i="37" a="1"/>
  <c r="AB117" s="1"/>
  <c r="AB117" i="40" s="1"/>
  <c r="AB128" i="37" a="1"/>
  <c r="AB128" s="1"/>
  <c r="AB128" i="40" s="1"/>
  <c r="AB120" i="37" a="1"/>
  <c r="AB120" s="1"/>
  <c r="AB120" i="40" s="1"/>
  <c r="AB133" i="37" a="1"/>
  <c r="AB133" s="1"/>
  <c r="AB133" i="40" s="1"/>
  <c r="AB136" i="37" a="1"/>
  <c r="AB136" s="1"/>
  <c r="AB136" i="40" s="1"/>
  <c r="X455" i="37" a="1"/>
  <c r="X455" s="1"/>
  <c r="X455" i="40" s="1"/>
  <c r="X463" i="37" a="1"/>
  <c r="X463" s="1"/>
  <c r="X463" i="40" s="1"/>
  <c r="X460" i="37" a="1"/>
  <c r="X460" s="1"/>
  <c r="X460" i="40" s="1"/>
  <c r="X461" i="37" a="1"/>
  <c r="X461" s="1"/>
  <c r="X461" i="40" s="1"/>
  <c r="X466" i="37" a="1"/>
  <c r="X466" s="1"/>
  <c r="X466" i="40" s="1"/>
  <c r="X458" i="37" a="1"/>
  <c r="X458" s="1"/>
  <c r="X458" i="40" s="1"/>
  <c r="X459" i="37" a="1"/>
  <c r="X459" s="1"/>
  <c r="X459" i="40" s="1"/>
  <c r="X453" i="37" a="1"/>
  <c r="X453" s="1"/>
  <c r="X453" i="40" s="1"/>
  <c r="X465" i="37" a="1"/>
  <c r="X465" s="1"/>
  <c r="X465" i="40" s="1"/>
  <c r="X462" i="37" a="1"/>
  <c r="X462" s="1"/>
  <c r="X462" i="40" s="1"/>
  <c r="X467" i="37" a="1"/>
  <c r="X467" s="1"/>
  <c r="X467" i="40" s="1"/>
  <c r="X457" i="37" a="1"/>
  <c r="X457" s="1"/>
  <c r="X457" i="40" s="1"/>
  <c r="X454" i="37" a="1"/>
  <c r="X454" s="1"/>
  <c r="X454" i="40" s="1"/>
  <c r="X452" i="37" a="1"/>
  <c r="X452" s="1"/>
  <c r="X456" a="1"/>
  <c r="X456" s="1"/>
  <c r="X456" i="40" s="1"/>
  <c r="X464" i="37" a="1"/>
  <c r="X464" s="1"/>
  <c r="X464" i="40" s="1"/>
  <c r="Z455" i="37" a="1"/>
  <c r="Z455" s="1"/>
  <c r="Z455" i="40" s="1"/>
  <c r="Z466" i="37" a="1"/>
  <c r="Z466" s="1"/>
  <c r="Z466" i="40" s="1"/>
  <c r="Z463" i="37" a="1"/>
  <c r="Z463" s="1"/>
  <c r="Z463" i="40" s="1"/>
  <c r="Z458" i="37" a="1"/>
  <c r="Z458" s="1"/>
  <c r="Z458" i="40" s="1"/>
  <c r="Z461" i="37" a="1"/>
  <c r="Z461" s="1"/>
  <c r="Z461" i="40" s="1"/>
  <c r="Z460" i="37" a="1"/>
  <c r="Z460" s="1"/>
  <c r="Z460" i="40" s="1"/>
  <c r="Z465" i="37" a="1"/>
  <c r="Z465" s="1"/>
  <c r="Z465" i="40" s="1"/>
  <c r="Z467" i="37" a="1"/>
  <c r="Z467" s="1"/>
  <c r="Z467" i="40" s="1"/>
  <c r="Z457" i="37" a="1"/>
  <c r="Z457" s="1"/>
  <c r="Z457" i="40" s="1"/>
  <c r="Z453" i="37" a="1"/>
  <c r="Z453" s="1"/>
  <c r="Z453" i="40" s="1"/>
  <c r="Z459" i="37" a="1"/>
  <c r="Z459" s="1"/>
  <c r="Z459" i="40" s="1"/>
  <c r="Z454" i="37" a="1"/>
  <c r="Z454" s="1"/>
  <c r="Z454" i="40" s="1"/>
  <c r="Z462" i="37" a="1"/>
  <c r="Z462" s="1"/>
  <c r="Z462" i="40" s="1"/>
  <c r="Z464" i="37" a="1"/>
  <c r="Z464" s="1"/>
  <c r="Z464" i="40" s="1"/>
  <c r="Z452" i="37" a="1"/>
  <c r="Z452" s="1"/>
  <c r="Z456" a="1"/>
  <c r="Z456" s="1"/>
  <c r="Z456" i="40" s="1"/>
  <c r="S111" i="37" a="1"/>
  <c r="S111" s="1"/>
  <c r="S111" i="40" s="1"/>
  <c r="S106" i="37" a="1"/>
  <c r="S106" s="1"/>
  <c r="S106" i="40" s="1"/>
  <c r="S98" i="37" a="1"/>
  <c r="S98" s="1"/>
  <c r="S98" i="40" s="1"/>
  <c r="S90" i="37" a="1"/>
  <c r="S90" s="1"/>
  <c r="S90" i="40" s="1"/>
  <c r="S109" i="37" a="1"/>
  <c r="S109" s="1"/>
  <c r="S109" i="40" s="1"/>
  <c r="S103" i="37" a="1"/>
  <c r="S103" s="1"/>
  <c r="S103" i="40" s="1"/>
  <c r="S95" i="37" a="1"/>
  <c r="S95" s="1"/>
  <c r="S95" i="40" s="1"/>
  <c r="S100" i="37" a="1"/>
  <c r="S100" s="1"/>
  <c r="S100" i="40" s="1"/>
  <c r="S113" i="37" a="1"/>
  <c r="S113" s="1"/>
  <c r="S113" i="40" s="1"/>
  <c r="S105" i="37" a="1"/>
  <c r="S105" s="1"/>
  <c r="S105" i="40" s="1"/>
  <c r="S101" i="37" a="1"/>
  <c r="S101" s="1"/>
  <c r="S101" i="40" s="1"/>
  <c r="S97" i="37" a="1"/>
  <c r="S97" s="1"/>
  <c r="S97" i="40" s="1"/>
  <c r="S94" i="37" a="1"/>
  <c r="S94" s="1"/>
  <c r="S94" i="40" s="1"/>
  <c r="S92" i="37" a="1"/>
  <c r="S92" s="1"/>
  <c r="S92" i="40" s="1"/>
  <c r="S110" i="37" a="1"/>
  <c r="S110" s="1"/>
  <c r="S110" i="40" s="1"/>
  <c r="S93" i="37" a="1"/>
  <c r="S93" s="1"/>
  <c r="S93" i="40" s="1"/>
  <c r="S108" i="37" a="1"/>
  <c r="S108" s="1"/>
  <c r="S108" i="40" s="1"/>
  <c r="S102" i="37" a="1"/>
  <c r="S102" s="1"/>
  <c r="S102" i="40" s="1"/>
  <c r="S91" i="37" a="1"/>
  <c r="S91" s="1"/>
  <c r="S107" a="1"/>
  <c r="S107" s="1"/>
  <c r="S107" i="40" s="1"/>
  <c r="S96" i="37" a="1"/>
  <c r="S96" s="1"/>
  <c r="S96" i="40" s="1"/>
  <c r="S99" i="37" a="1"/>
  <c r="S99" s="1"/>
  <c r="S99" i="40" s="1"/>
  <c r="S112" i="37" a="1"/>
  <c r="S112" s="1"/>
  <c r="S112" i="40" s="1"/>
  <c r="S104" i="37" a="1"/>
  <c r="S104" s="1"/>
  <c r="S104" i="40" s="1"/>
  <c r="S218" i="37" a="1"/>
  <c r="S218" s="1"/>
  <c r="S218" i="40" s="1"/>
  <c r="S210" i="37" a="1"/>
  <c r="S210" s="1"/>
  <c r="S210" i="40" s="1"/>
  <c r="S222" i="37" a="1"/>
  <c r="S222" s="1"/>
  <c r="S222" i="40" s="1"/>
  <c r="S214" i="37" a="1"/>
  <c r="S214" s="1"/>
  <c r="S214" i="40" s="1"/>
  <c r="S226" i="37" a="1"/>
  <c r="S226" s="1"/>
  <c r="S226" i="40" s="1"/>
  <c r="S213" i="37" a="1"/>
  <c r="S213" s="1"/>
  <c r="S213" i="40" s="1"/>
  <c r="S209" i="37" a="1"/>
  <c r="S209" s="1"/>
  <c r="S215" a="1"/>
  <c r="S215" s="1"/>
  <c r="S215" i="40" s="1"/>
  <c r="S228" i="37" a="1"/>
  <c r="S228" s="1"/>
  <c r="S228" i="40" s="1"/>
  <c r="S225" i="37" a="1"/>
  <c r="S225" s="1"/>
  <c r="S225" i="40" s="1"/>
  <c r="S220" i="37" a="1"/>
  <c r="S220" s="1"/>
  <c r="S220" i="40" s="1"/>
  <c r="S223" i="37" a="1"/>
  <c r="S223" s="1"/>
  <c r="S223" i="40" s="1"/>
  <c r="S217" i="37" a="1"/>
  <c r="S217" s="1"/>
  <c r="S217" i="40" s="1"/>
  <c r="S221" i="37" a="1"/>
  <c r="S221" s="1"/>
  <c r="S221" i="40" s="1"/>
  <c r="S230" i="37" a="1"/>
  <c r="S230" s="1"/>
  <c r="S230" i="40" s="1"/>
  <c r="S212" i="37" a="1"/>
  <c r="S212" s="1"/>
  <c r="S212" i="40" s="1"/>
  <c r="S227" i="37" a="1"/>
  <c r="S227" s="1"/>
  <c r="S227" i="40" s="1"/>
  <c r="S216" i="37" a="1"/>
  <c r="S216" s="1"/>
  <c r="S216" i="40" s="1"/>
  <c r="S211" i="37" a="1"/>
  <c r="S211" s="1"/>
  <c r="S211" i="40" s="1"/>
  <c r="S219" i="37" a="1"/>
  <c r="S219" s="1"/>
  <c r="S219" i="40" s="1"/>
  <c r="S224" i="37" a="1"/>
  <c r="S224" s="1"/>
  <c r="S224" i="40" s="1"/>
  <c r="S229" i="37" a="1"/>
  <c r="S229" s="1"/>
  <c r="S229" i="40" s="1"/>
  <c r="S208" i="37" a="1"/>
  <c r="S208" s="1"/>
  <c r="S208" i="40" s="1"/>
  <c r="V74" i="37" a="1"/>
  <c r="V74" s="1"/>
  <c r="V74" i="40" s="1"/>
  <c r="V77" i="37" a="1"/>
  <c r="V77" s="1"/>
  <c r="V77" i="40" s="1"/>
  <c r="V89" i="37" a="1"/>
  <c r="V89" s="1"/>
  <c r="V89" i="40" s="1"/>
  <c r="V87" i="37" a="1"/>
  <c r="V87" s="1"/>
  <c r="V87" i="40" s="1"/>
  <c r="V76" i="37" a="1"/>
  <c r="V76" s="1"/>
  <c r="V76" i="40" s="1"/>
  <c r="V82" i="37" a="1"/>
  <c r="V82" s="1"/>
  <c r="V82" i="40" s="1"/>
  <c r="V79" i="37" a="1"/>
  <c r="V79" s="1"/>
  <c r="V79" i="40" s="1"/>
  <c r="V73" i="37" a="1"/>
  <c r="V73" s="1"/>
  <c r="V73" i="40" s="1"/>
  <c r="V84" i="37" a="1"/>
  <c r="V84" s="1"/>
  <c r="V84" i="40" s="1"/>
  <c r="V71" i="37" a="1"/>
  <c r="V71" s="1"/>
  <c r="V71" i="40" s="1"/>
  <c r="V81" i="37" a="1"/>
  <c r="V81" s="1"/>
  <c r="V81" i="40" s="1"/>
  <c r="V69" i="37" a="1"/>
  <c r="V69" s="1"/>
  <c r="V69" i="40" s="1"/>
  <c r="V86" i="37" a="1"/>
  <c r="V86" s="1"/>
  <c r="V86" i="40" s="1"/>
  <c r="V85" i="37" a="1"/>
  <c r="V85" s="1"/>
  <c r="V85" i="40" s="1"/>
  <c r="V78" i="37" a="1"/>
  <c r="V78" s="1"/>
  <c r="V78" i="40" s="1"/>
  <c r="V70" i="37" a="1"/>
  <c r="V70" s="1"/>
  <c r="V72" a="1"/>
  <c r="V72" s="1"/>
  <c r="V72" i="40" s="1"/>
  <c r="V75" i="37" a="1"/>
  <c r="V75" s="1"/>
  <c r="V75" i="40" s="1"/>
  <c r="V80" i="37" a="1"/>
  <c r="V80" s="1"/>
  <c r="V80" i="40" s="1"/>
  <c r="V88" i="37" a="1"/>
  <c r="V88" s="1"/>
  <c r="V88" i="40" s="1"/>
  <c r="V83" i="37" a="1"/>
  <c r="V83" s="1"/>
  <c r="V83" i="40" s="1"/>
  <c r="R447" i="37" a="1"/>
  <c r="R447" s="1"/>
  <c r="R447" i="40" s="1"/>
  <c r="R438" i="37" a="1"/>
  <c r="R438" s="1"/>
  <c r="R438" i="40" s="1"/>
  <c r="R445" i="37" a="1"/>
  <c r="R445" s="1"/>
  <c r="R445" i="40" s="1"/>
  <c r="R439" i="37" a="1"/>
  <c r="R439" s="1"/>
  <c r="R439" i="40" s="1"/>
  <c r="R437" i="37" a="1"/>
  <c r="R437" s="1"/>
  <c r="R437" i="40" s="1"/>
  <c r="R444" i="37" a="1"/>
  <c r="R444" s="1"/>
  <c r="R444" i="40" s="1"/>
  <c r="R442" i="37" a="1"/>
  <c r="R442" s="1"/>
  <c r="R442" i="40" s="1"/>
  <c r="R446" i="37" a="1"/>
  <c r="R446" s="1"/>
  <c r="R446" i="40" s="1"/>
  <c r="R449" i="37" a="1"/>
  <c r="R449" s="1"/>
  <c r="R449" i="40" s="1"/>
  <c r="R441" i="37" a="1"/>
  <c r="R441" s="1"/>
  <c r="R441" i="40" s="1"/>
  <c r="R448" i="37" a="1"/>
  <c r="R448" s="1"/>
  <c r="R448" i="40" s="1"/>
  <c r="R451" i="37" a="1"/>
  <c r="R451" s="1"/>
  <c r="R451" i="40" s="1"/>
  <c r="R440" i="37" a="1"/>
  <c r="R440" s="1"/>
  <c r="R440" i="40" s="1"/>
  <c r="R436" i="37" a="1"/>
  <c r="R436" s="1"/>
  <c r="R443" a="1"/>
  <c r="R443" s="1"/>
  <c r="R443" i="40" s="1"/>
  <c r="R450" i="37" a="1"/>
  <c r="R450" s="1"/>
  <c r="R450" i="40" s="1"/>
  <c r="AB447" i="37" a="1"/>
  <c r="AB447" s="1"/>
  <c r="AB447" i="40" s="1"/>
  <c r="AB445" i="37" a="1"/>
  <c r="AB445" s="1"/>
  <c r="AB445" i="40" s="1"/>
  <c r="AB449" i="37" a="1"/>
  <c r="AB449" s="1"/>
  <c r="AB449" i="40" s="1"/>
  <c r="AB441" i="37" a="1"/>
  <c r="AB441" s="1"/>
  <c r="AB441" i="40" s="1"/>
  <c r="AB439" i="37" a="1"/>
  <c r="AB439" s="1"/>
  <c r="AB439" i="40" s="1"/>
  <c r="AB437" i="37" a="1"/>
  <c r="AB437" s="1"/>
  <c r="AB437" i="40" s="1"/>
  <c r="AB444" i="37" a="1"/>
  <c r="AB444" s="1"/>
  <c r="AB444" i="40" s="1"/>
  <c r="AB446" i="37" a="1"/>
  <c r="AB446" s="1"/>
  <c r="AB446" i="40" s="1"/>
  <c r="AB442" i="37" a="1"/>
  <c r="AB442" s="1"/>
  <c r="AB442" i="40" s="1"/>
  <c r="AB438" i="37" a="1"/>
  <c r="AB438" s="1"/>
  <c r="AB438" i="40" s="1"/>
  <c r="AB451" i="37" a="1"/>
  <c r="AB451" s="1"/>
  <c r="AB451" i="40" s="1"/>
  <c r="AB443" i="37" a="1"/>
  <c r="AB443" s="1"/>
  <c r="AB443" i="40" s="1"/>
  <c r="AB450" i="37" a="1"/>
  <c r="AB450" s="1"/>
  <c r="AB450" i="40" s="1"/>
  <c r="AB448" i="37" a="1"/>
  <c r="AB448" s="1"/>
  <c r="AB448" i="40" s="1"/>
  <c r="AB440" i="37" a="1"/>
  <c r="AB440" s="1"/>
  <c r="AB440" i="40" s="1"/>
  <c r="AB436" i="37" a="1"/>
  <c r="AB436" s="1"/>
  <c r="W471" a="1"/>
  <c r="W471" s="1"/>
  <c r="W471" i="40" s="1"/>
  <c r="W479" i="37" a="1"/>
  <c r="W479" s="1"/>
  <c r="W479" i="40" s="1"/>
  <c r="W481" i="37" a="1"/>
  <c r="W481" s="1"/>
  <c r="W481" i="40" s="1"/>
  <c r="W469" i="37" a="1"/>
  <c r="W469" s="1"/>
  <c r="W469" i="40" s="1"/>
  <c r="W477" i="37" a="1"/>
  <c r="W477" s="1"/>
  <c r="W477" i="40" s="1"/>
  <c r="W473" i="37" a="1"/>
  <c r="W473" s="1"/>
  <c r="W473" i="40" s="1"/>
  <c r="W482" i="37" a="1"/>
  <c r="W482" s="1"/>
  <c r="W482" i="40" s="1"/>
  <c r="W470" i="37" a="1"/>
  <c r="W470" s="1"/>
  <c r="W470" i="40" s="1"/>
  <c r="W478" i="37" a="1"/>
  <c r="W478" s="1"/>
  <c r="W478" i="40" s="1"/>
  <c r="W468" i="37" a="1"/>
  <c r="W468" s="1"/>
  <c r="W475" a="1"/>
  <c r="W475" s="1"/>
  <c r="W475" i="40" s="1"/>
  <c r="W483" i="37" a="1"/>
  <c r="W483" s="1"/>
  <c r="W483" i="40" s="1"/>
  <c r="W480" i="37" a="1"/>
  <c r="W480" s="1"/>
  <c r="W480" i="40" s="1"/>
  <c r="W472" i="37" a="1"/>
  <c r="W472" s="1"/>
  <c r="W472" i="40" s="1"/>
  <c r="W476" i="37" a="1"/>
  <c r="W476" s="1"/>
  <c r="W476" i="40" s="1"/>
  <c r="W474" i="37" a="1"/>
  <c r="W474" s="1"/>
  <c r="W474" i="40" s="1"/>
  <c r="AA471" i="37" a="1"/>
  <c r="AA471" s="1"/>
  <c r="AA471" i="40" s="1"/>
  <c r="AA479" i="37" a="1"/>
  <c r="AA479" s="1"/>
  <c r="AA479" i="40" s="1"/>
  <c r="AA469" i="37" a="1"/>
  <c r="AA469" s="1"/>
  <c r="AA469" i="40" s="1"/>
  <c r="AA477" i="37" a="1"/>
  <c r="AA477" s="1"/>
  <c r="AA477" i="40" s="1"/>
  <c r="AA481" i="37" a="1"/>
  <c r="AA481" s="1"/>
  <c r="AA481" i="40" s="1"/>
  <c r="AA482" i="37" a="1"/>
  <c r="AA482" s="1"/>
  <c r="AA482" i="40" s="1"/>
  <c r="AA473" i="37" a="1"/>
  <c r="AA473" s="1"/>
  <c r="AA473" i="40" s="1"/>
  <c r="AA478" i="37" a="1"/>
  <c r="AA478" s="1"/>
  <c r="AA478" i="40" s="1"/>
  <c r="AA483" i="37" a="1"/>
  <c r="AA483" s="1"/>
  <c r="AA483" i="40" s="1"/>
  <c r="AA468" i="37" a="1"/>
  <c r="AA468" s="1"/>
  <c r="AA475" a="1"/>
  <c r="AA475" s="1"/>
  <c r="AA475" i="40" s="1"/>
  <c r="AA470" i="37" a="1"/>
  <c r="AA470" s="1"/>
  <c r="AA470" i="40" s="1"/>
  <c r="AA476" i="37" a="1"/>
  <c r="AA476" s="1"/>
  <c r="AA476" i="40" s="1"/>
  <c r="AA474" i="37" a="1"/>
  <c r="AA474" s="1"/>
  <c r="AA474" i="40" s="1"/>
  <c r="AA480" i="37" a="1"/>
  <c r="AA480" s="1"/>
  <c r="AA480" i="40" s="1"/>
  <c r="AA472" i="37" a="1"/>
  <c r="AA472" s="1"/>
  <c r="AA472" i="40" s="1"/>
  <c r="W287" i="37" a="1"/>
  <c r="W287" s="1"/>
  <c r="W287" i="40" s="1"/>
  <c r="W282" i="37" a="1"/>
  <c r="W282" s="1"/>
  <c r="W282" i="40" s="1"/>
  <c r="W295" i="37" a="1"/>
  <c r="W295" s="1"/>
  <c r="W295" i="40" s="1"/>
  <c r="W281" i="37" a="1"/>
  <c r="W281" s="1"/>
  <c r="W281" i="40" s="1"/>
  <c r="W285" i="37" a="1"/>
  <c r="W285" s="1"/>
  <c r="W285" i="40" s="1"/>
  <c r="W294" i="37" a="1"/>
  <c r="W294" s="1"/>
  <c r="W294" i="40" s="1"/>
  <c r="W297" i="37" a="1"/>
  <c r="W297" s="1"/>
  <c r="W297" i="40" s="1"/>
  <c r="W279" i="37" a="1"/>
  <c r="W279" s="1"/>
  <c r="W279" i="40" s="1"/>
  <c r="W284" i="37" a="1"/>
  <c r="W284" s="1"/>
  <c r="W284" i="40" s="1"/>
  <c r="W278" i="37" a="1"/>
  <c r="W278" s="1"/>
  <c r="W289" a="1"/>
  <c r="W289" s="1"/>
  <c r="W289" i="40" s="1"/>
  <c r="W293" i="37" a="1"/>
  <c r="W293" s="1"/>
  <c r="W293" i="40" s="1"/>
  <c r="W290" i="37" a="1"/>
  <c r="W290" s="1"/>
  <c r="W290" i="40" s="1"/>
  <c r="W292" i="37" a="1"/>
  <c r="W292" s="1"/>
  <c r="W292" i="40" s="1"/>
  <c r="W277" i="37" a="1"/>
  <c r="W277" s="1"/>
  <c r="W277" i="40" s="1"/>
  <c r="W286" i="37" a="1"/>
  <c r="W286" s="1"/>
  <c r="W286" i="40" s="1"/>
  <c r="W291" i="37" a="1"/>
  <c r="W291" s="1"/>
  <c r="W291" i="40" s="1"/>
  <c r="W296" i="37" a="1"/>
  <c r="W296" s="1"/>
  <c r="W296" i="40" s="1"/>
  <c r="W280" i="37" a="1"/>
  <c r="W280" s="1"/>
  <c r="W280" i="40" s="1"/>
  <c r="W298" i="37" a="1"/>
  <c r="W298" s="1"/>
  <c r="W298" i="40" s="1"/>
  <c r="W283" i="37" a="1"/>
  <c r="W283" s="1"/>
  <c r="W283" i="40" s="1"/>
  <c r="W288" i="37" a="1"/>
  <c r="W288" s="1"/>
  <c r="W288" i="40" s="1"/>
  <c r="V407" i="37" a="1"/>
  <c r="V407" s="1"/>
  <c r="V407" i="40" s="1"/>
  <c r="V394" i="37" a="1"/>
  <c r="V394" s="1"/>
  <c r="V394" i="40" s="1"/>
  <c r="V399" i="37" a="1"/>
  <c r="V399" s="1"/>
  <c r="V399" i="40" s="1"/>
  <c r="V397" i="37" a="1"/>
  <c r="V397" s="1"/>
  <c r="V397" i="40" s="1"/>
  <c r="V396" i="37" a="1"/>
  <c r="V396" s="1"/>
  <c r="V396" i="40" s="1"/>
  <c r="V391" i="37" a="1"/>
  <c r="V391" s="1"/>
  <c r="V391" i="40" s="1"/>
  <c r="V389" i="37" a="1"/>
  <c r="V389" s="1"/>
  <c r="V389" i="40" s="1"/>
  <c r="V409" i="37" a="1"/>
  <c r="V409" s="1"/>
  <c r="V409" i="40" s="1"/>
  <c r="V410" i="37" a="1"/>
  <c r="V410" s="1"/>
  <c r="V410" i="40" s="1"/>
  <c r="V406" i="37" a="1"/>
  <c r="V406" s="1"/>
  <c r="V406" i="40" s="1"/>
  <c r="V393" i="37" a="1"/>
  <c r="V393" s="1"/>
  <c r="V393" i="40" s="1"/>
  <c r="V395" i="37" a="1"/>
  <c r="V395" s="1"/>
  <c r="V395" i="40" s="1"/>
  <c r="V401" i="37" a="1"/>
  <c r="V401" s="1"/>
  <c r="V401" i="40" s="1"/>
  <c r="V398" i="37" a="1"/>
  <c r="V398" s="1"/>
  <c r="V398" i="40" s="1"/>
  <c r="V390" i="37" a="1"/>
  <c r="V390" s="1"/>
  <c r="V412" a="1"/>
  <c r="V412" s="1"/>
  <c r="V412" i="40" s="1"/>
  <c r="V402" i="37" a="1"/>
  <c r="V402" s="1"/>
  <c r="V402" i="40" s="1"/>
  <c r="V405" i="37" a="1"/>
  <c r="V405" s="1"/>
  <c r="V405" i="40" s="1"/>
  <c r="V404" i="37" a="1"/>
  <c r="V404" s="1"/>
  <c r="V404" i="40" s="1"/>
  <c r="V400" i="37" a="1"/>
  <c r="V400" s="1"/>
  <c r="V400" i="40" s="1"/>
  <c r="V408" i="37" a="1"/>
  <c r="V408" s="1"/>
  <c r="V408" i="40" s="1"/>
  <c r="V403" i="37" a="1"/>
  <c r="V403" s="1"/>
  <c r="V403" i="40" s="1"/>
  <c r="V392" i="37" a="1"/>
  <c r="V392" s="1"/>
  <c r="V392" i="40" s="1"/>
  <c r="V411" i="37" a="1"/>
  <c r="V411" s="1"/>
  <c r="V411" i="40" s="1"/>
  <c r="V343" i="37" a="1"/>
  <c r="V343" s="1"/>
  <c r="V343" i="40" s="1"/>
  <c r="V354" i="37" a="1"/>
  <c r="V354" s="1"/>
  <c r="V354" i="40" s="1"/>
  <c r="V341" i="37" a="1"/>
  <c r="V341" s="1"/>
  <c r="V341" i="40" s="1"/>
  <c r="V345" i="37" a="1"/>
  <c r="V345" s="1"/>
  <c r="V345" i="40" s="1"/>
  <c r="V350" i="37" a="1"/>
  <c r="V350" s="1"/>
  <c r="V350" i="40" s="1"/>
  <c r="V346" i="37" a="1"/>
  <c r="V346" s="1"/>
  <c r="V346" i="40" s="1"/>
  <c r="V359" i="37" a="1"/>
  <c r="V359" s="1"/>
  <c r="V359" i="40" s="1"/>
  <c r="V353" i="37" a="1"/>
  <c r="V353" s="1"/>
  <c r="V353" i="40" s="1"/>
  <c r="V348" i="37" a="1"/>
  <c r="V348" s="1"/>
  <c r="V348" i="40" s="1"/>
  <c r="V351" i="37" a="1"/>
  <c r="V351" s="1"/>
  <c r="V351" i="40" s="1"/>
  <c r="V364" i="37" a="1"/>
  <c r="V364" s="1"/>
  <c r="V364" i="40" s="1"/>
  <c r="V363" i="37" a="1"/>
  <c r="V363" s="1"/>
  <c r="V363" i="40" s="1"/>
  <c r="V342" i="37" a="1"/>
  <c r="V342" s="1"/>
  <c r="V361" a="1"/>
  <c r="V361" s="1"/>
  <c r="V361" i="40" s="1"/>
  <c r="V357" i="37" a="1"/>
  <c r="V357" s="1"/>
  <c r="V357" i="40" s="1"/>
  <c r="V358" i="37" a="1"/>
  <c r="V358" s="1"/>
  <c r="V358" i="40" s="1"/>
  <c r="V355" i="37" a="1"/>
  <c r="V355" s="1"/>
  <c r="V355" i="40" s="1"/>
  <c r="V349" i="37" a="1"/>
  <c r="V349" s="1"/>
  <c r="V349" i="40" s="1"/>
  <c r="V352" i="37" a="1"/>
  <c r="V352" s="1"/>
  <c r="V352" i="40" s="1"/>
  <c r="V347" i="37" a="1"/>
  <c r="V347" s="1"/>
  <c r="V347" i="40" s="1"/>
  <c r="V362" i="37" a="1"/>
  <c r="V362" s="1"/>
  <c r="V362" i="40" s="1"/>
  <c r="V356" i="37" a="1"/>
  <c r="V356" s="1"/>
  <c r="V356" i="40" s="1"/>
  <c r="V360" i="37" a="1"/>
  <c r="V360" s="1"/>
  <c r="V360" i="40" s="1"/>
  <c r="V344" i="37" a="1"/>
  <c r="V344" s="1"/>
  <c r="V344" i="40" s="1"/>
  <c r="U487" i="37" a="1"/>
  <c r="U487" s="1"/>
  <c r="U487" i="40" s="1"/>
  <c r="U484" i="37" a="1"/>
  <c r="U484" s="1"/>
  <c r="U485" a="1"/>
  <c r="U485" s="1"/>
  <c r="U485" i="40" s="1"/>
  <c r="U489" i="37" a="1"/>
  <c r="U489" s="1"/>
  <c r="U489" i="40" s="1"/>
  <c r="U492" i="37" a="1"/>
  <c r="U492" s="1"/>
  <c r="U492" i="40" s="1"/>
  <c r="U493" i="37" a="1"/>
  <c r="U493" s="1"/>
  <c r="U493" i="40" s="1"/>
  <c r="U486" i="37" a="1"/>
  <c r="U486" s="1"/>
  <c r="U486" i="40" s="1"/>
  <c r="U491" i="37" a="1"/>
  <c r="U491" s="1"/>
  <c r="U491" i="40" s="1"/>
  <c r="U497" i="37" a="1"/>
  <c r="U497" s="1"/>
  <c r="U497" i="40" s="1"/>
  <c r="U496" i="37" a="1"/>
  <c r="U496" s="1"/>
  <c r="U496" i="40" s="1"/>
  <c r="U495" i="37" a="1"/>
  <c r="U495" s="1"/>
  <c r="U495" i="40" s="1"/>
  <c r="U494" i="37" a="1"/>
  <c r="U494" s="1"/>
  <c r="U494" i="40" s="1"/>
  <c r="U490" i="37" a="1"/>
  <c r="U490" s="1"/>
  <c r="U490" i="40" s="1"/>
  <c r="U488" i="37" a="1"/>
  <c r="U488" s="1"/>
  <c r="U488" i="40" s="1"/>
  <c r="S338" i="37" a="1"/>
  <c r="S338" s="1"/>
  <c r="S338" i="40" s="1"/>
  <c r="S332" i="37" a="1"/>
  <c r="S332" s="1"/>
  <c r="S332" i="40" s="1"/>
  <c r="S327" i="37" a="1"/>
  <c r="S327" s="1"/>
  <c r="S327" i="40" s="1"/>
  <c r="S322" i="37" a="1"/>
  <c r="S322" s="1"/>
  <c r="S333" a="1"/>
  <c r="S333" s="1"/>
  <c r="S333" i="40" s="1"/>
  <c r="S337" i="37" a="1"/>
  <c r="S337" s="1"/>
  <c r="S337" i="40" s="1"/>
  <c r="S329" i="37" a="1"/>
  <c r="S329" s="1"/>
  <c r="S329" i="40" s="1"/>
  <c r="S335" i="37" a="1"/>
  <c r="S335" s="1"/>
  <c r="S335" i="40" s="1"/>
  <c r="S321" i="37" a="1"/>
  <c r="S321" s="1"/>
  <c r="S321" i="40" s="1"/>
  <c r="S325" i="37" a="1"/>
  <c r="S325" s="1"/>
  <c r="S325" i="40" s="1"/>
  <c r="S334" i="37" a="1"/>
  <c r="S334" s="1"/>
  <c r="S334" i="40" s="1"/>
  <c r="S326" i="37" a="1"/>
  <c r="S326" s="1"/>
  <c r="S326" i="40" s="1"/>
  <c r="S324" i="37" a="1"/>
  <c r="S324" s="1"/>
  <c r="S324" i="40" s="1"/>
  <c r="S339" i="37" a="1"/>
  <c r="S339" s="1"/>
  <c r="S339" i="40" s="1"/>
  <c r="S330" i="37" a="1"/>
  <c r="S330" s="1"/>
  <c r="S330" i="40" s="1"/>
  <c r="S340" i="37" a="1"/>
  <c r="S340" s="1"/>
  <c r="S340" i="40" s="1"/>
  <c r="S323" i="37" a="1"/>
  <c r="S323" s="1"/>
  <c r="S323" i="40" s="1"/>
  <c r="S336" i="37" a="1"/>
  <c r="S336" s="1"/>
  <c r="S336" i="40" s="1"/>
  <c r="S331" i="37" a="1"/>
  <c r="S331" s="1"/>
  <c r="S331" i="40" s="1"/>
  <c r="S328" i="37" a="1"/>
  <c r="S328" s="1"/>
  <c r="S328" i="40" s="1"/>
  <c r="V58" i="37" a="1"/>
  <c r="V58" s="1"/>
  <c r="V58" i="40" s="1"/>
  <c r="V47" i="37" a="1"/>
  <c r="V47" s="1"/>
  <c r="V65" a="1"/>
  <c r="V65" s="1"/>
  <c r="V65" i="40" s="1"/>
  <c r="V49" i="37" a="1"/>
  <c r="V49" s="1"/>
  <c r="V49" i="40" s="1"/>
  <c r="V62" i="37" a="1"/>
  <c r="V62" s="1"/>
  <c r="V62" i="40" s="1"/>
  <c r="V55" i="37" a="1"/>
  <c r="V55" s="1"/>
  <c r="V55" i="40" s="1"/>
  <c r="V53" i="37" a="1"/>
  <c r="V53" s="1"/>
  <c r="V53" i="40" s="1"/>
  <c r="V66" i="37" a="1"/>
  <c r="V66" s="1"/>
  <c r="V66" i="40" s="1"/>
  <c r="V60" i="37" a="1"/>
  <c r="V60" s="1"/>
  <c r="V60" i="40" s="1"/>
  <c r="V63" i="37" a="1"/>
  <c r="V63" s="1"/>
  <c r="V63" i="40" s="1"/>
  <c r="V57" i="37" a="1"/>
  <c r="V57" s="1"/>
  <c r="V57" i="40" s="1"/>
  <c r="V50" i="37" a="1"/>
  <c r="V50" s="1"/>
  <c r="V50" i="40" s="1"/>
  <c r="V52" i="37" a="1"/>
  <c r="V52" s="1"/>
  <c r="V52" i="40" s="1"/>
  <c r="V54" i="37" a="1"/>
  <c r="V54" s="1"/>
  <c r="V54" i="40" s="1"/>
  <c r="V68" i="37" a="1"/>
  <c r="V68" s="1"/>
  <c r="V68" i="40" s="1"/>
  <c r="V46" i="37" a="1"/>
  <c r="V46" s="1"/>
  <c r="V46" i="40" s="1"/>
  <c r="V56" i="37" a="1"/>
  <c r="V56" s="1"/>
  <c r="V56" i="40" s="1"/>
  <c r="V51" i="37" a="1"/>
  <c r="V51" s="1"/>
  <c r="V51" i="40" s="1"/>
  <c r="V64" i="37" a="1"/>
  <c r="V64" s="1"/>
  <c r="V64" i="40" s="1"/>
  <c r="V67" i="37" a="1"/>
  <c r="V67" s="1"/>
  <c r="V67" i="40" s="1"/>
  <c r="V59" i="37" a="1"/>
  <c r="V59" s="1"/>
  <c r="V59" i="40" s="1"/>
  <c r="V61" i="37" a="1"/>
  <c r="V61" s="1"/>
  <c r="V61" i="40" s="1"/>
  <c r="V48" i="37" a="1"/>
  <c r="V48" s="1"/>
  <c r="V48" i="40" s="1"/>
  <c r="U261" i="37" a="1"/>
  <c r="U261" s="1"/>
  <c r="U261" i="40" s="1"/>
  <c r="U271" i="37" a="1"/>
  <c r="U271" s="1"/>
  <c r="U271" i="40" s="1"/>
  <c r="U263" i="37" a="1"/>
  <c r="U263" s="1"/>
  <c r="U263" i="40" s="1"/>
  <c r="U274" i="37" a="1"/>
  <c r="U274" s="1"/>
  <c r="U274" i="40" s="1"/>
  <c r="U255" i="37" a="1"/>
  <c r="U255" s="1"/>
  <c r="U276" a="1"/>
  <c r="U276" s="1"/>
  <c r="U276" i="40" s="1"/>
  <c r="U257" i="37" a="1"/>
  <c r="U257" s="1"/>
  <c r="U257" i="40" s="1"/>
  <c r="U265" i="37" a="1"/>
  <c r="U265" s="1"/>
  <c r="U265" i="40" s="1"/>
  <c r="U262" i="37" a="1"/>
  <c r="U262" s="1"/>
  <c r="U262" i="40" s="1"/>
  <c r="U273" i="37" a="1"/>
  <c r="U273" s="1"/>
  <c r="U273" i="40" s="1"/>
  <c r="U266" i="37" a="1"/>
  <c r="U266" s="1"/>
  <c r="U266" i="40" s="1"/>
  <c r="U254" i="37" a="1"/>
  <c r="U254" s="1"/>
  <c r="U254" i="40" s="1"/>
  <c r="U260" i="37" a="1"/>
  <c r="U260" s="1"/>
  <c r="U260" i="40" s="1"/>
  <c r="U268" i="37" a="1"/>
  <c r="U268" s="1"/>
  <c r="U268" i="40" s="1"/>
  <c r="U270" i="37" a="1"/>
  <c r="U270" s="1"/>
  <c r="U270" i="40" s="1"/>
  <c r="U258" i="37" a="1"/>
  <c r="U258" s="1"/>
  <c r="U258" i="40" s="1"/>
  <c r="U275" i="37" a="1"/>
  <c r="U275" s="1"/>
  <c r="U275" i="40" s="1"/>
  <c r="U267" i="37" a="1"/>
  <c r="U267" s="1"/>
  <c r="U267" i="40" s="1"/>
  <c r="U269" i="37" a="1"/>
  <c r="U269" s="1"/>
  <c r="U269" i="40" s="1"/>
  <c r="U272" i="37" a="1"/>
  <c r="U272" s="1"/>
  <c r="U272" i="40" s="1"/>
  <c r="U256" i="37" a="1"/>
  <c r="U256" s="1"/>
  <c r="U256" i="40" s="1"/>
  <c r="U264" i="37" a="1"/>
  <c r="U264" s="1"/>
  <c r="U264" i="40" s="1"/>
  <c r="U259" i="37" a="1"/>
  <c r="U259" s="1"/>
  <c r="U259" i="40" s="1"/>
  <c r="W162" i="37" a="1"/>
  <c r="W162" s="1"/>
  <c r="W162" i="40" s="1"/>
  <c r="W170" i="37" a="1"/>
  <c r="W170" s="1"/>
  <c r="W170" i="40" s="1"/>
  <c r="W167" i="37" a="1"/>
  <c r="W167" s="1"/>
  <c r="W167" i="40" s="1"/>
  <c r="W165" i="37" a="1"/>
  <c r="W165" s="1"/>
  <c r="W165" i="40" s="1"/>
  <c r="W183" i="37" a="1"/>
  <c r="W183" s="1"/>
  <c r="W183" i="40" s="1"/>
  <c r="W177" i="37" a="1"/>
  <c r="W177" s="1"/>
  <c r="W177" i="40" s="1"/>
  <c r="W175" i="37" a="1"/>
  <c r="W175" s="1"/>
  <c r="W175" i="40" s="1"/>
  <c r="W169" i="37" a="1"/>
  <c r="W169" s="1"/>
  <c r="W169" i="40" s="1"/>
  <c r="W173" i="37" a="1"/>
  <c r="W173" s="1"/>
  <c r="W173" i="40" s="1"/>
  <c r="W164" i="37" a="1"/>
  <c r="W164" s="1"/>
  <c r="W164" i="40" s="1"/>
  <c r="W178" i="37" a="1"/>
  <c r="W178" s="1"/>
  <c r="W178" i="40" s="1"/>
  <c r="W181" i="37" a="1"/>
  <c r="W181" s="1"/>
  <c r="W181" i="40" s="1"/>
  <c r="W180" i="37" a="1"/>
  <c r="W180" s="1"/>
  <c r="W180" i="40" s="1"/>
  <c r="W174" i="37" a="1"/>
  <c r="W174" s="1"/>
  <c r="W174" i="40" s="1"/>
  <c r="W182" i="37" a="1"/>
  <c r="W182" s="1"/>
  <c r="W182" i="40" s="1"/>
  <c r="W166" i="37" a="1"/>
  <c r="W166" s="1"/>
  <c r="W166" i="40" s="1"/>
  <c r="W172" i="37" a="1"/>
  <c r="W172" s="1"/>
  <c r="W172" i="40" s="1"/>
  <c r="W176" i="37" a="1"/>
  <c r="W176" s="1"/>
  <c r="W176" i="40" s="1"/>
  <c r="W179" i="37" a="1"/>
  <c r="W179" s="1"/>
  <c r="W179" i="40" s="1"/>
  <c r="W171" i="37" a="1"/>
  <c r="W171" s="1"/>
  <c r="W171" i="40" s="1"/>
  <c r="W163" i="37" a="1"/>
  <c r="W163" s="1"/>
  <c r="W184" a="1"/>
  <c r="W184" s="1"/>
  <c r="W184" i="40" s="1"/>
  <c r="W168" i="37" a="1"/>
  <c r="W168" s="1"/>
  <c r="W168" i="40" s="1"/>
  <c r="U18" i="37" a="1"/>
  <c r="U18" s="1"/>
  <c r="U18" i="40" s="1"/>
  <c r="U20" i="37" a="1"/>
  <c r="U20" s="1"/>
  <c r="U20" i="40" s="1"/>
  <c r="U12" i="37" a="1"/>
  <c r="U12" s="1"/>
  <c r="U12" i="40" s="1"/>
  <c r="U14" i="37" a="1"/>
  <c r="U14" s="1"/>
  <c r="U14" i="40" s="1"/>
  <c r="U10" i="37" a="1"/>
  <c r="U10" s="1"/>
  <c r="U10" i="40" s="1"/>
  <c r="U7" i="37" a="1"/>
  <c r="U7" s="1"/>
  <c r="U7" i="40" s="1"/>
  <c r="U21" i="37" a="1"/>
  <c r="U21" s="1"/>
  <c r="U21" i="40" s="1"/>
  <c r="U23" i="37" a="1"/>
  <c r="U23" s="1"/>
  <c r="U23" i="40" s="1"/>
  <c r="U9" i="37" a="1"/>
  <c r="U9" s="1"/>
  <c r="U9" i="40" s="1"/>
  <c r="U15" i="37" a="1"/>
  <c r="U15" s="1"/>
  <c r="U15" i="40" s="1"/>
  <c r="U17" i="37" a="1"/>
  <c r="U17" s="1"/>
  <c r="U17" i="40" s="1"/>
  <c r="U22" i="37" a="1"/>
  <c r="U22" s="1"/>
  <c r="U22" i="40" s="1"/>
  <c r="U6" i="37" a="1"/>
  <c r="U6" s="1"/>
  <c r="U6" i="40" s="1"/>
  <c r="U4" i="37" a="1"/>
  <c r="U4" s="1"/>
  <c r="U4" i="40" s="1"/>
  <c r="U5" i="37" a="1"/>
  <c r="U5" s="1"/>
  <c r="U5" i="40" s="1"/>
  <c r="U8" i="37" a="1"/>
  <c r="U8" s="1"/>
  <c r="U8" i="40" s="1"/>
  <c r="U11" i="37" a="1"/>
  <c r="U11" s="1"/>
  <c r="U11" i="40" s="1"/>
  <c r="U13" i="37" a="1"/>
  <c r="U13" s="1"/>
  <c r="U13" i="40" s="1"/>
  <c r="U3" i="37" a="1"/>
  <c r="U3" s="1"/>
  <c r="U19" a="1"/>
  <c r="U19" s="1"/>
  <c r="U19" i="40" s="1"/>
  <c r="U16" i="37" a="1"/>
  <c r="U16" s="1"/>
  <c r="U16" i="40" s="1"/>
  <c r="V423" i="37" a="1"/>
  <c r="V423" s="1"/>
  <c r="V423" i="40" s="1"/>
  <c r="V428" i="37" a="1"/>
  <c r="V428" s="1"/>
  <c r="V428" i="40" s="1"/>
  <c r="V414" i="37" a="1"/>
  <c r="V414" s="1"/>
  <c r="V415" a="1"/>
  <c r="V415" s="1"/>
  <c r="V415" i="40" s="1"/>
  <c r="V429" i="37" a="1"/>
  <c r="V429" s="1"/>
  <c r="V429" i="40" s="1"/>
  <c r="V431" i="37" a="1"/>
  <c r="V431" s="1"/>
  <c r="V431" i="40" s="1"/>
  <c r="V433" i="37" a="1"/>
  <c r="V433" s="1"/>
  <c r="V433" i="40" s="1"/>
  <c r="V421" i="37" a="1"/>
  <c r="V421" s="1"/>
  <c r="V421" i="40" s="1"/>
  <c r="V422" i="37" a="1"/>
  <c r="V422" s="1"/>
  <c r="V422" i="40" s="1"/>
  <c r="V420" i="37" a="1"/>
  <c r="V420" s="1"/>
  <c r="V420" i="40" s="1"/>
  <c r="V425" i="37" a="1"/>
  <c r="V425" s="1"/>
  <c r="V425" i="40" s="1"/>
  <c r="V430" i="37" a="1"/>
  <c r="V430" s="1"/>
  <c r="V430" i="40" s="1"/>
  <c r="V413" i="37" a="1"/>
  <c r="V413" s="1"/>
  <c r="V413" i="40" s="1"/>
  <c r="V426" i="37" a="1"/>
  <c r="V426" s="1"/>
  <c r="V426" i="40" s="1"/>
  <c r="V417" i="37" a="1"/>
  <c r="V417" s="1"/>
  <c r="V417" i="40" s="1"/>
  <c r="V424" i="37" a="1"/>
  <c r="V424" s="1"/>
  <c r="V424" i="40" s="1"/>
  <c r="V416" i="37" a="1"/>
  <c r="V416" s="1"/>
  <c r="V416" i="40" s="1"/>
  <c r="V434" i="37" a="1"/>
  <c r="V434" s="1"/>
  <c r="V434" i="40" s="1"/>
  <c r="V418" i="37" a="1"/>
  <c r="V418" s="1"/>
  <c r="V418" i="40" s="1"/>
  <c r="V432" i="37" a="1"/>
  <c r="V432" s="1"/>
  <c r="V432" i="40" s="1"/>
  <c r="V435" i="37" a="1"/>
  <c r="V435" s="1"/>
  <c r="V435" i="40" s="1"/>
  <c r="V427" i="37" a="1"/>
  <c r="V427" s="1"/>
  <c r="V427" i="40" s="1"/>
  <c r="V419" i="37" a="1"/>
  <c r="V419" s="1"/>
  <c r="V419" i="40" s="1"/>
  <c r="W231" i="37" a="1"/>
  <c r="W231" s="1"/>
  <c r="W231" i="40" s="1"/>
  <c r="W234" i="37" a="1"/>
  <c r="W234" s="1"/>
  <c r="W234" i="40" s="1"/>
  <c r="W250" i="37" a="1"/>
  <c r="W250" s="1"/>
  <c r="W250" i="40" s="1"/>
  <c r="W247" i="37" a="1"/>
  <c r="W247" s="1"/>
  <c r="W247" i="40" s="1"/>
  <c r="W239" i="37" a="1"/>
  <c r="W239" s="1"/>
  <c r="W239" i="40" s="1"/>
  <c r="W253" i="37" a="1"/>
  <c r="W253" s="1"/>
  <c r="W253" i="40" s="1"/>
  <c r="W242" i="37" a="1"/>
  <c r="W242" s="1"/>
  <c r="W242" i="40" s="1"/>
  <c r="W236" i="37" a="1"/>
  <c r="W236" s="1"/>
  <c r="W236" i="40" s="1"/>
  <c r="W233" i="37" a="1"/>
  <c r="W233" s="1"/>
  <c r="W233" i="40" s="1"/>
  <c r="W237" i="37" a="1"/>
  <c r="W237" s="1"/>
  <c r="W237" i="40" s="1"/>
  <c r="W246" i="37" a="1"/>
  <c r="W246" s="1"/>
  <c r="W246" i="40" s="1"/>
  <c r="W249" i="37" a="1"/>
  <c r="W249" s="1"/>
  <c r="W249" i="40" s="1"/>
  <c r="W241" i="37" a="1"/>
  <c r="W241" s="1"/>
  <c r="W241" i="40" s="1"/>
  <c r="W244" i="37" a="1"/>
  <c r="W244" s="1"/>
  <c r="W244" i="40" s="1"/>
  <c r="W245" i="37" a="1"/>
  <c r="W245" s="1"/>
  <c r="W245" i="40" s="1"/>
  <c r="W238" i="37" a="1"/>
  <c r="W238" s="1"/>
  <c r="W238" i="40" s="1"/>
  <c r="W251" i="37" a="1"/>
  <c r="W251" s="1"/>
  <c r="W251" i="40" s="1"/>
  <c r="W235" i="37" a="1"/>
  <c r="W235" s="1"/>
  <c r="W235" i="40" s="1"/>
  <c r="W240" i="37" a="1"/>
  <c r="W240" s="1"/>
  <c r="W240" i="40" s="1"/>
  <c r="W252" i="37" a="1"/>
  <c r="W252" s="1"/>
  <c r="W252" i="40" s="1"/>
  <c r="W232" i="37" a="1"/>
  <c r="W232" s="1"/>
  <c r="W243" a="1"/>
  <c r="W243" s="1"/>
  <c r="W243" i="40" s="1"/>
  <c r="W248" i="37" a="1"/>
  <c r="W248" s="1"/>
  <c r="W248" i="40" s="1"/>
  <c r="U154" i="37" a="1"/>
  <c r="U154" s="1"/>
  <c r="U154" i="40" s="1"/>
  <c r="U157" i="37" a="1"/>
  <c r="U157" s="1"/>
  <c r="U157" i="40" s="1"/>
  <c r="U159" i="37" a="1"/>
  <c r="U159" s="1"/>
  <c r="U159" i="40" s="1"/>
  <c r="U143" i="37" a="1"/>
  <c r="U143" s="1"/>
  <c r="U143" i="40" s="1"/>
  <c r="U151" i="37" a="1"/>
  <c r="U151" s="1"/>
  <c r="U151" i="40" s="1"/>
  <c r="U158" i="37" a="1"/>
  <c r="U158" s="1"/>
  <c r="U158" i="40" s="1"/>
  <c r="U150" i="37" a="1"/>
  <c r="U150" s="1"/>
  <c r="U150" i="40" s="1"/>
  <c r="U146" i="37" a="1"/>
  <c r="U146" s="1"/>
  <c r="U146" i="40" s="1"/>
  <c r="U142" i="37" a="1"/>
  <c r="U142" s="1"/>
  <c r="U142" i="40" s="1"/>
  <c r="U161" i="37" a="1"/>
  <c r="U161" s="1"/>
  <c r="U161" i="40" s="1"/>
  <c r="U156" i="37" a="1"/>
  <c r="U156" s="1"/>
  <c r="U156" i="40" s="1"/>
  <c r="U138" i="37" a="1"/>
  <c r="U138" s="1"/>
  <c r="U138" i="40" s="1"/>
  <c r="U153" i="37" a="1"/>
  <c r="U153" s="1"/>
  <c r="U153" i="40" s="1"/>
  <c r="U141" i="37" a="1"/>
  <c r="U141" s="1"/>
  <c r="U141" i="40" s="1"/>
  <c r="U149" i="37" a="1"/>
  <c r="U149" s="1"/>
  <c r="U149" i="40" s="1"/>
  <c r="U145" i="37" a="1"/>
  <c r="U145" s="1"/>
  <c r="U145" i="40" s="1"/>
  <c r="U148" i="37" a="1"/>
  <c r="U148" s="1"/>
  <c r="U148" i="40" s="1"/>
  <c r="U140" i="37" a="1"/>
  <c r="U140" s="1"/>
  <c r="U140" i="40" s="1"/>
  <c r="U139" i="37" a="1"/>
  <c r="U139" s="1"/>
  <c r="U144" a="1"/>
  <c r="U144" s="1"/>
  <c r="U144" i="40" s="1"/>
  <c r="U155" i="37" a="1"/>
  <c r="U155" s="1"/>
  <c r="U155" i="40" s="1"/>
  <c r="U152" i="37" a="1"/>
  <c r="U152" s="1"/>
  <c r="U152" i="40" s="1"/>
  <c r="U147" i="37" a="1"/>
  <c r="U147" s="1"/>
  <c r="U147" i="40" s="1"/>
  <c r="U160" i="37" a="1"/>
  <c r="U160" s="1"/>
  <c r="U160" i="40" s="1"/>
  <c r="S42" i="37" a="1"/>
  <c r="S42" s="1"/>
  <c r="S42" i="40" s="1"/>
  <c r="S34" i="37" a="1"/>
  <c r="S34" s="1"/>
  <c r="S34" i="40" s="1"/>
  <c r="S29" i="37" a="1"/>
  <c r="S29" s="1"/>
  <c r="S29" i="40" s="1"/>
  <c r="S26" i="37" a="1"/>
  <c r="S26" s="1"/>
  <c r="S26" i="40" s="1"/>
  <c r="S25" i="37" a="1"/>
  <c r="S25" s="1"/>
  <c r="S39" a="1"/>
  <c r="S39" s="1"/>
  <c r="S39" i="40" s="1"/>
  <c r="S33" i="37" a="1"/>
  <c r="S33" s="1"/>
  <c r="S33" i="40" s="1"/>
  <c r="S31" i="37" a="1"/>
  <c r="S31" s="1"/>
  <c r="S31" i="40" s="1"/>
  <c r="S28" i="37" a="1"/>
  <c r="S28" s="1"/>
  <c r="S28" i="40" s="1"/>
  <c r="S41" i="37" a="1"/>
  <c r="S41" s="1"/>
  <c r="S41" i="40" s="1"/>
  <c r="S36" i="37" a="1"/>
  <c r="S36" s="1"/>
  <c r="S36" i="40" s="1"/>
  <c r="S30" i="37" a="1"/>
  <c r="S30" s="1"/>
  <c r="S30" i="40" s="1"/>
  <c r="S37" i="37" a="1"/>
  <c r="S37" s="1"/>
  <c r="S37" i="40" s="1"/>
  <c r="S45" i="37" a="1"/>
  <c r="S45" s="1"/>
  <c r="S45" i="40" s="1"/>
  <c r="S38" i="37" a="1"/>
  <c r="S38" s="1"/>
  <c r="S38" i="40" s="1"/>
  <c r="S44" i="37" a="1"/>
  <c r="S44" s="1"/>
  <c r="S44" i="40" s="1"/>
  <c r="S35" i="37" a="1"/>
  <c r="S35" s="1"/>
  <c r="S35" i="40" s="1"/>
  <c r="S24" i="37" a="1"/>
  <c r="S24" s="1"/>
  <c r="S24" i="40" s="1"/>
  <c r="S27" i="37" a="1"/>
  <c r="S27" s="1"/>
  <c r="S27" i="40" s="1"/>
  <c r="S43" i="37" a="1"/>
  <c r="S43" s="1"/>
  <c r="S43" i="40" s="1"/>
  <c r="S32" i="37" a="1"/>
  <c r="S32" s="1"/>
  <c r="S32" i="40" s="1"/>
  <c r="S40" i="37" a="1"/>
  <c r="S40" s="1"/>
  <c r="S40" i="40" s="1"/>
  <c r="T375" i="37" a="1"/>
  <c r="T375" s="1"/>
  <c r="T375" i="40" s="1"/>
  <c r="T367" i="37" a="1"/>
  <c r="T367" s="1"/>
  <c r="T367" i="40" s="1"/>
  <c r="T381" i="37" a="1"/>
  <c r="T381" s="1"/>
  <c r="T381" i="40" s="1"/>
  <c r="T383" i="37" a="1"/>
  <c r="T383" s="1"/>
  <c r="T383" i="40" s="1"/>
  <c r="T378" i="37" a="1"/>
  <c r="T378" s="1"/>
  <c r="T378" i="40" s="1"/>
  <c r="T386" i="37" a="1"/>
  <c r="T386" s="1"/>
  <c r="T386" i="40" s="1"/>
  <c r="T385" i="37" a="1"/>
  <c r="T385" s="1"/>
  <c r="T385" i="40" s="1"/>
  <c r="T373" i="37" a="1"/>
  <c r="T373" s="1"/>
  <c r="T373" i="40" s="1"/>
  <c r="T369" i="37" a="1"/>
  <c r="T369" s="1"/>
  <c r="T369" i="40" s="1"/>
  <c r="T380" i="37" a="1"/>
  <c r="T380" s="1"/>
  <c r="T380" i="40" s="1"/>
  <c r="T372" i="37" a="1"/>
  <c r="T372" s="1"/>
  <c r="T372" i="40" s="1"/>
  <c r="T370" i="37" a="1"/>
  <c r="T370" s="1"/>
  <c r="T370" i="40" s="1"/>
  <c r="T366" i="37" a="1"/>
  <c r="T366" s="1"/>
  <c r="T382" a="1"/>
  <c r="T382" s="1"/>
  <c r="T382" i="40" s="1"/>
  <c r="T374" i="37" a="1"/>
  <c r="T374" s="1"/>
  <c r="T374" i="40" s="1"/>
  <c r="T388" i="37" a="1"/>
  <c r="T388" s="1"/>
  <c r="T388" i="40" s="1"/>
  <c r="T377" i="37" a="1"/>
  <c r="T377" s="1"/>
  <c r="T377" i="40" s="1"/>
  <c r="T379" i="37" a="1"/>
  <c r="T379" s="1"/>
  <c r="T379" i="40" s="1"/>
  <c r="T368" i="37" a="1"/>
  <c r="T368" s="1"/>
  <c r="T368" i="40" s="1"/>
  <c r="T365" i="37" a="1"/>
  <c r="T365" s="1"/>
  <c r="T365" i="40" s="1"/>
  <c r="T384" i="37" a="1"/>
  <c r="T384" s="1"/>
  <c r="T384" i="40" s="1"/>
  <c r="T376" i="37" a="1"/>
  <c r="T376" s="1"/>
  <c r="T376" i="40" s="1"/>
  <c r="T371" i="37" a="1"/>
  <c r="T371" s="1"/>
  <c r="T371" i="40" s="1"/>
  <c r="T387" i="37" a="1"/>
  <c r="T387" s="1"/>
  <c r="T387" i="40" s="1"/>
  <c r="T197" i="37" a="1"/>
  <c r="T197" s="1"/>
  <c r="T197" i="40" s="1"/>
  <c r="T205" i="37" a="1"/>
  <c r="T205" s="1"/>
  <c r="T205" i="40" s="1"/>
  <c r="T194" i="37" a="1"/>
  <c r="T194" s="1"/>
  <c r="T194" i="40" s="1"/>
  <c r="T191" i="37" a="1"/>
  <c r="T191" s="1"/>
  <c r="T191" i="40" s="1"/>
  <c r="T207" i="37" a="1"/>
  <c r="T207" s="1"/>
  <c r="T207" i="40" s="1"/>
  <c r="T186" i="37" a="1"/>
  <c r="T186" s="1"/>
  <c r="T204" a="1"/>
  <c r="T204" s="1"/>
  <c r="T204" i="40" s="1"/>
  <c r="T185" i="37" a="1"/>
  <c r="T185" s="1"/>
  <c r="T185" i="40" s="1"/>
  <c r="T193" i="37" a="1"/>
  <c r="T193" s="1"/>
  <c r="T193" i="40" s="1"/>
  <c r="T201" i="37" a="1"/>
  <c r="T201" s="1"/>
  <c r="T201" i="40" s="1"/>
  <c r="T202" i="37" a="1"/>
  <c r="T202" s="1"/>
  <c r="T202" i="40" s="1"/>
  <c r="T199" i="37" a="1"/>
  <c r="T199" s="1"/>
  <c r="T199" i="40" s="1"/>
  <c r="T196" i="37" a="1"/>
  <c r="T196" s="1"/>
  <c r="T196" i="40" s="1"/>
  <c r="T189" i="37" a="1"/>
  <c r="T189" s="1"/>
  <c r="T189" i="40" s="1"/>
  <c r="T206" i="37" a="1"/>
  <c r="T206" s="1"/>
  <c r="T206" i="40" s="1"/>
  <c r="T198" i="37" a="1"/>
  <c r="T198" s="1"/>
  <c r="T198" i="40" s="1"/>
  <c r="T188" i="37" a="1"/>
  <c r="T188" s="1"/>
  <c r="T188" i="40" s="1"/>
  <c r="T190" i="37" a="1"/>
  <c r="T190" s="1"/>
  <c r="T190" i="40" s="1"/>
  <c r="T200" i="37" a="1"/>
  <c r="T200" s="1"/>
  <c r="T200" i="40" s="1"/>
  <c r="T195" i="37" a="1"/>
  <c r="T195" s="1"/>
  <c r="T195" i="40" s="1"/>
  <c r="T203" i="37" a="1"/>
  <c r="T203" s="1"/>
  <c r="T203" i="40" s="1"/>
  <c r="T187" i="37" a="1"/>
  <c r="T187" s="1"/>
  <c r="T187" i="40" s="1"/>
  <c r="T192" i="37" a="1"/>
  <c r="T192" s="1"/>
  <c r="T192" i="40" s="1"/>
  <c r="U303" i="37" a="1"/>
  <c r="U303" s="1"/>
  <c r="U303" i="40" s="1"/>
  <c r="U305" i="37" a="1"/>
  <c r="U305" s="1"/>
  <c r="U305" i="40" s="1"/>
  <c r="U319" i="37" a="1"/>
  <c r="U319" s="1"/>
  <c r="U319" i="40" s="1"/>
  <c r="U311" i="37" a="1"/>
  <c r="U311" s="1"/>
  <c r="U311" i="40" s="1"/>
  <c r="U313" i="37" a="1"/>
  <c r="U313" s="1"/>
  <c r="U313" i="40" s="1"/>
  <c r="U317" i="37" a="1"/>
  <c r="U317" s="1"/>
  <c r="U317" i="40" s="1"/>
  <c r="U301" i="37" a="1"/>
  <c r="U301" s="1"/>
  <c r="U301" i="40" s="1"/>
  <c r="U306" i="37" a="1"/>
  <c r="U306" s="1"/>
  <c r="U306" i="40" s="1"/>
  <c r="U308" i="37" a="1"/>
  <c r="U308" s="1"/>
  <c r="U308" i="40" s="1"/>
  <c r="U310" i="37" a="1"/>
  <c r="U310" s="1"/>
  <c r="U310" i="40" s="1"/>
  <c r="U309" i="37" a="1"/>
  <c r="U309" s="1"/>
  <c r="U309" i="40" s="1"/>
  <c r="U318" i="37" a="1"/>
  <c r="U318" s="1"/>
  <c r="U318" i="40" s="1"/>
  <c r="U302" i="37" a="1"/>
  <c r="U302" s="1"/>
  <c r="U302" i="40" s="1"/>
  <c r="U314" i="37" a="1"/>
  <c r="U314" s="1"/>
  <c r="U314" i="40" s="1"/>
  <c r="U320" i="37" a="1"/>
  <c r="U320" s="1"/>
  <c r="U320" i="40" s="1"/>
  <c r="U316" i="37" a="1"/>
  <c r="U316" s="1"/>
  <c r="U316" i="40" s="1"/>
  <c r="U304" i="37" a="1"/>
  <c r="U304" s="1"/>
  <c r="U304" i="40" s="1"/>
  <c r="U312" i="37" a="1"/>
  <c r="U312" s="1"/>
  <c r="U312" i="40" s="1"/>
  <c r="U299" i="37" a="1"/>
  <c r="U299" s="1"/>
  <c r="U299" i="40" s="1"/>
  <c r="U300" i="37" a="1"/>
  <c r="U300" s="1"/>
  <c r="U315" a="1"/>
  <c r="U315" s="1"/>
  <c r="U315" i="40" s="1"/>
  <c r="U307" i="37" a="1"/>
  <c r="U307" s="1"/>
  <c r="U307" i="40" s="1"/>
  <c r="Y122" i="37" a="1"/>
  <c r="Y122" s="1"/>
  <c r="Y122" i="40" s="1"/>
  <c r="Y127" i="37" a="1"/>
  <c r="Y127" s="1"/>
  <c r="Y127" i="40" s="1"/>
  <c r="Y114" i="37" a="1"/>
  <c r="Y114" s="1"/>
  <c r="Y114" i="40" s="1"/>
  <c r="Y130" i="37" a="1"/>
  <c r="Y130" s="1"/>
  <c r="Y130" i="40" s="1"/>
  <c r="Y135" i="37" a="1"/>
  <c r="Y135" s="1"/>
  <c r="Y135" i="40" s="1"/>
  <c r="Y129" i="37" a="1"/>
  <c r="Y129" s="1"/>
  <c r="Y129" i="40" s="1"/>
  <c r="Y134" i="37" a="1"/>
  <c r="Y134" s="1"/>
  <c r="Y134" i="40" s="1"/>
  <c r="Y125" i="37" a="1"/>
  <c r="Y125" s="1"/>
  <c r="Y125" i="40" s="1"/>
  <c r="Y121" i="37" a="1"/>
  <c r="Y121" s="1"/>
  <c r="Y121" i="40" s="1"/>
  <c r="Y132" i="37" a="1"/>
  <c r="Y132" s="1"/>
  <c r="Y132" i="40" s="1"/>
  <c r="Y119" i="37" a="1"/>
  <c r="Y119" s="1"/>
  <c r="Y119" i="40" s="1"/>
  <c r="Y137" i="37" a="1"/>
  <c r="Y137" s="1"/>
  <c r="Y137" i="40" s="1"/>
  <c r="Y126" i="37" a="1"/>
  <c r="Y126" s="1"/>
  <c r="Y126" i="40" s="1"/>
  <c r="Y116" i="37" a="1"/>
  <c r="Y116" s="1"/>
  <c r="Y116" i="40" s="1"/>
  <c r="Y118" i="37" a="1"/>
  <c r="Y118" s="1"/>
  <c r="Y118" i="40" s="1"/>
  <c r="Y124" i="37" a="1"/>
  <c r="Y124" s="1"/>
  <c r="Y124" i="40" s="1"/>
  <c r="Y115" i="37" a="1"/>
  <c r="Y115" s="1"/>
  <c r="Y123" a="1"/>
  <c r="Y123" s="1"/>
  <c r="Y123" i="40" s="1"/>
  <c r="Y120" i="37" a="1"/>
  <c r="Y120" s="1"/>
  <c r="Y120" i="40" s="1"/>
  <c r="Y131" i="37" a="1"/>
  <c r="Y131" s="1"/>
  <c r="Y131" i="40" s="1"/>
  <c r="Y117" i="37" a="1"/>
  <c r="Y117" s="1"/>
  <c r="Y117" i="40" s="1"/>
  <c r="Y133" i="37" a="1"/>
  <c r="Y133" s="1"/>
  <c r="Y133" i="40" s="1"/>
  <c r="Y136" i="37" a="1"/>
  <c r="Y136" s="1"/>
  <c r="Y136" i="40" s="1"/>
  <c r="Y128" i="37" a="1"/>
  <c r="Y128" s="1"/>
  <c r="Y128" i="40" s="1"/>
  <c r="AA130" i="37" a="1"/>
  <c r="AA130" s="1"/>
  <c r="AA130" i="40" s="1"/>
  <c r="AA114" i="37" a="1"/>
  <c r="AA114" s="1"/>
  <c r="AA114" i="40" s="1"/>
  <c r="AA125" i="37" a="1"/>
  <c r="AA125" s="1"/>
  <c r="AA125" i="40" s="1"/>
  <c r="AA118" i="37" a="1"/>
  <c r="AA118" s="1"/>
  <c r="AA118" i="40" s="1"/>
  <c r="AA122" i="37" a="1"/>
  <c r="AA122" s="1"/>
  <c r="AA122" i="40" s="1"/>
  <c r="AA132" i="37" a="1"/>
  <c r="AA132" s="1"/>
  <c r="AA132" i="40" s="1"/>
  <c r="AA135" i="37" a="1"/>
  <c r="AA135" s="1"/>
  <c r="AA135" i="40" s="1"/>
  <c r="AA127" i="37" a="1"/>
  <c r="AA127" s="1"/>
  <c r="AA127" i="40" s="1"/>
  <c r="AA121" i="37" a="1"/>
  <c r="AA121" s="1"/>
  <c r="AA121" i="40" s="1"/>
  <c r="AA119" i="37" a="1"/>
  <c r="AA119" s="1"/>
  <c r="AA119" i="40" s="1"/>
  <c r="AA129" i="37" a="1"/>
  <c r="AA129" s="1"/>
  <c r="AA129" i="40" s="1"/>
  <c r="AA137" i="37" a="1"/>
  <c r="AA137" s="1"/>
  <c r="AA137" i="40" s="1"/>
  <c r="AA124" i="37" a="1"/>
  <c r="AA124" s="1"/>
  <c r="AA124" i="40" s="1"/>
  <c r="AA134" i="37" a="1"/>
  <c r="AA134" s="1"/>
  <c r="AA134" i="40" s="1"/>
  <c r="AA116" i="37" a="1"/>
  <c r="AA116" s="1"/>
  <c r="AA116" i="40" s="1"/>
  <c r="AA126" i="37" a="1"/>
  <c r="AA126" s="1"/>
  <c r="AA126" i="40" s="1"/>
  <c r="AA133" i="37" a="1"/>
  <c r="AA133" s="1"/>
  <c r="AA133" i="40" s="1"/>
  <c r="AA131" i="37" a="1"/>
  <c r="AA131" s="1"/>
  <c r="AA131" i="40" s="1"/>
  <c r="AA115" i="37" a="1"/>
  <c r="AA115" s="1"/>
  <c r="AA117" a="1"/>
  <c r="AA117" s="1"/>
  <c r="AA117" i="40" s="1"/>
  <c r="AA120" i="37" a="1"/>
  <c r="AA120" s="1"/>
  <c r="AA120" i="40" s="1"/>
  <c r="AA128" i="37" a="1"/>
  <c r="AA128" s="1"/>
  <c r="AA128" i="40" s="1"/>
  <c r="AA123" i="37" a="1"/>
  <c r="AA123" s="1"/>
  <c r="AA123" i="40" s="1"/>
  <c r="AA136" i="37" a="1"/>
  <c r="AA136" s="1"/>
  <c r="AA136" i="40" s="1"/>
  <c r="W463" i="37" a="1"/>
  <c r="W463" s="1"/>
  <c r="W463" i="40" s="1"/>
  <c r="W466" i="37" a="1"/>
  <c r="W466" s="1"/>
  <c r="W466" i="40" s="1"/>
  <c r="W455" i="37" a="1"/>
  <c r="W455" s="1"/>
  <c r="W455" i="40" s="1"/>
  <c r="W461" i="37" a="1"/>
  <c r="W461" s="1"/>
  <c r="W461" i="40" s="1"/>
  <c r="W465" i="37" a="1"/>
  <c r="W465" s="1"/>
  <c r="W465" i="40" s="1"/>
  <c r="W459" i="37" a="1"/>
  <c r="W459" s="1"/>
  <c r="W459" i="40" s="1"/>
  <c r="W460" i="37" a="1"/>
  <c r="W460" s="1"/>
  <c r="W460" i="40" s="1"/>
  <c r="W462" i="37" a="1"/>
  <c r="W462" s="1"/>
  <c r="W462" i="40" s="1"/>
  <c r="W467" i="37" a="1"/>
  <c r="W467" s="1"/>
  <c r="W467" i="40" s="1"/>
  <c r="W458" i="37" a="1"/>
  <c r="W458" s="1"/>
  <c r="W458" i="40" s="1"/>
  <c r="W457" i="37" a="1"/>
  <c r="W457" s="1"/>
  <c r="W457" i="40" s="1"/>
  <c r="W453" i="37" a="1"/>
  <c r="W453" s="1"/>
  <c r="W453" i="40" s="1"/>
  <c r="W454" i="37" a="1"/>
  <c r="W454" s="1"/>
  <c r="W454" i="40" s="1"/>
  <c r="W464" i="37" a="1"/>
  <c r="W464" s="1"/>
  <c r="W464" i="40" s="1"/>
  <c r="W452" i="37" a="1"/>
  <c r="W452" s="1"/>
  <c r="W456" a="1"/>
  <c r="W456" s="1"/>
  <c r="W456" i="40" s="1"/>
  <c r="R106" i="37" a="1"/>
  <c r="R106" s="1"/>
  <c r="R106" i="40" s="1"/>
  <c r="R90" i="37" a="1"/>
  <c r="R90" s="1"/>
  <c r="R90" i="40" s="1"/>
  <c r="R101" i="37" a="1"/>
  <c r="R101" s="1"/>
  <c r="R101" i="40" s="1"/>
  <c r="R103" i="37" a="1"/>
  <c r="R103" s="1"/>
  <c r="R103" i="40" s="1"/>
  <c r="R113" i="37" a="1"/>
  <c r="R113" s="1"/>
  <c r="R113" i="40" s="1"/>
  <c r="R98" i="37" a="1"/>
  <c r="R98" s="1"/>
  <c r="R98" i="40" s="1"/>
  <c r="R111" i="37" a="1"/>
  <c r="R111" s="1"/>
  <c r="R111" i="40" s="1"/>
  <c r="R95" i="37" a="1"/>
  <c r="R95" s="1"/>
  <c r="R95" i="40" s="1"/>
  <c r="R109" i="37" a="1"/>
  <c r="R109" s="1"/>
  <c r="R109" i="40" s="1"/>
  <c r="R100" i="37" a="1"/>
  <c r="R100" s="1"/>
  <c r="R100" i="40" s="1"/>
  <c r="R105" i="37" a="1"/>
  <c r="R105" s="1"/>
  <c r="R105" i="40" s="1"/>
  <c r="R97" i="37" a="1"/>
  <c r="R97" s="1"/>
  <c r="R97" i="40" s="1"/>
  <c r="R93" i="37" a="1"/>
  <c r="R93" s="1"/>
  <c r="R93" i="40" s="1"/>
  <c r="R92" i="37" a="1"/>
  <c r="R92" s="1"/>
  <c r="R92" i="40" s="1"/>
  <c r="R102" i="37" a="1"/>
  <c r="R102" s="1"/>
  <c r="R102" i="40" s="1"/>
  <c r="R94" i="37" a="1"/>
  <c r="R94" s="1"/>
  <c r="R94" i="40" s="1"/>
  <c r="R108" i="37" a="1"/>
  <c r="R108" s="1"/>
  <c r="R108" i="40" s="1"/>
  <c r="R110" i="37" a="1"/>
  <c r="R110" s="1"/>
  <c r="R110" i="40" s="1"/>
  <c r="R96" i="37" a="1"/>
  <c r="R96" s="1"/>
  <c r="R96" i="40" s="1"/>
  <c r="R91" i="37" a="1"/>
  <c r="R91" s="1"/>
  <c r="R107" a="1"/>
  <c r="R107" s="1"/>
  <c r="R107" i="40" s="1"/>
  <c r="R104" i="37" a="1"/>
  <c r="R104" s="1"/>
  <c r="R104" i="40" s="1"/>
  <c r="R99" i="37" a="1"/>
  <c r="R99" s="1"/>
  <c r="R99" i="40" s="1"/>
  <c r="R112" i="37" a="1"/>
  <c r="R112" s="1"/>
  <c r="R112" i="40" s="1"/>
  <c r="AB90" i="37" a="1"/>
  <c r="AB90" s="1"/>
  <c r="AB90" i="40" s="1"/>
  <c r="AB106" i="37" a="1"/>
  <c r="AB106" s="1"/>
  <c r="AB106" i="40" s="1"/>
  <c r="AB100" i="37" a="1"/>
  <c r="AB100" s="1"/>
  <c r="AB100" i="40" s="1"/>
  <c r="AB94" i="37" a="1"/>
  <c r="AB94" s="1"/>
  <c r="AB94" i="40" s="1"/>
  <c r="AB101" i="37" a="1"/>
  <c r="AB101" s="1"/>
  <c r="AB101" i="40" s="1"/>
  <c r="AB92" i="37" a="1"/>
  <c r="AB92" s="1"/>
  <c r="AB92" i="40" s="1"/>
  <c r="AB102" i="37" a="1"/>
  <c r="AB102" s="1"/>
  <c r="AB102" i="40" s="1"/>
  <c r="AB98" i="37" a="1"/>
  <c r="AB98" s="1"/>
  <c r="AB98" i="40" s="1"/>
  <c r="AB113" i="37" a="1"/>
  <c r="AB113" s="1"/>
  <c r="AB113" i="40" s="1"/>
  <c r="AB97" i="37" a="1"/>
  <c r="AB97" s="1"/>
  <c r="AB97" i="40" s="1"/>
  <c r="AB103" i="37" a="1"/>
  <c r="AB103" s="1"/>
  <c r="AB103" i="40" s="1"/>
  <c r="AB109" i="37" a="1"/>
  <c r="AB109" s="1"/>
  <c r="AB109" i="40" s="1"/>
  <c r="AB95" i="37" a="1"/>
  <c r="AB95" s="1"/>
  <c r="AB95" i="40" s="1"/>
  <c r="AB105" i="37" a="1"/>
  <c r="AB105" s="1"/>
  <c r="AB105" i="40" s="1"/>
  <c r="AB111" i="37" a="1"/>
  <c r="AB111" s="1"/>
  <c r="AB111" i="40" s="1"/>
  <c r="AB110" i="37" a="1"/>
  <c r="AB110" s="1"/>
  <c r="AB110" i="40" s="1"/>
  <c r="AB93" i="37" a="1"/>
  <c r="AB93" s="1"/>
  <c r="AB93" i="40" s="1"/>
  <c r="AB108" i="37" a="1"/>
  <c r="AB108" s="1"/>
  <c r="AB108" i="40" s="1"/>
  <c r="AB104" i="37" a="1"/>
  <c r="AB104" s="1"/>
  <c r="AB104" i="40" s="1"/>
  <c r="AB99" i="37" a="1"/>
  <c r="AB99" s="1"/>
  <c r="AB99" i="40" s="1"/>
  <c r="AB107" i="37" a="1"/>
  <c r="AB107" s="1"/>
  <c r="AB107" i="40" s="1"/>
  <c r="AB96" i="37" a="1"/>
  <c r="AB96" s="1"/>
  <c r="AB96" i="40" s="1"/>
  <c r="AB91" i="37" a="1"/>
  <c r="AB91" s="1"/>
  <c r="AB112" a="1"/>
  <c r="AB112" s="1"/>
  <c r="AB112" i="40" s="1"/>
  <c r="Y210" i="37" a="1"/>
  <c r="Y210" s="1"/>
  <c r="Y210" i="40" s="1"/>
  <c r="Y218" i="37" a="1"/>
  <c r="Y218" s="1"/>
  <c r="Y218" i="40" s="1"/>
  <c r="Y226" i="37" a="1"/>
  <c r="Y226" s="1"/>
  <c r="Y226" i="40" s="1"/>
  <c r="Y223" i="37" a="1"/>
  <c r="Y223" s="1"/>
  <c r="Y223" i="40" s="1"/>
  <c r="Y215" i="37" a="1"/>
  <c r="Y215" s="1"/>
  <c r="Y215" i="40" s="1"/>
  <c r="Y220" i="37" a="1"/>
  <c r="Y220" s="1"/>
  <c r="Y220" i="40" s="1"/>
  <c r="Y214" i="37" a="1"/>
  <c r="Y214" s="1"/>
  <c r="Y214" i="40" s="1"/>
  <c r="Y225" i="37" a="1"/>
  <c r="Y225" s="1"/>
  <c r="Y225" i="40" s="1"/>
  <c r="Y217" i="37" a="1"/>
  <c r="Y217" s="1"/>
  <c r="Y217" i="40" s="1"/>
  <c r="Y209" i="37" a="1"/>
  <c r="Y209" s="1"/>
  <c r="Y212" a="1"/>
  <c r="Y212" s="1"/>
  <c r="Y212" i="40" s="1"/>
  <c r="Y228" i="37" a="1"/>
  <c r="Y228" s="1"/>
  <c r="Y228" i="40" s="1"/>
  <c r="Y213" i="37" a="1"/>
  <c r="Y213" s="1"/>
  <c r="Y213" i="40" s="1"/>
  <c r="Y221" i="37" a="1"/>
  <c r="Y221" s="1"/>
  <c r="Y221" i="40" s="1"/>
  <c r="Y230" i="37" a="1"/>
  <c r="Y230" s="1"/>
  <c r="Y230" i="40" s="1"/>
  <c r="Y222" i="37" a="1"/>
  <c r="Y222" s="1"/>
  <c r="Y222" i="40" s="1"/>
  <c r="Y219" i="37" a="1"/>
  <c r="Y219" s="1"/>
  <c r="Y219" i="40" s="1"/>
  <c r="Y208" i="37" a="1"/>
  <c r="Y208" s="1"/>
  <c r="Y208" i="40" s="1"/>
  <c r="Y211" i="37" a="1"/>
  <c r="Y211" s="1"/>
  <c r="Y211" i="40" s="1"/>
  <c r="Y224" i="37" a="1"/>
  <c r="Y224" s="1"/>
  <c r="Y224" i="40" s="1"/>
  <c r="Y229" i="37" a="1"/>
  <c r="Y229" s="1"/>
  <c r="Y229" i="40" s="1"/>
  <c r="Y227" i="37" a="1"/>
  <c r="Y227" s="1"/>
  <c r="Y227" i="40" s="1"/>
  <c r="Y216" i="37" a="1"/>
  <c r="Y216" s="1"/>
  <c r="Y216" i="40" s="1"/>
  <c r="U82" i="37" a="1"/>
  <c r="U82" s="1"/>
  <c r="U82" i="40" s="1"/>
  <c r="U71" i="37" a="1"/>
  <c r="U71" s="1"/>
  <c r="U71" i="40" s="1"/>
  <c r="U77" i="37" a="1"/>
  <c r="U77" s="1"/>
  <c r="U77" i="40" s="1"/>
  <c r="U81" i="37" a="1"/>
  <c r="U81" s="1"/>
  <c r="U81" i="40" s="1"/>
  <c r="U74" i="37" a="1"/>
  <c r="U74" s="1"/>
  <c r="U74" i="40" s="1"/>
  <c r="U69" i="37" a="1"/>
  <c r="U69" s="1"/>
  <c r="U69" i="40" s="1"/>
  <c r="U86" i="37" a="1"/>
  <c r="U86" s="1"/>
  <c r="U86" i="40" s="1"/>
  <c r="U87" i="37" a="1"/>
  <c r="U87" s="1"/>
  <c r="U87" i="40" s="1"/>
  <c r="U89" i="37" a="1"/>
  <c r="U89" s="1"/>
  <c r="U89" i="40" s="1"/>
  <c r="U79" i="37" a="1"/>
  <c r="U79" s="1"/>
  <c r="U79" i="40" s="1"/>
  <c r="U73" i="37" a="1"/>
  <c r="U73" s="1"/>
  <c r="U73" i="40" s="1"/>
  <c r="U76" i="37" a="1"/>
  <c r="U76" s="1"/>
  <c r="U76" i="40" s="1"/>
  <c r="U70" i="37" a="1"/>
  <c r="U70" s="1"/>
  <c r="U85" a="1"/>
  <c r="U85" s="1"/>
  <c r="U85" i="40" s="1"/>
  <c r="U78" i="37" a="1"/>
  <c r="U78" s="1"/>
  <c r="U78" i="40" s="1"/>
  <c r="U84" i="37" a="1"/>
  <c r="U84" s="1"/>
  <c r="U84" i="40" s="1"/>
  <c r="U72" i="37" a="1"/>
  <c r="U72" s="1"/>
  <c r="U72" i="40" s="1"/>
  <c r="U75" i="37" a="1"/>
  <c r="U75" s="1"/>
  <c r="U75" i="40" s="1"/>
  <c r="U80" i="37" a="1"/>
  <c r="U80" s="1"/>
  <c r="U80" i="40" s="1"/>
  <c r="U88" i="37" a="1"/>
  <c r="U88" s="1"/>
  <c r="U88" i="40" s="1"/>
  <c r="U83" i="37" a="1"/>
  <c r="U83" s="1"/>
  <c r="U83" i="40" s="1"/>
  <c r="S439" i="37" a="1"/>
  <c r="S439" s="1"/>
  <c r="S439" i="40" s="1"/>
  <c r="S438" i="37" a="1"/>
  <c r="S438" s="1"/>
  <c r="S438" i="40" s="1"/>
  <c r="S437" i="37" a="1"/>
  <c r="S437" s="1"/>
  <c r="S437" i="40" s="1"/>
  <c r="S444" i="37" a="1"/>
  <c r="S444" s="1"/>
  <c r="S444" i="40" s="1"/>
  <c r="S441" i="37" a="1"/>
  <c r="S441" s="1"/>
  <c r="S441" i="40" s="1"/>
  <c r="S447" i="37" a="1"/>
  <c r="S447" s="1"/>
  <c r="S447" i="40" s="1"/>
  <c r="S445" i="37" a="1"/>
  <c r="S445" s="1"/>
  <c r="S445" i="40" s="1"/>
  <c r="S449" i="37" a="1"/>
  <c r="S449" s="1"/>
  <c r="S449" i="40" s="1"/>
  <c r="S451" i="37" a="1"/>
  <c r="S451" s="1"/>
  <c r="S451" i="40" s="1"/>
  <c r="S442" i="37" a="1"/>
  <c r="S442" s="1"/>
  <c r="S442" i="40" s="1"/>
  <c r="S446" i="37" a="1"/>
  <c r="S446" s="1"/>
  <c r="S446" i="40" s="1"/>
  <c r="S443" i="37" a="1"/>
  <c r="S443" s="1"/>
  <c r="S443" i="40" s="1"/>
  <c r="S450" i="37" a="1"/>
  <c r="S450" s="1"/>
  <c r="S450" i="40" s="1"/>
  <c r="S436" i="37" a="1"/>
  <c r="S436" s="1"/>
  <c r="S448" a="1"/>
  <c r="S448" s="1"/>
  <c r="S448" i="40" s="1"/>
  <c r="S440" i="37" a="1"/>
  <c r="S440" s="1"/>
  <c r="S440" i="40" s="1"/>
  <c r="AA447" i="37" a="1"/>
  <c r="AA447" s="1"/>
  <c r="AA447" i="40" s="1"/>
  <c r="AA439" i="37" a="1"/>
  <c r="AA439" s="1"/>
  <c r="AA439" i="40" s="1"/>
  <c r="AA449" i="37" a="1"/>
  <c r="AA449" s="1"/>
  <c r="AA449" i="40" s="1"/>
  <c r="AA441" i="37" a="1"/>
  <c r="AA441" s="1"/>
  <c r="AA441" i="40" s="1"/>
  <c r="AA445" i="37" a="1"/>
  <c r="AA445" s="1"/>
  <c r="AA445" i="40" s="1"/>
  <c r="AA444" i="37" a="1"/>
  <c r="AA444" s="1"/>
  <c r="AA444" i="40" s="1"/>
  <c r="AA437" i="37" a="1"/>
  <c r="AA437" s="1"/>
  <c r="AA437" i="40" s="1"/>
  <c r="AA446" i="37" a="1"/>
  <c r="AA446" s="1"/>
  <c r="AA446" i="40" s="1"/>
  <c r="AA442" i="37" a="1"/>
  <c r="AA442" s="1"/>
  <c r="AA442" i="40" s="1"/>
  <c r="AA438" i="37" a="1"/>
  <c r="AA438" s="1"/>
  <c r="AA438" i="40" s="1"/>
  <c r="AA451" i="37" a="1"/>
  <c r="AA451" s="1"/>
  <c r="AA451" i="40" s="1"/>
  <c r="AA443" i="37" a="1"/>
  <c r="AA443" s="1"/>
  <c r="AA443" i="40" s="1"/>
  <c r="AA440" i="37" a="1"/>
  <c r="AA440" s="1"/>
  <c r="AA440" i="40" s="1"/>
  <c r="AA450" i="37" a="1"/>
  <c r="AA450" s="1"/>
  <c r="AA450" i="40" s="1"/>
  <c r="AA448" i="37" a="1"/>
  <c r="AA448" s="1"/>
  <c r="AA448" i="40" s="1"/>
  <c r="AA436" i="37" a="1"/>
  <c r="AA436" s="1"/>
  <c r="V469" a="1"/>
  <c r="V469" s="1"/>
  <c r="V469" i="40" s="1"/>
  <c r="V477" i="37" a="1"/>
  <c r="V477" s="1"/>
  <c r="V477" i="40" s="1"/>
  <c r="V473" i="37" a="1"/>
  <c r="V473" s="1"/>
  <c r="V473" i="40" s="1"/>
  <c r="V479" i="37" a="1"/>
  <c r="V479" s="1"/>
  <c r="V479" i="40" s="1"/>
  <c r="V471" i="37" a="1"/>
  <c r="V471" s="1"/>
  <c r="V471" i="40" s="1"/>
  <c r="V482" i="37" a="1"/>
  <c r="V482" s="1"/>
  <c r="V482" i="40" s="1"/>
  <c r="V483" i="37" a="1"/>
  <c r="V483" s="1"/>
  <c r="V483" i="40" s="1"/>
  <c r="V470" i="37" a="1"/>
  <c r="V470" s="1"/>
  <c r="V470" i="40" s="1"/>
  <c r="V478" i="37" a="1"/>
  <c r="V478" s="1"/>
  <c r="V478" i="40" s="1"/>
  <c r="V481" i="37" a="1"/>
  <c r="V481" s="1"/>
  <c r="V481" i="40" s="1"/>
  <c r="V468" i="37" a="1"/>
  <c r="V468" s="1"/>
  <c r="V475" a="1"/>
  <c r="V475" s="1"/>
  <c r="V475" i="40" s="1"/>
  <c r="V476" i="37" a="1"/>
  <c r="V476" s="1"/>
  <c r="V476" i="40" s="1"/>
  <c r="V472" i="37" a="1"/>
  <c r="V472" s="1"/>
  <c r="V472" i="40" s="1"/>
  <c r="V480" i="37" a="1"/>
  <c r="V480" s="1"/>
  <c r="V480" i="40" s="1"/>
  <c r="V474" i="37" a="1"/>
  <c r="V474" s="1"/>
  <c r="V474" i="40" s="1"/>
  <c r="Z469" i="37" a="1"/>
  <c r="Z469" s="1"/>
  <c r="Z469" i="40" s="1"/>
  <c r="Z471" i="37" a="1"/>
  <c r="Z471" s="1"/>
  <c r="Z471" i="40" s="1"/>
  <c r="Z479" i="37" a="1"/>
  <c r="Z479" s="1"/>
  <c r="Z479" i="40" s="1"/>
  <c r="Z481" i="37" a="1"/>
  <c r="Z481" s="1"/>
  <c r="Z481" i="40" s="1"/>
  <c r="Z482" i="37" a="1"/>
  <c r="Z482" s="1"/>
  <c r="Z482" i="40" s="1"/>
  <c r="Z470" i="37" a="1"/>
  <c r="Z470" s="1"/>
  <c r="Z470" i="40" s="1"/>
  <c r="Z473" i="37" a="1"/>
  <c r="Z473" s="1"/>
  <c r="Z473" i="40" s="1"/>
  <c r="Z477" i="37" a="1"/>
  <c r="Z477" s="1"/>
  <c r="Z477" i="40" s="1"/>
  <c r="Z468" i="37" a="1"/>
  <c r="Z468" s="1"/>
  <c r="Z475" a="1"/>
  <c r="Z475" s="1"/>
  <c r="Z475" i="40" s="1"/>
  <c r="Z483" i="37" a="1"/>
  <c r="Z483" s="1"/>
  <c r="Z483" i="40" s="1"/>
  <c r="Z478" i="37" a="1"/>
  <c r="Z478" s="1"/>
  <c r="Z478" i="40" s="1"/>
  <c r="Z474" i="37" a="1"/>
  <c r="Z474" s="1"/>
  <c r="Z474" i="40" s="1"/>
  <c r="Z480" i="37" a="1"/>
  <c r="Z480" s="1"/>
  <c r="Z480" i="40" s="1"/>
  <c r="Z472" i="37" a="1"/>
  <c r="Z472" s="1"/>
  <c r="Z472" i="40" s="1"/>
  <c r="Z476" i="37" a="1"/>
  <c r="Z476" s="1"/>
  <c r="Z476" i="40" s="1"/>
  <c r="V279" i="37" a="1"/>
  <c r="V279" s="1"/>
  <c r="V279" i="40" s="1"/>
  <c r="V287" i="37" a="1"/>
  <c r="V287" s="1"/>
  <c r="V287" i="40" s="1"/>
  <c r="V281" i="37" a="1"/>
  <c r="V281" s="1"/>
  <c r="V281" i="40" s="1"/>
  <c r="V285" i="37" a="1"/>
  <c r="V285" s="1"/>
  <c r="V285" i="40" s="1"/>
  <c r="V297" i="37" a="1"/>
  <c r="V297" s="1"/>
  <c r="V297" i="40" s="1"/>
  <c r="V294" i="37" a="1"/>
  <c r="V294" s="1"/>
  <c r="V294" i="40" s="1"/>
  <c r="V295" i="37" a="1"/>
  <c r="V295" s="1"/>
  <c r="V295" i="40" s="1"/>
  <c r="V282" i="37" a="1"/>
  <c r="V282" s="1"/>
  <c r="V282" i="40" s="1"/>
  <c r="V293" i="37" a="1"/>
  <c r="V293" s="1"/>
  <c r="V293" i="40" s="1"/>
  <c r="V284" i="37" a="1"/>
  <c r="V284" s="1"/>
  <c r="V284" i="40" s="1"/>
  <c r="V289" i="37" a="1"/>
  <c r="V289" s="1"/>
  <c r="V289" i="40" s="1"/>
  <c r="V292" i="37" a="1"/>
  <c r="V292" s="1"/>
  <c r="V292" i="40" s="1"/>
  <c r="V286" i="37" a="1"/>
  <c r="V286" s="1"/>
  <c r="V286" i="40" s="1"/>
  <c r="V290" i="37" a="1"/>
  <c r="V290" s="1"/>
  <c r="V290" i="40" s="1"/>
  <c r="V278" i="37" a="1"/>
  <c r="V278" s="1"/>
  <c r="V277" a="1"/>
  <c r="V277" s="1"/>
  <c r="V277" i="40" s="1"/>
  <c r="V291" i="37" a="1"/>
  <c r="V291" s="1"/>
  <c r="V291" i="40" s="1"/>
  <c r="V283" i="37" a="1"/>
  <c r="V283" s="1"/>
  <c r="V283" i="40" s="1"/>
  <c r="V296" i="37" a="1"/>
  <c r="V296" s="1"/>
  <c r="V296" i="40" s="1"/>
  <c r="V280" i="37" a="1"/>
  <c r="V280" s="1"/>
  <c r="V280" i="40" s="1"/>
  <c r="V298" i="37" a="1"/>
  <c r="V298" s="1"/>
  <c r="V298" i="40" s="1"/>
  <c r="V288" i="37" a="1"/>
  <c r="V288" s="1"/>
  <c r="V288" i="40" s="1"/>
  <c r="U391" i="37" a="1"/>
  <c r="U391" s="1"/>
  <c r="U391" i="40" s="1"/>
  <c r="U394" i="37" a="1"/>
  <c r="U394" s="1"/>
  <c r="U394" i="40" s="1"/>
  <c r="U401" i="37" a="1"/>
  <c r="U401" s="1"/>
  <c r="U401" i="40" s="1"/>
  <c r="U398" i="37" a="1"/>
  <c r="U398" s="1"/>
  <c r="U398" i="40" s="1"/>
  <c r="U390" i="37" a="1"/>
  <c r="U390" s="1"/>
  <c r="U410" a="1"/>
  <c r="U410" s="1"/>
  <c r="U410" i="40" s="1"/>
  <c r="U412" i="37" a="1"/>
  <c r="U412" s="1"/>
  <c r="U412" i="40" s="1"/>
  <c r="U409" i="37" a="1"/>
  <c r="U409" s="1"/>
  <c r="U409" i="40" s="1"/>
  <c r="U396" i="37" a="1"/>
  <c r="U396" s="1"/>
  <c r="U396" i="40" s="1"/>
  <c r="U393" i="37" a="1"/>
  <c r="U393" s="1"/>
  <c r="U393" i="40" s="1"/>
  <c r="U407" i="37" a="1"/>
  <c r="U407" s="1"/>
  <c r="U407" i="40" s="1"/>
  <c r="U399" i="37" a="1"/>
  <c r="U399" s="1"/>
  <c r="U399" i="40" s="1"/>
  <c r="U397" i="37" a="1"/>
  <c r="U397" s="1"/>
  <c r="U397" i="40" s="1"/>
  <c r="U389" i="37" a="1"/>
  <c r="U389" s="1"/>
  <c r="U389" i="40" s="1"/>
  <c r="U406" i="37" a="1"/>
  <c r="U406" s="1"/>
  <c r="U406" i="40" s="1"/>
  <c r="U402" i="37" a="1"/>
  <c r="U402" s="1"/>
  <c r="U402" i="40" s="1"/>
  <c r="U408" i="37" a="1"/>
  <c r="U408" s="1"/>
  <c r="U408" i="40" s="1"/>
  <c r="U411" i="37" a="1"/>
  <c r="U411" s="1"/>
  <c r="U411" i="40" s="1"/>
  <c r="U395" i="37" a="1"/>
  <c r="U395" s="1"/>
  <c r="U395" i="40" s="1"/>
  <c r="U405" i="37" a="1"/>
  <c r="U405" s="1"/>
  <c r="U405" i="40" s="1"/>
  <c r="U404" i="37" a="1"/>
  <c r="U404" s="1"/>
  <c r="U404" i="40" s="1"/>
  <c r="U400" i="37" a="1"/>
  <c r="U400" s="1"/>
  <c r="U400" i="40" s="1"/>
  <c r="U403" i="37" a="1"/>
  <c r="U403" s="1"/>
  <c r="U403" i="40" s="1"/>
  <c r="U392" i="37" a="1"/>
  <c r="U392" s="1"/>
  <c r="U392" i="40" s="1"/>
  <c r="U341" i="37" a="1"/>
  <c r="U341" s="1"/>
  <c r="U341" i="40" s="1"/>
  <c r="U351" i="37" a="1"/>
  <c r="U351" s="1"/>
  <c r="U351" i="40" s="1"/>
  <c r="U343" i="37" a="1"/>
  <c r="U343" s="1"/>
  <c r="U343" i="40" s="1"/>
  <c r="U346" i="37" a="1"/>
  <c r="U346" s="1"/>
  <c r="U346" i="40" s="1"/>
  <c r="U361" i="37" a="1"/>
  <c r="U361" s="1"/>
  <c r="U361" i="40" s="1"/>
  <c r="U354" i="37" a="1"/>
  <c r="U354" s="1"/>
  <c r="U354" i="40" s="1"/>
  <c r="U359" i="37" a="1"/>
  <c r="U359" s="1"/>
  <c r="U359" i="40" s="1"/>
  <c r="U345" i="37" a="1"/>
  <c r="U345" s="1"/>
  <c r="U345" i="40" s="1"/>
  <c r="U353" i="37" a="1"/>
  <c r="U353" s="1"/>
  <c r="U353" i="40" s="1"/>
  <c r="U364" i="37" a="1"/>
  <c r="U364" s="1"/>
  <c r="U364" i="40" s="1"/>
  <c r="U355" i="37" a="1"/>
  <c r="U355" s="1"/>
  <c r="U355" i="40" s="1"/>
  <c r="U348" i="37" a="1"/>
  <c r="U348" s="1"/>
  <c r="U348" i="40" s="1"/>
  <c r="U342" i="37" a="1"/>
  <c r="U342" s="1"/>
  <c r="U350" a="1"/>
  <c r="U350" s="1"/>
  <c r="U350" i="40" s="1"/>
  <c r="U357" i="37" a="1"/>
  <c r="U357" s="1"/>
  <c r="U357" i="40" s="1"/>
  <c r="U358" i="37" a="1"/>
  <c r="U358" s="1"/>
  <c r="U358" i="40" s="1"/>
  <c r="U349" i="37" a="1"/>
  <c r="U349" s="1"/>
  <c r="U349" i="40" s="1"/>
  <c r="U360" i="37" a="1"/>
  <c r="U360" s="1"/>
  <c r="U360" i="40" s="1"/>
  <c r="U362" i="37" a="1"/>
  <c r="U362" s="1"/>
  <c r="U362" i="40" s="1"/>
  <c r="U363" i="37" a="1"/>
  <c r="U363" s="1"/>
  <c r="U363" i="40" s="1"/>
  <c r="U356" i="37" a="1"/>
  <c r="U356" s="1"/>
  <c r="U356" i="40" s="1"/>
  <c r="U352" i="37" a="1"/>
  <c r="U352" s="1"/>
  <c r="U352" i="40" s="1"/>
  <c r="U347" i="37" a="1"/>
  <c r="U347" s="1"/>
  <c r="U347" i="40" s="1"/>
  <c r="U344" i="37" a="1"/>
  <c r="U344" s="1"/>
  <c r="U344" i="40" s="1"/>
  <c r="T487" i="37" a="1"/>
  <c r="T487" s="1"/>
  <c r="T487" i="40" s="1"/>
  <c r="T493" i="37" a="1"/>
  <c r="T493" s="1"/>
  <c r="T493" i="40" s="1"/>
  <c r="T486" i="37" a="1"/>
  <c r="T486" s="1"/>
  <c r="T486" i="40" s="1"/>
  <c r="T485" i="37" a="1"/>
  <c r="T485" s="1"/>
  <c r="T485" i="40" s="1"/>
  <c r="T484" i="37" a="1"/>
  <c r="T484" s="1"/>
  <c r="T489" a="1"/>
  <c r="T489" s="1"/>
  <c r="T489" i="40" s="1"/>
  <c r="T492" i="37" a="1"/>
  <c r="T492" s="1"/>
  <c r="T492" i="40" s="1"/>
  <c r="T491" i="37" a="1"/>
  <c r="T491" s="1"/>
  <c r="T491" i="40" s="1"/>
  <c r="T496" i="37" a="1"/>
  <c r="T496" s="1"/>
  <c r="T496" i="40" s="1"/>
  <c r="T488" i="37" a="1"/>
  <c r="T488" s="1"/>
  <c r="T488" i="40" s="1"/>
  <c r="T495" i="37" a="1"/>
  <c r="T495" s="1"/>
  <c r="T495" i="40" s="1"/>
  <c r="T494" i="37" a="1"/>
  <c r="T494" s="1"/>
  <c r="T494" i="40" s="1"/>
  <c r="T490" i="37" a="1"/>
  <c r="T490" s="1"/>
  <c r="T490" i="40" s="1"/>
  <c r="T497" i="37" a="1"/>
  <c r="T497" s="1"/>
  <c r="T497" i="40" s="1"/>
  <c r="R337" i="37" a="1"/>
  <c r="R337" s="1"/>
  <c r="R337" i="40" s="1"/>
  <c r="R334" i="37" a="1"/>
  <c r="R334" s="1"/>
  <c r="R334" i="40" s="1"/>
  <c r="R333" i="37" a="1"/>
  <c r="R333" s="1"/>
  <c r="R333" i="40" s="1"/>
  <c r="R327" i="37" a="1"/>
  <c r="R327" s="1"/>
  <c r="R327" i="40" s="1"/>
  <c r="R322" i="37" a="1"/>
  <c r="R322" s="1"/>
  <c r="R335" a="1"/>
  <c r="R335" s="1"/>
  <c r="R335" i="40" s="1"/>
  <c r="R329" i="37" a="1"/>
  <c r="R329" s="1"/>
  <c r="R329" i="40" s="1"/>
  <c r="R325" i="37" a="1"/>
  <c r="R325" s="1"/>
  <c r="R325" i="40" s="1"/>
  <c r="R321" i="37" a="1"/>
  <c r="R321" s="1"/>
  <c r="R321" i="40" s="1"/>
  <c r="R332" i="37" a="1"/>
  <c r="R332" s="1"/>
  <c r="R332" i="40" s="1"/>
  <c r="R338" i="37" a="1"/>
  <c r="R338" s="1"/>
  <c r="R338" i="40" s="1"/>
  <c r="R326" i="37" a="1"/>
  <c r="R326" s="1"/>
  <c r="R326" i="40" s="1"/>
  <c r="R324" i="37" a="1"/>
  <c r="R324" s="1"/>
  <c r="R324" i="40" s="1"/>
  <c r="R331" i="37" a="1"/>
  <c r="R331" s="1"/>
  <c r="R331" i="40" s="1"/>
  <c r="R336" i="37" a="1"/>
  <c r="R336" s="1"/>
  <c r="R336" i="40" s="1"/>
  <c r="R328" i="37" a="1"/>
  <c r="R328" s="1"/>
  <c r="R328" i="40" s="1"/>
  <c r="R340" i="37" a="1"/>
  <c r="R340" s="1"/>
  <c r="R340" i="40" s="1"/>
  <c r="R339" i="37" a="1"/>
  <c r="R339" s="1"/>
  <c r="R339" i="40" s="1"/>
  <c r="R323" i="37" a="1"/>
  <c r="R323" s="1"/>
  <c r="R323" i="40" s="1"/>
  <c r="R330" i="37" a="1"/>
  <c r="R330" s="1"/>
  <c r="R330" i="40" s="1"/>
  <c r="AB335" i="37" a="1"/>
  <c r="AB335" s="1"/>
  <c r="AB335" i="40" s="1"/>
  <c r="AB322" i="37" a="1"/>
  <c r="AB322" s="1"/>
  <c r="AB325" a="1"/>
  <c r="AB325" s="1"/>
  <c r="AB325" i="40" s="1"/>
  <c r="AB326" i="37" a="1"/>
  <c r="AB326" s="1"/>
  <c r="AB326" i="40" s="1"/>
  <c r="AB337" i="37" a="1"/>
  <c r="AB337" s="1"/>
  <c r="AB337" i="40" s="1"/>
  <c r="AB329" i="37" a="1"/>
  <c r="AB329" s="1"/>
  <c r="AB329" i="40" s="1"/>
  <c r="AB332" i="37" a="1"/>
  <c r="AB332" s="1"/>
  <c r="AB332" i="40" s="1"/>
  <c r="AB327" i="37" a="1"/>
  <c r="AB327" s="1"/>
  <c r="AB327" i="40" s="1"/>
  <c r="AB333" i="37" a="1"/>
  <c r="AB333" s="1"/>
  <c r="AB333" i="40" s="1"/>
  <c r="AB321" i="37" a="1"/>
  <c r="AB321" s="1"/>
  <c r="AB321" i="40" s="1"/>
  <c r="AB338" i="37" a="1"/>
  <c r="AB338" s="1"/>
  <c r="AB338" i="40" s="1"/>
  <c r="AB339" i="37" a="1"/>
  <c r="AB339" s="1"/>
  <c r="AB339" i="40" s="1"/>
  <c r="AB331" i="37" a="1"/>
  <c r="AB331" s="1"/>
  <c r="AB331" i="40" s="1"/>
  <c r="AB324" i="37" a="1"/>
  <c r="AB324" s="1"/>
  <c r="AB324" i="40" s="1"/>
  <c r="AB334" i="37" a="1"/>
  <c r="AB334" s="1"/>
  <c r="AB334" i="40" s="1"/>
  <c r="AB336" i="37" a="1"/>
  <c r="AB336" s="1"/>
  <c r="AB336" i="40" s="1"/>
  <c r="AB340" i="37" a="1"/>
  <c r="AB340" s="1"/>
  <c r="AB340" i="40" s="1"/>
  <c r="AB330" i="37" a="1"/>
  <c r="AB330" s="1"/>
  <c r="AB330" i="40" s="1"/>
  <c r="AB328" i="37" a="1"/>
  <c r="AB328" s="1"/>
  <c r="AB328" i="40" s="1"/>
  <c r="AB323" i="37" a="1"/>
  <c r="AB323" s="1"/>
  <c r="AB323" i="40" s="1"/>
  <c r="U50" i="37" a="1"/>
  <c r="U50" s="1"/>
  <c r="U50" i="40" s="1"/>
  <c r="U47" i="37" a="1"/>
  <c r="U47" s="1"/>
  <c r="U57" a="1"/>
  <c r="U57" s="1"/>
  <c r="U57" i="40" s="1"/>
  <c r="U54" i="37" a="1"/>
  <c r="U54" s="1"/>
  <c r="U54" i="40" s="1"/>
  <c r="U65" i="37" a="1"/>
  <c r="U65" s="1"/>
  <c r="U65" i="40" s="1"/>
  <c r="U49" i="37" a="1"/>
  <c r="U49" s="1"/>
  <c r="U49" i="40" s="1"/>
  <c r="U62" i="37" a="1"/>
  <c r="U62" s="1"/>
  <c r="U62" i="40" s="1"/>
  <c r="U66" i="37" a="1"/>
  <c r="U66" s="1"/>
  <c r="U66" i="40" s="1"/>
  <c r="U63" i="37" a="1"/>
  <c r="U63" s="1"/>
  <c r="U63" i="40" s="1"/>
  <c r="U60" i="37" a="1"/>
  <c r="U60" s="1"/>
  <c r="U60" i="40" s="1"/>
  <c r="U58" i="37" a="1"/>
  <c r="U58" s="1"/>
  <c r="U58" i="40" s="1"/>
  <c r="U55" i="37" a="1"/>
  <c r="U55" s="1"/>
  <c r="U55" i="40" s="1"/>
  <c r="U53" i="37" a="1"/>
  <c r="U53" s="1"/>
  <c r="U53" i="40" s="1"/>
  <c r="U46" i="37" a="1"/>
  <c r="U46" s="1"/>
  <c r="U46" i="40" s="1"/>
  <c r="U52" i="37" a="1"/>
  <c r="U52" s="1"/>
  <c r="U52" i="40" s="1"/>
  <c r="U68" i="37" a="1"/>
  <c r="U68" s="1"/>
  <c r="U68" i="40" s="1"/>
  <c r="U59" i="37" a="1"/>
  <c r="U59" s="1"/>
  <c r="U59" i="40" s="1"/>
  <c r="U61" i="37" a="1"/>
  <c r="U61" s="1"/>
  <c r="U61" i="40" s="1"/>
  <c r="U48" i="37" a="1"/>
  <c r="U48" s="1"/>
  <c r="U48" i="40" s="1"/>
  <c r="U56" i="37" a="1"/>
  <c r="U56" s="1"/>
  <c r="U56" i="40" s="1"/>
  <c r="U51" i="37" a="1"/>
  <c r="U51" s="1"/>
  <c r="U51" i="40" s="1"/>
  <c r="U67" i="37" a="1"/>
  <c r="U67" s="1"/>
  <c r="U67" i="40" s="1"/>
  <c r="U64" i="37" a="1"/>
  <c r="U64" s="1"/>
  <c r="U64" i="40" s="1"/>
  <c r="T271" i="37" a="1"/>
  <c r="T271" s="1"/>
  <c r="T271" i="40" s="1"/>
  <c r="T261" i="37" a="1"/>
  <c r="T261" s="1"/>
  <c r="T261" i="40" s="1"/>
  <c r="T263" i="37" a="1"/>
  <c r="T263" s="1"/>
  <c r="T263" i="40" s="1"/>
  <c r="T274" i="37" a="1"/>
  <c r="T274" s="1"/>
  <c r="T274" i="40" s="1"/>
  <c r="T255" i="37" a="1"/>
  <c r="T255" s="1"/>
  <c r="T257" a="1"/>
  <c r="T257" s="1"/>
  <c r="T257" i="40" s="1"/>
  <c r="T258" i="37" a="1"/>
  <c r="T258" s="1"/>
  <c r="T258" i="40" s="1"/>
  <c r="T265" i="37" a="1"/>
  <c r="T265" s="1"/>
  <c r="T265" i="40" s="1"/>
  <c r="T276" i="37" a="1"/>
  <c r="T276" s="1"/>
  <c r="T276" i="40" s="1"/>
  <c r="T268" i="37" a="1"/>
  <c r="T268" s="1"/>
  <c r="T268" i="40" s="1"/>
  <c r="T273" i="37" a="1"/>
  <c r="T273" s="1"/>
  <c r="T273" i="40" s="1"/>
  <c r="T266" i="37" a="1"/>
  <c r="T266" s="1"/>
  <c r="T266" i="40" s="1"/>
  <c r="T270" i="37" a="1"/>
  <c r="T270" s="1"/>
  <c r="T270" i="40" s="1"/>
  <c r="T254" i="37" a="1"/>
  <c r="T254" s="1"/>
  <c r="T254" i="40" s="1"/>
  <c r="T262" i="37" a="1"/>
  <c r="T262" s="1"/>
  <c r="T262" i="40" s="1"/>
  <c r="T260" i="37" a="1"/>
  <c r="T260" s="1"/>
  <c r="T260" i="40" s="1"/>
  <c r="T267" i="37" a="1"/>
  <c r="T267" s="1"/>
  <c r="T267" i="40" s="1"/>
  <c r="T269" i="37" a="1"/>
  <c r="T269" s="1"/>
  <c r="T269" i="40" s="1"/>
  <c r="T275" i="37" a="1"/>
  <c r="T275" s="1"/>
  <c r="T275" i="40" s="1"/>
  <c r="T259" i="37" a="1"/>
  <c r="T259" s="1"/>
  <c r="T259" i="40" s="1"/>
  <c r="T272" i="37" a="1"/>
  <c r="T272" s="1"/>
  <c r="T272" i="40" s="1"/>
  <c r="T264" i="37" a="1"/>
  <c r="T264" s="1"/>
  <c r="T264" i="40" s="1"/>
  <c r="T256" i="37" a="1"/>
  <c r="T256" s="1"/>
  <c r="T256" i="40" s="1"/>
  <c r="V178" i="37" a="1"/>
  <c r="V178" s="1"/>
  <c r="V178" i="40" s="1"/>
  <c r="V162" i="37" a="1"/>
  <c r="V162" s="1"/>
  <c r="V162" i="40" s="1"/>
  <c r="V165" i="37" a="1"/>
  <c r="V165" s="1"/>
  <c r="V165" i="40" s="1"/>
  <c r="V170" i="37" a="1"/>
  <c r="V170" s="1"/>
  <c r="V170" i="40" s="1"/>
  <c r="V164" i="37" a="1"/>
  <c r="V164" s="1"/>
  <c r="V164" i="40" s="1"/>
  <c r="V183" i="37" a="1"/>
  <c r="V183" s="1"/>
  <c r="V183" i="40" s="1"/>
  <c r="V182" i="37" a="1"/>
  <c r="V182" s="1"/>
  <c r="V182" i="40" s="1"/>
  <c r="V166" i="37" a="1"/>
  <c r="V166" s="1"/>
  <c r="V166" i="40" s="1"/>
  <c r="V167" i="37" a="1"/>
  <c r="V167" s="1"/>
  <c r="V167" i="40" s="1"/>
  <c r="V175" i="37" a="1"/>
  <c r="V175" s="1"/>
  <c r="V175" i="40" s="1"/>
  <c r="V173" i="37" a="1"/>
  <c r="V173" s="1"/>
  <c r="V173" i="40" s="1"/>
  <c r="V177" i="37" a="1"/>
  <c r="V177" s="1"/>
  <c r="V177" i="40" s="1"/>
  <c r="V169" i="37" a="1"/>
  <c r="V169" s="1"/>
  <c r="V169" i="40" s="1"/>
  <c r="V180" i="37" a="1"/>
  <c r="V180" s="1"/>
  <c r="V180" i="40" s="1"/>
  <c r="V174" i="37" a="1"/>
  <c r="V174" s="1"/>
  <c r="V174" i="40" s="1"/>
  <c r="V181" i="37" a="1"/>
  <c r="V181" s="1"/>
  <c r="V181" i="40" s="1"/>
  <c r="V172" i="37" a="1"/>
  <c r="V172" s="1"/>
  <c r="V172" i="40" s="1"/>
  <c r="V184" i="37" a="1"/>
  <c r="V184" s="1"/>
  <c r="V184" i="40" s="1"/>
  <c r="V168" i="37" a="1"/>
  <c r="V168" s="1"/>
  <c r="V168" i="40" s="1"/>
  <c r="V179" i="37" a="1"/>
  <c r="V179" s="1"/>
  <c r="V179" i="40" s="1"/>
  <c r="V171" i="37" a="1"/>
  <c r="V171" s="1"/>
  <c r="V171" i="40" s="1"/>
  <c r="V163" i="37" a="1"/>
  <c r="V163" s="1"/>
  <c r="V176" a="1"/>
  <c r="V176" s="1"/>
  <c r="V176" i="40" s="1"/>
  <c r="T21" i="37" a="1"/>
  <c r="T21" s="1"/>
  <c r="T21" i="40" s="1"/>
  <c r="T10" i="37" a="1"/>
  <c r="T10" s="1"/>
  <c r="T10" i="40" s="1"/>
  <c r="T18" i="37" a="1"/>
  <c r="T18" s="1"/>
  <c r="T18" i="40" s="1"/>
  <c r="T23" i="37" a="1"/>
  <c r="T23" s="1"/>
  <c r="T23" i="40" s="1"/>
  <c r="T9" i="37" a="1"/>
  <c r="T9" s="1"/>
  <c r="T9" i="40" s="1"/>
  <c r="T14" i="37" a="1"/>
  <c r="T14" s="1"/>
  <c r="T14" i="40" s="1"/>
  <c r="T12" i="37" a="1"/>
  <c r="T12" s="1"/>
  <c r="T12" i="40" s="1"/>
  <c r="T20" i="37" a="1"/>
  <c r="T20" s="1"/>
  <c r="T20" i="40" s="1"/>
  <c r="T15" i="37" a="1"/>
  <c r="T15" s="1"/>
  <c r="T15" i="40" s="1"/>
  <c r="T5" i="37" a="1"/>
  <c r="T5" s="1"/>
  <c r="T5" i="40" s="1"/>
  <c r="T7" i="37" a="1"/>
  <c r="T7" s="1"/>
  <c r="T7" i="40" s="1"/>
  <c r="T17" i="37" a="1"/>
  <c r="T17" s="1"/>
  <c r="T17" i="40" s="1"/>
  <c r="T4" i="37" a="1"/>
  <c r="T4" s="1"/>
  <c r="T4" i="40" s="1"/>
  <c r="T6" i="37" a="1"/>
  <c r="T6" s="1"/>
  <c r="T6" i="40" s="1"/>
  <c r="T22" i="37" a="1"/>
  <c r="T22" s="1"/>
  <c r="T22" i="40" s="1"/>
  <c r="T3" i="37" a="1"/>
  <c r="T3" s="1"/>
  <c r="T13" a="1"/>
  <c r="T13" s="1"/>
  <c r="T13" i="40" s="1"/>
  <c r="T8" i="37" a="1"/>
  <c r="T8" s="1"/>
  <c r="T8" i="40" s="1"/>
  <c r="T16" i="37" a="1"/>
  <c r="T16" s="1"/>
  <c r="T16" i="40" s="1"/>
  <c r="T19" i="37" a="1"/>
  <c r="T19" s="1"/>
  <c r="T19" i="40" s="1"/>
  <c r="T11" i="37" a="1"/>
  <c r="T11" s="1"/>
  <c r="T11" i="40" s="1"/>
  <c r="U431" i="37" a="1"/>
  <c r="U431" s="1"/>
  <c r="U431" i="40" s="1"/>
  <c r="U415" i="37" a="1"/>
  <c r="U415" s="1"/>
  <c r="U415" i="40" s="1"/>
  <c r="U428" i="37" a="1"/>
  <c r="U428" s="1"/>
  <c r="U428" i="40" s="1"/>
  <c r="U421" i="37" a="1"/>
  <c r="U421" s="1"/>
  <c r="U421" i="40" s="1"/>
  <c r="U429" i="37" a="1"/>
  <c r="U429" s="1"/>
  <c r="U429" i="40" s="1"/>
  <c r="U423" i="37" a="1"/>
  <c r="U423" s="1"/>
  <c r="U423" i="40" s="1"/>
  <c r="U433" i="37" a="1"/>
  <c r="U433" s="1"/>
  <c r="U433" i="40" s="1"/>
  <c r="U417" i="37" a="1"/>
  <c r="U417" s="1"/>
  <c r="U417" i="40" s="1"/>
  <c r="U426" i="37" a="1"/>
  <c r="U426" s="1"/>
  <c r="U426" i="40" s="1"/>
  <c r="U425" i="37" a="1"/>
  <c r="U425" s="1"/>
  <c r="U425" i="40" s="1"/>
  <c r="U435" i="37" a="1"/>
  <c r="U435" s="1"/>
  <c r="U435" i="40" s="1"/>
  <c r="U422" i="37" a="1"/>
  <c r="U422" s="1"/>
  <c r="U422" i="40" s="1"/>
  <c r="U413" i="37" a="1"/>
  <c r="U413" s="1"/>
  <c r="U413" i="40" s="1"/>
  <c r="U420" i="37" a="1"/>
  <c r="U420" s="1"/>
  <c r="U420" i="40" s="1"/>
  <c r="U430" i="37" a="1"/>
  <c r="U430" s="1"/>
  <c r="U430" i="40" s="1"/>
  <c r="U414" i="37" a="1"/>
  <c r="U414" s="1"/>
  <c r="U432" a="1"/>
  <c r="U432" s="1"/>
  <c r="U432" i="40" s="1"/>
  <c r="U419" i="37" a="1"/>
  <c r="U419" s="1"/>
  <c r="U419" i="40" s="1"/>
  <c r="U424" i="37" a="1"/>
  <c r="U424" s="1"/>
  <c r="U424" i="40" s="1"/>
  <c r="U418" i="37" a="1"/>
  <c r="U418" s="1"/>
  <c r="U418" i="40" s="1"/>
  <c r="U427" i="37" a="1"/>
  <c r="U427" s="1"/>
  <c r="U427" i="40" s="1"/>
  <c r="U416" i="37" a="1"/>
  <c r="U416" s="1"/>
  <c r="U416" i="40" s="1"/>
  <c r="U434" i="37" a="1"/>
  <c r="U434" s="1"/>
  <c r="U434" i="40" s="1"/>
  <c r="V253" i="37" a="1"/>
  <c r="V253" s="1"/>
  <c r="V253" i="40" s="1"/>
  <c r="V231" i="37" a="1"/>
  <c r="V231" s="1"/>
  <c r="V231" i="40" s="1"/>
  <c r="V241" i="37" a="1"/>
  <c r="V241" s="1"/>
  <c r="V241" i="40" s="1"/>
  <c r="V246" i="37" a="1"/>
  <c r="V246" s="1"/>
  <c r="V246" i="40" s="1"/>
  <c r="V250" i="37" a="1"/>
  <c r="V250" s="1"/>
  <c r="V250" i="40" s="1"/>
  <c r="V234" i="37" a="1"/>
  <c r="V234" s="1"/>
  <c r="V234" i="40" s="1"/>
  <c r="V249" i="37" a="1"/>
  <c r="V249" s="1"/>
  <c r="V249" i="40" s="1"/>
  <c r="V239" i="37" a="1"/>
  <c r="V239" s="1"/>
  <c r="V239" i="40" s="1"/>
  <c r="V247" i="37" a="1"/>
  <c r="V247" s="1"/>
  <c r="V247" i="40" s="1"/>
  <c r="V237" i="37" a="1"/>
  <c r="V237" s="1"/>
  <c r="V237" i="40" s="1"/>
  <c r="V245" i="37" a="1"/>
  <c r="V245" s="1"/>
  <c r="V245" i="40" s="1"/>
  <c r="V236" i="37" a="1"/>
  <c r="V236" s="1"/>
  <c r="V236" i="40" s="1"/>
  <c r="V233" i="37" a="1"/>
  <c r="V233" s="1"/>
  <c r="V233" i="40" s="1"/>
  <c r="V242" i="37" a="1"/>
  <c r="V242" s="1"/>
  <c r="V242" i="40" s="1"/>
  <c r="V244" i="37" a="1"/>
  <c r="V244" s="1"/>
  <c r="V244" i="40" s="1"/>
  <c r="V238" i="37" a="1"/>
  <c r="V238" s="1"/>
  <c r="V238" i="40" s="1"/>
  <c r="V235" i="37" a="1"/>
  <c r="V235" s="1"/>
  <c r="V235" i="40" s="1"/>
  <c r="V232" i="37" a="1"/>
  <c r="V232" s="1"/>
  <c r="V240" a="1"/>
  <c r="V240" s="1"/>
  <c r="V240" i="40" s="1"/>
  <c r="V251" i="37" a="1"/>
  <c r="V251" s="1"/>
  <c r="V251" i="40" s="1"/>
  <c r="V252" i="37" a="1"/>
  <c r="V252" s="1"/>
  <c r="V243" a="1"/>
  <c r="V243" s="1"/>
  <c r="V243" i="40" s="1"/>
  <c r="V248" i="37" a="1"/>
  <c r="V248" s="1"/>
  <c r="V248" i="40" s="1"/>
  <c r="T157" i="37" a="1"/>
  <c r="T157" s="1"/>
  <c r="T157" i="40" s="1"/>
  <c r="T151" i="37" a="1"/>
  <c r="T151" s="1"/>
  <c r="T151" i="40" s="1"/>
  <c r="T154" i="37" a="1"/>
  <c r="T154" s="1"/>
  <c r="T154" i="40" s="1"/>
  <c r="T138" i="37" a="1"/>
  <c r="T138" s="1"/>
  <c r="T138" i="40" s="1"/>
  <c r="T143" i="37" a="1"/>
  <c r="T143" s="1"/>
  <c r="T143" i="40" s="1"/>
  <c r="T149" i="37" a="1"/>
  <c r="T149" s="1"/>
  <c r="T149" i="40" s="1"/>
  <c r="T142" i="37" a="1"/>
  <c r="T142" s="1"/>
  <c r="T142" i="40" s="1"/>
  <c r="T153" i="37" a="1"/>
  <c r="T153" s="1"/>
  <c r="T153" i="40" s="1"/>
  <c r="T141" i="37" a="1"/>
  <c r="T141" s="1"/>
  <c r="T141" i="40" s="1"/>
  <c r="T140" i="37" a="1"/>
  <c r="T140" s="1"/>
  <c r="T140" i="40" s="1"/>
  <c r="T158" i="37" a="1"/>
  <c r="T158" s="1"/>
  <c r="T158" i="40" s="1"/>
  <c r="T150" i="37" a="1"/>
  <c r="T150" s="1"/>
  <c r="T150" i="40" s="1"/>
  <c r="T146" i="37" a="1"/>
  <c r="T146" s="1"/>
  <c r="T146" i="40" s="1"/>
  <c r="T161" i="37" a="1"/>
  <c r="T161" s="1"/>
  <c r="T161" i="40" s="1"/>
  <c r="T159" i="37" a="1"/>
  <c r="T159" s="1"/>
  <c r="T159" i="40" s="1"/>
  <c r="T145" i="37" a="1"/>
  <c r="T145" s="1"/>
  <c r="T145" i="40" s="1"/>
  <c r="T156" i="37" a="1"/>
  <c r="T156" s="1"/>
  <c r="T156" i="40" s="1"/>
  <c r="T148" i="37" a="1"/>
  <c r="T148" s="1"/>
  <c r="T148" i="40" s="1"/>
  <c r="T160" i="37" a="1"/>
  <c r="T160" s="1"/>
  <c r="T160" i="40" s="1"/>
  <c r="T139" i="37" a="1"/>
  <c r="T139" s="1"/>
  <c r="T144" a="1"/>
  <c r="T144" s="1"/>
  <c r="T144" i="40" s="1"/>
  <c r="T155" i="37" a="1"/>
  <c r="T155" s="1"/>
  <c r="T155" i="40" s="1"/>
  <c r="T147" i="37" a="1"/>
  <c r="T147" s="1"/>
  <c r="T147" i="40" s="1"/>
  <c r="T152" i="37" a="1"/>
  <c r="T152" s="1"/>
  <c r="T152" i="40" s="1"/>
  <c r="R26" i="37" a="1"/>
  <c r="R26" s="1"/>
  <c r="R26" i="40" s="1"/>
  <c r="R29" i="37" a="1"/>
  <c r="R29" s="1"/>
  <c r="R29" i="40" s="1"/>
  <c r="R42" i="37" a="1"/>
  <c r="R42" s="1"/>
  <c r="R42" i="40" s="1"/>
  <c r="R38" i="37" a="1"/>
  <c r="R38" s="1"/>
  <c r="R38" i="40" s="1"/>
  <c r="R31" i="37" a="1"/>
  <c r="R31" s="1"/>
  <c r="R31" i="40" s="1"/>
  <c r="R34" i="37" a="1"/>
  <c r="R34" s="1"/>
  <c r="R34" i="40" s="1"/>
  <c r="R41" i="37" a="1"/>
  <c r="R41" s="1"/>
  <c r="R41" i="40" s="1"/>
  <c r="R33" i="37" a="1"/>
  <c r="R33" s="1"/>
  <c r="R33" i="40" s="1"/>
  <c r="R25" i="37" a="1"/>
  <c r="R25" s="1"/>
  <c r="R28" a="1"/>
  <c r="R28" s="1"/>
  <c r="R28" i="40" s="1"/>
  <c r="R39" i="37" a="1"/>
  <c r="R39" s="1"/>
  <c r="R39" i="40" s="1"/>
  <c r="R45" i="37" a="1"/>
  <c r="R45" s="1"/>
  <c r="R45" i="40" s="1"/>
  <c r="R37" i="37" a="1"/>
  <c r="R37" s="1"/>
  <c r="R37" i="40" s="1"/>
  <c r="R44" i="37" a="1"/>
  <c r="R44" s="1"/>
  <c r="R44" i="40" s="1"/>
  <c r="R30" i="37" a="1"/>
  <c r="R30" s="1"/>
  <c r="R30" i="40" s="1"/>
  <c r="R36" i="37" a="1"/>
  <c r="R36" s="1"/>
  <c r="R36" i="40" s="1"/>
  <c r="R40" i="37" a="1"/>
  <c r="R40" s="1"/>
  <c r="R40" i="40" s="1"/>
  <c r="R24" i="37" a="1"/>
  <c r="R24" s="1"/>
  <c r="R24" i="40" s="1"/>
  <c r="R27" i="37" a="1"/>
  <c r="R27" s="1"/>
  <c r="R27" i="40" s="1"/>
  <c r="R43" i="37" a="1"/>
  <c r="R43" s="1"/>
  <c r="R43" i="40" s="1"/>
  <c r="R35" i="37" a="1"/>
  <c r="R35" s="1"/>
  <c r="R35" i="40" s="1"/>
  <c r="R32" i="37" a="1"/>
  <c r="R32" s="1"/>
  <c r="R32" i="40" s="1"/>
  <c r="AB26" i="37" a="1"/>
  <c r="AB26" s="1"/>
  <c r="AB26" i="40" s="1"/>
  <c r="AB34" i="37" a="1"/>
  <c r="AB34" s="1"/>
  <c r="AB34" i="40" s="1"/>
  <c r="AB42" i="37" a="1"/>
  <c r="AB42" s="1"/>
  <c r="AB42" i="40" s="1"/>
  <c r="AB29" i="37" a="1"/>
  <c r="AB29" s="1"/>
  <c r="AB29" i="40" s="1"/>
  <c r="AB45" i="37" a="1"/>
  <c r="AB45" s="1"/>
  <c r="AB45" i="40" s="1"/>
  <c r="AB31" i="37" a="1"/>
  <c r="AB31" s="1"/>
  <c r="AB31" i="40" s="1"/>
  <c r="AB33" i="37" a="1"/>
  <c r="AB33" s="1"/>
  <c r="AB33" i="40" s="1"/>
  <c r="AB41" i="37" a="1"/>
  <c r="AB41" s="1"/>
  <c r="AB41" i="40" s="1"/>
  <c r="AB25" i="37" a="1"/>
  <c r="AB25" s="1"/>
  <c r="AB28" a="1"/>
  <c r="AB28" s="1"/>
  <c r="AB28" i="40" s="1"/>
  <c r="AB39" i="37" a="1"/>
  <c r="AB39" s="1"/>
  <c r="AB39" i="40" s="1"/>
  <c r="AB30" i="37" a="1"/>
  <c r="AB30" s="1"/>
  <c r="AB30" i="40" s="1"/>
  <c r="AB44" i="37" a="1"/>
  <c r="AB44" s="1"/>
  <c r="AB44" i="40" s="1"/>
  <c r="AB38" i="37" a="1"/>
  <c r="AB38" s="1"/>
  <c r="AB38" i="40" s="1"/>
  <c r="AB37" i="37" a="1"/>
  <c r="AB37" s="1"/>
  <c r="AB37" i="40" s="1"/>
  <c r="AB36" i="37" a="1"/>
  <c r="AB36" s="1"/>
  <c r="AB36" i="40" s="1"/>
  <c r="AB32" i="37" a="1"/>
  <c r="AB32" s="1"/>
  <c r="AB32" i="40" s="1"/>
  <c r="AB40" i="37" a="1"/>
  <c r="AB40" s="1"/>
  <c r="AB40" i="40" s="1"/>
  <c r="AB43" i="37" a="1"/>
  <c r="AB43" s="1"/>
  <c r="AB43" i="40" s="1"/>
  <c r="AB24" i="37" a="1"/>
  <c r="AB24" s="1"/>
  <c r="AB24" i="40" s="1"/>
  <c r="AB35" i="37" a="1"/>
  <c r="AB35" s="1"/>
  <c r="AB35" i="40" s="1"/>
  <c r="AB27" i="37" a="1"/>
  <c r="AB27" s="1"/>
  <c r="AB27" i="40" s="1"/>
  <c r="S378" i="37" a="1"/>
  <c r="S378" s="1"/>
  <c r="S378" i="40" s="1"/>
  <c r="S381" i="37" a="1"/>
  <c r="S381" s="1"/>
  <c r="S381" i="40" s="1"/>
  <c r="S373" i="37" a="1"/>
  <c r="S373" s="1"/>
  <c r="S373" i="40" s="1"/>
  <c r="S374" i="37" a="1"/>
  <c r="S374" s="1"/>
  <c r="S374" i="40" s="1"/>
  <c r="S383" i="37" a="1"/>
  <c r="S383" s="1"/>
  <c r="S383" i="40" s="1"/>
  <c r="S375" i="37" a="1"/>
  <c r="S375" s="1"/>
  <c r="S375" i="40" s="1"/>
  <c r="S386" i="37" a="1"/>
  <c r="S386" s="1"/>
  <c r="S386" i="40" s="1"/>
  <c r="S385" i="37" a="1"/>
  <c r="S385" s="1"/>
  <c r="S385" i="40" s="1"/>
  <c r="S382" i="37" a="1"/>
  <c r="S382" s="1"/>
  <c r="S382" i="40" s="1"/>
  <c r="S367" i="37" a="1"/>
  <c r="S367" s="1"/>
  <c r="S367" i="40" s="1"/>
  <c r="S380" i="37" a="1"/>
  <c r="S380" s="1"/>
  <c r="S380" i="40" s="1"/>
  <c r="S369" i="37" a="1"/>
  <c r="S369" s="1"/>
  <c r="S369" i="40" s="1"/>
  <c r="S370" i="37" a="1"/>
  <c r="S370" s="1"/>
  <c r="S370" i="40" s="1"/>
  <c r="S372" i="37" a="1"/>
  <c r="S372" s="1"/>
  <c r="S372" i="40" s="1"/>
  <c r="S388" i="37" a="1"/>
  <c r="S388" s="1"/>
  <c r="S388" i="40" s="1"/>
  <c r="S366" i="37" a="1"/>
  <c r="S366" s="1"/>
  <c r="S377" a="1"/>
  <c r="S377" s="1"/>
  <c r="S377" i="40" s="1"/>
  <c r="S371" i="37" a="1"/>
  <c r="S371" s="1"/>
  <c r="S371" i="40" s="1"/>
  <c r="S387" i="37" a="1"/>
  <c r="S387" s="1"/>
  <c r="S387" i="40" s="1"/>
  <c r="S368" i="37" a="1"/>
  <c r="S368" s="1"/>
  <c r="S368" i="40" s="1"/>
  <c r="S376" i="37" a="1"/>
  <c r="S376" s="1"/>
  <c r="S376" i="40" s="1"/>
  <c r="S384" i="37" a="1"/>
  <c r="S384" s="1"/>
  <c r="S384" i="40" s="1"/>
  <c r="S365" i="37" a="1"/>
  <c r="S365" s="1"/>
  <c r="S365" i="40" s="1"/>
  <c r="S379" i="37" a="1"/>
  <c r="S379" s="1"/>
  <c r="S379" i="40" s="1"/>
  <c r="S199" i="37" a="1"/>
  <c r="S199" s="1"/>
  <c r="S199" i="40" s="1"/>
  <c r="S197" i="37" a="1"/>
  <c r="S197" s="1"/>
  <c r="S197" i="40" s="1"/>
  <c r="S205" i="37" a="1"/>
  <c r="S205" s="1"/>
  <c r="S205" i="40" s="1"/>
  <c r="S194" i="37" a="1"/>
  <c r="S194" s="1"/>
  <c r="S194" i="40" s="1"/>
  <c r="S206" i="37" a="1"/>
  <c r="S206" s="1"/>
  <c r="S206" i="40" s="1"/>
  <c r="S196" i="37" a="1"/>
  <c r="S196" s="1"/>
  <c r="S196" i="40" s="1"/>
  <c r="S201" i="37" a="1"/>
  <c r="S201" s="1"/>
  <c r="S201" i="40" s="1"/>
  <c r="S207" i="37" a="1"/>
  <c r="S207" s="1"/>
  <c r="S207" i="40" s="1"/>
  <c r="S202" i="37" a="1"/>
  <c r="S202" s="1"/>
  <c r="S202" i="40" s="1"/>
  <c r="S204" i="37" a="1"/>
  <c r="S204" s="1"/>
  <c r="S204" i="40" s="1"/>
  <c r="S193" i="37" a="1"/>
  <c r="S193" s="1"/>
  <c r="S193" i="40" s="1"/>
  <c r="S185" i="37" a="1"/>
  <c r="S185" s="1"/>
  <c r="S185" i="40" s="1"/>
  <c r="S186" i="37" a="1"/>
  <c r="S186" s="1"/>
  <c r="S191" a="1"/>
  <c r="S191" s="1"/>
  <c r="S191" i="40" s="1"/>
  <c r="S198" i="37" a="1"/>
  <c r="S198" s="1"/>
  <c r="S198" i="40" s="1"/>
  <c r="S190" i="37" a="1"/>
  <c r="S190" s="1"/>
  <c r="S190" i="40" s="1"/>
  <c r="S188" i="37" a="1"/>
  <c r="S188" s="1"/>
  <c r="S188" i="40" s="1"/>
  <c r="S189" i="37" a="1"/>
  <c r="S189" s="1"/>
  <c r="S189" i="40" s="1"/>
  <c r="S203" i="37" a="1"/>
  <c r="S203" s="1"/>
  <c r="S203" i="40" s="1"/>
  <c r="S187" i="37" a="1"/>
  <c r="S187" s="1"/>
  <c r="S187" i="40" s="1"/>
  <c r="S192" i="37" a="1"/>
  <c r="S192" s="1"/>
  <c r="S192" i="40" s="1"/>
  <c r="S200" i="37" a="1"/>
  <c r="S200" s="1"/>
  <c r="S200" i="40" s="1"/>
  <c r="S195" i="37" a="1"/>
  <c r="S195" s="1"/>
  <c r="S195" i="40" s="1"/>
  <c r="T303" i="37" a="1"/>
  <c r="T303" s="1"/>
  <c r="T303" i="40" s="1"/>
  <c r="T310" i="37" a="1"/>
  <c r="T310" s="1"/>
  <c r="T310" i="40" s="1"/>
  <c r="T302" i="37" a="1"/>
  <c r="T302" s="1"/>
  <c r="T302" i="40" s="1"/>
  <c r="T318" i="37" a="1"/>
  <c r="T318" s="1"/>
  <c r="T318" i="40" s="1"/>
  <c r="T319" i="37" a="1"/>
  <c r="T319" s="1"/>
  <c r="T319" i="40" s="1"/>
  <c r="T313" i="37" a="1"/>
  <c r="T313" s="1"/>
  <c r="T313" i="40" s="1"/>
  <c r="T311" i="37" a="1"/>
  <c r="T311" s="1"/>
  <c r="T311" i="40" s="1"/>
  <c r="T301" i="37" a="1"/>
  <c r="T301" s="1"/>
  <c r="T301" i="40" s="1"/>
  <c r="T317" i="37" a="1"/>
  <c r="T317" s="1"/>
  <c r="T317" i="40" s="1"/>
  <c r="T305" i="37" a="1"/>
  <c r="T305" s="1"/>
  <c r="T305" i="40" s="1"/>
  <c r="T306" i="37" a="1"/>
  <c r="T306" s="1"/>
  <c r="T306" i="40" s="1"/>
  <c r="T308" i="37" a="1"/>
  <c r="T308" s="1"/>
  <c r="T308" i="40" s="1"/>
  <c r="T309" i="37" a="1"/>
  <c r="T309" s="1"/>
  <c r="T309" i="40" s="1"/>
  <c r="T314" i="37" a="1"/>
  <c r="T314" s="1"/>
  <c r="T314" i="40" s="1"/>
  <c r="T315" i="37" a="1"/>
  <c r="T315" s="1"/>
  <c r="T315" i="40" s="1"/>
  <c r="T300" i="37" a="1"/>
  <c r="T300" s="1"/>
  <c r="T320" a="1"/>
  <c r="T320" s="1"/>
  <c r="T320" i="40" s="1"/>
  <c r="T304" i="37" a="1"/>
  <c r="T304" s="1"/>
  <c r="T304" i="40" s="1"/>
  <c r="T307" i="37" a="1"/>
  <c r="T307" s="1"/>
  <c r="T307" i="40" s="1"/>
  <c r="T312" i="37" a="1"/>
  <c r="T312" s="1"/>
  <c r="T312" i="40" s="1"/>
  <c r="T299" i="37" a="1"/>
  <c r="T299" s="1"/>
  <c r="T299" i="40" s="1"/>
  <c r="T316" i="37" a="1"/>
  <c r="T316" s="1"/>
  <c r="T316" i="40" s="1"/>
  <c r="X125" i="37" a="1"/>
  <c r="X125" s="1"/>
  <c r="X125" i="40" s="1"/>
  <c r="X114" i="37" a="1"/>
  <c r="X114" s="1"/>
  <c r="X114" i="40" s="1"/>
  <c r="X135" i="37" a="1"/>
  <c r="X135" s="1"/>
  <c r="X135" i="40" s="1"/>
  <c r="X122" i="37" a="1"/>
  <c r="X122" s="1"/>
  <c r="X122" i="40" s="1"/>
  <c r="X127" i="37" a="1"/>
  <c r="X127" s="1"/>
  <c r="X127" i="40" s="1"/>
  <c r="X132" i="37" a="1"/>
  <c r="X132" s="1"/>
  <c r="X132" i="40" s="1"/>
  <c r="X130" i="37" a="1"/>
  <c r="X130" s="1"/>
  <c r="X130" i="40" s="1"/>
  <c r="X119" i="37" a="1"/>
  <c r="X119" s="1"/>
  <c r="X119" i="40" s="1"/>
  <c r="X137" i="37" a="1"/>
  <c r="X137" s="1"/>
  <c r="X137" i="40" s="1"/>
  <c r="X129" i="37" a="1"/>
  <c r="X129" s="1"/>
  <c r="X129" i="40" s="1"/>
  <c r="X121" i="37" a="1"/>
  <c r="X121" s="1"/>
  <c r="X121" i="40" s="1"/>
  <c r="X126" i="37" a="1"/>
  <c r="X126" s="1"/>
  <c r="X126" i="40" s="1"/>
  <c r="X116" i="37" a="1"/>
  <c r="X116" s="1"/>
  <c r="X116" i="40" s="1"/>
  <c r="X134" i="37" a="1"/>
  <c r="X134" s="1"/>
  <c r="X134" i="40" s="1"/>
  <c r="X124" i="37" a="1"/>
  <c r="X124" s="1"/>
  <c r="X124" i="40" s="1"/>
  <c r="X118" i="37" a="1"/>
  <c r="X118" s="1"/>
  <c r="X118" i="40" s="1"/>
  <c r="X115" i="37" a="1"/>
  <c r="X115" s="1"/>
  <c r="X133" a="1"/>
  <c r="X133" s="1"/>
  <c r="X133" i="40" s="1"/>
  <c r="X128" i="37" a="1"/>
  <c r="X128" s="1"/>
  <c r="X128" i="40" s="1"/>
  <c r="X123" i="37" a="1"/>
  <c r="X123" s="1"/>
  <c r="X123" i="40" s="1"/>
  <c r="X136" i="37" a="1"/>
  <c r="X136" s="1"/>
  <c r="X136" i="40" s="1"/>
  <c r="X120" i="37" a="1"/>
  <c r="X120" s="1"/>
  <c r="X120" i="40" s="1"/>
  <c r="X131" i="37" a="1"/>
  <c r="X131" s="1"/>
  <c r="X131" i="40" s="1"/>
  <c r="X117" i="37" a="1"/>
  <c r="X117" s="1"/>
  <c r="X117" i="40" s="1"/>
  <c r="Z114" i="37" a="1"/>
  <c r="Z114" s="1"/>
  <c r="Z114" i="40" s="1"/>
  <c r="Z130" i="37" a="1"/>
  <c r="Z130" s="1"/>
  <c r="Z130" i="40" s="1"/>
  <c r="Z124" i="37" a="1"/>
  <c r="Z124" s="1"/>
  <c r="Z124" i="40" s="1"/>
  <c r="Z126" i="37" a="1"/>
  <c r="Z126" s="1"/>
  <c r="Z126" i="40" s="1"/>
  <c r="Z125" i="37" a="1"/>
  <c r="Z125" s="1"/>
  <c r="Z125" i="40" s="1"/>
  <c r="Z119" i="37" a="1"/>
  <c r="Z119" s="1"/>
  <c r="Z119" i="40" s="1"/>
  <c r="Z137" i="37" a="1"/>
  <c r="Z137" s="1"/>
  <c r="Z137" i="40" s="1"/>
  <c r="Z135" i="37" a="1"/>
  <c r="Z135" s="1"/>
  <c r="Z135" i="40" s="1"/>
  <c r="Z129" i="37" a="1"/>
  <c r="Z129" s="1"/>
  <c r="Z129" i="40" s="1"/>
  <c r="Z122" i="37" a="1"/>
  <c r="Z122" s="1"/>
  <c r="Z122" i="40" s="1"/>
  <c r="Z127" i="37" a="1"/>
  <c r="Z127" s="1"/>
  <c r="Z127" i="40" s="1"/>
  <c r="Z121" i="37" a="1"/>
  <c r="Z121" s="1"/>
  <c r="Z121" i="40" s="1"/>
  <c r="Z118" i="37" a="1"/>
  <c r="Z118" s="1"/>
  <c r="Z118" i="40" s="1"/>
  <c r="Z132" i="37" a="1"/>
  <c r="Z132" s="1"/>
  <c r="Z132" i="40" s="1"/>
  <c r="Z134" i="37" a="1"/>
  <c r="Z134" s="1"/>
  <c r="Z134" i="40" s="1"/>
  <c r="Z116" i="37" a="1"/>
  <c r="Z116" s="1"/>
  <c r="Z116" i="40" s="1"/>
  <c r="Z123" i="37" a="1"/>
  <c r="Z123" s="1"/>
  <c r="Z123" i="40" s="1"/>
  <c r="Z131" i="37" a="1"/>
  <c r="Z131" s="1"/>
  <c r="Z131" i="40" s="1"/>
  <c r="Z133" i="37" a="1"/>
  <c r="Z133" s="1"/>
  <c r="Z133" i="40" s="1"/>
  <c r="Z120" i="37" a="1"/>
  <c r="Z120" s="1"/>
  <c r="Z120" i="40" s="1"/>
  <c r="Z117" i="37" a="1"/>
  <c r="Z117" s="1"/>
  <c r="Z117" i="40" s="1"/>
  <c r="Z115" i="37" a="1"/>
  <c r="Z115" s="1"/>
  <c r="Z136" a="1"/>
  <c r="Z136" s="1"/>
  <c r="Z136" i="40" s="1"/>
  <c r="Z128" i="37" a="1"/>
  <c r="Z128" s="1"/>
  <c r="Z128" i="40" s="1"/>
  <c r="V455" i="37" a="1"/>
  <c r="V455" s="1"/>
  <c r="V455" i="40" s="1"/>
  <c r="V466" i="37" a="1"/>
  <c r="V466" s="1"/>
  <c r="V466" i="40" s="1"/>
  <c r="V463" i="37" a="1"/>
  <c r="V463" s="1"/>
  <c r="V463" i="40" s="1"/>
  <c r="V465" i="37" a="1"/>
  <c r="V465" s="1"/>
  <c r="V465" i="40" s="1"/>
  <c r="V461" i="37" a="1"/>
  <c r="V461" s="1"/>
  <c r="V461" i="40" s="1"/>
  <c r="V458" i="37" a="1"/>
  <c r="V458" s="1"/>
  <c r="V458" i="40" s="1"/>
  <c r="V460" i="37" a="1"/>
  <c r="V460" s="1"/>
  <c r="V460" i="40" s="1"/>
  <c r="V457" i="37" a="1"/>
  <c r="V457" s="1"/>
  <c r="V457" i="40" s="1"/>
  <c r="V453" i="37" a="1"/>
  <c r="V453" s="1"/>
  <c r="V453" i="40" s="1"/>
  <c r="V459" i="37" a="1"/>
  <c r="V459" s="1"/>
  <c r="V459" i="40" s="1"/>
  <c r="V462" i="37" a="1"/>
  <c r="V462" s="1"/>
  <c r="V462" i="40" s="1"/>
  <c r="V454" i="37" a="1"/>
  <c r="V454" s="1"/>
  <c r="V454" i="40" s="1"/>
  <c r="V467" i="37" a="1"/>
  <c r="V467" s="1"/>
  <c r="V467" i="40" s="1"/>
  <c r="V452" i="37" a="1"/>
  <c r="V452" s="1"/>
  <c r="V464" a="1"/>
  <c r="V464" s="1"/>
  <c r="V464" i="40" s="1"/>
  <c r="V456" i="37" a="1"/>
  <c r="V456" s="1"/>
  <c r="V456" i="40" s="1"/>
  <c r="Y101" i="37" a="1"/>
  <c r="Y101" s="1"/>
  <c r="Y101" i="40" s="1"/>
  <c r="Y98" i="37" a="1"/>
  <c r="Y98" s="1"/>
  <c r="Y98" i="40" s="1"/>
  <c r="Y106" i="37" a="1"/>
  <c r="Y106" s="1"/>
  <c r="Y106" i="40" s="1"/>
  <c r="Y90" i="37" a="1"/>
  <c r="Y90" s="1"/>
  <c r="Y90" i="40" s="1"/>
  <c r="Y103" i="37" a="1"/>
  <c r="Y103" s="1"/>
  <c r="Y103" i="40" s="1"/>
  <c r="Y111" i="37" a="1"/>
  <c r="Y111" s="1"/>
  <c r="Y111" i="40" s="1"/>
  <c r="Y109" i="37" a="1"/>
  <c r="Y109" s="1"/>
  <c r="Y109" i="40" s="1"/>
  <c r="Y95" i="37" a="1"/>
  <c r="Y95" s="1"/>
  <c r="Y95" i="40" s="1"/>
  <c r="Y100" i="37" a="1"/>
  <c r="Y100" s="1"/>
  <c r="Y100" i="40" s="1"/>
  <c r="Y113" i="37" a="1"/>
  <c r="Y113" s="1"/>
  <c r="Y113" i="40" s="1"/>
  <c r="Y105" i="37" a="1"/>
  <c r="Y105" s="1"/>
  <c r="Y105" i="40" s="1"/>
  <c r="Y97" i="37" a="1"/>
  <c r="Y97" s="1"/>
  <c r="Y97" i="40" s="1"/>
  <c r="Y92" i="37" a="1"/>
  <c r="Y92" s="1"/>
  <c r="Y92" i="40" s="1"/>
  <c r="Y94" i="37" a="1"/>
  <c r="Y94" s="1"/>
  <c r="Y94" i="40" s="1"/>
  <c r="Y93" i="37" a="1"/>
  <c r="Y93" s="1"/>
  <c r="Y93" i="40" s="1"/>
  <c r="Y110" i="37" a="1"/>
  <c r="Y110" s="1"/>
  <c r="Y110" i="40" s="1"/>
  <c r="Y102" i="37" a="1"/>
  <c r="Y102" s="1"/>
  <c r="Y102" i="40" s="1"/>
  <c r="Y108" i="37" a="1"/>
  <c r="Y108" s="1"/>
  <c r="Y108" i="40" s="1"/>
  <c r="Y99" i="37" a="1"/>
  <c r="Y99" s="1"/>
  <c r="Y99" i="40" s="1"/>
  <c r="Y91" i="37" a="1"/>
  <c r="Y91" s="1"/>
  <c r="Y107" a="1"/>
  <c r="Y107" s="1"/>
  <c r="Y107" i="40" s="1"/>
  <c r="Y112" i="37" a="1"/>
  <c r="Y112" s="1"/>
  <c r="Y112" i="40" s="1"/>
  <c r="Y96" i="37" a="1"/>
  <c r="Y96" s="1"/>
  <c r="Y96" i="40" s="1"/>
  <c r="Y104" i="37" a="1"/>
  <c r="Y104" s="1"/>
  <c r="Y104" i="40" s="1"/>
  <c r="AA98" i="37" a="1"/>
  <c r="AA98" s="1"/>
  <c r="AA98" i="40" s="1"/>
  <c r="AA101" i="37" a="1"/>
  <c r="AA101" s="1"/>
  <c r="AA101" i="40" s="1"/>
  <c r="AA106" i="37" a="1"/>
  <c r="AA106" s="1"/>
  <c r="AA106" i="40" s="1"/>
  <c r="AA90" i="37" a="1"/>
  <c r="AA90" s="1"/>
  <c r="AA90" i="40" s="1"/>
  <c r="AA95" i="37" a="1"/>
  <c r="AA95" s="1"/>
  <c r="AA95" i="40" s="1"/>
  <c r="AA110" i="37" a="1"/>
  <c r="AA110" s="1"/>
  <c r="AA110" i="40" s="1"/>
  <c r="AA109" i="37" a="1"/>
  <c r="AA109" s="1"/>
  <c r="AA109" i="40" s="1"/>
  <c r="AA105" i="37" a="1"/>
  <c r="AA105" s="1"/>
  <c r="AA105" i="40" s="1"/>
  <c r="AA97" i="37" a="1"/>
  <c r="AA97" s="1"/>
  <c r="AA97" i="40" s="1"/>
  <c r="AA94" i="37" a="1"/>
  <c r="AA94" s="1"/>
  <c r="AA94" i="40" s="1"/>
  <c r="AA103" i="37" a="1"/>
  <c r="AA103" s="1"/>
  <c r="AA103" i="40" s="1"/>
  <c r="AA113" i="37" a="1"/>
  <c r="AA113" s="1"/>
  <c r="AA113" i="40" s="1"/>
  <c r="AA111" i="37" a="1"/>
  <c r="AA111" s="1"/>
  <c r="AA111" i="40" s="1"/>
  <c r="AA100" i="37" a="1"/>
  <c r="AA100" s="1"/>
  <c r="AA100" i="40" s="1"/>
  <c r="AA93" i="37" a="1"/>
  <c r="AA93" s="1"/>
  <c r="AA93" i="40" s="1"/>
  <c r="AA102" i="37" a="1"/>
  <c r="AA102" s="1"/>
  <c r="AA102" i="40" s="1"/>
  <c r="AA108" i="37" a="1"/>
  <c r="AA108" s="1"/>
  <c r="AA108" i="40" s="1"/>
  <c r="AA92" i="37" a="1"/>
  <c r="AA92" s="1"/>
  <c r="AA92" i="40" s="1"/>
  <c r="AA107" i="37" a="1"/>
  <c r="AA107" s="1"/>
  <c r="AA107" i="40" s="1"/>
  <c r="AA99" i="37" a="1"/>
  <c r="AA99" s="1"/>
  <c r="AA99" i="40" s="1"/>
  <c r="AA112" i="37" a="1"/>
  <c r="AA112" s="1"/>
  <c r="AA112" i="40" s="1"/>
  <c r="AA104" i="37" a="1"/>
  <c r="AA104" s="1"/>
  <c r="AA104" i="40" s="1"/>
  <c r="AA91" i="37" a="1"/>
  <c r="AA91" s="1"/>
  <c r="AA96" a="1"/>
  <c r="AA96" s="1"/>
  <c r="AA96" i="40" s="1"/>
  <c r="R223" i="37" a="1"/>
  <c r="R223" s="1"/>
  <c r="R223" i="40" s="1"/>
  <c r="R218" i="37" a="1"/>
  <c r="R218" s="1"/>
  <c r="R218" i="40" s="1"/>
  <c r="R226" i="37" a="1"/>
  <c r="R226" s="1"/>
  <c r="R226" i="40" s="1"/>
  <c r="R228" i="37" a="1"/>
  <c r="R228" s="1"/>
  <c r="R228" i="40" s="1"/>
  <c r="R210" i="37" a="1"/>
  <c r="R210" s="1"/>
  <c r="R210" i="40" s="1"/>
  <c r="R225" i="37" a="1"/>
  <c r="R225" s="1"/>
  <c r="R225" i="40" s="1"/>
  <c r="R215" i="37" a="1"/>
  <c r="R215" s="1"/>
  <c r="R215" i="40" s="1"/>
  <c r="R213" i="37" a="1"/>
  <c r="R213" s="1"/>
  <c r="R213" i="40" s="1"/>
  <c r="R217" i="37" a="1"/>
  <c r="R217" s="1"/>
  <c r="R217" i="40" s="1"/>
  <c r="R209" i="37" a="1"/>
  <c r="R209" s="1"/>
  <c r="R212" a="1"/>
  <c r="R212" s="1"/>
  <c r="R212" i="40" s="1"/>
  <c r="R220" i="37" a="1"/>
  <c r="R220" s="1"/>
  <c r="R220" i="40" s="1"/>
  <c r="R221" i="37" a="1"/>
  <c r="R221" s="1"/>
  <c r="R221" i="40" s="1"/>
  <c r="R230" i="37" a="1"/>
  <c r="R230" s="1"/>
  <c r="R230" i="40" s="1"/>
  <c r="R222" i="37" a="1"/>
  <c r="R222" s="1"/>
  <c r="R222" i="40" s="1"/>
  <c r="R214" i="37" a="1"/>
  <c r="R214" s="1"/>
  <c r="R214" i="40" s="1"/>
  <c r="R208" i="37" a="1"/>
  <c r="R208" s="1"/>
  <c r="R208" i="40" s="1"/>
  <c r="R227" i="37" a="1"/>
  <c r="R227" s="1"/>
  <c r="R227" i="40" s="1"/>
  <c r="R216" i="37" a="1"/>
  <c r="R216" s="1"/>
  <c r="R216" i="40" s="1"/>
  <c r="R224" i="37" a="1"/>
  <c r="R224" s="1"/>
  <c r="R224" i="40" s="1"/>
  <c r="R219" i="37" a="1"/>
  <c r="R219" s="1"/>
  <c r="R219" i="40" s="1"/>
  <c r="R229" i="37" a="1"/>
  <c r="R229" s="1"/>
  <c r="R229" i="40" s="1"/>
  <c r="R211" i="37" a="1"/>
  <c r="R211" s="1"/>
  <c r="R211" i="40" s="1"/>
  <c r="AB226" i="37" a="1"/>
  <c r="AB226" s="1"/>
  <c r="AB226" i="40" s="1"/>
  <c r="AB215" i="37" a="1"/>
  <c r="AB215" s="1"/>
  <c r="AB215" i="40" s="1"/>
  <c r="AB218" i="37" a="1"/>
  <c r="AB218" s="1"/>
  <c r="AB218" i="40" s="1"/>
  <c r="AB210" i="37" a="1"/>
  <c r="AB210" s="1"/>
  <c r="AB210" i="40" s="1"/>
  <c r="AB223" i="37" a="1"/>
  <c r="AB223" s="1"/>
  <c r="AB223" i="40" s="1"/>
  <c r="AB213" i="37" a="1"/>
  <c r="AB213" s="1"/>
  <c r="AB213" i="40" s="1"/>
  <c r="AB225" i="37" a="1"/>
  <c r="AB225" s="1"/>
  <c r="AB225" i="40" s="1"/>
  <c r="AB230" i="37" a="1"/>
  <c r="AB230" s="1"/>
  <c r="AB230" i="40" s="1"/>
  <c r="AB212" i="37" a="1"/>
  <c r="AB212" s="1"/>
  <c r="AB212" i="40" s="1"/>
  <c r="AB217" i="37" a="1"/>
  <c r="AB217" s="1"/>
  <c r="AB217" i="40" s="1"/>
  <c r="AB209" i="37" a="1"/>
  <c r="AB209" s="1"/>
  <c r="AB228" a="1"/>
  <c r="AB228" s="1"/>
  <c r="AB228" i="40" s="1"/>
  <c r="AB222" i="37" a="1"/>
  <c r="AB222" s="1"/>
  <c r="AB222" i="40" s="1"/>
  <c r="AB220" i="37" a="1"/>
  <c r="AB220" s="1"/>
  <c r="AB220" i="40" s="1"/>
  <c r="AB214" i="37" a="1"/>
  <c r="AB214" s="1"/>
  <c r="AB214" i="40" s="1"/>
  <c r="AB221" i="37" a="1"/>
  <c r="AB221" s="1"/>
  <c r="AB221" i="40" s="1"/>
  <c r="AB208" i="37" a="1"/>
  <c r="AB208" s="1"/>
  <c r="AB208" i="40" s="1"/>
  <c r="AB216" i="37" a="1"/>
  <c r="AB216" s="1"/>
  <c r="AB216" i="40" s="1"/>
  <c r="AB227" i="37" a="1"/>
  <c r="AB227" s="1"/>
  <c r="AB227" i="40" s="1"/>
  <c r="AB211" i="37" a="1"/>
  <c r="AB211" s="1"/>
  <c r="AB211" i="40" s="1"/>
  <c r="AB229" i="37" a="1"/>
  <c r="AB229" s="1"/>
  <c r="AB229" i="40" s="1"/>
  <c r="AB219" i="37" a="1"/>
  <c r="AB219" s="1"/>
  <c r="AB219" i="40" s="1"/>
  <c r="AB224" i="37" a="1"/>
  <c r="AB224" s="1"/>
  <c r="AB224" i="40" s="1"/>
  <c r="W77" i="37" a="1"/>
  <c r="W77" s="1"/>
  <c r="W77" i="40" s="1"/>
  <c r="W74" i="37" a="1"/>
  <c r="W74" s="1"/>
  <c r="W74" i="40" s="1"/>
  <c r="W87" i="37" a="1"/>
  <c r="W87" s="1"/>
  <c r="W87" i="40" s="1"/>
  <c r="W79" i="37" a="1"/>
  <c r="W79" s="1"/>
  <c r="W79" i="40" s="1"/>
  <c r="W69" i="37" a="1"/>
  <c r="W69" s="1"/>
  <c r="W69" i="40" s="1"/>
  <c r="W76" i="37" a="1"/>
  <c r="W76" s="1"/>
  <c r="W76" i="40" s="1"/>
  <c r="W89" i="37" a="1"/>
  <c r="W89" s="1"/>
  <c r="W89" i="40" s="1"/>
  <c r="W82" i="37" a="1"/>
  <c r="W82" s="1"/>
  <c r="W82" i="40" s="1"/>
  <c r="W71" i="37" a="1"/>
  <c r="W71" s="1"/>
  <c r="W71" i="40" s="1"/>
  <c r="W81" i="37" a="1"/>
  <c r="W81" s="1"/>
  <c r="W81" i="40" s="1"/>
  <c r="W73" i="37" a="1"/>
  <c r="W73" s="1"/>
  <c r="W73" i="40" s="1"/>
  <c r="W86" i="37" a="1"/>
  <c r="W86" s="1"/>
  <c r="W86" i="40" s="1"/>
  <c r="W70" i="37" a="1"/>
  <c r="W70" s="1"/>
  <c r="W78" a="1"/>
  <c r="W78" s="1"/>
  <c r="W78" i="40" s="1"/>
  <c r="W85" i="37" a="1"/>
  <c r="W85" s="1"/>
  <c r="W85" i="40" s="1"/>
  <c r="W84" i="37" a="1"/>
  <c r="W84" s="1"/>
  <c r="W84" i="40" s="1"/>
  <c r="W83" i="37" a="1"/>
  <c r="W83" s="1"/>
  <c r="W83" i="40" s="1"/>
  <c r="W75" i="37" a="1"/>
  <c r="W75" s="1"/>
  <c r="W75" i="40" s="1"/>
  <c r="W80" i="37" a="1"/>
  <c r="W80" s="1"/>
  <c r="W80" i="40" s="1"/>
  <c r="W88" i="37" a="1"/>
  <c r="W88" s="1"/>
  <c r="W88" i="40" s="1"/>
  <c r="W72" i="37" a="1"/>
  <c r="W72" s="1"/>
  <c r="W72" i="40" s="1"/>
  <c r="Y447" i="37" a="1"/>
  <c r="Y447" s="1"/>
  <c r="Y447" i="40" s="1"/>
  <c r="Y439" i="37" a="1"/>
  <c r="Y439" s="1"/>
  <c r="Y439" i="40" s="1"/>
  <c r="Y437" i="37" a="1"/>
  <c r="Y437" s="1"/>
  <c r="Y437" i="40" s="1"/>
  <c r="Y444" i="37" a="1"/>
  <c r="Y444" s="1"/>
  <c r="Y444" i="40" s="1"/>
  <c r="Y441" i="37" a="1"/>
  <c r="Y441" s="1"/>
  <c r="Y441" i="40" s="1"/>
  <c r="Y438" i="37" a="1"/>
  <c r="Y438" s="1"/>
  <c r="Y438" i="40" s="1"/>
  <c r="Y445" i="37" a="1"/>
  <c r="Y445" s="1"/>
  <c r="Y445" i="40" s="1"/>
  <c r="Y449" i="37" a="1"/>
  <c r="Y449" s="1"/>
  <c r="Y449" i="40" s="1"/>
  <c r="Y442" i="37" a="1"/>
  <c r="Y442" s="1"/>
  <c r="Y442" i="40" s="1"/>
  <c r="Y446" i="37" a="1"/>
  <c r="Y446" s="1"/>
  <c r="Y446" i="40" s="1"/>
  <c r="Y448" i="37" a="1"/>
  <c r="Y448" s="1"/>
  <c r="Y448" i="40" s="1"/>
  <c r="Y440" i="37" a="1"/>
  <c r="Y440" s="1"/>
  <c r="Y440" i="40" s="1"/>
  <c r="Y451" i="37" a="1"/>
  <c r="Y451" s="1"/>
  <c r="Y451" i="40" s="1"/>
  <c r="Y450" i="37" a="1"/>
  <c r="Y450" s="1"/>
  <c r="Y450" i="40" s="1"/>
  <c r="Y436" i="37" a="1"/>
  <c r="Y436" s="1"/>
  <c r="Y443" a="1"/>
  <c r="Y443" s="1"/>
  <c r="Y443" i="40" s="1"/>
  <c r="Z439" i="37" a="1"/>
  <c r="Z439" s="1"/>
  <c r="Z439" i="40" s="1"/>
  <c r="Z447" i="37" a="1"/>
  <c r="Z447" s="1"/>
  <c r="Z447" i="40" s="1"/>
  <c r="Z437" i="37" a="1"/>
  <c r="Z437" s="1"/>
  <c r="Z437" i="40" s="1"/>
  <c r="Z449" i="37" a="1"/>
  <c r="Z449" s="1"/>
  <c r="Z449" i="40" s="1"/>
  <c r="Z444" i="37" a="1"/>
  <c r="Z444" s="1"/>
  <c r="Z444" i="40" s="1"/>
  <c r="Z445" i="37" a="1"/>
  <c r="Z445" s="1"/>
  <c r="Z445" i="40" s="1"/>
  <c r="Z443" i="37" a="1"/>
  <c r="Z443" s="1"/>
  <c r="Z443" i="40" s="1"/>
  <c r="Z438" i="37" a="1"/>
  <c r="Z438" s="1"/>
  <c r="Z438" i="40" s="1"/>
  <c r="Z442" i="37" a="1"/>
  <c r="Z442" s="1"/>
  <c r="Z442" i="40" s="1"/>
  <c r="Z446" i="37" a="1"/>
  <c r="Z446" s="1"/>
  <c r="Z446" i="40" s="1"/>
  <c r="Z451" i="37" a="1"/>
  <c r="Z451" s="1"/>
  <c r="Z451" i="40" s="1"/>
  <c r="Z441" i="37" a="1"/>
  <c r="Z441" s="1"/>
  <c r="Z441" i="40" s="1"/>
  <c r="Z450" i="37" a="1"/>
  <c r="Z450" s="1"/>
  <c r="Z450" i="40" s="1"/>
  <c r="Z440" i="37" a="1"/>
  <c r="Z440" s="1"/>
  <c r="Z440" i="40" s="1"/>
  <c r="Z448" i="37" a="1"/>
  <c r="Z448" s="1"/>
  <c r="Z448" i="40" s="1"/>
  <c r="Z436" i="37" a="1"/>
  <c r="Z436" s="1"/>
  <c r="U469" a="1"/>
  <c r="U469" s="1"/>
  <c r="U469" i="40" s="1"/>
  <c r="U471" i="37" a="1"/>
  <c r="U471" s="1"/>
  <c r="U471" i="40" s="1"/>
  <c r="U477" i="37" a="1"/>
  <c r="U477" s="1"/>
  <c r="U477" i="40" s="1"/>
  <c r="U479" i="37" a="1"/>
  <c r="U479" s="1"/>
  <c r="U479" i="40" s="1"/>
  <c r="U473" i="37" a="1"/>
  <c r="U473" s="1"/>
  <c r="U473" i="40" s="1"/>
  <c r="U481" i="37" a="1"/>
  <c r="U481" s="1"/>
  <c r="U481" i="40" s="1"/>
  <c r="U482" i="37" a="1"/>
  <c r="U482" s="1"/>
  <c r="U482" i="40" s="1"/>
  <c r="U478" i="37" a="1"/>
  <c r="U478" s="1"/>
  <c r="U478" i="40" s="1"/>
  <c r="U483" i="37" a="1"/>
  <c r="U483" s="1"/>
  <c r="U483" i="40" s="1"/>
  <c r="U475" i="37" a="1"/>
  <c r="U475" s="1"/>
  <c r="U475" i="40" s="1"/>
  <c r="U470" i="37" a="1"/>
  <c r="U470" s="1"/>
  <c r="U470" i="40" s="1"/>
  <c r="U468" i="37" a="1"/>
  <c r="U468" s="1"/>
  <c r="U480" a="1"/>
  <c r="U480" s="1"/>
  <c r="U480" i="40" s="1"/>
  <c r="U472" i="37" a="1"/>
  <c r="U472" s="1"/>
  <c r="U472" i="40" s="1"/>
  <c r="U474" i="37" a="1"/>
  <c r="U474" s="1"/>
  <c r="U474" i="40" s="1"/>
  <c r="U476" i="37" a="1"/>
  <c r="U476" s="1"/>
  <c r="U476" i="40" s="1"/>
  <c r="R282" i="37" a="1"/>
  <c r="R282" s="1"/>
  <c r="R282" i="40" s="1"/>
  <c r="R295" i="37" a="1"/>
  <c r="R295" s="1"/>
  <c r="R295" i="40" s="1"/>
  <c r="R287" i="37" a="1"/>
  <c r="R287" s="1"/>
  <c r="R287" i="40" s="1"/>
  <c r="R285" i="37" a="1"/>
  <c r="R285" s="1"/>
  <c r="R285" i="40" s="1"/>
  <c r="R293" i="37" a="1"/>
  <c r="R293" s="1"/>
  <c r="R293" i="40" s="1"/>
  <c r="R279" i="37" a="1"/>
  <c r="R279" s="1"/>
  <c r="R279" i="40" s="1"/>
  <c r="R281" i="37" a="1"/>
  <c r="R281" s="1"/>
  <c r="R281" i="40" s="1"/>
  <c r="R278" i="37" a="1"/>
  <c r="R278" s="1"/>
  <c r="R284" a="1"/>
  <c r="R284" s="1"/>
  <c r="R284" i="40" s="1"/>
  <c r="R297" i="37" a="1"/>
  <c r="R297" s="1"/>
  <c r="R297" i="40" s="1"/>
  <c r="R289" i="37" a="1"/>
  <c r="R289" s="1"/>
  <c r="R289" i="40" s="1"/>
  <c r="R290" i="37" a="1"/>
  <c r="R290" s="1"/>
  <c r="R290" i="40" s="1"/>
  <c r="R294" i="37" a="1"/>
  <c r="R294" s="1"/>
  <c r="R294" i="40" s="1"/>
  <c r="R277" i="37" a="1"/>
  <c r="R277" s="1"/>
  <c r="R277" i="40" s="1"/>
  <c r="R286" i="37" a="1"/>
  <c r="R286" s="1"/>
  <c r="R286" i="40" s="1"/>
  <c r="R292" i="37" a="1"/>
  <c r="R292" s="1"/>
  <c r="R292" i="40" s="1"/>
  <c r="R283" i="37" a="1"/>
  <c r="R283" s="1"/>
  <c r="R283" i="40" s="1"/>
  <c r="R298" i="37" a="1"/>
  <c r="R298" s="1"/>
  <c r="R298" i="40" s="1"/>
  <c r="R291" i="37" a="1"/>
  <c r="R291" s="1"/>
  <c r="R291" i="40" s="1"/>
  <c r="R288" i="37" a="1"/>
  <c r="R288" s="1"/>
  <c r="R288" i="40" s="1"/>
  <c r="R296" i="37" a="1"/>
  <c r="R296" s="1"/>
  <c r="R296" i="40" s="1"/>
  <c r="R280" i="37" a="1"/>
  <c r="R280" s="1"/>
  <c r="R280" i="40" s="1"/>
  <c r="AB293" i="37" a="1"/>
  <c r="AB293" s="1"/>
  <c r="AB293" i="40" s="1"/>
  <c r="AB284" i="37" a="1"/>
  <c r="AB284" s="1"/>
  <c r="AB284" i="40" s="1"/>
  <c r="AB289" i="37" a="1"/>
  <c r="AB289" s="1"/>
  <c r="AB289" i="40" s="1"/>
  <c r="AB282" i="37" a="1"/>
  <c r="AB282" s="1"/>
  <c r="AB282" i="40" s="1"/>
  <c r="AB297" i="37" a="1"/>
  <c r="AB297" s="1"/>
  <c r="AB297" i="40" s="1"/>
  <c r="AB287" i="37" a="1"/>
  <c r="AB287" s="1"/>
  <c r="AB287" i="40" s="1"/>
  <c r="AB281" i="37" a="1"/>
  <c r="AB281" s="1"/>
  <c r="AB281" i="40" s="1"/>
  <c r="AB279" i="37" a="1"/>
  <c r="AB279" s="1"/>
  <c r="AB279" i="40" s="1"/>
  <c r="AB285" i="37" a="1"/>
  <c r="AB285" s="1"/>
  <c r="AB285" i="40" s="1"/>
  <c r="AB295" i="37" a="1"/>
  <c r="AB295" s="1"/>
  <c r="AB295" i="40" s="1"/>
  <c r="AB277" i="37" a="1"/>
  <c r="AB277" s="1"/>
  <c r="AB277" i="40" s="1"/>
  <c r="AB294" i="37" a="1"/>
  <c r="AB294" s="1"/>
  <c r="AB294" i="40" s="1"/>
  <c r="AB286" i="37" a="1"/>
  <c r="AB286" s="1"/>
  <c r="AB286" i="40" s="1"/>
  <c r="AB278" i="37" a="1"/>
  <c r="AB278" s="1"/>
  <c r="AB290" a="1"/>
  <c r="AB290" s="1"/>
  <c r="AB290" i="40" s="1"/>
  <c r="AB292" i="37" a="1"/>
  <c r="AB292" s="1"/>
  <c r="AB292" i="40" s="1"/>
  <c r="AB291" i="37" a="1"/>
  <c r="AB291" s="1"/>
  <c r="AB291" i="40" s="1"/>
  <c r="AB298" i="37" a="1"/>
  <c r="AB298" s="1"/>
  <c r="AB298" i="40" s="1"/>
  <c r="AB288" i="37" a="1"/>
  <c r="AB288" s="1"/>
  <c r="AB288" i="40" s="1"/>
  <c r="AB280" i="37" a="1"/>
  <c r="AB280" s="1"/>
  <c r="AB280" i="40" s="1"/>
  <c r="AB283" i="37" a="1"/>
  <c r="AB283" s="1"/>
  <c r="AB283" i="40" s="1"/>
  <c r="AB296" i="37" a="1"/>
  <c r="AB296" s="1"/>
  <c r="AB296" i="40" s="1"/>
  <c r="Z2" i="37" a="1"/>
  <c r="Z2" s="1"/>
  <c r="Z2" i="40" s="1"/>
  <c r="R2" i="37" a="1"/>
  <c r="R2" s="1"/>
  <c r="R2" i="40" s="1"/>
  <c r="X2" i="37" a="1"/>
  <c r="X2" s="1"/>
  <c r="X2" i="40" s="1"/>
  <c r="Y2" i="37" a="1"/>
  <c r="Y2" s="1"/>
  <c r="Y2" i="40" s="1"/>
  <c r="AB2" i="37" a="1"/>
  <c r="AB2" s="1"/>
  <c r="AB2" i="40" s="1"/>
  <c r="W2" i="37" a="1"/>
  <c r="W2" s="1"/>
  <c r="W2" i="40" s="1"/>
  <c r="V2" i="37" a="1"/>
  <c r="V2" s="1"/>
  <c r="V2" i="40" s="1"/>
  <c r="T2" i="37" a="1"/>
  <c r="T2" s="1"/>
  <c r="T2" i="40" s="1"/>
  <c r="S2" i="37" a="1"/>
  <c r="S2" s="1"/>
  <c r="S2" i="40" s="1"/>
  <c r="U2" i="37" a="1"/>
  <c r="U2" s="1"/>
  <c r="U2" i="40" s="1"/>
  <c r="AA2" i="37" a="1"/>
  <c r="AA2" s="1"/>
  <c r="AA2" i="40" s="1"/>
  <c r="T407" i="37" a="1"/>
  <c r="T407" s="1"/>
  <c r="T407" i="40" s="1"/>
  <c r="T394" i="37" a="1"/>
  <c r="T394" s="1"/>
  <c r="T394" i="40" s="1"/>
  <c r="T409" i="37" a="1"/>
  <c r="T409" s="1"/>
  <c r="T409" i="40" s="1"/>
  <c r="T401" i="37" a="1"/>
  <c r="T401" s="1"/>
  <c r="T401" i="40" s="1"/>
  <c r="T398" i="37" a="1"/>
  <c r="T398" s="1"/>
  <c r="T398" i="40" s="1"/>
  <c r="T390" i="37" a="1"/>
  <c r="T390" s="1"/>
  <c r="T389" a="1"/>
  <c r="T389" s="1"/>
  <c r="T389" i="40" s="1"/>
  <c r="T399" i="37" a="1"/>
  <c r="T399" s="1"/>
  <c r="T399" i="40" s="1"/>
  <c r="T406" i="37" a="1"/>
  <c r="T406" s="1"/>
  <c r="T406" i="40" s="1"/>
  <c r="T391" i="37" a="1"/>
  <c r="T391" s="1"/>
  <c r="T391" i="40" s="1"/>
  <c r="T412" i="37" a="1"/>
  <c r="T412" s="1"/>
  <c r="T412" i="40" s="1"/>
  <c r="T397" i="37" a="1"/>
  <c r="T397" s="1"/>
  <c r="T397" i="40" s="1"/>
  <c r="T411" i="37" a="1"/>
  <c r="T411" s="1"/>
  <c r="T411" i="40" s="1"/>
  <c r="T393" i="37" a="1"/>
  <c r="T393" s="1"/>
  <c r="T393" i="40" s="1"/>
  <c r="T396" i="37" a="1"/>
  <c r="T396" s="1"/>
  <c r="T396" i="40" s="1"/>
  <c r="T410" i="37" a="1"/>
  <c r="T410" s="1"/>
  <c r="T410" i="40" s="1"/>
  <c r="T402" i="37" a="1"/>
  <c r="T402" s="1"/>
  <c r="T402" i="40" s="1"/>
  <c r="T392" i="37" a="1"/>
  <c r="T392" s="1"/>
  <c r="T392" i="40" s="1"/>
  <c r="T408" i="37" a="1"/>
  <c r="T408" s="1"/>
  <c r="T408" i="40" s="1"/>
  <c r="T405" i="37" a="1"/>
  <c r="T405" s="1"/>
  <c r="T405" i="40" s="1"/>
  <c r="T404" i="37" a="1"/>
  <c r="T404" s="1"/>
  <c r="T404" i="40" s="1"/>
  <c r="T400" i="37" a="1"/>
  <c r="T400" s="1"/>
  <c r="T400" i="40" s="1"/>
  <c r="T395" i="37" a="1"/>
  <c r="T395" s="1"/>
  <c r="T395" i="40" s="1"/>
  <c r="T403" i="37" a="1"/>
  <c r="T403" s="1"/>
  <c r="T403" i="40" s="1"/>
  <c r="T354" i="37" a="1"/>
  <c r="T354" s="1"/>
  <c r="T354" i="40" s="1"/>
  <c r="T359" i="37" a="1"/>
  <c r="T359" s="1"/>
  <c r="T359" i="40" s="1"/>
  <c r="T351" i="37" a="1"/>
  <c r="T351" s="1"/>
  <c r="T351" i="40" s="1"/>
  <c r="T350" i="37" a="1"/>
  <c r="T350" s="1"/>
  <c r="T350" i="40" s="1"/>
  <c r="T353" i="37" a="1"/>
  <c r="T353" s="1"/>
  <c r="T353" i="40" s="1"/>
  <c r="T364" i="37" a="1"/>
  <c r="T364" s="1"/>
  <c r="T364" i="40" s="1"/>
  <c r="T346" i="37" a="1"/>
  <c r="T346" s="1"/>
  <c r="T346" i="40" s="1"/>
  <c r="T345" i="37" a="1"/>
  <c r="T345" s="1"/>
  <c r="T345" i="40" s="1"/>
  <c r="T343" i="37" a="1"/>
  <c r="T343" s="1"/>
  <c r="T343" i="40" s="1"/>
  <c r="T341" i="37" a="1"/>
  <c r="T341" s="1"/>
  <c r="T341" i="40" s="1"/>
  <c r="T348" i="37" a="1"/>
  <c r="T348" s="1"/>
  <c r="T348" i="40" s="1"/>
  <c r="T358" i="37" a="1"/>
  <c r="T358" s="1"/>
  <c r="T358" i="40" s="1"/>
  <c r="T357" i="37" a="1"/>
  <c r="T357" s="1"/>
  <c r="T357" i="40" s="1"/>
  <c r="T361" i="37" a="1"/>
  <c r="T361" s="1"/>
  <c r="T361" i="40" s="1"/>
  <c r="T342" i="37" a="1"/>
  <c r="T342" s="1"/>
  <c r="T355" a="1"/>
  <c r="T355" s="1"/>
  <c r="T355" i="40" s="1"/>
  <c r="T356" i="37" a="1"/>
  <c r="T356" s="1"/>
  <c r="T356" i="40" s="1"/>
  <c r="T362" i="37" a="1"/>
  <c r="T362" s="1"/>
  <c r="T362" i="40" s="1"/>
  <c r="T360" i="37" a="1"/>
  <c r="T360" s="1"/>
  <c r="T360" i="40" s="1"/>
  <c r="T363" i="37" a="1"/>
  <c r="T363" s="1"/>
  <c r="T363" i="40" s="1"/>
  <c r="T352" i="37" a="1"/>
  <c r="T352" s="1"/>
  <c r="T352" i="40" s="1"/>
  <c r="T347" i="37" a="1"/>
  <c r="T347" s="1"/>
  <c r="T347" i="40" s="1"/>
  <c r="T349" i="37" a="1"/>
  <c r="T349" s="1"/>
  <c r="T349" i="40" s="1"/>
  <c r="T344" i="37" a="1"/>
  <c r="T344" s="1"/>
  <c r="T344" i="40" s="1"/>
  <c r="R489" i="37" a="1"/>
  <c r="R489" s="1"/>
  <c r="R489" i="40" s="1"/>
  <c r="R485" i="37" a="1"/>
  <c r="R485" s="1"/>
  <c r="R485" i="40" s="1"/>
  <c r="R484" i="37" a="1"/>
  <c r="R484" s="1"/>
  <c r="R487" a="1"/>
  <c r="R487" s="1"/>
  <c r="R487" i="40" s="1"/>
  <c r="R486" i="37" a="1"/>
  <c r="R486" s="1"/>
  <c r="R486" i="40" s="1"/>
  <c r="R493" i="37" a="1"/>
  <c r="R493" s="1"/>
  <c r="R493" i="40" s="1"/>
  <c r="R492" i="37" a="1"/>
  <c r="R492" s="1"/>
  <c r="R492" i="40" s="1"/>
  <c r="R491" i="37" a="1"/>
  <c r="R491" s="1"/>
  <c r="R491" i="40" s="1"/>
  <c r="R497" i="37" a="1"/>
  <c r="R497" s="1"/>
  <c r="R497" i="40" s="1"/>
  <c r="R494" i="37" a="1"/>
  <c r="R494" s="1"/>
  <c r="R494" i="40" s="1"/>
  <c r="R495" i="37" a="1"/>
  <c r="R495" s="1"/>
  <c r="R495" i="40" s="1"/>
  <c r="R488" i="37" a="1"/>
  <c r="R488" s="1"/>
  <c r="R488" i="40" s="1"/>
  <c r="R496" i="37" a="1"/>
  <c r="R496" s="1"/>
  <c r="R496" i="40" s="1"/>
  <c r="R490" i="37" a="1"/>
  <c r="R490" s="1"/>
  <c r="R490" i="40" s="1"/>
  <c r="AB487" i="37" a="1"/>
  <c r="AB487" s="1"/>
  <c r="AB487" i="40" s="1"/>
  <c r="AB486" i="37" a="1"/>
  <c r="AB486" s="1"/>
  <c r="AB486" i="40" s="1"/>
  <c r="AB484" i="37" a="1"/>
  <c r="AB484" s="1"/>
  <c r="AB485" a="1"/>
  <c r="AB485" s="1"/>
  <c r="AB485" i="40" s="1"/>
  <c r="AB491" i="37" a="1"/>
  <c r="AB491" s="1"/>
  <c r="AB491" i="40" s="1"/>
  <c r="AB489" i="37" a="1"/>
  <c r="AB489" s="1"/>
  <c r="AB489" i="40" s="1"/>
  <c r="AB493" i="37" a="1"/>
  <c r="AB493" s="1"/>
  <c r="AB493" i="40" s="1"/>
  <c r="AB492" i="37" a="1"/>
  <c r="AB492" s="1"/>
  <c r="AB492" i="40" s="1"/>
  <c r="AB497" i="37" a="1"/>
  <c r="AB497" s="1"/>
  <c r="AB497" i="40" s="1"/>
  <c r="AB494" i="37" a="1"/>
  <c r="AB494" s="1"/>
  <c r="AB494" i="40" s="1"/>
  <c r="AB490" i="37" a="1"/>
  <c r="AB490" s="1"/>
  <c r="AB490" i="40" s="1"/>
  <c r="AB496" i="37" a="1"/>
  <c r="AB496" s="1"/>
  <c r="AB496" i="40" s="1"/>
  <c r="AB488" i="37" a="1"/>
  <c r="AB488" s="1"/>
  <c r="AB488" i="40" s="1"/>
  <c r="AB495" i="37" a="1"/>
  <c r="AB495" s="1"/>
  <c r="AB495" i="40" s="1"/>
  <c r="Y327" i="37" a="1"/>
  <c r="Y327" s="1"/>
  <c r="Y327" i="40" s="1"/>
  <c r="Y322" i="37" a="1"/>
  <c r="Y322" s="1"/>
  <c r="Y321" a="1"/>
  <c r="Y321" s="1"/>
  <c r="Y321" i="40" s="1"/>
  <c r="Y338" i="37" a="1"/>
  <c r="Y338" s="1"/>
  <c r="Y338" i="40" s="1"/>
  <c r="Y334" i="37" a="1"/>
  <c r="Y334" s="1"/>
  <c r="Y334" i="40" s="1"/>
  <c r="Y337" i="37" a="1"/>
  <c r="Y337" s="1"/>
  <c r="Y337" i="40" s="1"/>
  <c r="Y335" i="37" a="1"/>
  <c r="Y335" s="1"/>
  <c r="Y335" i="40" s="1"/>
  <c r="Y333" i="37" a="1"/>
  <c r="Y333" s="1"/>
  <c r="Y333" i="40" s="1"/>
  <c r="Y332" i="37" a="1"/>
  <c r="Y332" s="1"/>
  <c r="Y332" i="40" s="1"/>
  <c r="Y329" i="37" a="1"/>
  <c r="Y329" s="1"/>
  <c r="Y329" i="40" s="1"/>
  <c r="Y325" i="37" a="1"/>
  <c r="Y325" s="1"/>
  <c r="Y325" i="40" s="1"/>
  <c r="Y339" i="37" a="1"/>
  <c r="Y339" s="1"/>
  <c r="Y339" i="40" s="1"/>
  <c r="Y323" i="37" a="1"/>
  <c r="Y323" s="1"/>
  <c r="Y323" i="40" s="1"/>
  <c r="Y324" i="37" a="1"/>
  <c r="Y324" s="1"/>
  <c r="Y324" i="40" s="1"/>
  <c r="Y326" i="37" a="1"/>
  <c r="Y326" s="1"/>
  <c r="Y326" i="40" s="1"/>
  <c r="Y330" i="37" a="1"/>
  <c r="Y330" s="1"/>
  <c r="Y330" i="40" s="1"/>
  <c r="Y328" i="37" a="1"/>
  <c r="Y328" s="1"/>
  <c r="Y328" i="40" s="1"/>
  <c r="Y336" i="37" a="1"/>
  <c r="Y336" s="1"/>
  <c r="Y336" i="40" s="1"/>
  <c r="Y331" i="37" a="1"/>
  <c r="Y331" s="1"/>
  <c r="Y331" i="40" s="1"/>
  <c r="Y340" i="37" a="1"/>
  <c r="Y340" s="1"/>
  <c r="Y340" i="40" s="1"/>
  <c r="AA322" i="37" a="1"/>
  <c r="AA322" s="1"/>
  <c r="AA335" a="1"/>
  <c r="AA335" s="1"/>
  <c r="AA335" i="40" s="1"/>
  <c r="AA325" i="37" a="1"/>
  <c r="AA325" s="1"/>
  <c r="AA325" i="40" s="1"/>
  <c r="AA337" i="37" a="1"/>
  <c r="AA337" s="1"/>
  <c r="AA337" i="40" s="1"/>
  <c r="AA329" i="37" a="1"/>
  <c r="AA329" s="1"/>
  <c r="AA329" i="40" s="1"/>
  <c r="AA321" i="37" a="1"/>
  <c r="AA321" s="1"/>
  <c r="AA321" i="40" s="1"/>
  <c r="AA338" i="37" a="1"/>
  <c r="AA338" s="1"/>
  <c r="AA338" i="40" s="1"/>
  <c r="AA327" i="37" a="1"/>
  <c r="AA327" s="1"/>
  <c r="AA327" i="40" s="1"/>
  <c r="AA333" i="37" a="1"/>
  <c r="AA333" s="1"/>
  <c r="AA333" i="40" s="1"/>
  <c r="AA324" i="37" a="1"/>
  <c r="AA324" s="1"/>
  <c r="AA324" i="40" s="1"/>
  <c r="AA326" i="37" a="1"/>
  <c r="AA326" s="1"/>
  <c r="AA326" i="40" s="1"/>
  <c r="AA332" i="37" a="1"/>
  <c r="AA332" s="1"/>
  <c r="AA332" i="40" s="1"/>
  <c r="AA334" i="37" a="1"/>
  <c r="AA334" s="1"/>
  <c r="AA334" i="40" s="1"/>
  <c r="AA323" i="37" a="1"/>
  <c r="AA323" s="1"/>
  <c r="AA323" i="40" s="1"/>
  <c r="AA328" i="37" a="1"/>
  <c r="AA328" s="1"/>
  <c r="AA328" i="40" s="1"/>
  <c r="AA330" i="37" a="1"/>
  <c r="AA330" s="1"/>
  <c r="AA330" i="40" s="1"/>
  <c r="AA340" i="37" a="1"/>
  <c r="AA340" s="1"/>
  <c r="AA340" i="40" s="1"/>
  <c r="AA336" i="37" a="1"/>
  <c r="AA336" s="1"/>
  <c r="AA336" i="40" s="1"/>
  <c r="AA339" i="37" a="1"/>
  <c r="AA339" s="1"/>
  <c r="AA339" i="40" s="1"/>
  <c r="AA331" i="37" a="1"/>
  <c r="AA331" s="1"/>
  <c r="AA331" i="40" s="1"/>
  <c r="T50" i="37" a="1"/>
  <c r="T50" s="1"/>
  <c r="T50" i="40" s="1"/>
  <c r="T55" i="37" a="1"/>
  <c r="T55" s="1"/>
  <c r="T55" i="40" s="1"/>
  <c r="T47" i="37" a="1"/>
  <c r="T47" s="1"/>
  <c r="T66" a="1"/>
  <c r="T66" s="1"/>
  <c r="T66" i="40" s="1"/>
  <c r="T58" i="37" a="1"/>
  <c r="T58" s="1"/>
  <c r="T58" i="40" s="1"/>
  <c r="T68" i="37" a="1"/>
  <c r="T68" s="1"/>
  <c r="T68" i="40" s="1"/>
  <c r="T60" i="37" a="1"/>
  <c r="T60" s="1"/>
  <c r="T60" i="40" s="1"/>
  <c r="T57" i="37" a="1"/>
  <c r="T57" s="1"/>
  <c r="T57" i="40" s="1"/>
  <c r="T53" i="37" a="1"/>
  <c r="T53" s="1"/>
  <c r="T53" i="40" s="1"/>
  <c r="T63" i="37" a="1"/>
  <c r="T63" s="1"/>
  <c r="T63" i="40" s="1"/>
  <c r="T49" i="37" a="1"/>
  <c r="T49" s="1"/>
  <c r="T49" i="40" s="1"/>
  <c r="T65" i="37" a="1"/>
  <c r="T65" s="1"/>
  <c r="T65" i="40" s="1"/>
  <c r="T54" i="37" a="1"/>
  <c r="T54" s="1"/>
  <c r="T54" i="40" s="1"/>
  <c r="T52" i="37" a="1"/>
  <c r="T52" s="1"/>
  <c r="T52" i="40" s="1"/>
  <c r="T62" i="37" a="1"/>
  <c r="T62" s="1"/>
  <c r="T62" i="40" s="1"/>
  <c r="T46" i="37" a="1"/>
  <c r="T46" s="1"/>
  <c r="T46" i="40" s="1"/>
  <c r="T59" i="37" a="1"/>
  <c r="T59" s="1"/>
  <c r="T59" i="40" s="1"/>
  <c r="T61" i="37" a="1"/>
  <c r="T61" s="1"/>
  <c r="T61" i="40" s="1"/>
  <c r="T48" i="37" a="1"/>
  <c r="T48" s="1"/>
  <c r="T48" i="40" s="1"/>
  <c r="T56" i="37" a="1"/>
  <c r="T56" s="1"/>
  <c r="T56" i="40" s="1"/>
  <c r="T67" i="37" a="1"/>
  <c r="T67" s="1"/>
  <c r="T67" i="40" s="1"/>
  <c r="T51" i="37" a="1"/>
  <c r="T51" s="1"/>
  <c r="T51" i="40" s="1"/>
  <c r="T64" i="37" a="1"/>
  <c r="T64" s="1"/>
  <c r="T64" i="40" s="1"/>
  <c r="S261" i="37" a="1"/>
  <c r="S261" s="1"/>
  <c r="S261" i="40" s="1"/>
  <c r="S268" i="37" a="1"/>
  <c r="S268" s="1"/>
  <c r="S268" i="40" s="1"/>
  <c r="S274" i="37" a="1"/>
  <c r="S274" s="1"/>
  <c r="S274" i="40" s="1"/>
  <c r="S257" i="37" a="1"/>
  <c r="S257" s="1"/>
  <c r="S257" i="40" s="1"/>
  <c r="S258" i="37" a="1"/>
  <c r="S258" s="1"/>
  <c r="S258" i="40" s="1"/>
  <c r="S276" i="37" a="1"/>
  <c r="S276" s="1"/>
  <c r="S276" i="40" s="1"/>
  <c r="S263" i="37" a="1"/>
  <c r="S263" s="1"/>
  <c r="S263" i="40" s="1"/>
  <c r="S271" i="37" a="1"/>
  <c r="S271" s="1"/>
  <c r="S271" i="40" s="1"/>
  <c r="S255" i="37" a="1"/>
  <c r="S255" s="1"/>
  <c r="S270" a="1"/>
  <c r="S270" s="1"/>
  <c r="S270" i="40" s="1"/>
  <c r="S273" i="37" a="1"/>
  <c r="S273" s="1"/>
  <c r="S273" i="40" s="1"/>
  <c r="S265" i="37" a="1"/>
  <c r="S265" s="1"/>
  <c r="S265" i="40" s="1"/>
  <c r="S266" i="37" a="1"/>
  <c r="S266" s="1"/>
  <c r="S266" i="40" s="1"/>
  <c r="S254" i="37" a="1"/>
  <c r="S254" s="1"/>
  <c r="S254" i="40" s="1"/>
  <c r="S262" i="37" a="1"/>
  <c r="S262" s="1"/>
  <c r="S262" i="40" s="1"/>
  <c r="S260" i="37" a="1"/>
  <c r="S260" s="1"/>
  <c r="S260" i="40" s="1"/>
  <c r="S267" i="37" a="1"/>
  <c r="S267" s="1"/>
  <c r="S267" i="40" s="1"/>
  <c r="S256" i="37" a="1"/>
  <c r="S256" s="1"/>
  <c r="S256" i="40" s="1"/>
  <c r="S269" i="37" a="1"/>
  <c r="S269" s="1"/>
  <c r="S269" i="40" s="1"/>
  <c r="S275" i="37" a="1"/>
  <c r="S275" s="1"/>
  <c r="S275" i="40" s="1"/>
  <c r="S259" i="37" a="1"/>
  <c r="S259" s="1"/>
  <c r="S259" i="40" s="1"/>
  <c r="S272" i="37" a="1"/>
  <c r="S272" s="1"/>
  <c r="S272" i="40" s="1"/>
  <c r="S264" i="37" a="1"/>
  <c r="S264" s="1"/>
  <c r="S264" i="40" s="1"/>
  <c r="U178" i="37" a="1"/>
  <c r="U178" s="1"/>
  <c r="U178" i="40" s="1"/>
  <c r="U162" i="37" a="1"/>
  <c r="U162" s="1"/>
  <c r="U162" i="40" s="1"/>
  <c r="U170" i="37" a="1"/>
  <c r="U170" s="1"/>
  <c r="U170" i="40" s="1"/>
  <c r="U177" i="37" a="1"/>
  <c r="U177" s="1"/>
  <c r="U177" i="40" s="1"/>
  <c r="U169" i="37" a="1"/>
  <c r="U169" s="1"/>
  <c r="U169" i="40" s="1"/>
  <c r="U175" i="37" a="1"/>
  <c r="U175" s="1"/>
  <c r="U175" i="40" s="1"/>
  <c r="U182" i="37" a="1"/>
  <c r="U182" s="1"/>
  <c r="U182" i="40" s="1"/>
  <c r="U165" i="37" a="1"/>
  <c r="U165" s="1"/>
  <c r="U165" i="40" s="1"/>
  <c r="U167" i="37" a="1"/>
  <c r="U167" s="1"/>
  <c r="U167" i="40" s="1"/>
  <c r="U164" i="37" a="1"/>
  <c r="U164" s="1"/>
  <c r="U164" i="40" s="1"/>
  <c r="U183" i="37" a="1"/>
  <c r="U183" s="1"/>
  <c r="U183" i="40" s="1"/>
  <c r="U173" i="37" a="1"/>
  <c r="U173" s="1"/>
  <c r="U173" i="40" s="1"/>
  <c r="U180" i="37" a="1"/>
  <c r="U180" s="1"/>
  <c r="U180" i="40" s="1"/>
  <c r="U181" i="37" a="1"/>
  <c r="U181" s="1"/>
  <c r="U181" i="40" s="1"/>
  <c r="U172" i="37" a="1"/>
  <c r="U172" s="1"/>
  <c r="U172" i="40" s="1"/>
  <c r="U174" i="37" a="1"/>
  <c r="U174" s="1"/>
  <c r="U174" i="40" s="1"/>
  <c r="U166" i="37" a="1"/>
  <c r="U166" s="1"/>
  <c r="U166" i="40" s="1"/>
  <c r="U163" i="37" a="1"/>
  <c r="U163" s="1"/>
  <c r="U176" a="1"/>
  <c r="U176" s="1"/>
  <c r="U176" i="40" s="1"/>
  <c r="U168" i="37" a="1"/>
  <c r="U168" s="1"/>
  <c r="U168" i="40" s="1"/>
  <c r="U184" i="37" a="1"/>
  <c r="U184" s="1"/>
  <c r="U184" i="40" s="1"/>
  <c r="U179" i="37" a="1"/>
  <c r="U179" s="1"/>
  <c r="U179" i="40" s="1"/>
  <c r="U171" i="37" a="1"/>
  <c r="U171" s="1"/>
  <c r="U171" i="40" s="1"/>
  <c r="S21" i="37" a="1"/>
  <c r="S21" s="1"/>
  <c r="S21" i="40" s="1"/>
  <c r="S10" i="37" a="1"/>
  <c r="S10" s="1"/>
  <c r="S10" i="40" s="1"/>
  <c r="S15" i="37" a="1"/>
  <c r="S15" s="1"/>
  <c r="S15" i="40" s="1"/>
  <c r="S7" i="37" a="1"/>
  <c r="S7" s="1"/>
  <c r="S7" i="40" s="1"/>
  <c r="S18" i="37" a="1"/>
  <c r="S18" s="1"/>
  <c r="S18" i="40" s="1"/>
  <c r="S12" i="37" a="1"/>
  <c r="S12" s="1"/>
  <c r="S12" i="40" s="1"/>
  <c r="S17" i="37" a="1"/>
  <c r="S17" s="1"/>
  <c r="S17" i="40" s="1"/>
  <c r="S4" i="37" a="1"/>
  <c r="S4" s="1"/>
  <c r="S4" i="40" s="1"/>
  <c r="S20" i="37" a="1"/>
  <c r="S20" s="1"/>
  <c r="S20" i="40" s="1"/>
  <c r="S23" i="37" a="1"/>
  <c r="S23" s="1"/>
  <c r="S23" i="40" s="1"/>
  <c r="S9" i="37" a="1"/>
  <c r="S9" s="1"/>
  <c r="S9" i="40" s="1"/>
  <c r="S5" i="37" a="1"/>
  <c r="S5" s="1"/>
  <c r="S5" i="40" s="1"/>
  <c r="S14" i="37" a="1"/>
  <c r="S14" s="1"/>
  <c r="S14" i="40" s="1"/>
  <c r="S6" i="37" a="1"/>
  <c r="S6" s="1"/>
  <c r="S6" i="40" s="1"/>
  <c r="S22" i="37" a="1"/>
  <c r="S22" s="1"/>
  <c r="S22" i="40" s="1"/>
  <c r="S11" i="37" a="1"/>
  <c r="S11" s="1"/>
  <c r="S11" i="40" s="1"/>
  <c r="S16" i="37" a="1"/>
  <c r="S16" s="1"/>
  <c r="S16" i="40" s="1"/>
  <c r="S19" i="37" a="1"/>
  <c r="S19" s="1"/>
  <c r="S19" i="40" s="1"/>
  <c r="S3" i="37" a="1"/>
  <c r="S3" s="1"/>
  <c r="S13" a="1"/>
  <c r="S13" s="1"/>
  <c r="S13" i="40" s="1"/>
  <c r="S8" i="37" a="1"/>
  <c r="S8" s="1"/>
  <c r="S8" i="40" s="1"/>
  <c r="T423" i="37" a="1"/>
  <c r="T423" s="1"/>
  <c r="T423" i="40" s="1"/>
  <c r="T431" i="37" a="1"/>
  <c r="T431" s="1"/>
  <c r="T431" i="40" s="1"/>
  <c r="T415" i="37" a="1"/>
  <c r="T415" s="1"/>
  <c r="T415" i="40" s="1"/>
  <c r="T433" i="37" a="1"/>
  <c r="T433" s="1"/>
  <c r="T433" i="40" s="1"/>
  <c r="T430" i="37" a="1"/>
  <c r="T430" s="1"/>
  <c r="T430" i="40" s="1"/>
  <c r="T428" i="37" a="1"/>
  <c r="T428" s="1"/>
  <c r="T428" i="40" s="1"/>
  <c r="T421" i="37" a="1"/>
  <c r="T421" s="1"/>
  <c r="T421" i="40" s="1"/>
  <c r="T429" i="37" a="1"/>
  <c r="T429" s="1"/>
  <c r="T429" i="40" s="1"/>
  <c r="T425" i="37" a="1"/>
  <c r="T425" s="1"/>
  <c r="T425" i="40" s="1"/>
  <c r="T435" i="37" a="1"/>
  <c r="T435" s="1"/>
  <c r="T435" i="40" s="1"/>
  <c r="T420" i="37" a="1"/>
  <c r="T420" s="1"/>
  <c r="T420" i="40" s="1"/>
  <c r="T417" i="37" a="1"/>
  <c r="T417" s="1"/>
  <c r="T417" i="40" s="1"/>
  <c r="T414" i="37" a="1"/>
  <c r="T414" s="1"/>
  <c r="T422" a="1"/>
  <c r="T422" s="1"/>
  <c r="T422" i="40" s="1"/>
  <c r="T426" i="37" a="1"/>
  <c r="T426" s="1"/>
  <c r="T426" i="40" s="1"/>
  <c r="T413" i="37" a="1"/>
  <c r="T413" s="1"/>
  <c r="T413" i="40" s="1"/>
  <c r="T419" i="37" a="1"/>
  <c r="T419" s="1"/>
  <c r="T419" i="40" s="1"/>
  <c r="T416" i="37" a="1"/>
  <c r="T416" s="1"/>
  <c r="T416" i="40" s="1"/>
  <c r="T432" i="37" a="1"/>
  <c r="T432" s="1"/>
  <c r="T432" i="40" s="1"/>
  <c r="T427" i="37" a="1"/>
  <c r="T427" s="1"/>
  <c r="T427" i="40" s="1"/>
  <c r="T424" i="37" a="1"/>
  <c r="T424" s="1"/>
  <c r="T424" i="40" s="1"/>
  <c r="T434" i="37" a="1"/>
  <c r="T434" s="1"/>
  <c r="T434" i="40" s="1"/>
  <c r="T418" i="37" a="1"/>
  <c r="T418" s="1"/>
  <c r="T418" i="40" s="1"/>
  <c r="U253" i="37" a="1"/>
  <c r="U253" s="1"/>
  <c r="U253" i="40" s="1"/>
  <c r="U242" i="37" a="1"/>
  <c r="U242" s="1"/>
  <c r="U242" i="40" s="1"/>
  <c r="U239" i="37" a="1"/>
  <c r="U239" s="1"/>
  <c r="U239" i="40" s="1"/>
  <c r="U231" i="37" a="1"/>
  <c r="U231" s="1"/>
  <c r="U231" i="40" s="1"/>
  <c r="U244" i="37" a="1"/>
  <c r="U244" s="1"/>
  <c r="U244" i="40" s="1"/>
  <c r="U245" i="37" a="1"/>
  <c r="U245" s="1"/>
  <c r="U245" i="40" s="1"/>
  <c r="U241" i="37" a="1"/>
  <c r="U241" s="1"/>
  <c r="U241" i="40" s="1"/>
  <c r="U247" i="37" a="1"/>
  <c r="U247" s="1"/>
  <c r="U247" i="40" s="1"/>
  <c r="U236" i="37" a="1"/>
  <c r="U236" s="1"/>
  <c r="U236" i="40" s="1"/>
  <c r="U249" i="37" a="1"/>
  <c r="U249" s="1"/>
  <c r="U249" i="40" s="1"/>
  <c r="U250" i="37" a="1"/>
  <c r="U250" s="1"/>
  <c r="U250" i="40" s="1"/>
  <c r="U233" i="37" a="1"/>
  <c r="U233" s="1"/>
  <c r="U233" i="40" s="1"/>
  <c r="U234" i="37" a="1"/>
  <c r="U234" s="1"/>
  <c r="U234" i="40" s="1"/>
  <c r="U237" i="37" a="1"/>
  <c r="U237" s="1"/>
  <c r="U237" i="40" s="1"/>
  <c r="U246" i="37" a="1"/>
  <c r="U246" s="1"/>
  <c r="U246" i="40" s="1"/>
  <c r="U238" i="37" a="1"/>
  <c r="U238" s="1"/>
  <c r="U238" i="40" s="1"/>
  <c r="U248" i="37" a="1"/>
  <c r="U248" s="1"/>
  <c r="U248" i="40" s="1"/>
  <c r="U243" i="37" a="1"/>
  <c r="U243" s="1"/>
  <c r="U243" i="40" s="1"/>
  <c r="U235" i="37" a="1"/>
  <c r="U235" s="1"/>
  <c r="U235" i="40" s="1"/>
  <c r="U252" i="37" a="1"/>
  <c r="U252" s="1"/>
  <c r="U252" i="40" s="1"/>
  <c r="U240" i="37" a="1"/>
  <c r="U240" s="1"/>
  <c r="U240" i="40" s="1"/>
  <c r="U232" i="37" a="1"/>
  <c r="U232" s="1"/>
  <c r="U251" a="1"/>
  <c r="U251" s="1"/>
  <c r="U251" i="40" s="1"/>
  <c r="S138" i="37" a="1"/>
  <c r="S138" s="1"/>
  <c r="S138" i="40" s="1"/>
  <c r="S154" i="37" a="1"/>
  <c r="S154" s="1"/>
  <c r="S154" i="40" s="1"/>
  <c r="S159" i="37" a="1"/>
  <c r="S159" s="1"/>
  <c r="S159" i="40" s="1"/>
  <c r="S145" i="37" a="1"/>
  <c r="S145" s="1"/>
  <c r="S145" i="40" s="1"/>
  <c r="S143" i="37" a="1"/>
  <c r="S143" s="1"/>
  <c r="S143" i="40" s="1"/>
  <c r="S149" i="37" a="1"/>
  <c r="S149" s="1"/>
  <c r="S149" i="40" s="1"/>
  <c r="S157" i="37" a="1"/>
  <c r="S157" s="1"/>
  <c r="S157" i="40" s="1"/>
  <c r="S140" i="37" a="1"/>
  <c r="S140" s="1"/>
  <c r="S140" i="40" s="1"/>
  <c r="S146" i="37" a="1"/>
  <c r="S146" s="1"/>
  <c r="S146" i="40" s="1"/>
  <c r="S153" i="37" a="1"/>
  <c r="S153" s="1"/>
  <c r="S153" i="40" s="1"/>
  <c r="S161" i="37" a="1"/>
  <c r="S161" s="1"/>
  <c r="S161" i="40" s="1"/>
  <c r="S151" i="37" a="1"/>
  <c r="S151" s="1"/>
  <c r="S151" i="40" s="1"/>
  <c r="S142" i="37" a="1"/>
  <c r="S142" s="1"/>
  <c r="S142" i="40" s="1"/>
  <c r="S150" i="37" a="1"/>
  <c r="S150" s="1"/>
  <c r="S150" i="40" s="1"/>
  <c r="S156" i="37" a="1"/>
  <c r="S156" s="1"/>
  <c r="S156" i="40" s="1"/>
  <c r="S158" i="37" a="1"/>
  <c r="S158" s="1"/>
  <c r="S158" i="40" s="1"/>
  <c r="S148" i="37" a="1"/>
  <c r="S148" s="1"/>
  <c r="S148" i="40" s="1"/>
  <c r="S141" i="37" a="1"/>
  <c r="S141" s="1"/>
  <c r="S141" i="40" s="1"/>
  <c r="S155" i="37" a="1"/>
  <c r="S155" s="1"/>
  <c r="S155" i="40" s="1"/>
  <c r="S152" i="37" a="1"/>
  <c r="S152" s="1"/>
  <c r="S152" i="40" s="1"/>
  <c r="S160" i="37" a="1"/>
  <c r="S160" s="1"/>
  <c r="S160" i="40" s="1"/>
  <c r="S139" i="37" a="1"/>
  <c r="S139" s="1"/>
  <c r="S144" a="1"/>
  <c r="S144" s="1"/>
  <c r="S144" i="40" s="1"/>
  <c r="S147" i="37" a="1"/>
  <c r="S147" s="1"/>
  <c r="S147" i="40" s="1"/>
  <c r="Y42" i="37" a="1"/>
  <c r="Y42" s="1"/>
  <c r="Y42" i="40" s="1"/>
  <c r="Y26" i="37" a="1"/>
  <c r="Y26" s="1"/>
  <c r="Y26" i="40" s="1"/>
  <c r="Y29" i="37" a="1"/>
  <c r="Y29" s="1"/>
  <c r="Y29" i="40" s="1"/>
  <c r="Y28" i="37" a="1"/>
  <c r="Y28" s="1"/>
  <c r="Y28" i="40" s="1"/>
  <c r="Y30" i="37" a="1"/>
  <c r="Y30" s="1"/>
  <c r="Y30" i="40" s="1"/>
  <c r="Y25" i="37" a="1"/>
  <c r="Y25" s="1"/>
  <c r="Y39" a="1"/>
  <c r="Y39" s="1"/>
  <c r="Y39" i="40" s="1"/>
  <c r="Y31" i="37" a="1"/>
  <c r="Y31" s="1"/>
  <c r="Y31" i="40" s="1"/>
  <c r="Y45" i="37" a="1"/>
  <c r="Y45" s="1"/>
  <c r="Y45" i="40" s="1"/>
  <c r="Y34" i="37" a="1"/>
  <c r="Y34" s="1"/>
  <c r="Y34" i="40" s="1"/>
  <c r="Y41" i="37" a="1"/>
  <c r="Y41" s="1"/>
  <c r="Y41" i="40" s="1"/>
  <c r="Y33" i="37" a="1"/>
  <c r="Y33" s="1"/>
  <c r="Y33" i="40" s="1"/>
  <c r="Y36" i="37" a="1"/>
  <c r="Y36" s="1"/>
  <c r="Y36" i="40" s="1"/>
  <c r="Y37" i="37" a="1"/>
  <c r="Y37" s="1"/>
  <c r="Y37" i="40" s="1"/>
  <c r="Y44" i="37" a="1"/>
  <c r="Y44" s="1"/>
  <c r="Y44" i="40" s="1"/>
  <c r="Y38" i="37" a="1"/>
  <c r="Y38" s="1"/>
  <c r="Y38" i="40" s="1"/>
  <c r="Y35" i="37" a="1"/>
  <c r="Y35" s="1"/>
  <c r="Y35" i="40" s="1"/>
  <c r="Y40" i="37" a="1"/>
  <c r="Y40" s="1"/>
  <c r="Y40" i="40" s="1"/>
  <c r="Y24" i="37" a="1"/>
  <c r="Y24" s="1"/>
  <c r="Y24" i="40" s="1"/>
  <c r="Y32" i="37" a="1"/>
  <c r="Y32" s="1"/>
  <c r="Y32" i="40" s="1"/>
  <c r="Y27" i="37" a="1"/>
  <c r="Y27" s="1"/>
  <c r="Y27" i="40" s="1"/>
  <c r="Y43" i="37" a="1"/>
  <c r="Y43" s="1"/>
  <c r="Y43" i="40" s="1"/>
  <c r="AA39" i="37" a="1"/>
  <c r="AA39" s="1"/>
  <c r="AA39" i="40" s="1"/>
  <c r="AA29" i="37" a="1"/>
  <c r="AA29" s="1"/>
  <c r="AA29" i="40" s="1"/>
  <c r="AA34" i="37" a="1"/>
  <c r="AA34" s="1"/>
  <c r="AA34" i="40" s="1"/>
  <c r="AA25" i="37" a="1"/>
  <c r="AA25" s="1"/>
  <c r="AA42" a="1"/>
  <c r="AA42" s="1"/>
  <c r="AA42" i="40" s="1"/>
  <c r="AA31" i="37" a="1"/>
  <c r="AA31" s="1"/>
  <c r="AA31" i="40" s="1"/>
  <c r="AA41" i="37" a="1"/>
  <c r="AA41" s="1"/>
  <c r="AA41" i="40" s="1"/>
  <c r="AA26" i="37" a="1"/>
  <c r="AA26" s="1"/>
  <c r="AA26" i="40" s="1"/>
  <c r="AA33" i="37" a="1"/>
  <c r="AA33" s="1"/>
  <c r="AA33" i="40" s="1"/>
  <c r="AA28" i="37" a="1"/>
  <c r="AA28" s="1"/>
  <c r="AA28" i="40" s="1"/>
  <c r="AA30" i="37" a="1"/>
  <c r="AA30" s="1"/>
  <c r="AA30" i="40" s="1"/>
  <c r="AA37" i="37" a="1"/>
  <c r="AA37" s="1"/>
  <c r="AA37" i="40" s="1"/>
  <c r="AA44" i="37" a="1"/>
  <c r="AA44" s="1"/>
  <c r="AA44" i="40" s="1"/>
  <c r="AA45" i="37" a="1"/>
  <c r="AA45" s="1"/>
  <c r="AA45" i="40" s="1"/>
  <c r="AA38" i="37" a="1"/>
  <c r="AA38" s="1"/>
  <c r="AA38" i="40" s="1"/>
  <c r="AA36" i="37" a="1"/>
  <c r="AA36" s="1"/>
  <c r="AA36" i="40" s="1"/>
  <c r="AA27" i="37" a="1"/>
  <c r="AA27" s="1"/>
  <c r="AA27" i="40" s="1"/>
  <c r="AA24" i="37" a="1"/>
  <c r="AA24" s="1"/>
  <c r="AA24" i="40" s="1"/>
  <c r="AA40" i="37" a="1"/>
  <c r="AA40" s="1"/>
  <c r="AA40" i="40" s="1"/>
  <c r="AA35" i="37" a="1"/>
  <c r="AA35" s="1"/>
  <c r="AA35" i="40" s="1"/>
  <c r="AA32" i="37" a="1"/>
  <c r="AA32" s="1"/>
  <c r="AA32" i="40" s="1"/>
  <c r="AA43" i="37" a="1"/>
  <c r="AA43" s="1"/>
  <c r="AA43" i="40" s="1"/>
  <c r="R378" i="37" a="1"/>
  <c r="R378" s="1"/>
  <c r="R378" i="40" s="1"/>
  <c r="R381" i="37" a="1"/>
  <c r="R381" s="1"/>
  <c r="R381" i="40" s="1"/>
  <c r="R383" i="37" a="1"/>
  <c r="R383" s="1"/>
  <c r="R383" i="40" s="1"/>
  <c r="R373" i="37" a="1"/>
  <c r="R373" s="1"/>
  <c r="R373" i="40" s="1"/>
  <c r="R382" i="37" a="1"/>
  <c r="R382" s="1"/>
  <c r="R382" i="40" s="1"/>
  <c r="R374" i="37" a="1"/>
  <c r="R374" s="1"/>
  <c r="R374" i="40" s="1"/>
  <c r="R369" i="37" a="1"/>
  <c r="R369" s="1"/>
  <c r="R369" i="40" s="1"/>
  <c r="R367" i="37" a="1"/>
  <c r="R367" s="1"/>
  <c r="R367" i="40" s="1"/>
  <c r="R385" i="37" a="1"/>
  <c r="R385" s="1"/>
  <c r="R385" i="40" s="1"/>
  <c r="R375" i="37" a="1"/>
  <c r="R375" s="1"/>
  <c r="R375" i="40" s="1"/>
  <c r="R380" i="37" a="1"/>
  <c r="R380" s="1"/>
  <c r="R380" i="40" s="1"/>
  <c r="R386" i="37" a="1"/>
  <c r="R386" s="1"/>
  <c r="R386" i="40" s="1"/>
  <c r="R377" i="37" a="1"/>
  <c r="R377" s="1"/>
  <c r="R377" i="40" s="1"/>
  <c r="R370" i="37" a="1"/>
  <c r="R370" s="1"/>
  <c r="R370" i="40" s="1"/>
  <c r="R388" i="37" a="1"/>
  <c r="R388" s="1"/>
  <c r="R388" i="40" s="1"/>
  <c r="R366" i="37" a="1"/>
  <c r="R366" s="1"/>
  <c r="R372" a="1"/>
  <c r="R372" s="1"/>
  <c r="R372" i="40" s="1"/>
  <c r="R379" i="37" a="1"/>
  <c r="R379" s="1"/>
  <c r="R379" i="40" s="1"/>
  <c r="R387" i="37" a="1"/>
  <c r="R387" s="1"/>
  <c r="R387" i="40" s="1"/>
  <c r="R384" i="37" a="1"/>
  <c r="R384" s="1"/>
  <c r="R384" i="40" s="1"/>
  <c r="R376" i="37" a="1"/>
  <c r="R376" s="1"/>
  <c r="R376" i="40" s="1"/>
  <c r="R371" i="37" a="1"/>
  <c r="R371" s="1"/>
  <c r="R371" i="40" s="1"/>
  <c r="R368" i="37" a="1"/>
  <c r="R368" s="1"/>
  <c r="R368" i="40" s="1"/>
  <c r="R365" i="37" a="1"/>
  <c r="R365" s="1"/>
  <c r="R365" i="40" s="1"/>
  <c r="AB378" i="37" a="1"/>
  <c r="AB378" s="1"/>
  <c r="AB378" i="40" s="1"/>
  <c r="AB381" i="37" a="1"/>
  <c r="AB381" s="1"/>
  <c r="AB381" i="40" s="1"/>
  <c r="AB375" i="37" a="1"/>
  <c r="AB375" s="1"/>
  <c r="AB375" i="40" s="1"/>
  <c r="AB383" i="37" a="1"/>
  <c r="AB383" s="1"/>
  <c r="AB383" i="40" s="1"/>
  <c r="AB380" i="37" a="1"/>
  <c r="AB380" s="1"/>
  <c r="AB380" i="40" s="1"/>
  <c r="AB374" i="37" a="1"/>
  <c r="AB374" s="1"/>
  <c r="AB374" i="40" s="1"/>
  <c r="AB367" i="37" a="1"/>
  <c r="AB367" s="1"/>
  <c r="AB367" i="40" s="1"/>
  <c r="AB373" i="37" a="1"/>
  <c r="AB373" s="1"/>
  <c r="AB373" i="40" s="1"/>
  <c r="AB369" i="37" a="1"/>
  <c r="AB369" s="1"/>
  <c r="AB369" i="40" s="1"/>
  <c r="AB385" i="37" a="1"/>
  <c r="AB385" s="1"/>
  <c r="AB385" i="40" s="1"/>
  <c r="AB386" i="37" a="1"/>
  <c r="AB386" s="1"/>
  <c r="AB386" i="40" s="1"/>
  <c r="AB366" i="37" a="1"/>
  <c r="AB366" s="1"/>
  <c r="AB377" a="1"/>
  <c r="AB377" s="1"/>
  <c r="AB377" i="40" s="1"/>
  <c r="AB382" i="37" a="1"/>
  <c r="AB382" s="1"/>
  <c r="AB382" i="40" s="1"/>
  <c r="AB370" i="37" a="1"/>
  <c r="AB370" s="1"/>
  <c r="AB370" i="40" s="1"/>
  <c r="AB388" i="37" a="1"/>
  <c r="AB388" s="1"/>
  <c r="AB388" i="40" s="1"/>
  <c r="AB372" i="37" a="1"/>
  <c r="AB372" s="1"/>
  <c r="AB372" i="40" s="1"/>
  <c r="AB368" i="37" a="1"/>
  <c r="AB368" s="1"/>
  <c r="AB368" i="40" s="1"/>
  <c r="AB387" i="37" a="1"/>
  <c r="AB387" s="1"/>
  <c r="AB387" i="40" s="1"/>
  <c r="AB371" i="37" a="1"/>
  <c r="AB371" s="1"/>
  <c r="AB371" i="40" s="1"/>
  <c r="AB384" i="37" a="1"/>
  <c r="AB384" s="1"/>
  <c r="AB384" i="40" s="1"/>
  <c r="AB365" i="37" a="1"/>
  <c r="AB365" s="1"/>
  <c r="AB365" i="40" s="1"/>
  <c r="AB379" i="37" a="1"/>
  <c r="AB379" s="1"/>
  <c r="AB379" i="40" s="1"/>
  <c r="AB376" i="37" a="1"/>
  <c r="AB376" s="1"/>
  <c r="AB376" i="40" s="1"/>
  <c r="R197" i="37" a="1"/>
  <c r="R197" s="1"/>
  <c r="R197" i="40" s="1"/>
  <c r="R186" i="37" a="1"/>
  <c r="R186" s="1"/>
  <c r="R207" a="1"/>
  <c r="R207" s="1"/>
  <c r="R207" i="40" s="1"/>
  <c r="R202" i="37" a="1"/>
  <c r="R202" s="1"/>
  <c r="R202" i="40" s="1"/>
  <c r="R199" i="37" a="1"/>
  <c r="R199" s="1"/>
  <c r="R199" i="40" s="1"/>
  <c r="R194" i="37" a="1"/>
  <c r="R194" s="1"/>
  <c r="R194" i="40" s="1"/>
  <c r="R191" i="37" a="1"/>
  <c r="R191" s="1"/>
  <c r="R191" i="40" s="1"/>
  <c r="R193" i="37" a="1"/>
  <c r="R193" s="1"/>
  <c r="R193" i="40" s="1"/>
  <c r="R185" i="37" a="1"/>
  <c r="R185" s="1"/>
  <c r="R185" i="40" s="1"/>
  <c r="R205" i="37" a="1"/>
  <c r="R205" s="1"/>
  <c r="R205" i="40" s="1"/>
  <c r="R201" i="37" a="1"/>
  <c r="R201" s="1"/>
  <c r="R201" i="40" s="1"/>
  <c r="R189" i="37" a="1"/>
  <c r="R189" s="1"/>
  <c r="R189" i="40" s="1"/>
  <c r="R196" i="37" a="1"/>
  <c r="R196" s="1"/>
  <c r="R196" i="40" s="1"/>
  <c r="R206" i="37" a="1"/>
  <c r="R206" s="1"/>
  <c r="R206" i="40" s="1"/>
  <c r="R204" i="37" a="1"/>
  <c r="R204" s="1"/>
  <c r="R204" i="40" s="1"/>
  <c r="R198" i="37" a="1"/>
  <c r="R198" s="1"/>
  <c r="R198" i="40" s="1"/>
  <c r="R190" i="37" a="1"/>
  <c r="R190" s="1"/>
  <c r="R190" i="40" s="1"/>
  <c r="R188" i="37" a="1"/>
  <c r="R188" s="1"/>
  <c r="R188" i="40" s="1"/>
  <c r="R203" i="37" a="1"/>
  <c r="R203" s="1"/>
  <c r="R203" i="40" s="1"/>
  <c r="R192" i="37" a="1"/>
  <c r="R192" s="1"/>
  <c r="R192" i="40" s="1"/>
  <c r="R200" i="37" a="1"/>
  <c r="R200" s="1"/>
  <c r="R200" i="40" s="1"/>
  <c r="R195" i="37" a="1"/>
  <c r="R195" s="1"/>
  <c r="R195" i="40" s="1"/>
  <c r="R187" i="37" a="1"/>
  <c r="R187" s="1"/>
  <c r="R187" i="40" s="1"/>
  <c r="AB202" i="37" a="1"/>
  <c r="AB202" s="1"/>
  <c r="AB202" i="40" s="1"/>
  <c r="AB197" i="37" a="1"/>
  <c r="AB197" s="1"/>
  <c r="AB197" i="40" s="1"/>
  <c r="AB194" i="37" a="1"/>
  <c r="AB194" s="1"/>
  <c r="AB194" i="40" s="1"/>
  <c r="AB199" i="37" a="1"/>
  <c r="AB199" s="1"/>
  <c r="AB199" i="40" s="1"/>
  <c r="AB196" i="37" a="1"/>
  <c r="AB196" s="1"/>
  <c r="AB196" i="40" s="1"/>
  <c r="AB204" i="37" a="1"/>
  <c r="AB204" s="1"/>
  <c r="AB204" i="40" s="1"/>
  <c r="AB186" i="37" a="1"/>
  <c r="AB186" s="1"/>
  <c r="AB207" a="1"/>
  <c r="AB207" s="1"/>
  <c r="AB207" i="40" s="1"/>
  <c r="AB201" i="37" a="1"/>
  <c r="AB201" s="1"/>
  <c r="AB201" i="40" s="1"/>
  <c r="AB185" i="37" a="1"/>
  <c r="AB185" s="1"/>
  <c r="AB185" i="40" s="1"/>
  <c r="AB205" i="37" a="1"/>
  <c r="AB205" s="1"/>
  <c r="AB205" i="40" s="1"/>
  <c r="AB193" i="37" a="1"/>
  <c r="AB193" s="1"/>
  <c r="AB193" i="40" s="1"/>
  <c r="AB189" i="37" a="1"/>
  <c r="AB189" s="1"/>
  <c r="AB189" i="40" s="1"/>
  <c r="AB191" i="37" a="1"/>
  <c r="AB191" s="1"/>
  <c r="AB191" i="40" s="1"/>
  <c r="AB188" i="37" a="1"/>
  <c r="AB188" s="1"/>
  <c r="AB188" i="40" s="1"/>
  <c r="AB206" i="37" a="1"/>
  <c r="AB206" s="1"/>
  <c r="AB206" i="40" s="1"/>
  <c r="AB198" i="37" a="1"/>
  <c r="AB198" s="1"/>
  <c r="AB198" i="40" s="1"/>
  <c r="AB190" i="37" a="1"/>
  <c r="AB190" s="1"/>
  <c r="AB190" i="40" s="1"/>
  <c r="AB192" i="37" a="1"/>
  <c r="AB192" s="1"/>
  <c r="AB192" i="40" s="1"/>
  <c r="AB203" i="37" a="1"/>
  <c r="AB203" s="1"/>
  <c r="AB203" i="40" s="1"/>
  <c r="AB195" i="37" a="1"/>
  <c r="AB195" s="1"/>
  <c r="AB195" i="40" s="1"/>
  <c r="AB187" i="37" a="1"/>
  <c r="AB187" s="1"/>
  <c r="AB187" i="40" s="1"/>
  <c r="AB200" i="37" a="1"/>
  <c r="AB200" s="1"/>
  <c r="AB200" i="40" s="1"/>
  <c r="S319" i="37" a="1"/>
  <c r="S319" s="1"/>
  <c r="S319" i="40" s="1"/>
  <c r="S311" i="37" a="1"/>
  <c r="S311" s="1"/>
  <c r="S311" i="40" s="1"/>
  <c r="S301" i="37" a="1"/>
  <c r="S301" s="1"/>
  <c r="S301" i="40" s="1"/>
  <c r="S302" i="37" a="1"/>
  <c r="S302" s="1"/>
  <c r="S302" i="40" s="1"/>
  <c r="S313" i="37" a="1"/>
  <c r="S313" s="1"/>
  <c r="S313" i="40" s="1"/>
  <c r="S305" i="37" a="1"/>
  <c r="S305" s="1"/>
  <c r="S305" i="40" s="1"/>
  <c r="S303" i="37" a="1"/>
  <c r="S303" s="1"/>
  <c r="S303" i="40" s="1"/>
  <c r="S317" i="37" a="1"/>
  <c r="S317" s="1"/>
  <c r="S317" i="40" s="1"/>
  <c r="S315" i="37" a="1"/>
  <c r="S315" s="1"/>
  <c r="S315" i="40" s="1"/>
  <c r="S309" i="37" a="1"/>
  <c r="S309" s="1"/>
  <c r="S309" i="40" s="1"/>
  <c r="S310" i="37" a="1"/>
  <c r="S310" s="1"/>
  <c r="S310" i="40" s="1"/>
  <c r="S306" i="37" a="1"/>
  <c r="S306" s="1"/>
  <c r="S306" i="40" s="1"/>
  <c r="S318" i="37" a="1"/>
  <c r="S318" s="1"/>
  <c r="S318" i="40" s="1"/>
  <c r="S308" i="37" a="1"/>
  <c r="S308" s="1"/>
  <c r="S308" i="40" s="1"/>
  <c r="S307" i="37" a="1"/>
  <c r="S307" s="1"/>
  <c r="S307" i="40" s="1"/>
  <c r="S299" i="37" a="1"/>
  <c r="S299" s="1"/>
  <c r="S299" i="40" s="1"/>
  <c r="S316" i="37" a="1"/>
  <c r="S316" s="1"/>
  <c r="S316" i="40" s="1"/>
  <c r="S314" i="37" a="1"/>
  <c r="S314" s="1"/>
  <c r="S314" i="40" s="1"/>
  <c r="S300" i="37" a="1"/>
  <c r="S300" s="1"/>
  <c r="S312" a="1"/>
  <c r="S312" s="1"/>
  <c r="S312" i="40" s="1"/>
  <c r="S320" i="37" a="1"/>
  <c r="S320" s="1"/>
  <c r="S320" i="40" s="1"/>
  <c r="S304" i="37" a="1"/>
  <c r="S304" s="1"/>
  <c r="S304" i="40" s="1"/>
  <c r="W125" i="37" a="1"/>
  <c r="W125" s="1"/>
  <c r="W125" i="40" s="1"/>
  <c r="W114" i="37" a="1"/>
  <c r="W114" s="1"/>
  <c r="W114" i="40" s="1"/>
  <c r="W130" i="37" a="1"/>
  <c r="W130" s="1"/>
  <c r="W130" i="40" s="1"/>
  <c r="W122" i="37" a="1"/>
  <c r="W122" s="1"/>
  <c r="W122" i="40" s="1"/>
  <c r="W118" i="37" a="1"/>
  <c r="W118" s="1"/>
  <c r="W118" i="40" s="1"/>
  <c r="W121" i="37" a="1"/>
  <c r="W121" s="1"/>
  <c r="W121" i="40" s="1"/>
  <c r="W127" i="37" a="1"/>
  <c r="W127" s="1"/>
  <c r="W127" i="40" s="1"/>
  <c r="W129" i="37" a="1"/>
  <c r="W129" s="1"/>
  <c r="W129" i="40" s="1"/>
  <c r="W137" i="37" a="1"/>
  <c r="W137" s="1"/>
  <c r="W137" i="40" s="1"/>
  <c r="W124" i="37" a="1"/>
  <c r="W124" s="1"/>
  <c r="W124" i="40" s="1"/>
  <c r="W119" i="37" a="1"/>
  <c r="W119" s="1"/>
  <c r="W119" i="40" s="1"/>
  <c r="W135" i="37" a="1"/>
  <c r="W135" s="1"/>
  <c r="W135" i="40" s="1"/>
  <c r="W116" i="37" a="1"/>
  <c r="W116" s="1"/>
  <c r="W116" i="40" s="1"/>
  <c r="W134" i="37" a="1"/>
  <c r="W134" s="1"/>
  <c r="W134" i="40" s="1"/>
  <c r="W126" i="37" a="1"/>
  <c r="W126" s="1"/>
  <c r="W126" i="40" s="1"/>
  <c r="W132" i="37" a="1"/>
  <c r="W132" s="1"/>
  <c r="W132" i="40" s="1"/>
  <c r="W133" i="37" a="1"/>
  <c r="W133" s="1"/>
  <c r="W133" i="40" s="1"/>
  <c r="W136" i="37" a="1"/>
  <c r="W136" s="1"/>
  <c r="W136" i="40" s="1"/>
  <c r="W115" i="37" a="1"/>
  <c r="W115" s="1"/>
  <c r="W117" a="1"/>
  <c r="W117" s="1"/>
  <c r="W117" i="40" s="1"/>
  <c r="W128" i="37" a="1"/>
  <c r="W128" s="1"/>
  <c r="W128" i="40" s="1"/>
  <c r="W131" i="37" a="1"/>
  <c r="W131" s="1"/>
  <c r="W131" i="40" s="1"/>
  <c r="W123" i="37" a="1"/>
  <c r="W123" s="1"/>
  <c r="W123" i="40" s="1"/>
  <c r="W120" i="37" a="1"/>
  <c r="W120" s="1"/>
  <c r="W120" i="40" s="1"/>
  <c r="U466" i="37" a="1"/>
  <c r="U466" s="1"/>
  <c r="U466" i="40" s="1"/>
  <c r="U455" i="37" a="1"/>
  <c r="U455" s="1"/>
  <c r="U455" i="40" s="1"/>
  <c r="U457" i="37" a="1"/>
  <c r="U457" s="1"/>
  <c r="U457" i="40" s="1"/>
  <c r="U463" i="37" a="1"/>
  <c r="U463" s="1"/>
  <c r="U463" i="40" s="1"/>
  <c r="U465" i="37" a="1"/>
  <c r="U465" s="1"/>
  <c r="U465" i="40" s="1"/>
  <c r="U460" i="37" a="1"/>
  <c r="U460" s="1"/>
  <c r="U460" i="40" s="1"/>
  <c r="U461" i="37" a="1"/>
  <c r="U461" s="1"/>
  <c r="U461" i="40" s="1"/>
  <c r="U454" i="37" a="1"/>
  <c r="U454" s="1"/>
  <c r="U454" i="40" s="1"/>
  <c r="U467" i="37" a="1"/>
  <c r="U467" s="1"/>
  <c r="U467" i="40" s="1"/>
  <c r="U458" i="37" a="1"/>
  <c r="U458" s="1"/>
  <c r="U458" i="40" s="1"/>
  <c r="U453" i="37" a="1"/>
  <c r="U453" s="1"/>
  <c r="U453" i="40" s="1"/>
  <c r="U462" i="37" a="1"/>
  <c r="U462" s="1"/>
  <c r="U462" i="40" s="1"/>
  <c r="U459" i="37" a="1"/>
  <c r="U459" s="1"/>
  <c r="U459" i="40" s="1"/>
  <c r="U452" i="37" a="1"/>
  <c r="U452" s="1"/>
  <c r="U464" a="1"/>
  <c r="U464" s="1"/>
  <c r="U464" i="40" s="1"/>
  <c r="U456" i="37" a="1"/>
  <c r="U456" s="1"/>
  <c r="U456" i="40" s="1"/>
  <c r="X90" i="37" a="1"/>
  <c r="X90" s="1"/>
  <c r="X90" i="40" s="1"/>
  <c r="X111" i="37" a="1"/>
  <c r="X111" s="1"/>
  <c r="X111" i="40" s="1"/>
  <c r="X105" i="37" a="1"/>
  <c r="X105" s="1"/>
  <c r="X105" i="40" s="1"/>
  <c r="X109" i="37" a="1"/>
  <c r="X109" s="1"/>
  <c r="X109" i="40" s="1"/>
  <c r="X98" i="37" a="1"/>
  <c r="X98" s="1"/>
  <c r="X98" i="40" s="1"/>
  <c r="X97" i="37" a="1"/>
  <c r="X97" s="1"/>
  <c r="X97" i="40" s="1"/>
  <c r="X101" i="37" a="1"/>
  <c r="X101" s="1"/>
  <c r="X101" i="40" s="1"/>
  <c r="X106" i="37" a="1"/>
  <c r="X106" s="1"/>
  <c r="X106" i="40" s="1"/>
  <c r="X103" i="37" a="1"/>
  <c r="X103" s="1"/>
  <c r="X103" i="40" s="1"/>
  <c r="X113" i="37" a="1"/>
  <c r="X113" s="1"/>
  <c r="X113" i="40" s="1"/>
  <c r="X100" i="37" a="1"/>
  <c r="X100" s="1"/>
  <c r="X100" i="40" s="1"/>
  <c r="X95" i="37" a="1"/>
  <c r="X95" s="1"/>
  <c r="X95" i="40" s="1"/>
  <c r="X92" i="37" a="1"/>
  <c r="X92" s="1"/>
  <c r="X92" i="40" s="1"/>
  <c r="X102" i="37" a="1"/>
  <c r="X102" s="1"/>
  <c r="X102" i="40" s="1"/>
  <c r="X94" i="37" a="1"/>
  <c r="X94" s="1"/>
  <c r="X94" i="40" s="1"/>
  <c r="X110" i="37" a="1"/>
  <c r="X110" s="1"/>
  <c r="X110" i="40" s="1"/>
  <c r="X93" i="37" a="1"/>
  <c r="X93" s="1"/>
  <c r="X93" i="40" s="1"/>
  <c r="X108" i="37" a="1"/>
  <c r="X108" s="1"/>
  <c r="X108" i="40" s="1"/>
  <c r="X99" i="37" a="1"/>
  <c r="X99" s="1"/>
  <c r="X99" i="40" s="1"/>
  <c r="X112" i="37" a="1"/>
  <c r="X112" s="1"/>
  <c r="X112" i="40" s="1"/>
  <c r="X96" i="37" a="1"/>
  <c r="X96" s="1"/>
  <c r="X96" i="40" s="1"/>
  <c r="X104" i="37" a="1"/>
  <c r="X104" s="1"/>
  <c r="X104" i="40" s="1"/>
  <c r="X91" i="37" a="1"/>
  <c r="X91" s="1"/>
  <c r="X107" a="1"/>
  <c r="X107" s="1"/>
  <c r="X107" i="40" s="1"/>
  <c r="Z101" i="37" a="1"/>
  <c r="Z101" s="1"/>
  <c r="Z101" i="40" s="1"/>
  <c r="Z90" i="37" a="1"/>
  <c r="Z90" s="1"/>
  <c r="Z90" i="40" s="1"/>
  <c r="Z98" i="37" a="1"/>
  <c r="Z98" s="1"/>
  <c r="Z98" i="40" s="1"/>
  <c r="Z106" i="37" a="1"/>
  <c r="Z106" s="1"/>
  <c r="Z106" i="40" s="1"/>
  <c r="Z113" i="37" a="1"/>
  <c r="Z113" s="1"/>
  <c r="Z113" i="40" s="1"/>
  <c r="Z92" i="37" a="1"/>
  <c r="Z92" s="1"/>
  <c r="Z92" i="40" s="1"/>
  <c r="Z110" i="37" a="1"/>
  <c r="Z110" s="1"/>
  <c r="Z110" i="40" s="1"/>
  <c r="Z95" i="37" a="1"/>
  <c r="Z95" s="1"/>
  <c r="Z95" i="40" s="1"/>
  <c r="Z109" i="37" a="1"/>
  <c r="Z109" s="1"/>
  <c r="Z109" i="40" s="1"/>
  <c r="Z103" i="37" a="1"/>
  <c r="Z103" s="1"/>
  <c r="Z103" i="40" s="1"/>
  <c r="Z100" i="37" a="1"/>
  <c r="Z100" s="1"/>
  <c r="Z100" i="40" s="1"/>
  <c r="Z105" i="37" a="1"/>
  <c r="Z105" s="1"/>
  <c r="Z105" i="40" s="1"/>
  <c r="Z111" i="37" a="1"/>
  <c r="Z111" s="1"/>
  <c r="Z111" i="40" s="1"/>
  <c r="Z97" i="37" a="1"/>
  <c r="Z97" s="1"/>
  <c r="Z97" i="40" s="1"/>
  <c r="Z108" i="37" a="1"/>
  <c r="Z108" s="1"/>
  <c r="Z108" i="40" s="1"/>
  <c r="Z102" i="37" a="1"/>
  <c r="Z102" s="1"/>
  <c r="Z102" i="40" s="1"/>
  <c r="Z93" i="37" a="1"/>
  <c r="Z93" s="1"/>
  <c r="Z93" i="40" s="1"/>
  <c r="Z94" i="37" a="1"/>
  <c r="Z94" s="1"/>
  <c r="Z94" i="40" s="1"/>
  <c r="Z107" i="37" a="1"/>
  <c r="Z107" s="1"/>
  <c r="Z107" i="40" s="1"/>
  <c r="Z104" i="37" a="1"/>
  <c r="Z104" s="1"/>
  <c r="Z104" i="40" s="1"/>
  <c r="Z91" i="37" a="1"/>
  <c r="Z91" s="1"/>
  <c r="Z112" a="1"/>
  <c r="Z112" s="1"/>
  <c r="Z112" i="40" s="1"/>
  <c r="Z96" i="37" a="1"/>
  <c r="Z96" s="1"/>
  <c r="Z96" i="40" s="1"/>
  <c r="Z99" i="37" a="1"/>
  <c r="Z99" s="1"/>
  <c r="Z99" i="40" s="1"/>
  <c r="X210" i="37" a="1"/>
  <c r="X210" s="1"/>
  <c r="X210" i="40" s="1"/>
  <c r="X222" i="37" a="1"/>
  <c r="X222" s="1"/>
  <c r="X222" i="40" s="1"/>
  <c r="X223" i="37" a="1"/>
  <c r="X223" s="1"/>
  <c r="X223" i="40" s="1"/>
  <c r="X213" i="37" a="1"/>
  <c r="X213" s="1"/>
  <c r="X213" i="40" s="1"/>
  <c r="X218" i="37" a="1"/>
  <c r="X218" s="1"/>
  <c r="X218" i="40" s="1"/>
  <c r="X228" i="37" a="1"/>
  <c r="X228" s="1"/>
  <c r="X228" i="40" s="1"/>
  <c r="X226" i="37" a="1"/>
  <c r="X226" s="1"/>
  <c r="X226" i="40" s="1"/>
  <c r="X215" i="37" a="1"/>
  <c r="X215" s="1"/>
  <c r="X215" i="40" s="1"/>
  <c r="X209" i="37" a="1"/>
  <c r="X209" s="1"/>
  <c r="X225" a="1"/>
  <c r="X225" s="1"/>
  <c r="X225" i="40" s="1"/>
  <c r="X217" i="37" a="1"/>
  <c r="X217" s="1"/>
  <c r="X217" i="40" s="1"/>
  <c r="X221" i="37" a="1"/>
  <c r="X221" s="1"/>
  <c r="X221" i="40" s="1"/>
  <c r="X212" i="37" a="1"/>
  <c r="X212" s="1"/>
  <c r="X212" i="40" s="1"/>
  <c r="X220" i="37" a="1"/>
  <c r="X220" s="1"/>
  <c r="X220" i="40" s="1"/>
  <c r="X230" i="37" a="1"/>
  <c r="X230" s="1"/>
  <c r="X230" i="40" s="1"/>
  <c r="X214" i="37" a="1"/>
  <c r="X214" s="1"/>
  <c r="X214" i="40" s="1"/>
  <c r="X227" i="37" a="1"/>
  <c r="X227" s="1"/>
  <c r="X227" i="40" s="1"/>
  <c r="X216" i="37" a="1"/>
  <c r="X216" s="1"/>
  <c r="X216" i="40" s="1"/>
  <c r="X219" i="37" a="1"/>
  <c r="X219" s="1"/>
  <c r="X219" i="40" s="1"/>
  <c r="X211" i="37" a="1"/>
  <c r="X211" s="1"/>
  <c r="X211" i="40" s="1"/>
  <c r="X224" i="37" a="1"/>
  <c r="X224" s="1"/>
  <c r="X224" i="40" s="1"/>
  <c r="X229" i="37" a="1"/>
  <c r="X229" s="1"/>
  <c r="X229" i="40" s="1"/>
  <c r="X208" i="37" a="1"/>
  <c r="X208" s="1"/>
  <c r="X208" i="40" s="1"/>
  <c r="AA226" i="37" a="1"/>
  <c r="AA226" s="1"/>
  <c r="AA226" i="40" s="1"/>
  <c r="AA218" i="37" a="1"/>
  <c r="AA218" s="1"/>
  <c r="AA218" i="40" s="1"/>
  <c r="AA228" i="37" a="1"/>
  <c r="AA228" s="1"/>
  <c r="AA228" i="40" s="1"/>
  <c r="AA213" i="37" a="1"/>
  <c r="AA213" s="1"/>
  <c r="AA213" i="40" s="1"/>
  <c r="AA225" i="37" a="1"/>
  <c r="AA225" s="1"/>
  <c r="AA225" i="40" s="1"/>
  <c r="AA220" i="37" a="1"/>
  <c r="AA220" s="1"/>
  <c r="AA220" i="40" s="1"/>
  <c r="AA215" i="37" a="1"/>
  <c r="AA215" s="1"/>
  <c r="AA215" i="40" s="1"/>
  <c r="AA209" i="37" a="1"/>
  <c r="AA209" s="1"/>
  <c r="AA210" a="1"/>
  <c r="AA210" s="1"/>
  <c r="AA210" i="40" s="1"/>
  <c r="AA217" i="37" a="1"/>
  <c r="AA217" s="1"/>
  <c r="AA217" i="40" s="1"/>
  <c r="AA223" i="37" a="1"/>
  <c r="AA223" s="1"/>
  <c r="AA223" i="40" s="1"/>
  <c r="AA212" i="37" a="1"/>
  <c r="AA212" s="1"/>
  <c r="AA212" i="40" s="1"/>
  <c r="AA221" i="37" a="1"/>
  <c r="AA221" s="1"/>
  <c r="AA221" i="40" s="1"/>
  <c r="AA222" i="37" a="1"/>
  <c r="AA222" s="1"/>
  <c r="AA222" i="40" s="1"/>
  <c r="AA230" i="37" a="1"/>
  <c r="AA230" s="1"/>
  <c r="AA230" i="40" s="1"/>
  <c r="AA214" i="37" a="1"/>
  <c r="AA214" s="1"/>
  <c r="AA214" i="40" s="1"/>
  <c r="AA224" i="37" a="1"/>
  <c r="AA224" s="1"/>
  <c r="AA224" i="40" s="1"/>
  <c r="AA208" i="37" a="1"/>
  <c r="AA208" s="1"/>
  <c r="AA208" i="40" s="1"/>
  <c r="AA227" i="37" a="1"/>
  <c r="AA227" s="1"/>
  <c r="AA227" i="40" s="1"/>
  <c r="AA216" i="37" a="1"/>
  <c r="AA216" s="1"/>
  <c r="AA216" i="40" s="1"/>
  <c r="AA229" i="37" a="1"/>
  <c r="AA229" s="1"/>
  <c r="AA229" i="40" s="1"/>
  <c r="AA219" i="37" a="1"/>
  <c r="AA219" s="1"/>
  <c r="AA219" i="40" s="1"/>
  <c r="AA211" i="37" a="1"/>
  <c r="AA211" s="1"/>
  <c r="AA211" i="40" s="1"/>
  <c r="R77" i="37" a="1"/>
  <c r="R77" s="1"/>
  <c r="R77" i="40" s="1"/>
  <c r="R71" i="37" a="1"/>
  <c r="R71" s="1"/>
  <c r="R71" i="40" s="1"/>
  <c r="R70" i="37" a="1"/>
  <c r="R70" s="1"/>
  <c r="R69" a="1"/>
  <c r="R69" s="1"/>
  <c r="R69" i="40" s="1"/>
  <c r="R79" i="37" a="1"/>
  <c r="R79" s="1"/>
  <c r="R79" i="40" s="1"/>
  <c r="R81" i="37" a="1"/>
  <c r="R81" s="1"/>
  <c r="R81" i="40" s="1"/>
  <c r="R73" i="37" a="1"/>
  <c r="R73" s="1"/>
  <c r="R73" i="40" s="1"/>
  <c r="R87" i="37" a="1"/>
  <c r="R87" s="1"/>
  <c r="R87" i="40" s="1"/>
  <c r="R82" i="37" a="1"/>
  <c r="R82" s="1"/>
  <c r="R82" i="40" s="1"/>
  <c r="R74" i="37" a="1"/>
  <c r="R74" s="1"/>
  <c r="R74" i="40" s="1"/>
  <c r="R89" i="37" a="1"/>
  <c r="R89" s="1"/>
  <c r="R89" i="40" s="1"/>
  <c r="R78" i="37" a="1"/>
  <c r="R78" s="1"/>
  <c r="R78" i="40" s="1"/>
  <c r="R76" i="37" a="1"/>
  <c r="R76" s="1"/>
  <c r="R76" i="40" s="1"/>
  <c r="R84" i="37" a="1"/>
  <c r="R84" s="1"/>
  <c r="R84" i="40" s="1"/>
  <c r="R86" i="37" a="1"/>
  <c r="R86" s="1"/>
  <c r="R86" i="40" s="1"/>
  <c r="R85" i="37" a="1"/>
  <c r="R85" s="1"/>
  <c r="R85" i="40" s="1"/>
  <c r="R80" i="37" a="1"/>
  <c r="R80" s="1"/>
  <c r="R80" i="40" s="1"/>
  <c r="R75" i="37" a="1"/>
  <c r="R75" s="1"/>
  <c r="R75" i="40" s="1"/>
  <c r="R88" i="37" a="1"/>
  <c r="R88" s="1"/>
  <c r="R88" i="40" s="1"/>
  <c r="R83" i="37" a="1"/>
  <c r="R83" s="1"/>
  <c r="R83" i="40" s="1"/>
  <c r="R72" i="37" a="1"/>
  <c r="R72" s="1"/>
  <c r="R72" i="40" s="1"/>
  <c r="AB82" i="37" a="1"/>
  <c r="AB82" s="1"/>
  <c r="AB82" i="40" s="1"/>
  <c r="AB74" i="37" a="1"/>
  <c r="AB74" s="1"/>
  <c r="AB74" i="40" s="1"/>
  <c r="AB77" i="37" a="1"/>
  <c r="AB77" s="1"/>
  <c r="AB77" i="40" s="1"/>
  <c r="AB86" i="37" a="1"/>
  <c r="AB86" s="1"/>
  <c r="AB86" i="40" s="1"/>
  <c r="AB70" i="37" a="1"/>
  <c r="AB70" s="1"/>
  <c r="AB71" a="1"/>
  <c r="AB71" s="1"/>
  <c r="AB71" i="40" s="1"/>
  <c r="AB89" i="37" a="1"/>
  <c r="AB89" s="1"/>
  <c r="AB89" i="40" s="1"/>
  <c r="AB79" i="37" a="1"/>
  <c r="AB79" s="1"/>
  <c r="AB79" i="40" s="1"/>
  <c r="AB69" i="37" a="1"/>
  <c r="AB69" s="1"/>
  <c r="AB69" i="40" s="1"/>
  <c r="AB87" i="37" a="1"/>
  <c r="AB87" s="1"/>
  <c r="AB87" i="40" s="1"/>
  <c r="AB81" i="37" a="1"/>
  <c r="AB81" s="1"/>
  <c r="AB81" i="40" s="1"/>
  <c r="AB73" i="37" a="1"/>
  <c r="AB73" s="1"/>
  <c r="AB73" i="40" s="1"/>
  <c r="AB84" i="37" a="1"/>
  <c r="AB84" s="1"/>
  <c r="AB84" i="40" s="1"/>
  <c r="AB78" i="37" a="1"/>
  <c r="AB78" s="1"/>
  <c r="AB78" i="40" s="1"/>
  <c r="AB85" i="37" a="1"/>
  <c r="AB85" s="1"/>
  <c r="AB85" i="40" s="1"/>
  <c r="AB76" i="37" a="1"/>
  <c r="AB76" s="1"/>
  <c r="AB76" i="40" s="1"/>
  <c r="AB88" i="37" a="1"/>
  <c r="AB88" s="1"/>
  <c r="AB88" i="40" s="1"/>
  <c r="AB80" i="37" a="1"/>
  <c r="AB80" s="1"/>
  <c r="AB80" i="40" s="1"/>
  <c r="AB75" i="37" a="1"/>
  <c r="AB75" s="1"/>
  <c r="AB75" i="40" s="1"/>
  <c r="AB83" i="37" a="1"/>
  <c r="AB83" s="1"/>
  <c r="AB83" i="40" s="1"/>
  <c r="AB72" i="37" a="1"/>
  <c r="AB72" s="1"/>
  <c r="AB72" i="40" s="1"/>
  <c r="X439" i="37" a="1"/>
  <c r="X439" s="1"/>
  <c r="X439" i="40" s="1"/>
  <c r="X445" i="37" a="1"/>
  <c r="X445" s="1"/>
  <c r="X445" i="40" s="1"/>
  <c r="X438" i="37" a="1"/>
  <c r="X438" s="1"/>
  <c r="X438" i="40" s="1"/>
  <c r="X447" i="37" a="1"/>
  <c r="X447" s="1"/>
  <c r="X447" i="40" s="1"/>
  <c r="X437" i="37" a="1"/>
  <c r="X437" s="1"/>
  <c r="X437" i="40" s="1"/>
  <c r="X441" i="37" a="1"/>
  <c r="X441" s="1"/>
  <c r="X441" i="40" s="1"/>
  <c r="X449" i="37" a="1"/>
  <c r="X449" s="1"/>
  <c r="X449" i="40" s="1"/>
  <c r="X446" i="37" a="1"/>
  <c r="X446" s="1"/>
  <c r="X446" i="40" s="1"/>
  <c r="X444" i="37" a="1"/>
  <c r="X444" s="1"/>
  <c r="X444" i="40" s="1"/>
  <c r="X442" i="37" a="1"/>
  <c r="X442" s="1"/>
  <c r="X442" i="40" s="1"/>
  <c r="X443" i="37" a="1"/>
  <c r="X443" s="1"/>
  <c r="X443" i="40" s="1"/>
  <c r="X436" i="37" a="1"/>
  <c r="X436" s="1"/>
  <c r="X440" a="1"/>
  <c r="X440" s="1"/>
  <c r="X440" i="40" s="1"/>
  <c r="X451" i="37" a="1"/>
  <c r="X451" s="1"/>
  <c r="X451" i="40" s="1"/>
  <c r="X450" i="37" a="1"/>
  <c r="X450" s="1"/>
  <c r="X450" i="40" s="1"/>
  <c r="X448" i="37" a="1"/>
  <c r="X448" s="1"/>
  <c r="X448" i="40" s="1"/>
  <c r="T469" i="37" a="1"/>
  <c r="T469" s="1"/>
  <c r="T469" i="40" s="1"/>
  <c r="T471" i="37" a="1"/>
  <c r="T471" s="1"/>
  <c r="T471" i="40" s="1"/>
  <c r="T479" i="37" a="1"/>
  <c r="T479" s="1"/>
  <c r="T479" i="40" s="1"/>
  <c r="T481" i="37" a="1"/>
  <c r="T481" s="1"/>
  <c r="T481" i="40" s="1"/>
  <c r="T470" i="37" a="1"/>
  <c r="T470" s="1"/>
  <c r="T470" i="40" s="1"/>
  <c r="T473" i="37" a="1"/>
  <c r="T473" s="1"/>
  <c r="T473" i="40" s="1"/>
  <c r="T482" i="37" a="1"/>
  <c r="T482" s="1"/>
  <c r="T482" i="40" s="1"/>
  <c r="T477" i="37" a="1"/>
  <c r="T477" s="1"/>
  <c r="T477" i="40" s="1"/>
  <c r="T478" i="37" a="1"/>
  <c r="T478" s="1"/>
  <c r="T478" i="40" s="1"/>
  <c r="T475" i="37" a="1"/>
  <c r="T475" s="1"/>
  <c r="T475" i="40" s="1"/>
  <c r="T483" i="37" a="1"/>
  <c r="T483" s="1"/>
  <c r="T483" i="40" s="1"/>
  <c r="T468" i="37" a="1"/>
  <c r="T468" s="1"/>
  <c r="T474" a="1"/>
  <c r="T474" s="1"/>
  <c r="T474" i="40" s="1"/>
  <c r="T472" i="37" a="1"/>
  <c r="T472" s="1"/>
  <c r="T472" i="40" s="1"/>
  <c r="T476" i="37" a="1"/>
  <c r="T476" s="1"/>
  <c r="T476" i="40" s="1"/>
  <c r="T480" i="37" a="1"/>
  <c r="T480" s="1"/>
  <c r="T480" i="40" s="1"/>
  <c r="U295" i="37" a="1"/>
  <c r="U295" s="1"/>
  <c r="U295" i="40" s="1"/>
  <c r="U287" i="37" a="1"/>
  <c r="U287" s="1"/>
  <c r="U287" i="40" s="1"/>
  <c r="U279" i="37" a="1"/>
  <c r="U279" s="1"/>
  <c r="U279" i="40" s="1"/>
  <c r="U293" i="37" a="1"/>
  <c r="U293" s="1"/>
  <c r="U293" i="40" s="1"/>
  <c r="U289" i="37" a="1"/>
  <c r="U289" s="1"/>
  <c r="U289" i="40" s="1"/>
  <c r="U286" i="37" a="1"/>
  <c r="U286" s="1"/>
  <c r="U286" i="40" s="1"/>
  <c r="U281" i="37" a="1"/>
  <c r="U281" s="1"/>
  <c r="U281" i="40" s="1"/>
  <c r="U282" i="37" a="1"/>
  <c r="U282" s="1"/>
  <c r="U282" i="40" s="1"/>
  <c r="U284" i="37" a="1"/>
  <c r="U284" s="1"/>
  <c r="U284" i="40" s="1"/>
  <c r="U285" i="37" a="1"/>
  <c r="U285" s="1"/>
  <c r="U285" i="40" s="1"/>
  <c r="U297" i="37" a="1"/>
  <c r="U297" s="1"/>
  <c r="U297" i="40" s="1"/>
  <c r="U294" i="37" a="1"/>
  <c r="U294" s="1"/>
  <c r="U294" i="40" s="1"/>
  <c r="U290" i="37" a="1"/>
  <c r="U290" s="1"/>
  <c r="U290" i="40" s="1"/>
  <c r="U292" i="37" a="1"/>
  <c r="U292" s="1"/>
  <c r="U292" i="40" s="1"/>
  <c r="U278" i="37" a="1"/>
  <c r="U278" s="1"/>
  <c r="U277" a="1"/>
  <c r="U277" s="1"/>
  <c r="U277" i="40" s="1"/>
  <c r="U288" i="37" a="1"/>
  <c r="U288" s="1"/>
  <c r="U288" i="40" s="1"/>
  <c r="U291" i="37" a="1"/>
  <c r="U291" s="1"/>
  <c r="U291" i="40" s="1"/>
  <c r="U283" i="37" a="1"/>
  <c r="U283" s="1"/>
  <c r="U283" i="40" s="1"/>
  <c r="U280" i="37" a="1"/>
  <c r="U280" s="1"/>
  <c r="U280" i="40" s="1"/>
  <c r="U298" i="37" a="1"/>
  <c r="U298" s="1"/>
  <c r="U298" i="40" s="1"/>
  <c r="U296" i="37" a="1"/>
  <c r="U296" s="1"/>
  <c r="U296" i="40" s="1"/>
  <c r="AA295" i="37" a="1"/>
  <c r="AA295" s="1"/>
  <c r="AA295" i="40" s="1"/>
  <c r="AA278" i="37" a="1"/>
  <c r="AA278" s="1"/>
  <c r="AA284" a="1"/>
  <c r="AA284" s="1"/>
  <c r="AA284" i="40" s="1"/>
  <c r="AA289" i="37" a="1"/>
  <c r="AA289" s="1"/>
  <c r="AA289" i="40" s="1"/>
  <c r="AA287" i="37" a="1"/>
  <c r="AA287" s="1"/>
  <c r="AA287" i="40" s="1"/>
  <c r="AA281" i="37" a="1"/>
  <c r="AA281" s="1"/>
  <c r="AA281" i="40" s="1"/>
  <c r="AA285" i="37" a="1"/>
  <c r="AA285" s="1"/>
  <c r="AA285" i="40" s="1"/>
  <c r="AA294" i="37" a="1"/>
  <c r="AA294" s="1"/>
  <c r="AA294" i="40" s="1"/>
  <c r="AA286" i="37" a="1"/>
  <c r="AA286" s="1"/>
  <c r="AA286" i="40" s="1"/>
  <c r="AA279" i="37" a="1"/>
  <c r="AA279" s="1"/>
  <c r="AA279" i="40" s="1"/>
  <c r="AA282" i="37" a="1"/>
  <c r="AA282" s="1"/>
  <c r="AA282" i="40" s="1"/>
  <c r="AA297" i="37" a="1"/>
  <c r="AA297" s="1"/>
  <c r="AA297" i="40" s="1"/>
  <c r="AA293" i="37" a="1"/>
  <c r="AA293" s="1"/>
  <c r="AA293" i="40" s="1"/>
  <c r="AA292" i="37" a="1"/>
  <c r="AA292" s="1"/>
  <c r="AA292" i="40" s="1"/>
  <c r="AA277" i="37" a="1"/>
  <c r="AA277" s="1"/>
  <c r="AA277" i="40" s="1"/>
  <c r="AA290" i="37" a="1"/>
  <c r="AA290" s="1"/>
  <c r="AA290" i="40" s="1"/>
  <c r="AA283" i="37" a="1"/>
  <c r="AA283" s="1"/>
  <c r="AA283" i="40" s="1"/>
  <c r="AA296" i="37" a="1"/>
  <c r="AA296" s="1"/>
  <c r="AA296" i="40" s="1"/>
  <c r="AA288" i="37" a="1"/>
  <c r="AA288" s="1"/>
  <c r="AA288" i="40" s="1"/>
  <c r="AA298" i="37" a="1"/>
  <c r="AA298" s="1"/>
  <c r="AA298" i="40" s="1"/>
  <c r="AA291" i="37" a="1"/>
  <c r="AA291" s="1"/>
  <c r="AA291" i="40" s="1"/>
  <c r="AA280" i="37" a="1"/>
  <c r="AA280" s="1"/>
  <c r="AA280" i="40" s="1"/>
  <c r="S394" i="37" a="1"/>
  <c r="S394" s="1"/>
  <c r="S394" i="40" s="1"/>
  <c r="S407" i="37" a="1"/>
  <c r="S407" s="1"/>
  <c r="S407" i="40" s="1"/>
  <c r="S410" i="37" a="1"/>
  <c r="S410" s="1"/>
  <c r="S410" i="40" s="1"/>
  <c r="S389" i="37" a="1"/>
  <c r="S389" s="1"/>
  <c r="S389" i="40" s="1"/>
  <c r="S406" i="37" a="1"/>
  <c r="S406" s="1"/>
  <c r="S406" i="40" s="1"/>
  <c r="S390" i="37" a="1"/>
  <c r="S390" s="1"/>
  <c r="S391" a="1"/>
  <c r="S391" s="1"/>
  <c r="S391" i="40" s="1"/>
  <c r="S399" i="37" a="1"/>
  <c r="S399" s="1"/>
  <c r="S399" i="40" s="1"/>
  <c r="S409" i="37" a="1"/>
  <c r="S409" s="1"/>
  <c r="S409" i="40" s="1"/>
  <c r="S397" i="37" a="1"/>
  <c r="S397" s="1"/>
  <c r="S397" i="40" s="1"/>
  <c r="S412" i="37" a="1"/>
  <c r="S412" s="1"/>
  <c r="S412" i="40" s="1"/>
  <c r="S401" i="37" a="1"/>
  <c r="S401" s="1"/>
  <c r="S401" i="40" s="1"/>
  <c r="S393" i="37" a="1"/>
  <c r="S393" s="1"/>
  <c r="S393" i="40" s="1"/>
  <c r="S396" i="37" a="1"/>
  <c r="S396" s="1"/>
  <c r="S396" i="40" s="1"/>
  <c r="S398" i="37" a="1"/>
  <c r="S398" s="1"/>
  <c r="S398" i="40" s="1"/>
  <c r="S402" i="37" a="1"/>
  <c r="S402" s="1"/>
  <c r="S402" i="40" s="1"/>
  <c r="S403" i="37" a="1"/>
  <c r="S403" s="1"/>
  <c r="S403" i="40" s="1"/>
  <c r="S404" i="37" a="1"/>
  <c r="S404" s="1"/>
  <c r="S404" i="40" s="1"/>
  <c r="S405" i="37" a="1"/>
  <c r="S405" s="1"/>
  <c r="S405" i="40" s="1"/>
  <c r="S400" i="37" a="1"/>
  <c r="S400" s="1"/>
  <c r="S400" i="40" s="1"/>
  <c r="S408" i="37" a="1"/>
  <c r="S408" s="1"/>
  <c r="S408" i="40" s="1"/>
  <c r="S411" i="37" a="1"/>
  <c r="S411" s="1"/>
  <c r="S411" i="40" s="1"/>
  <c r="S395" i="37" a="1"/>
  <c r="S395" s="1"/>
  <c r="S395" i="40" s="1"/>
  <c r="S392" i="37" a="1"/>
  <c r="S392" s="1"/>
  <c r="S392" i="40" s="1"/>
  <c r="S354" i="37" a="1"/>
  <c r="S354" s="1"/>
  <c r="S354" i="40" s="1"/>
  <c r="S351" i="37" a="1"/>
  <c r="S351" s="1"/>
  <c r="S351" i="40" s="1"/>
  <c r="S345" i="37" a="1"/>
  <c r="S345" s="1"/>
  <c r="S345" i="40" s="1"/>
  <c r="S348" i="37" a="1"/>
  <c r="S348" s="1"/>
  <c r="S348" i="40" s="1"/>
  <c r="S342" i="37" a="1"/>
  <c r="S342" s="1"/>
  <c r="S341" a="1"/>
  <c r="S341" s="1"/>
  <c r="S341" i="40" s="1"/>
  <c r="S364" i="37" a="1"/>
  <c r="S364" s="1"/>
  <c r="S364" i="40" s="1"/>
  <c r="S350" i="37" a="1"/>
  <c r="S350" s="1"/>
  <c r="S350" i="40" s="1"/>
  <c r="S359" i="37" a="1"/>
  <c r="S359" s="1"/>
  <c r="S359" i="40" s="1"/>
  <c r="S343" i="37" a="1"/>
  <c r="S343" s="1"/>
  <c r="S343" i="40" s="1"/>
  <c r="S346" i="37" a="1"/>
  <c r="S346" s="1"/>
  <c r="S346" i="40" s="1"/>
  <c r="S353" i="37" a="1"/>
  <c r="S353" s="1"/>
  <c r="S353" i="40" s="1"/>
  <c r="S361" i="37" a="1"/>
  <c r="S361" s="1"/>
  <c r="S361" i="40" s="1"/>
  <c r="S358" i="37" a="1"/>
  <c r="S358" s="1"/>
  <c r="S358" i="40" s="1"/>
  <c r="S357" i="37" a="1"/>
  <c r="S357" s="1"/>
  <c r="S363" a="1"/>
  <c r="S363" s="1"/>
  <c r="S363" i="40" s="1"/>
  <c r="S355" i="37" a="1"/>
  <c r="S355" s="1"/>
  <c r="S355" i="40" s="1"/>
  <c r="S347" i="37" a="1"/>
  <c r="S347" s="1"/>
  <c r="S347" i="40" s="1"/>
  <c r="S344" i="37" a="1"/>
  <c r="S344" s="1"/>
  <c r="S344" i="40" s="1"/>
  <c r="S356" i="37" a="1"/>
  <c r="S356" s="1"/>
  <c r="S356" i="40" s="1"/>
  <c r="S360" i="37" a="1"/>
  <c r="S360" s="1"/>
  <c r="S360" i="40" s="1"/>
  <c r="S352" i="37" a="1"/>
  <c r="S352" s="1"/>
  <c r="S352" i="40" s="1"/>
  <c r="S349" i="37" a="1"/>
  <c r="S349" s="1"/>
  <c r="S349" i="40" s="1"/>
  <c r="S362" i="37" a="1"/>
  <c r="S362" s="1"/>
  <c r="S362" i="40" s="1"/>
  <c r="S484" i="37" a="1"/>
  <c r="S484" s="1"/>
  <c r="S487" a="1"/>
  <c r="S487" s="1"/>
  <c r="S487" i="40" s="1"/>
  <c r="S485" i="37" a="1"/>
  <c r="S485" s="1"/>
  <c r="S485" i="40" s="1"/>
  <c r="S486" i="37" a="1"/>
  <c r="S486" s="1"/>
  <c r="S486" i="40" s="1"/>
  <c r="S493" i="37" a="1"/>
  <c r="S493" s="1"/>
  <c r="S493" i="40" s="1"/>
  <c r="S491" i="37" a="1"/>
  <c r="S491" s="1"/>
  <c r="S491" i="40" s="1"/>
  <c r="S492" i="37" a="1"/>
  <c r="S492" s="1"/>
  <c r="S492" i="40" s="1"/>
  <c r="S489" i="37" a="1"/>
  <c r="S489" s="1"/>
  <c r="S489" i="40" s="1"/>
  <c r="S490" i="37" a="1"/>
  <c r="S490" s="1"/>
  <c r="S490" i="40" s="1"/>
  <c r="S494" i="37" a="1"/>
  <c r="S494" s="1"/>
  <c r="S494" i="40" s="1"/>
  <c r="S496" i="37" a="1"/>
  <c r="S496" s="1"/>
  <c r="S496" i="40" s="1"/>
  <c r="S497" i="37" a="1"/>
  <c r="S497" s="1"/>
  <c r="S497" i="40" s="1"/>
  <c r="S495" i="37" a="1"/>
  <c r="S495" s="1"/>
  <c r="S495" i="40" s="1"/>
  <c r="S488" i="37" a="1"/>
  <c r="S488" s="1"/>
  <c r="S488" i="40" s="1"/>
  <c r="AA487" i="37" a="1"/>
  <c r="AA487" s="1"/>
  <c r="AA487" i="40" s="1"/>
  <c r="AA486" i="37" a="1"/>
  <c r="AA486" s="1"/>
  <c r="AA486" i="40" s="1"/>
  <c r="AA484" i="37" a="1"/>
  <c r="AA484" s="1"/>
  <c r="AA485" a="1"/>
  <c r="AA485" s="1"/>
  <c r="AA485" i="40" s="1"/>
  <c r="AA493" i="37" a="1"/>
  <c r="AA493" s="1"/>
  <c r="AA493" i="40" s="1"/>
  <c r="AA492" i="37" a="1"/>
  <c r="AA492" s="1"/>
  <c r="AA492" i="40" s="1"/>
  <c r="AA491" i="37" a="1"/>
  <c r="AA491" s="1"/>
  <c r="AA491" i="40" s="1"/>
  <c r="AA489" i="37" a="1"/>
  <c r="AA489" s="1"/>
  <c r="AA489" i="40" s="1"/>
  <c r="AA488" i="37" a="1"/>
  <c r="AA488" s="1"/>
  <c r="AA488" i="40" s="1"/>
  <c r="AA496" i="37" a="1"/>
  <c r="AA496" s="1"/>
  <c r="AA496" i="40" s="1"/>
  <c r="AA497" i="37" a="1"/>
  <c r="AA497" s="1"/>
  <c r="AA497" i="40" s="1"/>
  <c r="AA494" i="37" a="1"/>
  <c r="AA494" s="1"/>
  <c r="AA494" i="40" s="1"/>
  <c r="AA495" i="37" a="1"/>
  <c r="AA495" s="1"/>
  <c r="AA495" i="40" s="1"/>
  <c r="AA490" i="37" a="1"/>
  <c r="AA490" s="1"/>
  <c r="AA490" i="40" s="1"/>
  <c r="X327" i="37" a="1"/>
  <c r="X327" s="1"/>
  <c r="X327" i="40" s="1"/>
  <c r="X322" i="37" a="1"/>
  <c r="X322" s="1"/>
  <c r="X321" a="1"/>
  <c r="X321" s="1"/>
  <c r="X321" i="40" s="1"/>
  <c r="X332" i="37" a="1"/>
  <c r="X332" s="1"/>
  <c r="X332" i="40" s="1"/>
  <c r="X326" i="37" a="1"/>
  <c r="X326" s="1"/>
  <c r="X326" i="40" s="1"/>
  <c r="X337" i="37" a="1"/>
  <c r="X337" s="1"/>
  <c r="X337" i="40" s="1"/>
  <c r="X329" i="37" a="1"/>
  <c r="X329" s="1"/>
  <c r="X329" i="40" s="1"/>
  <c r="X333" i="37" a="1"/>
  <c r="X333" s="1"/>
  <c r="X333" i="40" s="1"/>
  <c r="X325" i="37" a="1"/>
  <c r="X325" s="1"/>
  <c r="X325" i="40" s="1"/>
  <c r="X338" i="37" a="1"/>
  <c r="X338" s="1"/>
  <c r="X338" i="40" s="1"/>
  <c r="X335" i="37" a="1"/>
  <c r="X335" s="1"/>
  <c r="X335" i="40" s="1"/>
  <c r="X334" i="37" a="1"/>
  <c r="X334" s="1"/>
  <c r="X334" i="40" s="1"/>
  <c r="X324" i="37" a="1"/>
  <c r="X324" s="1"/>
  <c r="X324" i="40" s="1"/>
  <c r="X331" i="37" a="1"/>
  <c r="X331" s="1"/>
  <c r="X331" i="40" s="1"/>
  <c r="X330" i="37" a="1"/>
  <c r="X330" s="1"/>
  <c r="X330" i="40" s="1"/>
  <c r="X328" i="37" a="1"/>
  <c r="X328" s="1"/>
  <c r="X328" i="40" s="1"/>
  <c r="X336" i="37" a="1"/>
  <c r="X336" s="1"/>
  <c r="X336" i="40" s="1"/>
  <c r="X323" i="37" a="1"/>
  <c r="X323" s="1"/>
  <c r="X323" i="40" s="1"/>
  <c r="X339" i="37" a="1"/>
  <c r="X339" s="1"/>
  <c r="X339" i="40" s="1"/>
  <c r="X340" i="37" a="1"/>
  <c r="X340" s="1"/>
  <c r="X340" i="40" s="1"/>
  <c r="Z322" i="37" a="1"/>
  <c r="Z322" s="1"/>
  <c r="Z335" a="1"/>
  <c r="Z335" s="1"/>
  <c r="Z335" i="40" s="1"/>
  <c r="Z327" i="37" a="1"/>
  <c r="Z327" s="1"/>
  <c r="Z327" i="40" s="1"/>
  <c r="Z326" i="37" a="1"/>
  <c r="Z326" s="1"/>
  <c r="Z326" i="40" s="1"/>
  <c r="Z333" i="37" a="1"/>
  <c r="Z333" s="1"/>
  <c r="Z333" i="40" s="1"/>
  <c r="Z329" i="37" a="1"/>
  <c r="Z329" s="1"/>
  <c r="Z329" i="40" s="1"/>
  <c r="Z334" i="37" a="1"/>
  <c r="Z334" s="1"/>
  <c r="Z334" i="40" s="1"/>
  <c r="Z325" i="37" a="1"/>
  <c r="Z325" s="1"/>
  <c r="Z325" i="40" s="1"/>
  <c r="Z338" i="37" a="1"/>
  <c r="Z338" s="1"/>
  <c r="Z338" i="40" s="1"/>
  <c r="Z337" i="37" a="1"/>
  <c r="Z337" s="1"/>
  <c r="Z337" i="40" s="1"/>
  <c r="Z321" i="37" a="1"/>
  <c r="Z321" s="1"/>
  <c r="Z321" i="40" s="1"/>
  <c r="Z324" i="37" a="1"/>
  <c r="Z324" s="1"/>
  <c r="Z324" i="40" s="1"/>
  <c r="Z332" i="37" a="1"/>
  <c r="Z332" s="1"/>
  <c r="Z332" i="40" s="1"/>
  <c r="Z336" i="37" a="1"/>
  <c r="Z336" s="1"/>
  <c r="Z336" i="40" s="1"/>
  <c r="Z339" i="37" a="1"/>
  <c r="Z339" s="1"/>
  <c r="Z339" i="40" s="1"/>
  <c r="Z331" i="37" a="1"/>
  <c r="Z331" s="1"/>
  <c r="Z331" i="40" s="1"/>
  <c r="Z323" i="37" a="1"/>
  <c r="Z323" s="1"/>
  <c r="Z323" i="40" s="1"/>
  <c r="Z340" i="37" a="1"/>
  <c r="Z340" s="1"/>
  <c r="Z340" i="40" s="1"/>
  <c r="Z330" i="37" a="1"/>
  <c r="Z330" s="1"/>
  <c r="Z330" i="40" s="1"/>
  <c r="Z328" i="37" a="1"/>
  <c r="Z328" s="1"/>
  <c r="Z328" i="40" s="1"/>
  <c r="S58" i="37" a="1"/>
  <c r="S58" s="1"/>
  <c r="S58" i="40" s="1"/>
  <c r="S50" i="37" a="1"/>
  <c r="S50" s="1"/>
  <c r="S50" i="40" s="1"/>
  <c r="S66" i="37" a="1"/>
  <c r="S66" s="1"/>
  <c r="S66" i="40" s="1"/>
  <c r="S49" i="37" a="1"/>
  <c r="S49" s="1"/>
  <c r="S49" i="40" s="1"/>
  <c r="S54" i="37" a="1"/>
  <c r="S54" s="1"/>
  <c r="S54" i="40" s="1"/>
  <c r="S55" i="37" a="1"/>
  <c r="S55" s="1"/>
  <c r="S55" i="40" s="1"/>
  <c r="S63" i="37" a="1"/>
  <c r="S63" s="1"/>
  <c r="S63" i="40" s="1"/>
  <c r="S47" i="37" a="1"/>
  <c r="S47" s="1"/>
  <c r="S57" a="1"/>
  <c r="S57" s="1"/>
  <c r="S57" i="40" s="1"/>
  <c r="S60" i="37" a="1"/>
  <c r="S60" s="1"/>
  <c r="S60" i="40" s="1"/>
  <c r="S53" i="37" a="1"/>
  <c r="S53" s="1"/>
  <c r="S53" i="40" s="1"/>
  <c r="S65" i="37" a="1"/>
  <c r="S65" s="1"/>
  <c r="S65" i="40" s="1"/>
  <c r="S46" i="37" a="1"/>
  <c r="S46" s="1"/>
  <c r="S46" i="40" s="1"/>
  <c r="S68" i="37" a="1"/>
  <c r="S68" s="1"/>
  <c r="S68" i="40" s="1"/>
  <c r="S52" i="37" a="1"/>
  <c r="S52" s="1"/>
  <c r="S52" i="40" s="1"/>
  <c r="S62" i="37" a="1"/>
  <c r="S62" s="1"/>
  <c r="S62" i="40" s="1"/>
  <c r="S67" i="37" a="1"/>
  <c r="S67" s="1"/>
  <c r="S67" i="40" s="1"/>
  <c r="S64" i="37" a="1"/>
  <c r="S64" s="1"/>
  <c r="S64" i="40" s="1"/>
  <c r="S48" i="37" a="1"/>
  <c r="S48" s="1"/>
  <c r="S48" i="40" s="1"/>
  <c r="S56" i="37" a="1"/>
  <c r="S56" s="1"/>
  <c r="S56" i="40" s="1"/>
  <c r="S51" i="37" a="1"/>
  <c r="S51" s="1"/>
  <c r="S51" i="40" s="1"/>
  <c r="S59" i="37" a="1"/>
  <c r="S59" s="1"/>
  <c r="S59" i="40" s="1"/>
  <c r="S61" i="37" a="1"/>
  <c r="S61" s="1"/>
  <c r="S61" i="40" s="1"/>
  <c r="R274" i="37" a="1"/>
  <c r="R274" s="1"/>
  <c r="R274" i="40" s="1"/>
  <c r="R255" i="37" a="1"/>
  <c r="R255" s="1"/>
  <c r="R263" a="1"/>
  <c r="R263" s="1"/>
  <c r="R263" i="40" s="1"/>
  <c r="R265" i="37" a="1"/>
  <c r="R265" s="1"/>
  <c r="R265" i="40" s="1"/>
  <c r="R262" i="37" a="1"/>
  <c r="R262" s="1"/>
  <c r="R262" i="40" s="1"/>
  <c r="R271" i="37" a="1"/>
  <c r="R271" s="1"/>
  <c r="R271" i="40" s="1"/>
  <c r="R258" i="37" a="1"/>
  <c r="R258" s="1"/>
  <c r="R258" i="40" s="1"/>
  <c r="R268" i="37" a="1"/>
  <c r="R268" s="1"/>
  <c r="R268" i="40" s="1"/>
  <c r="R261" i="37" a="1"/>
  <c r="R261" s="1"/>
  <c r="R261" i="40" s="1"/>
  <c r="R273" i="37" a="1"/>
  <c r="R273" s="1"/>
  <c r="R273" i="40" s="1"/>
  <c r="R266" i="37" a="1"/>
  <c r="R266" s="1"/>
  <c r="R266" i="40" s="1"/>
  <c r="R257" i="37" a="1"/>
  <c r="R257" s="1"/>
  <c r="R257" i="40" s="1"/>
  <c r="R276" i="37" a="1"/>
  <c r="R276" s="1"/>
  <c r="R276" i="40" s="1"/>
  <c r="R254" i="37" a="1"/>
  <c r="R254" s="1"/>
  <c r="R254" i="40" s="1"/>
  <c r="R260" i="37" a="1"/>
  <c r="R260" s="1"/>
  <c r="R260" i="40" s="1"/>
  <c r="R270" i="37" a="1"/>
  <c r="R270" s="1"/>
  <c r="R270" i="40" s="1"/>
  <c r="R259" i="37" a="1"/>
  <c r="R259" s="1"/>
  <c r="R259" i="40" s="1"/>
  <c r="R272" i="37" a="1"/>
  <c r="R272" s="1"/>
  <c r="R272" i="40" s="1"/>
  <c r="R264" i="37" a="1"/>
  <c r="R264" s="1"/>
  <c r="R264" i="40" s="1"/>
  <c r="R267" i="37" a="1"/>
  <c r="R267" s="1"/>
  <c r="R267" i="40" s="1"/>
  <c r="R269" i="37" a="1"/>
  <c r="R269" s="1"/>
  <c r="R269" i="40" s="1"/>
  <c r="R256" i="37" a="1"/>
  <c r="R256" s="1"/>
  <c r="R256" i="40" s="1"/>
  <c r="R275" i="37" a="1"/>
  <c r="R275" s="1"/>
  <c r="R275" i="40" s="1"/>
  <c r="AB261" i="37" a="1"/>
  <c r="AB261" s="1"/>
  <c r="AB261" i="40" s="1"/>
  <c r="AB274" i="37" a="1"/>
  <c r="AB274" s="1"/>
  <c r="AB274" i="40" s="1"/>
  <c r="AB263" i="37" a="1"/>
  <c r="AB263" s="1"/>
  <c r="AB263" i="40" s="1"/>
  <c r="AB257" i="37" a="1"/>
  <c r="AB257" s="1"/>
  <c r="AB257" i="40" s="1"/>
  <c r="AB270" i="37" a="1"/>
  <c r="AB270" s="1"/>
  <c r="AB270" i="40" s="1"/>
  <c r="AB273" i="37" a="1"/>
  <c r="AB273" s="1"/>
  <c r="AB273" i="40" s="1"/>
  <c r="AB271" i="37" a="1"/>
  <c r="AB271" s="1"/>
  <c r="AB271" i="40" s="1"/>
  <c r="AB276" i="37" a="1"/>
  <c r="AB276" s="1"/>
  <c r="AB276" i="40" s="1"/>
  <c r="AB266" i="37" a="1"/>
  <c r="AB266" s="1"/>
  <c r="AB266" i="40" s="1"/>
  <c r="AB255" i="37" a="1"/>
  <c r="AB255" s="1"/>
  <c r="AB265" a="1"/>
  <c r="AB265" s="1"/>
  <c r="AB265" i="40" s="1"/>
  <c r="AB260" i="37" a="1"/>
  <c r="AB260" s="1"/>
  <c r="AB260" i="40" s="1"/>
  <c r="AB262" i="37" a="1"/>
  <c r="AB262" s="1"/>
  <c r="AB262" i="40" s="1"/>
  <c r="AB268" i="37" a="1"/>
  <c r="AB268" s="1"/>
  <c r="AB268" i="40" s="1"/>
  <c r="AB258" i="37" a="1"/>
  <c r="AB258" s="1"/>
  <c r="AB258" i="40" s="1"/>
  <c r="AB254" i="37" a="1"/>
  <c r="AB254" s="1"/>
  <c r="AB254" i="40" s="1"/>
  <c r="AB267" i="37" a="1"/>
  <c r="AB267" s="1"/>
  <c r="AB267" i="40" s="1"/>
  <c r="AB259" i="37" a="1"/>
  <c r="AB259" s="1"/>
  <c r="AB259" i="40" s="1"/>
  <c r="AB264" i="37" a="1"/>
  <c r="AB264" s="1"/>
  <c r="AB264" i="40" s="1"/>
  <c r="AB256" i="37" a="1"/>
  <c r="AB256" s="1"/>
  <c r="AB256" i="40" s="1"/>
  <c r="AB272" i="37" a="1"/>
  <c r="AB272" s="1"/>
  <c r="AB272" i="40" s="1"/>
  <c r="AB269" i="37" a="1"/>
  <c r="AB269" s="1"/>
  <c r="AB269" i="40" s="1"/>
  <c r="AB275" i="37" a="1"/>
  <c r="AB275" s="1"/>
  <c r="AB275" i="40" s="1"/>
  <c r="T178" i="37" a="1"/>
  <c r="T178" s="1"/>
  <c r="T178" i="40" s="1"/>
  <c r="T175" i="37" a="1"/>
  <c r="T175" s="1"/>
  <c r="T175" i="40" s="1"/>
  <c r="T164" i="37" a="1"/>
  <c r="T164" s="1"/>
  <c r="T164" i="40" s="1"/>
  <c r="T169" i="37" a="1"/>
  <c r="T169" s="1"/>
  <c r="T169" i="40" s="1"/>
  <c r="T165" i="37" a="1"/>
  <c r="T165" s="1"/>
  <c r="T165" i="40" s="1"/>
  <c r="T170" i="37" a="1"/>
  <c r="T170" s="1"/>
  <c r="T170" i="40" s="1"/>
  <c r="T162" i="37" a="1"/>
  <c r="T162" s="1"/>
  <c r="T162" i="40" s="1"/>
  <c r="T177" i="37" a="1"/>
  <c r="T177" s="1"/>
  <c r="T177" i="40" s="1"/>
  <c r="T183" i="37" a="1"/>
  <c r="T183" s="1"/>
  <c r="T183" i="40" s="1"/>
  <c r="T173" i="37" a="1"/>
  <c r="T173" s="1"/>
  <c r="T173" i="40" s="1"/>
  <c r="T167" i="37" a="1"/>
  <c r="T167" s="1"/>
  <c r="T167" i="40" s="1"/>
  <c r="T180" i="37" a="1"/>
  <c r="T180" s="1"/>
  <c r="T180" i="40" s="1"/>
  <c r="T182" i="37" a="1"/>
  <c r="T182" s="1"/>
  <c r="T182" i="40" s="1"/>
  <c r="T181" i="37" a="1"/>
  <c r="T181" s="1"/>
  <c r="T181" i="40" s="1"/>
  <c r="T174" i="37" a="1"/>
  <c r="T174" s="1"/>
  <c r="T174" i="40" s="1"/>
  <c r="T166" i="37" a="1"/>
  <c r="T166" s="1"/>
  <c r="T166" i="40" s="1"/>
  <c r="T172" i="37" a="1"/>
  <c r="T172" s="1"/>
  <c r="T172" i="40" s="1"/>
  <c r="T163" i="37" a="1"/>
  <c r="T163" s="1"/>
  <c r="T179" a="1"/>
  <c r="T179" s="1"/>
  <c r="T179" i="40" s="1"/>
  <c r="T176" i="37" a="1"/>
  <c r="T176" s="1"/>
  <c r="T176" i="40" s="1"/>
  <c r="T168" i="37" a="1"/>
  <c r="T168" s="1"/>
  <c r="T168" i="40" s="1"/>
  <c r="T171" i="37" a="1"/>
  <c r="T171" s="1"/>
  <c r="T171" i="40" s="1"/>
  <c r="T184" i="37" a="1"/>
  <c r="T184" s="1"/>
  <c r="T184" i="40" s="1"/>
  <c r="Y10" i="37" a="1"/>
  <c r="Y10" s="1"/>
  <c r="Y10" i="40" s="1"/>
  <c r="Y5" i="37" a="1"/>
  <c r="Y5" s="1"/>
  <c r="Y5" i="40" s="1"/>
  <c r="Y6" i="37" a="1"/>
  <c r="Y6" s="1"/>
  <c r="Y6" i="40" s="1"/>
  <c r="Y20" i="37" a="1"/>
  <c r="Y20" s="1"/>
  <c r="Y20" i="40" s="1"/>
  <c r="Y4" i="37" a="1"/>
  <c r="Y4" s="1"/>
  <c r="Y4" i="40" s="1"/>
  <c r="Y21" i="37" a="1"/>
  <c r="Y21" s="1"/>
  <c r="Y21" i="40" s="1"/>
  <c r="Y18" i="37" a="1"/>
  <c r="Y18" s="1"/>
  <c r="Y18" i="40" s="1"/>
  <c r="Y15" i="37" a="1"/>
  <c r="Y15" s="1"/>
  <c r="Y15" i="40" s="1"/>
  <c r="Y17" i="37" a="1"/>
  <c r="Y17" s="1"/>
  <c r="Y17" i="40" s="1"/>
  <c r="Y9" i="37" a="1"/>
  <c r="Y9" s="1"/>
  <c r="Y9" i="40" s="1"/>
  <c r="Y23" i="37" a="1"/>
  <c r="Y23" s="1"/>
  <c r="Y23" i="40" s="1"/>
  <c r="Y7" i="37" a="1"/>
  <c r="Y7" s="1"/>
  <c r="Y7" i="40" s="1"/>
  <c r="Y12" i="37" a="1"/>
  <c r="Y12" s="1"/>
  <c r="Y12" i="40" s="1"/>
  <c r="Y22" i="37" a="1"/>
  <c r="Y22" s="1"/>
  <c r="Y22" i="40" s="1"/>
  <c r="Y14" i="37" a="1"/>
  <c r="Y14" s="1"/>
  <c r="Y14" i="40" s="1"/>
  <c r="Y19" i="37" a="1"/>
  <c r="Y19" s="1"/>
  <c r="Y19" i="40" s="1"/>
  <c r="Y3" i="37" a="1"/>
  <c r="Y3" s="1"/>
  <c r="Y13" a="1"/>
  <c r="Y13" s="1"/>
  <c r="Y13" i="40" s="1"/>
  <c r="Y16" i="37" a="1"/>
  <c r="Y16" s="1"/>
  <c r="Y16" i="40" s="1"/>
  <c r="Y11" i="37" a="1"/>
  <c r="Y11" s="1"/>
  <c r="Y11" i="40" s="1"/>
  <c r="Y8" i="37" a="1"/>
  <c r="Y8" s="1"/>
  <c r="Y8" i="40" s="1"/>
  <c r="S423" i="37" a="1"/>
  <c r="S423" s="1"/>
  <c r="S423" i="40" s="1"/>
  <c r="S431" i="37" a="1"/>
  <c r="S431" s="1"/>
  <c r="S415" a="1"/>
  <c r="S415" s="1"/>
  <c r="S415" i="40" s="1"/>
  <c r="S421" i="37" a="1"/>
  <c r="S421" s="1"/>
  <c r="S421" i="40" s="1"/>
  <c r="S433" i="37" a="1"/>
  <c r="S433" s="1"/>
  <c r="S433" i="40" s="1"/>
  <c r="S428" i="37" a="1"/>
  <c r="S428" s="1"/>
  <c r="S428" i="40" s="1"/>
  <c r="S429" i="37" a="1"/>
  <c r="S429" s="1"/>
  <c r="S429" i="40" s="1"/>
  <c r="S422" i="37" a="1"/>
  <c r="S422" s="1"/>
  <c r="S422" i="40" s="1"/>
  <c r="S414" i="37" a="1"/>
  <c r="S414" s="1"/>
  <c r="S430" a="1"/>
  <c r="S430" s="1"/>
  <c r="S430" i="40" s="1"/>
  <c r="S420" i="37" a="1"/>
  <c r="S420" s="1"/>
  <c r="S420" i="40" s="1"/>
  <c r="S417" i="37" a="1"/>
  <c r="S417" s="1"/>
  <c r="S417" i="40" s="1"/>
  <c r="S413" i="37" a="1"/>
  <c r="S413" s="1"/>
  <c r="S413" i="40" s="1"/>
  <c r="S425" i="37" a="1"/>
  <c r="S425" s="1"/>
  <c r="S425" i="40" s="1"/>
  <c r="S426" i="37" a="1"/>
  <c r="S426" s="1"/>
  <c r="S426" i="40" s="1"/>
  <c r="S418" i="37" a="1"/>
  <c r="S418" s="1"/>
  <c r="S418" i="40" s="1"/>
  <c r="S416" i="37" a="1"/>
  <c r="S416" s="1"/>
  <c r="S416" i="40" s="1"/>
  <c r="S434" i="37" a="1"/>
  <c r="S434" s="1"/>
  <c r="S434" i="40" s="1"/>
  <c r="S432" i="37" a="1"/>
  <c r="S432" s="1"/>
  <c r="S432" i="40" s="1"/>
  <c r="S424" i="37" a="1"/>
  <c r="S424" s="1"/>
  <c r="S424" i="40" s="1"/>
  <c r="S435" i="37" a="1"/>
  <c r="S435" s="1"/>
  <c r="S435" i="40" s="1"/>
  <c r="S427" i="37" a="1"/>
  <c r="S427" s="1"/>
  <c r="S427" i="40" s="1"/>
  <c r="S419" i="37" a="1"/>
  <c r="S419" s="1"/>
  <c r="S419" i="40" s="1"/>
  <c r="T253" i="37" a="1"/>
  <c r="T253" s="1"/>
  <c r="T253" i="40" s="1"/>
  <c r="T242" i="37" a="1"/>
  <c r="T242" s="1"/>
  <c r="T242" i="40" s="1"/>
  <c r="T234" i="37" a="1"/>
  <c r="T234" s="1"/>
  <c r="T234" i="40" s="1"/>
  <c r="T231" i="37" a="1"/>
  <c r="T231" s="1"/>
  <c r="T231" i="40" s="1"/>
  <c r="T250" i="37" a="1"/>
  <c r="T250" s="1"/>
  <c r="T250" i="40" s="1"/>
  <c r="T239" i="37" a="1"/>
  <c r="T239" s="1"/>
  <c r="T239" i="40" s="1"/>
  <c r="T244" i="37" a="1"/>
  <c r="T244" s="1"/>
  <c r="T244" i="40" s="1"/>
  <c r="T245" i="37" a="1"/>
  <c r="T245" s="1"/>
  <c r="T245" i="40" s="1"/>
  <c r="T236" i="37" a="1"/>
  <c r="T236" s="1"/>
  <c r="T236" i="40" s="1"/>
  <c r="T233" i="37" a="1"/>
  <c r="T233" s="1"/>
  <c r="T233" i="40" s="1"/>
  <c r="T247" i="37" a="1"/>
  <c r="T247" s="1"/>
  <c r="T247" i="40" s="1"/>
  <c r="T241" i="37" a="1"/>
  <c r="T241" s="1"/>
  <c r="T241" i="40" s="1"/>
  <c r="T237" i="37" a="1"/>
  <c r="T237" s="1"/>
  <c r="T237" i="40" s="1"/>
  <c r="T249" i="37" a="1"/>
  <c r="T249" s="1"/>
  <c r="T249" i="40" s="1"/>
  <c r="T246" i="37" a="1"/>
  <c r="T246" s="1"/>
  <c r="T246" i="40" s="1"/>
  <c r="T238" i="37" a="1"/>
  <c r="T238" s="1"/>
  <c r="T238" i="40" s="1"/>
  <c r="T252" i="37" a="1"/>
  <c r="T252" s="1"/>
  <c r="T252" i="40" s="1"/>
  <c r="T240" i="37" a="1"/>
  <c r="T240" s="1"/>
  <c r="T240" i="40" s="1"/>
  <c r="T235" i="37" a="1"/>
  <c r="T235" s="1"/>
  <c r="T235" i="40" s="1"/>
  <c r="T248" i="37" a="1"/>
  <c r="T248" s="1"/>
  <c r="T248" i="40" s="1"/>
  <c r="T243" i="37" a="1"/>
  <c r="T243" s="1"/>
  <c r="T243" i="40" s="1"/>
  <c r="T232" i="37" a="1"/>
  <c r="T232" s="1"/>
  <c r="T251" a="1"/>
  <c r="T251" s="1"/>
  <c r="T251" i="40" s="1"/>
  <c r="R146" i="37" a="1"/>
  <c r="R146" s="1"/>
  <c r="R146" i="40" s="1"/>
  <c r="R138" i="37" a="1"/>
  <c r="R138" s="1"/>
  <c r="R138" i="40" s="1"/>
  <c r="R154" i="37" a="1"/>
  <c r="R154" s="1"/>
  <c r="R154" i="40" s="1"/>
  <c r="R158" i="37" a="1"/>
  <c r="R158" s="1"/>
  <c r="R158" i="40" s="1"/>
  <c r="R145" i="37" a="1"/>
  <c r="R145" s="1"/>
  <c r="R145" i="40" s="1"/>
  <c r="R151" i="37" a="1"/>
  <c r="R151" s="1"/>
  <c r="R151" i="40" s="1"/>
  <c r="R161" i="37" a="1"/>
  <c r="R161" s="1"/>
  <c r="R161" i="40" s="1"/>
  <c r="R141" i="37" a="1"/>
  <c r="R141" s="1"/>
  <c r="R141" i="40" s="1"/>
  <c r="R159" i="37" a="1"/>
  <c r="R159" s="1"/>
  <c r="R159" i="40" s="1"/>
  <c r="R153" i="37" a="1"/>
  <c r="R153" s="1"/>
  <c r="R153" i="40" s="1"/>
  <c r="R149" i="37" a="1"/>
  <c r="R149" s="1"/>
  <c r="R149" i="40" s="1"/>
  <c r="R157" i="37" a="1"/>
  <c r="R157" s="1"/>
  <c r="R157" i="40" s="1"/>
  <c r="R143" i="37" a="1"/>
  <c r="R143" s="1"/>
  <c r="R143" i="40" s="1"/>
  <c r="R156" i="37" a="1"/>
  <c r="R156" s="1"/>
  <c r="R156" i="40" s="1"/>
  <c r="R140" i="37" a="1"/>
  <c r="R140" s="1"/>
  <c r="R140" i="40" s="1"/>
  <c r="R142" i="37" a="1"/>
  <c r="R142" s="1"/>
  <c r="R142" i="40" s="1"/>
  <c r="R150" i="37" a="1"/>
  <c r="R150" s="1"/>
  <c r="R150" i="40" s="1"/>
  <c r="R148" i="37" a="1"/>
  <c r="R148" s="1"/>
  <c r="R148" i="40" s="1"/>
  <c r="R155" i="37" a="1"/>
  <c r="R155" s="1"/>
  <c r="R155" i="40" s="1"/>
  <c r="R147" i="37" a="1"/>
  <c r="R147" s="1"/>
  <c r="R147" i="40" s="1"/>
  <c r="R139" i="37" a="1"/>
  <c r="R139" s="1"/>
  <c r="R160" a="1"/>
  <c r="R160" s="1"/>
  <c r="R160" i="40" s="1"/>
  <c r="R152" i="37" a="1"/>
  <c r="R152" s="1"/>
  <c r="R152" i="40" s="1"/>
  <c r="R144" i="37" a="1"/>
  <c r="R144" s="1"/>
  <c r="R144" i="40" s="1"/>
  <c r="AB138" i="37" a="1"/>
  <c r="AB138" s="1"/>
  <c r="AB138" i="40" s="1"/>
  <c r="AB146" i="37" a="1"/>
  <c r="AB146" s="1"/>
  <c r="AB146" i="40" s="1"/>
  <c r="AB154" i="37" a="1"/>
  <c r="AB154" s="1"/>
  <c r="AB154" i="40" s="1"/>
  <c r="AB140" i="37" a="1"/>
  <c r="AB140" s="1"/>
  <c r="AB140" i="40" s="1"/>
  <c r="AB142" i="37" a="1"/>
  <c r="AB142" s="1"/>
  <c r="AB142" i="40" s="1"/>
  <c r="AB161" i="37" a="1"/>
  <c r="AB161" s="1"/>
  <c r="AB161" i="40" s="1"/>
  <c r="AB151" i="37" a="1"/>
  <c r="AB151" s="1"/>
  <c r="AB151" i="40" s="1"/>
  <c r="AB149" i="37" a="1"/>
  <c r="AB149" s="1"/>
  <c r="AB149" i="40" s="1"/>
  <c r="AB143" i="37" a="1"/>
  <c r="AB143" s="1"/>
  <c r="AB143" i="40" s="1"/>
  <c r="AB159" i="37" a="1"/>
  <c r="AB159" s="1"/>
  <c r="AB159" i="40" s="1"/>
  <c r="AB157" i="37" a="1"/>
  <c r="AB157" s="1"/>
  <c r="AB157" i="40" s="1"/>
  <c r="AB145" i="37" a="1"/>
  <c r="AB145" s="1"/>
  <c r="AB145" i="40" s="1"/>
  <c r="AB153" i="37" a="1"/>
  <c r="AB153" s="1"/>
  <c r="AB153" i="40" s="1"/>
  <c r="AB141" i="37" a="1"/>
  <c r="AB141" s="1"/>
  <c r="AB141" i="40" s="1"/>
  <c r="AB156" i="37" a="1"/>
  <c r="AB156" s="1"/>
  <c r="AB156" i="40" s="1"/>
  <c r="AB158" i="37" a="1"/>
  <c r="AB158" s="1"/>
  <c r="AB158" i="40" s="1"/>
  <c r="AB148" i="37" a="1"/>
  <c r="AB148" s="1"/>
  <c r="AB148" i="40" s="1"/>
  <c r="AB150" i="37" a="1"/>
  <c r="AB150" s="1"/>
  <c r="AB150" i="40" s="1"/>
  <c r="AB155" i="37" a="1"/>
  <c r="AB155" s="1"/>
  <c r="AB155" i="40" s="1"/>
  <c r="AB139" i="37" a="1"/>
  <c r="AB139" s="1"/>
  <c r="AB147" a="1"/>
  <c r="AB147" s="1"/>
  <c r="AB147" i="40" s="1"/>
  <c r="AB152" i="37" a="1"/>
  <c r="AB152" s="1"/>
  <c r="AB152" i="40" s="1"/>
  <c r="AB160" i="37" a="1"/>
  <c r="AB160" s="1"/>
  <c r="AB160" i="40" s="1"/>
  <c r="AB144" i="37" a="1"/>
  <c r="AB144" s="1"/>
  <c r="AB144" i="40" s="1"/>
  <c r="X29" i="37" a="1"/>
  <c r="X29" s="1"/>
  <c r="X29" i="40" s="1"/>
  <c r="X42" i="37" a="1"/>
  <c r="X42" s="1"/>
  <c r="X42" i="40" s="1"/>
  <c r="X26" i="37" a="1"/>
  <c r="X26" s="1"/>
  <c r="X26" i="40" s="1"/>
  <c r="X31" i="37" a="1"/>
  <c r="X31" s="1"/>
  <c r="X31" i="40" s="1"/>
  <c r="X28" i="37" a="1"/>
  <c r="X28" s="1"/>
  <c r="X28" i="40" s="1"/>
  <c r="X25" i="37" a="1"/>
  <c r="X25" s="1"/>
  <c r="X34" a="1"/>
  <c r="X34" s="1"/>
  <c r="X34" i="40" s="1"/>
  <c r="X45" i="37" a="1"/>
  <c r="X45" s="1"/>
  <c r="X45" i="40" s="1"/>
  <c r="X33" i="37" a="1"/>
  <c r="X33" s="1"/>
  <c r="X33" i="40" s="1"/>
  <c r="X41" i="37" a="1"/>
  <c r="X41" s="1"/>
  <c r="X41" i="40" s="1"/>
  <c r="X39" i="37" a="1"/>
  <c r="X39" s="1"/>
  <c r="X39" i="40" s="1"/>
  <c r="X38" i="37" a="1"/>
  <c r="X38" s="1"/>
  <c r="X38" i="40" s="1"/>
  <c r="X44" i="37" a="1"/>
  <c r="X44" s="1"/>
  <c r="X44" i="40" s="1"/>
  <c r="X30" i="37" a="1"/>
  <c r="X30" s="1"/>
  <c r="X30" i="40" s="1"/>
  <c r="X36" i="37" a="1"/>
  <c r="X36" s="1"/>
  <c r="X36" i="40" s="1"/>
  <c r="X37" i="37" a="1"/>
  <c r="X37" s="1"/>
  <c r="X37" i="40" s="1"/>
  <c r="X43" i="37" a="1"/>
  <c r="X43" s="1"/>
  <c r="X43" i="40" s="1"/>
  <c r="X40" i="37" a="1"/>
  <c r="X40" s="1"/>
  <c r="X40" i="40" s="1"/>
  <c r="X32" i="37" a="1"/>
  <c r="X32" s="1"/>
  <c r="X32" i="40" s="1"/>
  <c r="X35" i="37" a="1"/>
  <c r="X35" s="1"/>
  <c r="X35" i="40" s="1"/>
  <c r="X27" i="37" a="1"/>
  <c r="X27" s="1"/>
  <c r="X27" i="40" s="1"/>
  <c r="X24" i="37" a="1"/>
  <c r="X24" s="1"/>
  <c r="X24" i="40" s="1"/>
  <c r="Z31" i="37" a="1"/>
  <c r="Z31" s="1"/>
  <c r="Z31" i="40" s="1"/>
  <c r="Z42" i="37" a="1"/>
  <c r="Z42" s="1"/>
  <c r="Z42" i="40" s="1"/>
  <c r="Z26" i="37" a="1"/>
  <c r="Z26" s="1"/>
  <c r="Z26" i="40" s="1"/>
  <c r="Z33" i="37" a="1"/>
  <c r="Z33" s="1"/>
  <c r="Z33" i="40" s="1"/>
  <c r="Z38" i="37" a="1"/>
  <c r="Z38" s="1"/>
  <c r="Z38" i="40" s="1"/>
  <c r="Z30" i="37" a="1"/>
  <c r="Z30" s="1"/>
  <c r="Z30" i="40" s="1"/>
  <c r="Z28" i="37" a="1"/>
  <c r="Z28" s="1"/>
  <c r="Z28" i="40" s="1"/>
  <c r="Z34" i="37" a="1"/>
  <c r="Z34" s="1"/>
  <c r="Z34" i="40" s="1"/>
  <c r="Z45" i="37" a="1"/>
  <c r="Z45" s="1"/>
  <c r="Z45" i="40" s="1"/>
  <c r="Z29" i="37" a="1"/>
  <c r="Z29" s="1"/>
  <c r="Z29" i="40" s="1"/>
  <c r="Z39" i="37" a="1"/>
  <c r="Z39" s="1"/>
  <c r="Z39" i="40" s="1"/>
  <c r="Z41" i="37" a="1"/>
  <c r="Z41" s="1"/>
  <c r="Z41" i="40" s="1"/>
  <c r="Z25" i="37" a="1"/>
  <c r="Z25" s="1"/>
  <c r="Z36" a="1"/>
  <c r="Z36" s="1"/>
  <c r="Z36" i="40" s="1"/>
  <c r="Z37" i="37" a="1"/>
  <c r="Z37" s="1"/>
  <c r="Z37" i="40" s="1"/>
  <c r="Z44" i="37" a="1"/>
  <c r="Z44" s="1"/>
  <c r="Z44" i="40" s="1"/>
  <c r="Z35" i="37" a="1"/>
  <c r="Z35" s="1"/>
  <c r="Z35" i="40" s="1"/>
  <c r="Z40" i="37" a="1"/>
  <c r="Z40" s="1"/>
  <c r="Z40" i="40" s="1"/>
  <c r="Z27" i="37" a="1"/>
  <c r="Z27" s="1"/>
  <c r="Z27" i="40" s="1"/>
  <c r="Z43" i="37" a="1"/>
  <c r="Z43" s="1"/>
  <c r="Z43" i="40" s="1"/>
  <c r="Z32" i="37" a="1"/>
  <c r="Z32" s="1"/>
  <c r="Z32" i="40" s="1"/>
  <c r="Z24" i="37" a="1"/>
  <c r="Z24" s="1"/>
  <c r="Z24" i="40" s="1"/>
  <c r="Y378" i="37" a="1"/>
  <c r="Y378" s="1"/>
  <c r="Y378" i="40" s="1"/>
  <c r="Y367" i="37" a="1"/>
  <c r="Y367" s="1"/>
  <c r="Y367" i="40" s="1"/>
  <c r="Y381" i="37" a="1"/>
  <c r="Y381" s="1"/>
  <c r="Y381" i="40" s="1"/>
  <c r="Y386" i="37" a="1"/>
  <c r="Y386" s="1"/>
  <c r="Y386" i="40" s="1"/>
  <c r="Y374" i="37" a="1"/>
  <c r="Y374" s="1"/>
  <c r="Y374" i="40" s="1"/>
  <c r="Y369" i="37" a="1"/>
  <c r="Y369" s="1"/>
  <c r="Y369" i="40" s="1"/>
  <c r="Y375" i="37" a="1"/>
  <c r="Y375" s="1"/>
  <c r="Y375" i="40" s="1"/>
  <c r="Y380" i="37" a="1"/>
  <c r="Y380" s="1"/>
  <c r="Y380" i="40" s="1"/>
  <c r="Y373" i="37" a="1"/>
  <c r="Y373" s="1"/>
  <c r="Y373" i="40" s="1"/>
  <c r="Y383" i="37" a="1"/>
  <c r="Y383" s="1"/>
  <c r="Y383" i="40" s="1"/>
  <c r="Y385" i="37" a="1"/>
  <c r="Y385" s="1"/>
  <c r="Y385" i="40" s="1"/>
  <c r="Y371" i="37" a="1"/>
  <c r="Y371" s="1"/>
  <c r="Y371" i="40" s="1"/>
  <c r="Y382" i="37" a="1"/>
  <c r="Y382" s="1"/>
  <c r="Y382" i="40" s="1"/>
  <c r="Y388" i="37" a="1"/>
  <c r="Y388" s="1"/>
  <c r="Y388" i="40" s="1"/>
  <c r="Y377" i="37" a="1"/>
  <c r="Y377" s="1"/>
  <c r="Y377" i="40" s="1"/>
  <c r="Y370" i="37" a="1"/>
  <c r="Y370" s="1"/>
  <c r="Y370" i="40" s="1"/>
  <c r="Y372" i="37" a="1"/>
  <c r="Y372" s="1"/>
  <c r="Y372" i="40" s="1"/>
  <c r="Y366" i="37" a="1"/>
  <c r="Y366" s="1"/>
  <c r="Y387" a="1"/>
  <c r="Y387" s="1"/>
  <c r="Y387" i="40" s="1"/>
  <c r="Y365" i="37" a="1"/>
  <c r="Y365" s="1"/>
  <c r="Y365" i="40" s="1"/>
  <c r="Y379" i="37" a="1"/>
  <c r="Y379" s="1"/>
  <c r="Y379" i="40" s="1"/>
  <c r="Y368" i="37" a="1"/>
  <c r="Y368" s="1"/>
  <c r="Y368" i="40" s="1"/>
  <c r="Y376" i="37" a="1"/>
  <c r="Y376" s="1"/>
  <c r="Y376" i="40" s="1"/>
  <c r="Y384" i="37" a="1"/>
  <c r="Y384" s="1"/>
  <c r="Y384" i="40" s="1"/>
  <c r="AA373" i="37" a="1"/>
  <c r="AA373" s="1"/>
  <c r="AA373" i="40" s="1"/>
  <c r="AA378" i="37" a="1"/>
  <c r="AA378" s="1"/>
  <c r="AA378" i="40" s="1"/>
  <c r="AA380" i="37" a="1"/>
  <c r="AA380" s="1"/>
  <c r="AA380" i="40" s="1"/>
  <c r="AA366" i="37" a="1"/>
  <c r="AA366" s="1"/>
  <c r="AA381" a="1"/>
  <c r="AA381" s="1"/>
  <c r="AA381" i="40" s="1"/>
  <c r="AA369" i="37" a="1"/>
  <c r="AA369" s="1"/>
  <c r="AA369" i="40" s="1"/>
  <c r="AA385" i="37" a="1"/>
  <c r="AA385" s="1"/>
  <c r="AA385" i="40" s="1"/>
  <c r="AA383" i="37" a="1"/>
  <c r="AA383" s="1"/>
  <c r="AA383" i="40" s="1"/>
  <c r="AA386" i="37" a="1"/>
  <c r="AA386" s="1"/>
  <c r="AA386" i="40" s="1"/>
  <c r="AA375" i="37" a="1"/>
  <c r="AA375" s="1"/>
  <c r="AA375" i="40" s="1"/>
  <c r="AA367" i="37" a="1"/>
  <c r="AA367" s="1"/>
  <c r="AA367" i="40" s="1"/>
  <c r="AA388" i="37" a="1"/>
  <c r="AA388" s="1"/>
  <c r="AA388" i="40" s="1"/>
  <c r="AA372" i="37" a="1"/>
  <c r="AA372" s="1"/>
  <c r="AA372" i="40" s="1"/>
  <c r="AA382" i="37" a="1"/>
  <c r="AA382" s="1"/>
  <c r="AA382" i="40" s="1"/>
  <c r="AA374" i="37" a="1"/>
  <c r="AA374" s="1"/>
  <c r="AA374" i="40" s="1"/>
  <c r="AA377" i="37" a="1"/>
  <c r="AA377" s="1"/>
  <c r="AA377" i="40" s="1"/>
  <c r="AA370" i="37" a="1"/>
  <c r="AA370" s="1"/>
  <c r="AA370" i="40" s="1"/>
  <c r="AA387" i="37" a="1"/>
  <c r="AA387" s="1"/>
  <c r="AA387" i="40" s="1"/>
  <c r="AA384" i="37" a="1"/>
  <c r="AA384" s="1"/>
  <c r="AA384" i="40" s="1"/>
  <c r="AA368" i="37" a="1"/>
  <c r="AA368" s="1"/>
  <c r="AA368" i="40" s="1"/>
  <c r="AA365" i="37" a="1"/>
  <c r="AA365" s="1"/>
  <c r="AA365" i="40" s="1"/>
  <c r="AA379" i="37" a="1"/>
  <c r="AA379" s="1"/>
  <c r="AA379" i="40" s="1"/>
  <c r="AA376" i="37" a="1"/>
  <c r="AA376" s="1"/>
  <c r="AA376" i="40" s="1"/>
  <c r="AA371" i="37" a="1"/>
  <c r="AA371" s="1"/>
  <c r="AA371" i="40" s="1"/>
  <c r="Y202" i="37" a="1"/>
  <c r="Y202" s="1"/>
  <c r="Y202" i="40" s="1"/>
  <c r="Y205" i="37" a="1"/>
  <c r="Y205" s="1"/>
  <c r="Y205" i="40" s="1"/>
  <c r="Y186" i="37" a="1"/>
  <c r="Y186" s="1"/>
  <c r="Y194" a="1"/>
  <c r="Y194" s="1"/>
  <c r="Y194" i="40" s="1"/>
  <c r="Y197" i="37" a="1"/>
  <c r="Y197" s="1"/>
  <c r="Y197" i="40" s="1"/>
  <c r="Y193" i="37" a="1"/>
  <c r="Y193" s="1"/>
  <c r="Y193" i="40" s="1"/>
  <c r="Y204" i="37" a="1"/>
  <c r="Y204" s="1"/>
  <c r="Y204" i="40" s="1"/>
  <c r="Y198" i="37" a="1"/>
  <c r="Y198" s="1"/>
  <c r="Y198" i="40" s="1"/>
  <c r="Y207" i="37" a="1"/>
  <c r="Y207" s="1"/>
  <c r="Y207" i="40" s="1"/>
  <c r="Y191" i="37" a="1"/>
  <c r="Y191" s="1"/>
  <c r="Y191" i="40" s="1"/>
  <c r="Y189" i="37" a="1"/>
  <c r="Y189" s="1"/>
  <c r="Y189" i="40" s="1"/>
  <c r="Y199" i="37" a="1"/>
  <c r="Y199" s="1"/>
  <c r="Y199" i="40" s="1"/>
  <c r="Y201" i="37" a="1"/>
  <c r="Y201" s="1"/>
  <c r="Y201" i="40" s="1"/>
  <c r="Y196" i="37" a="1"/>
  <c r="Y196" s="1"/>
  <c r="Y196" i="40" s="1"/>
  <c r="Y185" i="37" a="1"/>
  <c r="Y185" s="1"/>
  <c r="Y185" i="40" s="1"/>
  <c r="Y190" i="37" a="1"/>
  <c r="Y190" s="1"/>
  <c r="Y190" i="40" s="1"/>
  <c r="Y188" i="37" a="1"/>
  <c r="Y188" s="1"/>
  <c r="Y188" i="40" s="1"/>
  <c r="Y206" i="37" a="1"/>
  <c r="Y206" s="1"/>
  <c r="Y206" i="40" s="1"/>
  <c r="Y195" i="37" a="1"/>
  <c r="Y195" s="1"/>
  <c r="Y195" i="40" s="1"/>
  <c r="Y187" i="37" a="1"/>
  <c r="Y187" s="1"/>
  <c r="Y187" i="40" s="1"/>
  <c r="Y203" i="37" a="1"/>
  <c r="Y203" s="1"/>
  <c r="Y203" i="40" s="1"/>
  <c r="Y200" i="37" a="1"/>
  <c r="Y200" s="1"/>
  <c r="Y200" i="40" s="1"/>
  <c r="Y192" i="37" a="1"/>
  <c r="Y192" s="1"/>
  <c r="Y192" i="40" s="1"/>
  <c r="AA207" i="37" a="1"/>
  <c r="AA207" s="1"/>
  <c r="AA207" i="40" s="1"/>
  <c r="AA202" i="37" a="1"/>
  <c r="AA202" s="1"/>
  <c r="AA202" i="40" s="1"/>
  <c r="AA197" i="37" a="1"/>
  <c r="AA197" s="1"/>
  <c r="AA197" i="40" s="1"/>
  <c r="AA194" i="37" a="1"/>
  <c r="AA194" s="1"/>
  <c r="AA194" i="40" s="1"/>
  <c r="AA199" i="37" a="1"/>
  <c r="AA199" s="1"/>
  <c r="AA199" i="40" s="1"/>
  <c r="AA191" i="37" a="1"/>
  <c r="AA191" s="1"/>
  <c r="AA191" i="40" s="1"/>
  <c r="AA193" i="37" a="1"/>
  <c r="AA193" s="1"/>
  <c r="AA193" i="40" s="1"/>
  <c r="AA205" i="37" a="1"/>
  <c r="AA205" s="1"/>
  <c r="AA205" i="40" s="1"/>
  <c r="AA189" i="37" a="1"/>
  <c r="AA189" s="1"/>
  <c r="AA189" i="40" s="1"/>
  <c r="AA204" i="37" a="1"/>
  <c r="AA204" s="1"/>
  <c r="AA204" i="40" s="1"/>
  <c r="AA206" i="37" a="1"/>
  <c r="AA206" s="1"/>
  <c r="AA206" i="40" s="1"/>
  <c r="AA185" i="37" a="1"/>
  <c r="AA185" s="1"/>
  <c r="AA185" i="40" s="1"/>
  <c r="AA186" i="37" a="1"/>
  <c r="AA186" s="1"/>
  <c r="AA201" a="1"/>
  <c r="AA201" s="1"/>
  <c r="AA201" i="40" s="1"/>
  <c r="AA196" i="37" a="1"/>
  <c r="AA196" s="1"/>
  <c r="AA196" i="40" s="1"/>
  <c r="AA188" i="37" a="1"/>
  <c r="AA188" s="1"/>
  <c r="AA188" i="40" s="1"/>
  <c r="AA190" i="37" a="1"/>
  <c r="AA190" s="1"/>
  <c r="AA190" i="40" s="1"/>
  <c r="AA198" i="37" a="1"/>
  <c r="AA198" s="1"/>
  <c r="AA198" i="40" s="1"/>
  <c r="AA203" i="37" a="1"/>
  <c r="AA203" s="1"/>
  <c r="AA203" i="40" s="1"/>
  <c r="AA192" i="37" a="1"/>
  <c r="AA192" s="1"/>
  <c r="AA192" i="40" s="1"/>
  <c r="AA195" i="37" a="1"/>
  <c r="AA195" s="1"/>
  <c r="AA195" i="40" s="1"/>
  <c r="AA187" i="37" a="1"/>
  <c r="AA187" s="1"/>
  <c r="AA187" i="40" s="1"/>
  <c r="AA200" i="37" a="1"/>
  <c r="AA200" s="1"/>
  <c r="AA200" i="40" s="1"/>
  <c r="Y311" i="37" a="1"/>
  <c r="Y311" s="1"/>
  <c r="Y311" i="40" s="1"/>
  <c r="Y317" i="37" a="1"/>
  <c r="Y317" s="1"/>
  <c r="Y317" i="40" s="1"/>
  <c r="Y313" i="37" a="1"/>
  <c r="Y313" s="1"/>
  <c r="Y313" i="40" s="1"/>
  <c r="Y301" i="37" a="1"/>
  <c r="Y301" s="1"/>
  <c r="Y301" i="40" s="1"/>
  <c r="Y318" i="37" a="1"/>
  <c r="Y318" s="1"/>
  <c r="Y318" i="40" s="1"/>
  <c r="Y302" i="37" a="1"/>
  <c r="Y302" s="1"/>
  <c r="Y302" i="40" s="1"/>
  <c r="Y319" i="37" a="1"/>
  <c r="Y319" s="1"/>
  <c r="Y319" i="40" s="1"/>
  <c r="Y303" i="37" a="1"/>
  <c r="Y303" s="1"/>
  <c r="Y303" i="40" s="1"/>
  <c r="Y305" i="37" a="1"/>
  <c r="Y305" s="1"/>
  <c r="Y305" i="40" s="1"/>
  <c r="Y310" i="37" a="1"/>
  <c r="Y310" s="1"/>
  <c r="Y310" i="40" s="1"/>
  <c r="Y309" i="37" a="1"/>
  <c r="Y309" s="1"/>
  <c r="Y309" i="40" s="1"/>
  <c r="Y306" i="37" a="1"/>
  <c r="Y306" s="1"/>
  <c r="Y306" i="40" s="1"/>
  <c r="Y308" i="37" a="1"/>
  <c r="Y308" s="1"/>
  <c r="Y308" i="40" s="1"/>
  <c r="Y315" i="37" a="1"/>
  <c r="Y315" s="1"/>
  <c r="Y315" i="40" s="1"/>
  <c r="Y314" i="37" a="1"/>
  <c r="Y314" s="1"/>
  <c r="Y314" i="40" s="1"/>
  <c r="Y300" i="37" a="1"/>
  <c r="Y300" s="1"/>
  <c r="Y320" a="1"/>
  <c r="Y320" s="1"/>
  <c r="Y320" i="40" s="1"/>
  <c r="Y312" i="37" a="1"/>
  <c r="Y312" s="1"/>
  <c r="Y312" i="40" s="1"/>
  <c r="Y307" i="37" a="1"/>
  <c r="Y307" s="1"/>
  <c r="Y307" i="40" s="1"/>
  <c r="Y304" i="37" a="1"/>
  <c r="Y304" s="1"/>
  <c r="Y304" i="40" s="1"/>
  <c r="Y299" i="37" a="1"/>
  <c r="Y299" s="1"/>
  <c r="Y299" i="40" s="1"/>
  <c r="Y316" i="37" a="1"/>
  <c r="Y316" s="1"/>
  <c r="Y316" i="40" s="1"/>
  <c r="V135" i="37" a="1"/>
  <c r="V135" s="1"/>
  <c r="V135" i="40" s="1"/>
  <c r="V130" i="37" a="1"/>
  <c r="V130" s="1"/>
  <c r="V130" i="40" s="1"/>
  <c r="V125" i="37" a="1"/>
  <c r="V125" s="1"/>
  <c r="V125" i="40" s="1"/>
  <c r="V122" i="37" a="1"/>
  <c r="V122" s="1"/>
  <c r="V122" i="40" s="1"/>
  <c r="V114" i="37" a="1"/>
  <c r="V114" s="1"/>
  <c r="V114" i="40" s="1"/>
  <c r="V127" i="37" a="1"/>
  <c r="V127" s="1"/>
  <c r="V127" i="40" s="1"/>
  <c r="V137" i="37" a="1"/>
  <c r="V137" s="1"/>
  <c r="V137" i="40" s="1"/>
  <c r="V124" i="37" a="1"/>
  <c r="V124" s="1"/>
  <c r="V124" i="40" s="1"/>
  <c r="V121" i="37" a="1"/>
  <c r="V121" s="1"/>
  <c r="V121" i="40" s="1"/>
  <c r="V119" i="37" a="1"/>
  <c r="V119" s="1"/>
  <c r="V119" i="40" s="1"/>
  <c r="V129" i="37" a="1"/>
  <c r="V129" s="1"/>
  <c r="V129" i="40" s="1"/>
  <c r="V132" i="37" a="1"/>
  <c r="V132" s="1"/>
  <c r="V132" i="40" s="1"/>
  <c r="V116" i="37" a="1"/>
  <c r="V116" s="1"/>
  <c r="V116" i="40" s="1"/>
  <c r="V134" i="37" a="1"/>
  <c r="V134" s="1"/>
  <c r="V134" i="40" s="1"/>
  <c r="V126" i="37" a="1"/>
  <c r="V126" s="1"/>
  <c r="V126" i="40" s="1"/>
  <c r="V118" i="37" a="1"/>
  <c r="V118" s="1"/>
  <c r="V118" i="40" s="1"/>
  <c r="V133" i="37" a="1"/>
  <c r="V133" s="1"/>
  <c r="V133" i="40" s="1"/>
  <c r="V117" i="37" a="1"/>
  <c r="V117" s="1"/>
  <c r="V117" i="40" s="1"/>
  <c r="V120" i="37" a="1"/>
  <c r="V120" s="1"/>
  <c r="V120" i="40" s="1"/>
  <c r="V128" i="37" a="1"/>
  <c r="V128" s="1"/>
  <c r="V128" i="40" s="1"/>
  <c r="V115" i="37" a="1"/>
  <c r="V115" s="1"/>
  <c r="V131" a="1"/>
  <c r="V131" s="1"/>
  <c r="V131" i="40" s="1"/>
  <c r="V123" i="37" a="1"/>
  <c r="V123" s="1"/>
  <c r="V123" i="40" s="1"/>
  <c r="V136" i="37" a="1"/>
  <c r="V136" s="1"/>
  <c r="V136" i="40" s="1"/>
  <c r="T466" i="37" a="1"/>
  <c r="T466" s="1"/>
  <c r="T466" i="40" s="1"/>
  <c r="T458" i="37" a="1"/>
  <c r="T458" s="1"/>
  <c r="T458" i="40" s="1"/>
  <c r="T463" i="37" a="1"/>
  <c r="T463" s="1"/>
  <c r="T463" i="40" s="1"/>
  <c r="T460" i="37" a="1"/>
  <c r="T460" s="1"/>
  <c r="T460" i="40" s="1"/>
  <c r="T455" i="37" a="1"/>
  <c r="T455" s="1"/>
  <c r="T455" i="40" s="1"/>
  <c r="T461" i="37" a="1"/>
  <c r="T461" s="1"/>
  <c r="T461" i="40" s="1"/>
  <c r="T459" i="37" a="1"/>
  <c r="T459" s="1"/>
  <c r="T459" i="40" s="1"/>
  <c r="T457" i="37" a="1"/>
  <c r="T457" s="1"/>
  <c r="T457" i="40" s="1"/>
  <c r="T454" i="37" a="1"/>
  <c r="T454" s="1"/>
  <c r="T454" i="40" s="1"/>
  <c r="T462" i="37" a="1"/>
  <c r="T462" s="1"/>
  <c r="T462" i="40" s="1"/>
  <c r="T465" i="37" a="1"/>
  <c r="T465" s="1"/>
  <c r="T465" i="40" s="1"/>
  <c r="T453" i="37" a="1"/>
  <c r="T453" s="1"/>
  <c r="T453" i="40" s="1"/>
  <c r="T467" i="37" a="1"/>
  <c r="T467" s="1"/>
  <c r="T467" i="40" s="1"/>
  <c r="T456" i="37" a="1"/>
  <c r="T456" s="1"/>
  <c r="T456" i="40" s="1"/>
  <c r="T452" i="37" a="1"/>
  <c r="T452" s="1"/>
  <c r="T464" a="1"/>
  <c r="T464" s="1"/>
  <c r="T464" i="40" s="1"/>
  <c r="W103" i="37" a="1"/>
  <c r="W103" s="1"/>
  <c r="W103" i="40" s="1"/>
  <c r="W101" i="37" a="1"/>
  <c r="W101" s="1"/>
  <c r="W101" i="40" s="1"/>
  <c r="W106" i="37" a="1"/>
  <c r="W106" s="1"/>
  <c r="W106" i="40" s="1"/>
  <c r="W95" i="37" a="1"/>
  <c r="W95" s="1"/>
  <c r="W95" i="40" s="1"/>
  <c r="W100" i="37" a="1"/>
  <c r="W100" s="1"/>
  <c r="W100" i="40" s="1"/>
  <c r="W105" i="37" a="1"/>
  <c r="W105" s="1"/>
  <c r="W105" i="40" s="1"/>
  <c r="W94" i="37" a="1"/>
  <c r="W94" s="1"/>
  <c r="W94" i="40" s="1"/>
  <c r="W111" i="37" a="1"/>
  <c r="W111" s="1"/>
  <c r="W111" i="40" s="1"/>
  <c r="W92" i="37" a="1"/>
  <c r="W92" s="1"/>
  <c r="W92" i="40" s="1"/>
  <c r="W90" i="37" a="1"/>
  <c r="W90" s="1"/>
  <c r="W90" i="40" s="1"/>
  <c r="W98" i="37" a="1"/>
  <c r="W98" s="1"/>
  <c r="W98" i="40" s="1"/>
  <c r="W97" i="37" a="1"/>
  <c r="W97" s="1"/>
  <c r="W97" i="40" s="1"/>
  <c r="W109" i="37" a="1"/>
  <c r="W109" s="1"/>
  <c r="W109" i="40" s="1"/>
  <c r="W113" i="37" a="1"/>
  <c r="W113" s="1"/>
  <c r="W113" i="40" s="1"/>
  <c r="W110" i="37" a="1"/>
  <c r="W110" s="1"/>
  <c r="W110" i="40" s="1"/>
  <c r="W93" i="37" a="1"/>
  <c r="W93" s="1"/>
  <c r="W93" i="40" s="1"/>
  <c r="W108" i="37" a="1"/>
  <c r="W108" s="1"/>
  <c r="W108" i="40" s="1"/>
  <c r="W102" i="37" a="1"/>
  <c r="W102" s="1"/>
  <c r="W102" i="40" s="1"/>
  <c r="W99" i="37" a="1"/>
  <c r="W99" s="1"/>
  <c r="W99" i="40" s="1"/>
  <c r="W96" i="37" a="1"/>
  <c r="W96" s="1"/>
  <c r="W96" i="40" s="1"/>
  <c r="W112" i="37" a="1"/>
  <c r="W112" s="1"/>
  <c r="W112" i="40" s="1"/>
  <c r="W107" i="37" a="1"/>
  <c r="W107" s="1"/>
  <c r="W107" i="40" s="1"/>
  <c r="W91" i="37" a="1"/>
  <c r="W91" s="1"/>
  <c r="W104" a="1"/>
  <c r="W104" s="1"/>
  <c r="W104" i="40" s="1"/>
  <c r="W215" i="37" a="1"/>
  <c r="W215" s="1"/>
  <c r="W215" i="40" s="1"/>
  <c r="W212" i="37" a="1"/>
  <c r="W212" s="1"/>
  <c r="W212" i="40" s="1"/>
  <c r="W226" i="37" a="1"/>
  <c r="W226" s="1"/>
  <c r="W226" i="40" s="1"/>
  <c r="W210" i="37" a="1"/>
  <c r="W210" s="1"/>
  <c r="W210" i="40" s="1"/>
  <c r="W223" i="37" a="1"/>
  <c r="W223" s="1"/>
  <c r="W223" i="40" s="1"/>
  <c r="W213" i="37" a="1"/>
  <c r="W213" s="1"/>
  <c r="W213" i="40" s="1"/>
  <c r="W225" i="37" a="1"/>
  <c r="W225" s="1"/>
  <c r="W225" i="40" s="1"/>
  <c r="W217" i="37" a="1"/>
  <c r="W217" s="1"/>
  <c r="W217" i="40" s="1"/>
  <c r="W218" i="37" a="1"/>
  <c r="W218" s="1"/>
  <c r="W218" i="40" s="1"/>
  <c r="W228" i="37" a="1"/>
  <c r="W228" s="1"/>
  <c r="W228" i="40" s="1"/>
  <c r="W209" i="37" a="1"/>
  <c r="W209" s="1"/>
  <c r="W230" a="1"/>
  <c r="W230" s="1"/>
  <c r="W230" i="40" s="1"/>
  <c r="W214" i="37" a="1"/>
  <c r="W214" s="1"/>
  <c r="W214" i="40" s="1"/>
  <c r="W221" i="37" a="1"/>
  <c r="W221" s="1"/>
  <c r="W221" i="40" s="1"/>
  <c r="W220" i="37" a="1"/>
  <c r="W220" s="1"/>
  <c r="W220" i="40" s="1"/>
  <c r="W222" i="37" a="1"/>
  <c r="W222" s="1"/>
  <c r="W222" i="40" s="1"/>
  <c r="W229" i="37" a="1"/>
  <c r="W229" s="1"/>
  <c r="W229" i="40" s="1"/>
  <c r="W208" i="37" a="1"/>
  <c r="W208" s="1"/>
  <c r="W208" i="40" s="1"/>
  <c r="W227" i="37" a="1"/>
  <c r="W227" s="1"/>
  <c r="W227" i="40" s="1"/>
  <c r="W219" i="37" a="1"/>
  <c r="W219" s="1"/>
  <c r="W219" i="40" s="1"/>
  <c r="W224" i="37" a="1"/>
  <c r="W224" s="1"/>
  <c r="W224" i="40" s="1"/>
  <c r="W211" i="37" a="1"/>
  <c r="W211" s="1"/>
  <c r="W211" i="40" s="1"/>
  <c r="W216" i="37" a="1"/>
  <c r="W216" s="1"/>
  <c r="W216" i="40" s="1"/>
  <c r="Z210" i="37" a="1"/>
  <c r="Z210" s="1"/>
  <c r="Z210" i="40" s="1"/>
  <c r="Z218" i="37" a="1"/>
  <c r="Z218" s="1"/>
  <c r="Z218" i="40" s="1"/>
  <c r="Z226" i="37" a="1"/>
  <c r="Z226" s="1"/>
  <c r="Z226" i="40" s="1"/>
  <c r="Z220" i="37" a="1"/>
  <c r="Z220" s="1"/>
  <c r="Z220" i="40" s="1"/>
  <c r="Z217" i="37" a="1"/>
  <c r="Z217" s="1"/>
  <c r="Z217" i="40" s="1"/>
  <c r="Z228" i="37" a="1"/>
  <c r="Z228" s="1"/>
  <c r="Z228" i="40" s="1"/>
  <c r="Z209" i="37" a="1"/>
  <c r="Z209" s="1"/>
  <c r="Z213" a="1"/>
  <c r="Z213" s="1"/>
  <c r="Z213" i="40" s="1"/>
  <c r="Z223" i="37" a="1"/>
  <c r="Z223" s="1"/>
  <c r="Z223" i="40" s="1"/>
  <c r="Z215" i="37" a="1"/>
  <c r="Z215" s="1"/>
  <c r="Z215" i="40" s="1"/>
  <c r="Z225" i="37" a="1"/>
  <c r="Z225" s="1"/>
  <c r="Z225" i="40" s="1"/>
  <c r="Z212" i="37" a="1"/>
  <c r="Z212" s="1"/>
  <c r="Z212" i="40" s="1"/>
  <c r="Z230" i="37" a="1"/>
  <c r="Z230" s="1"/>
  <c r="Z230" i="40" s="1"/>
  <c r="Z221" i="37" a="1"/>
  <c r="Z221" s="1"/>
  <c r="Z221" i="40" s="1"/>
  <c r="Z222" i="37" a="1"/>
  <c r="Z222" s="1"/>
  <c r="Z222" i="40" s="1"/>
  <c r="Z214" i="37" a="1"/>
  <c r="Z214" s="1"/>
  <c r="Z214" i="40" s="1"/>
  <c r="Z219" i="37" a="1"/>
  <c r="Z219" s="1"/>
  <c r="Z219" i="40" s="1"/>
  <c r="Z211" i="37" a="1"/>
  <c r="Z211" s="1"/>
  <c r="Z211" i="40" s="1"/>
  <c r="Z224" i="37" a="1"/>
  <c r="Z224" s="1"/>
  <c r="Z224" i="40" s="1"/>
  <c r="Z229" i="37" a="1"/>
  <c r="Z229" s="1"/>
  <c r="Z229" i="40" s="1"/>
  <c r="Z208" i="37" a="1"/>
  <c r="Z208" s="1"/>
  <c r="Z208" i="40" s="1"/>
  <c r="Z227" i="37" a="1"/>
  <c r="Z227" s="1"/>
  <c r="Z227" i="40" s="1"/>
  <c r="Z216" i="37" a="1"/>
  <c r="Z216" s="1"/>
  <c r="Z216" i="40" s="1"/>
  <c r="T77" i="37" a="1"/>
  <c r="T77" s="1"/>
  <c r="T77" i="40" s="1"/>
  <c r="T74" i="37" a="1"/>
  <c r="T74" s="1"/>
  <c r="T74" i="40" s="1"/>
  <c r="T82" i="37" a="1"/>
  <c r="T82" s="1"/>
  <c r="T82" i="40" s="1"/>
  <c r="T89" i="37" a="1"/>
  <c r="T89" s="1"/>
  <c r="T89" i="40" s="1"/>
  <c r="T73" i="37" a="1"/>
  <c r="T73" s="1"/>
  <c r="T73" i="40" s="1"/>
  <c r="T69" i="37" a="1"/>
  <c r="T69" s="1"/>
  <c r="T69" i="40" s="1"/>
  <c r="T84" i="37" a="1"/>
  <c r="T84" s="1"/>
  <c r="T84" i="40" s="1"/>
  <c r="T87" i="37" a="1"/>
  <c r="T87" s="1"/>
  <c r="T87" i="40" s="1"/>
  <c r="T79" i="37" a="1"/>
  <c r="T79" s="1"/>
  <c r="T79" i="40" s="1"/>
  <c r="T71" i="37" a="1"/>
  <c r="T71" s="1"/>
  <c r="T71" i="40" s="1"/>
  <c r="T81" i="37" a="1"/>
  <c r="T81" s="1"/>
  <c r="T81" i="40" s="1"/>
  <c r="T70" i="37" a="1"/>
  <c r="T70" s="1"/>
  <c r="T76" a="1"/>
  <c r="T76" s="1"/>
  <c r="T76" i="40" s="1"/>
  <c r="T85" i="37" a="1"/>
  <c r="T85" s="1"/>
  <c r="T85" i="40" s="1"/>
  <c r="T86" i="37" a="1"/>
  <c r="T86" s="1"/>
  <c r="T86" i="40" s="1"/>
  <c r="T78" i="37" a="1"/>
  <c r="T78" s="1"/>
  <c r="T78" i="40" s="1"/>
  <c r="T75" i="37" a="1"/>
  <c r="T75" s="1"/>
  <c r="T75" i="40" s="1"/>
  <c r="T80" i="37" a="1"/>
  <c r="T80" s="1"/>
  <c r="T80" i="40" s="1"/>
  <c r="T83" i="37" a="1"/>
  <c r="T83" s="1"/>
  <c r="T83" i="40" s="1"/>
  <c r="T88" i="37" a="1"/>
  <c r="T88" s="1"/>
  <c r="T88" i="40" s="1"/>
  <c r="T72" i="37" a="1"/>
  <c r="T72" s="1"/>
  <c r="T72" i="40" s="1"/>
  <c r="AA71" i="37" a="1"/>
  <c r="AA71" s="1"/>
  <c r="AA71" i="40" s="1"/>
  <c r="AA82" i="37" a="1"/>
  <c r="AA82" s="1"/>
  <c r="AA82" i="40" s="1"/>
  <c r="AA74" i="37" a="1"/>
  <c r="AA74" s="1"/>
  <c r="AA74" i="40" s="1"/>
  <c r="AA77" i="37" a="1"/>
  <c r="AA77" s="1"/>
  <c r="AA77" i="40" s="1"/>
  <c r="AA87" i="37" a="1"/>
  <c r="AA87" s="1"/>
  <c r="AA87" i="40" s="1"/>
  <c r="AA73" i="37" a="1"/>
  <c r="AA73" s="1"/>
  <c r="AA73" i="40" s="1"/>
  <c r="AA79" i="37" a="1"/>
  <c r="AA79" s="1"/>
  <c r="AA79" i="40" s="1"/>
  <c r="AA89" i="37" a="1"/>
  <c r="AA89" s="1"/>
  <c r="AA89" i="40" s="1"/>
  <c r="AA81" i="37" a="1"/>
  <c r="AA81" s="1"/>
  <c r="AA81" i="40" s="1"/>
  <c r="AA69" i="37" a="1"/>
  <c r="AA69" s="1"/>
  <c r="AA69" i="40" s="1"/>
  <c r="AA84" i="37" a="1"/>
  <c r="AA84" s="1"/>
  <c r="AA84" i="40" s="1"/>
  <c r="AA78" i="37" a="1"/>
  <c r="AA78" s="1"/>
  <c r="AA78" i="40" s="1"/>
  <c r="AA86" i="37" a="1"/>
  <c r="AA86" s="1"/>
  <c r="AA86" i="40" s="1"/>
  <c r="AA85" i="37" a="1"/>
  <c r="AA85" s="1"/>
  <c r="AA85" i="40" s="1"/>
  <c r="AA70" i="37" a="1"/>
  <c r="AA70" s="1"/>
  <c r="AA76" a="1"/>
  <c r="AA76" s="1"/>
  <c r="AA76" i="40" s="1"/>
  <c r="AA72" i="37" a="1"/>
  <c r="AA72" s="1"/>
  <c r="AA72" i="40" s="1"/>
  <c r="AA83" i="37" a="1"/>
  <c r="AA83" s="1"/>
  <c r="AA83" i="40" s="1"/>
  <c r="AA80" i="37" a="1"/>
  <c r="AA80" s="1"/>
  <c r="AA80" i="40" s="1"/>
  <c r="AA75" i="37" a="1"/>
  <c r="AA75" s="1"/>
  <c r="AA75" i="40" s="1"/>
  <c r="AA88" i="37" a="1"/>
  <c r="AA88" s="1"/>
  <c r="AA88" i="40" s="1"/>
  <c r="W447" i="37" a="1"/>
  <c r="W447" s="1"/>
  <c r="W447" i="40" s="1"/>
  <c r="W445" i="37" a="1"/>
  <c r="W445" s="1"/>
  <c r="W445" i="40" s="1"/>
  <c r="W439" i="37" a="1"/>
  <c r="W439" s="1"/>
  <c r="W439" i="40" s="1"/>
  <c r="W449" i="37" a="1"/>
  <c r="W449" s="1"/>
  <c r="W449" i="40" s="1"/>
  <c r="W437" i="37" a="1"/>
  <c r="W437" s="1"/>
  <c r="W437" i="40" s="1"/>
  <c r="W442" i="37" a="1"/>
  <c r="W442" s="1"/>
  <c r="W442" i="40" s="1"/>
  <c r="W443" i="37" a="1"/>
  <c r="W443" s="1"/>
  <c r="W443" i="40" s="1"/>
  <c r="W446" i="37" a="1"/>
  <c r="W446" s="1"/>
  <c r="W446" i="40" s="1"/>
  <c r="W451" i="37" a="1"/>
  <c r="W451" s="1"/>
  <c r="W451" i="40" s="1"/>
  <c r="W444" i="37" a="1"/>
  <c r="W444" s="1"/>
  <c r="W444" i="40" s="1"/>
  <c r="W441" i="37" a="1"/>
  <c r="W441" s="1"/>
  <c r="W441" i="40" s="1"/>
  <c r="W438" i="37" a="1"/>
  <c r="W438" s="1"/>
  <c r="W438" i="40" s="1"/>
  <c r="W436" i="37" a="1"/>
  <c r="W436" s="1"/>
  <c r="W450" a="1"/>
  <c r="W450" s="1"/>
  <c r="W450" i="40" s="1"/>
  <c r="W448" i="37" a="1"/>
  <c r="W448" s="1"/>
  <c r="W448" i="40" s="1"/>
  <c r="W440" i="37" a="1"/>
  <c r="W440" s="1"/>
  <c r="W440" i="40" s="1"/>
  <c r="S469" i="37" a="1"/>
  <c r="S469" s="1"/>
  <c r="S469" i="40" s="1"/>
  <c r="S473" i="37" a="1"/>
  <c r="S473" s="1"/>
  <c r="S473" i="40" s="1"/>
  <c r="S479" i="37" a="1"/>
  <c r="S479" s="1"/>
  <c r="S479" i="40" s="1"/>
  <c r="S471" i="37" a="1"/>
  <c r="S471" s="1"/>
  <c r="S471" i="40" s="1"/>
  <c r="S477" i="37" a="1"/>
  <c r="S477" s="1"/>
  <c r="S477" i="40" s="1"/>
  <c r="S482" i="37" a="1"/>
  <c r="S482" s="1"/>
  <c r="S482" i="40" s="1"/>
  <c r="S483" i="37" a="1"/>
  <c r="S483" s="1"/>
  <c r="S483" i="40" s="1"/>
  <c r="S475" i="37" a="1"/>
  <c r="S475" s="1"/>
  <c r="S475" i="40" s="1"/>
  <c r="S481" i="37" a="1"/>
  <c r="S481" s="1"/>
  <c r="S481" i="40" s="1"/>
  <c r="S478" i="37" a="1"/>
  <c r="S478" s="1"/>
  <c r="S478" i="40" s="1"/>
  <c r="S468" i="37" a="1"/>
  <c r="S468" s="1"/>
  <c r="S470" a="1"/>
  <c r="S470" s="1"/>
  <c r="S470" i="40" s="1"/>
  <c r="S474" i="37" a="1"/>
  <c r="S474" s="1"/>
  <c r="S474" i="40" s="1"/>
  <c r="S480" i="37" a="1"/>
  <c r="S480" s="1"/>
  <c r="S480" i="40" s="1"/>
  <c r="S476" i="37" a="1"/>
  <c r="S476" s="1"/>
  <c r="S476" i="40" s="1"/>
  <c r="S472" i="37" a="1"/>
  <c r="S472" s="1"/>
  <c r="S472" i="40" s="1"/>
  <c r="T282" i="37" a="1"/>
  <c r="T282" s="1"/>
  <c r="T282" i="40" s="1"/>
  <c r="T284" i="37" a="1"/>
  <c r="T284" s="1"/>
  <c r="T284" i="40" s="1"/>
  <c r="T293" i="37" a="1"/>
  <c r="T293" s="1"/>
  <c r="T293" i="40" s="1"/>
  <c r="T281" i="37" a="1"/>
  <c r="T281" s="1"/>
  <c r="T281" i="40" s="1"/>
  <c r="T286" i="37" a="1"/>
  <c r="T286" s="1"/>
  <c r="T286" i="40" s="1"/>
  <c r="T287" i="37" a="1"/>
  <c r="T287" s="1"/>
  <c r="T287" i="40" s="1"/>
  <c r="T297" i="37" a="1"/>
  <c r="T297" s="1"/>
  <c r="T297" i="40" s="1"/>
  <c r="T289" i="37" a="1"/>
  <c r="T289" s="1"/>
  <c r="T289" i="40" s="1"/>
  <c r="T295" i="37" a="1"/>
  <c r="T295" s="1"/>
  <c r="T295" i="40" s="1"/>
  <c r="T279" i="37" a="1"/>
  <c r="T279" s="1"/>
  <c r="T279" i="40" s="1"/>
  <c r="T285" i="37" a="1"/>
  <c r="T285" s="1"/>
  <c r="T285" i="40" s="1"/>
  <c r="T292" i="37" a="1"/>
  <c r="T292" s="1"/>
  <c r="T292" i="40" s="1"/>
  <c r="T277" i="37" a="1"/>
  <c r="T277" s="1"/>
  <c r="T277" i="40" s="1"/>
  <c r="T290" i="37" a="1"/>
  <c r="T290" s="1"/>
  <c r="T290" i="40" s="1"/>
  <c r="T294" i="37" a="1"/>
  <c r="T294" s="1"/>
  <c r="T294" i="40" s="1"/>
  <c r="T278" i="37" a="1"/>
  <c r="T278" s="1"/>
  <c r="T291" a="1"/>
  <c r="T291" s="1"/>
  <c r="T291" i="40" s="1"/>
  <c r="T288" i="37" a="1"/>
  <c r="T288" s="1"/>
  <c r="T288" i="40" s="1"/>
  <c r="T280" i="37" a="1"/>
  <c r="T280" s="1"/>
  <c r="T280" i="40" s="1"/>
  <c r="T296" i="37" a="1"/>
  <c r="T296" s="1"/>
  <c r="T296" i="40" s="1"/>
  <c r="T283" i="37" a="1"/>
  <c r="T283" s="1"/>
  <c r="T283" i="40" s="1"/>
  <c r="T298" i="37" a="1"/>
  <c r="T298" s="1"/>
  <c r="T298" i="40" s="1"/>
  <c r="Z282" i="37" a="1"/>
  <c r="Z282" s="1"/>
  <c r="Z282" i="40" s="1"/>
  <c r="Z279" i="37" a="1"/>
  <c r="Z279" s="1"/>
  <c r="Z279" i="40" s="1"/>
  <c r="Z297" i="37" a="1"/>
  <c r="Z297" s="1"/>
  <c r="Z297" i="40" s="1"/>
  <c r="Z295" i="37" a="1"/>
  <c r="Z295" s="1"/>
  <c r="Z295" i="40" s="1"/>
  <c r="Z278" i="37" a="1"/>
  <c r="Z278" s="1"/>
  <c r="Z293" a="1"/>
  <c r="Z293" s="1"/>
  <c r="Z293" i="40" s="1"/>
  <c r="Z284" i="37" a="1"/>
  <c r="Z284" s="1"/>
  <c r="Z284" i="40" s="1"/>
  <c r="Z289" i="37" a="1"/>
  <c r="Z289" s="1"/>
  <c r="Z289" i="40" s="1"/>
  <c r="Z287" i="37" a="1"/>
  <c r="Z287" s="1"/>
  <c r="Z287" i="40" s="1"/>
  <c r="Z281" i="37" a="1"/>
  <c r="Z281" s="1"/>
  <c r="Z281" i="40" s="1"/>
  <c r="Z285" i="37" a="1"/>
  <c r="Z285" s="1"/>
  <c r="Z285" i="40" s="1"/>
  <c r="Z286" i="37" a="1"/>
  <c r="Z286" s="1"/>
  <c r="Z286" i="40" s="1"/>
  <c r="Z277" i="37" a="1"/>
  <c r="Z277" s="1"/>
  <c r="Z277" i="40" s="1"/>
  <c r="Z294" i="37" a="1"/>
  <c r="Z294" s="1"/>
  <c r="Z294" i="40" s="1"/>
  <c r="Z292" i="37" a="1"/>
  <c r="Z292" s="1"/>
  <c r="Z292" i="40" s="1"/>
  <c r="Z290" i="37" a="1"/>
  <c r="Z290" s="1"/>
  <c r="Z290" i="40" s="1"/>
  <c r="Z280" i="37" a="1"/>
  <c r="Z280" s="1"/>
  <c r="Z280" i="40" s="1"/>
  <c r="Z298" i="37" a="1"/>
  <c r="Z298" s="1"/>
  <c r="Z298" i="40" s="1"/>
  <c r="Z296" i="37" a="1"/>
  <c r="Z296" s="1"/>
  <c r="Z296" i="40" s="1"/>
  <c r="Z283" i="37" a="1"/>
  <c r="Z283" s="1"/>
  <c r="Z283" i="40" s="1"/>
  <c r="Z291" i="37" a="1"/>
  <c r="Z291" s="1"/>
  <c r="Z291" i="40" s="1"/>
  <c r="Z288" i="37" a="1"/>
  <c r="Z288" s="1"/>
  <c r="Z288" i="40" s="1"/>
  <c r="R391" i="37" a="1"/>
  <c r="R391" s="1"/>
  <c r="R391" i="40" s="1"/>
  <c r="R399" i="37" a="1"/>
  <c r="R399" s="1"/>
  <c r="R399" i="40" s="1"/>
  <c r="R407" i="37" a="1"/>
  <c r="R407" s="1"/>
  <c r="R407" i="40" s="1"/>
  <c r="R389" i="37" a="1"/>
  <c r="R389" s="1"/>
  <c r="R389" i="40" s="1"/>
  <c r="R397" i="37" a="1"/>
  <c r="R397" s="1"/>
  <c r="R397" i="40" s="1"/>
  <c r="R412" i="37" a="1"/>
  <c r="R412" s="1"/>
  <c r="R412" i="40" s="1"/>
  <c r="R396" i="37" a="1"/>
  <c r="R396" s="1"/>
  <c r="R396" i="40" s="1"/>
  <c r="R393" i="37" a="1"/>
  <c r="R393" s="1"/>
  <c r="R393" i="40" s="1"/>
  <c r="R394" i="37" a="1"/>
  <c r="R394" s="1"/>
  <c r="R394" i="40" s="1"/>
  <c r="R390" i="37" a="1"/>
  <c r="R390" s="1"/>
  <c r="R409" a="1"/>
  <c r="R409" s="1"/>
  <c r="R409" i="40" s="1"/>
  <c r="R410" i="37" a="1"/>
  <c r="R410" s="1"/>
  <c r="R410" i="40" s="1"/>
  <c r="R402" i="37" a="1"/>
  <c r="R402" s="1"/>
  <c r="R402" i="40" s="1"/>
  <c r="R403" i="37" a="1"/>
  <c r="R403" s="1"/>
  <c r="R403" i="40" s="1"/>
  <c r="R406" i="37" a="1"/>
  <c r="R406" s="1"/>
  <c r="R406" i="40" s="1"/>
  <c r="R401" i="37" a="1"/>
  <c r="R401" s="1"/>
  <c r="R401" i="40" s="1"/>
  <c r="R398" i="37" a="1"/>
  <c r="R398" s="1"/>
  <c r="R398" i="40" s="1"/>
  <c r="R411" i="37" a="1"/>
  <c r="R411" s="1"/>
  <c r="R411" i="40" s="1"/>
  <c r="R395" i="37" a="1"/>
  <c r="R395" s="1"/>
  <c r="R395" i="40" s="1"/>
  <c r="R404" i="37" a="1"/>
  <c r="R404" s="1"/>
  <c r="R404" i="40" s="1"/>
  <c r="R405" i="37" a="1"/>
  <c r="R405" s="1"/>
  <c r="R405" i="40" s="1"/>
  <c r="R400" i="37" a="1"/>
  <c r="R400" s="1"/>
  <c r="R400" i="40" s="1"/>
  <c r="R392" i="37" a="1"/>
  <c r="R392" s="1"/>
  <c r="R392" i="40" s="1"/>
  <c r="R408" i="37" a="1"/>
  <c r="R408" s="1"/>
  <c r="R408" i="40" s="1"/>
  <c r="AB407" i="37" a="1"/>
  <c r="AB407" s="1"/>
  <c r="AB407" i="40" s="1"/>
  <c r="AB399" i="37" a="1"/>
  <c r="AB399" s="1"/>
  <c r="AB399" i="40" s="1"/>
  <c r="AB394" i="37" a="1"/>
  <c r="AB394" s="1"/>
  <c r="AB394" i="40" s="1"/>
  <c r="AB389" i="37" a="1"/>
  <c r="AB389" s="1"/>
  <c r="AB389" i="40" s="1"/>
  <c r="AB409" i="37" a="1"/>
  <c r="AB409" s="1"/>
  <c r="AB409" i="40" s="1"/>
  <c r="AB412" i="37" a="1"/>
  <c r="AB412" s="1"/>
  <c r="AB412" i="40" s="1"/>
  <c r="AB396" i="37" a="1"/>
  <c r="AB396" s="1"/>
  <c r="AB396" i="40" s="1"/>
  <c r="AB391" i="37" a="1"/>
  <c r="AB391" s="1"/>
  <c r="AB391" i="40" s="1"/>
  <c r="AB397" i="37" a="1"/>
  <c r="AB397" s="1"/>
  <c r="AB397" i="40" s="1"/>
  <c r="AB390" i="37" a="1"/>
  <c r="AB390" s="1"/>
  <c r="AB403" a="1"/>
  <c r="AB403" s="1"/>
  <c r="AB403" i="40" s="1"/>
  <c r="AB406" i="37" a="1"/>
  <c r="AB406" s="1"/>
  <c r="AB406" i="40" s="1"/>
  <c r="AB398" i="37" a="1"/>
  <c r="AB398" s="1"/>
  <c r="AB398" i="40" s="1"/>
  <c r="AB402" i="37" a="1"/>
  <c r="AB402" s="1"/>
  <c r="AB402" i="40" s="1"/>
  <c r="AB401" i="37" a="1"/>
  <c r="AB401" s="1"/>
  <c r="AB401" i="40" s="1"/>
  <c r="AB410" i="37" a="1"/>
  <c r="AB410" s="1"/>
  <c r="AB410" i="40" s="1"/>
  <c r="AB393" i="37" a="1"/>
  <c r="AB393" s="1"/>
  <c r="AB393" i="40" s="1"/>
  <c r="AB395" i="37" a="1"/>
  <c r="AB395" s="1"/>
  <c r="AB395" i="40" s="1"/>
  <c r="AB404" i="37" a="1"/>
  <c r="AB404" s="1"/>
  <c r="AB404" i="40" s="1"/>
  <c r="AB408" i="37" a="1"/>
  <c r="AB408" s="1"/>
  <c r="AB408" i="40" s="1"/>
  <c r="AB411" i="37" a="1"/>
  <c r="AB411" s="1"/>
  <c r="AB411" i="40" s="1"/>
  <c r="AB405" i="37" a="1"/>
  <c r="AB405" s="1"/>
  <c r="AB405" i="40" s="1"/>
  <c r="AB400" i="37" a="1"/>
  <c r="AB400" s="1"/>
  <c r="AB400" i="40" s="1"/>
  <c r="AB392" i="37" a="1"/>
  <c r="AB392" s="1"/>
  <c r="AB392" i="40" s="1"/>
  <c r="R343" i="37" a="1"/>
  <c r="R343" s="1"/>
  <c r="R343" i="40" s="1"/>
  <c r="R359" i="37" a="1"/>
  <c r="R359" s="1"/>
  <c r="R359" i="40" s="1"/>
  <c r="R345" i="37" a="1"/>
  <c r="R345" s="1"/>
  <c r="R345" i="40" s="1"/>
  <c r="R361" i="37" a="1"/>
  <c r="R361" s="1"/>
  <c r="R361" i="40" s="1"/>
  <c r="R358" i="37" a="1"/>
  <c r="R358" s="1"/>
  <c r="R358" i="40" s="1"/>
  <c r="R342" i="37" a="1"/>
  <c r="R342" s="1"/>
  <c r="R353" a="1"/>
  <c r="R353" s="1"/>
  <c r="R353" i="40" s="1"/>
  <c r="R354" i="37" a="1"/>
  <c r="R354" s="1"/>
  <c r="R354" i="40" s="1"/>
  <c r="R346" i="37" a="1"/>
  <c r="R346" s="1"/>
  <c r="R346" i="40" s="1"/>
  <c r="R341" i="37" a="1"/>
  <c r="R341" s="1"/>
  <c r="R341" i="40" s="1"/>
  <c r="R364" i="37" a="1"/>
  <c r="R364" s="1"/>
  <c r="R364" i="40" s="1"/>
  <c r="R351" i="37" a="1"/>
  <c r="R351" s="1"/>
  <c r="R351" i="40" s="1"/>
  <c r="R357" i="37" a="1"/>
  <c r="R357" s="1"/>
  <c r="R357" i="40" s="1"/>
  <c r="R348" i="37" a="1"/>
  <c r="R348" s="1"/>
  <c r="R348" i="40" s="1"/>
  <c r="R350" i="37" a="1"/>
  <c r="R350" s="1"/>
  <c r="R350" i="40" s="1"/>
  <c r="R363" i="37" a="1"/>
  <c r="R363" s="1"/>
  <c r="R363" i="40" s="1"/>
  <c r="R349" i="37" a="1"/>
  <c r="R349" s="1"/>
  <c r="R349" i="40" s="1"/>
  <c r="R344" i="37" a="1"/>
  <c r="R344" s="1"/>
  <c r="R344" i="40" s="1"/>
  <c r="R360" i="37" a="1"/>
  <c r="R360" s="1"/>
  <c r="R360" i="40" s="1"/>
  <c r="R362" i="37" a="1"/>
  <c r="R362" s="1"/>
  <c r="R362" i="40" s="1"/>
  <c r="R347" i="37" a="1"/>
  <c r="R347" s="1"/>
  <c r="R347" i="40" s="1"/>
  <c r="R355" i="37" a="1"/>
  <c r="R355" s="1"/>
  <c r="R355" i="40" s="1"/>
  <c r="R356" i="37" a="1"/>
  <c r="R356" s="1"/>
  <c r="R356" i="40" s="1"/>
  <c r="R352" i="37" a="1"/>
  <c r="R352" s="1"/>
  <c r="R352" i="40" s="1"/>
  <c r="AA359" i="37" a="1"/>
  <c r="AA359" s="1"/>
  <c r="AA359" i="40" s="1"/>
  <c r="AA354" i="37" a="1"/>
  <c r="AA354" s="1"/>
  <c r="AA354" i="40" s="1"/>
  <c r="AA343" i="37" a="1"/>
  <c r="AA343" s="1"/>
  <c r="AA343" i="40" s="1"/>
  <c r="AA346" i="37" a="1"/>
  <c r="AA346" s="1"/>
  <c r="AA346" i="40" s="1"/>
  <c r="AA353" i="37" a="1"/>
  <c r="AA353" s="1"/>
  <c r="AA353" i="40" s="1"/>
  <c r="AA345" i="37" a="1"/>
  <c r="AA345" s="1"/>
  <c r="AA345" i="40" s="1"/>
  <c r="AA364" i="37" a="1"/>
  <c r="AA364" s="1"/>
  <c r="AA364" i="40" s="1"/>
  <c r="AA358" i="37" a="1"/>
  <c r="AA358" s="1"/>
  <c r="AA358" i="40" s="1"/>
  <c r="AA342" i="37" a="1"/>
  <c r="AA342" s="1"/>
  <c r="AA341" a="1"/>
  <c r="AA341" s="1"/>
  <c r="AA341" i="40" s="1"/>
  <c r="AA348" i="37" a="1"/>
  <c r="AA348" s="1"/>
  <c r="AA348" i="40" s="1"/>
  <c r="AA351" i="37" a="1"/>
  <c r="AA351" s="1"/>
  <c r="AA351" i="40" s="1"/>
  <c r="AA350" i="37" a="1"/>
  <c r="AA350" s="1"/>
  <c r="AA350" i="40" s="1"/>
  <c r="AA361" i="37" a="1"/>
  <c r="AA361" s="1"/>
  <c r="AA361" i="40" s="1"/>
  <c r="AA357" i="37" a="1"/>
  <c r="AA357" s="1"/>
  <c r="AA357" i="40" s="1"/>
  <c r="AA356" i="37" a="1"/>
  <c r="AA356" s="1"/>
  <c r="AA356" i="40" s="1"/>
  <c r="AA355" i="37" a="1"/>
  <c r="AA355" s="1"/>
  <c r="AA355" i="40" s="1"/>
  <c r="AA347" i="37" a="1"/>
  <c r="AA347" s="1"/>
  <c r="AA347" i="40" s="1"/>
  <c r="AA362" i="37" a="1"/>
  <c r="AA362" s="1"/>
  <c r="AA362" i="40" s="1"/>
  <c r="AA352" i="37" a="1"/>
  <c r="AA352" s="1"/>
  <c r="AA352" i="40" s="1"/>
  <c r="AA349" i="37" a="1"/>
  <c r="AA349" s="1"/>
  <c r="AA349" i="40" s="1"/>
  <c r="AA344" i="37" a="1"/>
  <c r="AA344" s="1"/>
  <c r="AA344" i="40" s="1"/>
  <c r="AA363" i="37" a="1"/>
  <c r="AA363" s="1"/>
  <c r="AA363" i="40" s="1"/>
  <c r="AA360" i="37" a="1"/>
  <c r="AA360" s="1"/>
  <c r="AA360" i="40" s="1"/>
  <c r="Y487" i="37" a="1"/>
  <c r="Y487" s="1"/>
  <c r="Y487" i="40" s="1"/>
  <c r="Y485" i="37" a="1"/>
  <c r="Y485" s="1"/>
  <c r="Y485" i="40" s="1"/>
  <c r="Y484" i="37" a="1"/>
  <c r="Y484" s="1"/>
  <c r="Y486" a="1"/>
  <c r="Y486" s="1"/>
  <c r="Y486" i="40" s="1"/>
  <c r="Y489" i="37" a="1"/>
  <c r="Y489" s="1"/>
  <c r="Y489" i="40" s="1"/>
  <c r="Y492" i="37" a="1"/>
  <c r="Y492" s="1"/>
  <c r="Y492" i="40" s="1"/>
  <c r="Y491" i="37" a="1"/>
  <c r="Y491" s="1"/>
  <c r="Y491" i="40" s="1"/>
  <c r="Y493" i="37" a="1"/>
  <c r="Y493" s="1"/>
  <c r="Y493" i="40" s="1"/>
  <c r="Y495" i="37" a="1"/>
  <c r="Y495" s="1"/>
  <c r="Y495" i="40" s="1"/>
  <c r="Y497" i="37" a="1"/>
  <c r="Y497" s="1"/>
  <c r="Y497" i="40" s="1"/>
  <c r="Y490" i="37" a="1"/>
  <c r="Y490" s="1"/>
  <c r="Y490" i="40" s="1"/>
  <c r="Y496" i="37" a="1"/>
  <c r="Y496" s="1"/>
  <c r="Y496" i="40" s="1"/>
  <c r="Y488" i="37" a="1"/>
  <c r="Y488" s="1"/>
  <c r="Y488" i="40" s="1"/>
  <c r="Y494" i="37" a="1"/>
  <c r="Y494" s="1"/>
  <c r="Y494" i="40" s="1"/>
  <c r="Z487" i="37" a="1"/>
  <c r="Z487" s="1"/>
  <c r="Z487" i="40" s="1"/>
  <c r="Z484" i="37" a="1"/>
  <c r="Z484" s="1"/>
  <c r="Z485" a="1"/>
  <c r="Z485" s="1"/>
  <c r="Z485" i="40" s="1"/>
  <c r="Z492" i="37" a="1"/>
  <c r="Z492" s="1"/>
  <c r="Z492" i="40" s="1"/>
  <c r="Z493" i="37" a="1"/>
  <c r="Z493" s="1"/>
  <c r="Z493" i="40" s="1"/>
  <c r="Z491" i="37" a="1"/>
  <c r="Z491" s="1"/>
  <c r="Z491" i="40" s="1"/>
  <c r="Z489" i="37" a="1"/>
  <c r="Z489" s="1"/>
  <c r="Z489" i="40" s="1"/>
  <c r="Z486" i="37" a="1"/>
  <c r="Z486" s="1"/>
  <c r="Z486" i="40" s="1"/>
  <c r="Z495" i="37" a="1"/>
  <c r="Z495" s="1"/>
  <c r="Z495" i="40" s="1"/>
  <c r="Z494" i="37" a="1"/>
  <c r="Z494" s="1"/>
  <c r="Z494" i="40" s="1"/>
  <c r="Z490" i="37" a="1"/>
  <c r="Z490" s="1"/>
  <c r="Z490" i="40" s="1"/>
  <c r="Z488" i="37" a="1"/>
  <c r="Z488" s="1"/>
  <c r="Z488" i="40" s="1"/>
  <c r="Z497" i="37" a="1"/>
  <c r="Z497" s="1"/>
  <c r="Z497" i="40" s="1"/>
  <c r="Z496" i="37" a="1"/>
  <c r="Z496" s="1"/>
  <c r="Z496" i="40" s="1"/>
  <c r="W327" i="37" a="1"/>
  <c r="W327" s="1"/>
  <c r="W327" i="40" s="1"/>
  <c r="W322" i="37" a="1"/>
  <c r="W322" s="1"/>
  <c r="W333" a="1"/>
  <c r="W333" s="1"/>
  <c r="W333" i="40" s="1"/>
  <c r="W329" i="37" a="1"/>
  <c r="W329" s="1"/>
  <c r="W329" i="40" s="1"/>
  <c r="W321" i="37" a="1"/>
  <c r="W321" s="1"/>
  <c r="W321" i="40" s="1"/>
  <c r="W335" i="37" a="1"/>
  <c r="W335" s="1"/>
  <c r="W335" i="40" s="1"/>
  <c r="W338" i="37" a="1"/>
  <c r="W338" s="1"/>
  <c r="W338" i="40" s="1"/>
  <c r="W325" i="37" a="1"/>
  <c r="W325" s="1"/>
  <c r="W325" i="40" s="1"/>
  <c r="W337" i="37" a="1"/>
  <c r="W337" s="1"/>
  <c r="W337" i="40" s="1"/>
  <c r="W326" i="37" a="1"/>
  <c r="W326" s="1"/>
  <c r="W326" i="40" s="1"/>
  <c r="W324" i="37" a="1"/>
  <c r="W324" s="1"/>
  <c r="W324" i="40" s="1"/>
  <c r="W334" i="37" a="1"/>
  <c r="W334" s="1"/>
  <c r="W334" i="40" s="1"/>
  <c r="W332" i="37" a="1"/>
  <c r="W332" s="1"/>
  <c r="W332" i="40" s="1"/>
  <c r="W339" i="37" a="1"/>
  <c r="W339" s="1"/>
  <c r="W339" i="40" s="1"/>
  <c r="W323" i="37" a="1"/>
  <c r="W323" s="1"/>
  <c r="W323" i="40" s="1"/>
  <c r="W331" i="37" a="1"/>
  <c r="W331" s="1"/>
  <c r="W331" i="40" s="1"/>
  <c r="W330" i="37" a="1"/>
  <c r="W330" s="1"/>
  <c r="W330" i="40" s="1"/>
  <c r="W328" i="37" a="1"/>
  <c r="W328" s="1"/>
  <c r="W328" i="40" s="1"/>
  <c r="W340" i="37" a="1"/>
  <c r="W340" s="1"/>
  <c r="W340" i="40" s="1"/>
  <c r="W336" i="37" a="1"/>
  <c r="W336" s="1"/>
  <c r="W336" i="40" s="1"/>
  <c r="R66" i="37" a="1"/>
  <c r="R66" s="1"/>
  <c r="R66" i="40" s="1"/>
  <c r="R50" i="37" a="1"/>
  <c r="R50" s="1"/>
  <c r="R50" i="40" s="1"/>
  <c r="R58" i="37" a="1"/>
  <c r="R58" s="1"/>
  <c r="R58" i="40" s="1"/>
  <c r="R46" i="37" a="1"/>
  <c r="R46" s="1"/>
  <c r="R46" i="40" s="1"/>
  <c r="R65" i="37" a="1"/>
  <c r="R65" s="1"/>
  <c r="R65" i="40" s="1"/>
  <c r="R57" i="37" a="1"/>
  <c r="R57" s="1"/>
  <c r="R57" i="40" s="1"/>
  <c r="R68" i="37" a="1"/>
  <c r="R68" s="1"/>
  <c r="R68" i="40" s="1"/>
  <c r="R47" i="37" a="1"/>
  <c r="R47" s="1"/>
  <c r="R55" a="1"/>
  <c r="R55" s="1"/>
  <c r="R55" i="40" s="1"/>
  <c r="R63" i="37" a="1"/>
  <c r="R63" s="1"/>
  <c r="R63" i="40" s="1"/>
  <c r="R49" i="37" a="1"/>
  <c r="R49" s="1"/>
  <c r="R49" i="40" s="1"/>
  <c r="R60" i="37" a="1"/>
  <c r="R60" s="1"/>
  <c r="R60" i="40" s="1"/>
  <c r="R53" i="37" a="1"/>
  <c r="R53" s="1"/>
  <c r="R53" i="40" s="1"/>
  <c r="R62" i="37" a="1"/>
  <c r="R62" s="1"/>
  <c r="R62" i="40" s="1"/>
  <c r="R54" i="37" a="1"/>
  <c r="R54" s="1"/>
  <c r="R54" i="40" s="1"/>
  <c r="R52" i="37" a="1"/>
  <c r="R52" s="1"/>
  <c r="R52" i="40" s="1"/>
  <c r="R51" i="37" a="1"/>
  <c r="R51" s="1"/>
  <c r="R51" i="40" s="1"/>
  <c r="R56" i="37" a="1"/>
  <c r="R56" s="1"/>
  <c r="R56" i="40" s="1"/>
  <c r="R59" i="37" a="1"/>
  <c r="R59" s="1"/>
  <c r="R59" i="40" s="1"/>
  <c r="R48" i="37" a="1"/>
  <c r="R48" s="1"/>
  <c r="R48" i="40" s="1"/>
  <c r="R67" i="37" a="1"/>
  <c r="R67" s="1"/>
  <c r="R67" i="40" s="1"/>
  <c r="R61" i="37" a="1"/>
  <c r="R61" s="1"/>
  <c r="R61" i="40" s="1"/>
  <c r="R64" i="37" a="1"/>
  <c r="R64" s="1"/>
  <c r="R64" i="40" s="1"/>
  <c r="AB58" i="37" a="1"/>
  <c r="AB58" s="1"/>
  <c r="AB58" i="40" s="1"/>
  <c r="AB63" i="37" a="1"/>
  <c r="AB63" s="1"/>
  <c r="AB63" i="40" s="1"/>
  <c r="AB55" i="37" a="1"/>
  <c r="AB55" s="1"/>
  <c r="AB55" i="40" s="1"/>
  <c r="AB60" i="37" a="1"/>
  <c r="AB60" s="1"/>
  <c r="AB60" i="40" s="1"/>
  <c r="AB53" i="37" a="1"/>
  <c r="AB53" s="1"/>
  <c r="AB53" i="40" s="1"/>
  <c r="AB66" i="37" a="1"/>
  <c r="AB66" s="1"/>
  <c r="AB66" i="40" s="1"/>
  <c r="AB50" i="37" a="1"/>
  <c r="AB50" s="1"/>
  <c r="AB50" i="40" s="1"/>
  <c r="AB68" i="37" a="1"/>
  <c r="AB68" s="1"/>
  <c r="AB68" i="40" s="1"/>
  <c r="AB65" i="37" a="1"/>
  <c r="AB65" s="1"/>
  <c r="AB65" i="40" s="1"/>
  <c r="AB47" i="37" a="1"/>
  <c r="AB47" s="1"/>
  <c r="AB49" a="1"/>
  <c r="AB49" s="1"/>
  <c r="AB49" i="40" s="1"/>
  <c r="AB57" i="37" a="1"/>
  <c r="AB57" s="1"/>
  <c r="AB57" i="40" s="1"/>
  <c r="AB52" i="37" a="1"/>
  <c r="AB52" s="1"/>
  <c r="AB52" i="40" s="1"/>
  <c r="AB54" i="37" a="1"/>
  <c r="AB54" s="1"/>
  <c r="AB54" i="40" s="1"/>
  <c r="AB62" i="37" a="1"/>
  <c r="AB62" s="1"/>
  <c r="AB62" i="40" s="1"/>
  <c r="AB46" i="37" a="1"/>
  <c r="AB46" s="1"/>
  <c r="AB46" i="40" s="1"/>
  <c r="AB56" i="37" a="1"/>
  <c r="AB56" s="1"/>
  <c r="AB56" i="40" s="1"/>
  <c r="AB67" i="37" a="1"/>
  <c r="AB67" s="1"/>
  <c r="AB67" i="40" s="1"/>
  <c r="AB51" i="37" a="1"/>
  <c r="AB51" s="1"/>
  <c r="AB51" i="40" s="1"/>
  <c r="AB64" i="37" a="1"/>
  <c r="AB64" s="1"/>
  <c r="AB64" i="40" s="1"/>
  <c r="AB61" i="37" a="1"/>
  <c r="AB61" s="1"/>
  <c r="AB61" i="40" s="1"/>
  <c r="AB59" i="37" a="1"/>
  <c r="AB59" s="1"/>
  <c r="AB59" i="40" s="1"/>
  <c r="AB48" i="37" a="1"/>
  <c r="AB48" s="1"/>
  <c r="AB48" i="40" s="1"/>
  <c r="Y263" i="37" a="1"/>
  <c r="Y263" s="1"/>
  <c r="Y263" i="40" s="1"/>
  <c r="Y258" i="37" a="1"/>
  <c r="Y258" s="1"/>
  <c r="Y254" a="1"/>
  <c r="Y254" s="1"/>
  <c r="Y254" i="40" s="1"/>
  <c r="Y266" i="37" a="1"/>
  <c r="Y266" s="1"/>
  <c r="Y266" i="40" s="1"/>
  <c r="Y273" i="37" a="1"/>
  <c r="Y273" s="1"/>
  <c r="Y273" i="40" s="1"/>
  <c r="Y265" i="37" a="1"/>
  <c r="Y265" s="1"/>
  <c r="Y265" i="40" s="1"/>
  <c r="Y261" i="37" a="1"/>
  <c r="Y261" s="1"/>
  <c r="Y261" i="40" s="1"/>
  <c r="Y255" i="37" a="1"/>
  <c r="Y255" s="1"/>
  <c r="Y257" a="1"/>
  <c r="Y257" s="1"/>
  <c r="Y257" i="40" s="1"/>
  <c r="Y274" i="37" a="1"/>
  <c r="Y274" s="1"/>
  <c r="Y274" i="40" s="1"/>
  <c r="Y271" i="37" a="1"/>
  <c r="Y271" s="1"/>
  <c r="Y271" i="40" s="1"/>
  <c r="Y268" i="37" a="1"/>
  <c r="Y268" s="1"/>
  <c r="Y268" i="40" s="1"/>
  <c r="Y270" i="37" a="1"/>
  <c r="Y270" s="1"/>
  <c r="Y270" i="40" s="1"/>
  <c r="Y260" i="37" a="1"/>
  <c r="Y260" s="1"/>
  <c r="Y260" i="40" s="1"/>
  <c r="Y276" i="37" a="1"/>
  <c r="Y276" s="1"/>
  <c r="Y276" i="40" s="1"/>
  <c r="Y262" i="37" a="1"/>
  <c r="Y262" s="1"/>
  <c r="Y262" i="40" s="1"/>
  <c r="Y269" i="37" a="1"/>
  <c r="Y269" s="1"/>
  <c r="Y269" i="40" s="1"/>
  <c r="Y272" i="37" a="1"/>
  <c r="Y272" s="1"/>
  <c r="Y272" i="40" s="1"/>
  <c r="Y275" i="37" a="1"/>
  <c r="Y275" s="1"/>
  <c r="Y275" i="40" s="1"/>
  <c r="Y267" i="37" a="1"/>
  <c r="Y267" s="1"/>
  <c r="Y267" i="40" s="1"/>
  <c r="Y259" i="37" a="1"/>
  <c r="Y259" s="1"/>
  <c r="Y259" i="40" s="1"/>
  <c r="Y264" i="37" a="1"/>
  <c r="Y264" s="1"/>
  <c r="Y264" i="40" s="1"/>
  <c r="Y256" i="37" a="1"/>
  <c r="Y256" s="1"/>
  <c r="Y256" i="40" s="1"/>
  <c r="AA274" i="37" a="1"/>
  <c r="AA274" s="1"/>
  <c r="AA274" i="40" s="1"/>
  <c r="AA261" i="37" a="1"/>
  <c r="AA261" s="1"/>
  <c r="AA261" i="40" s="1"/>
  <c r="AA271" i="37" a="1"/>
  <c r="AA271" s="1"/>
  <c r="AA271" i="40" s="1"/>
  <c r="AA255" i="37" a="1"/>
  <c r="AA255" s="1"/>
  <c r="AA262" a="1"/>
  <c r="AA262" s="1"/>
  <c r="AA262" i="40" s="1"/>
  <c r="AA263" i="37" a="1"/>
  <c r="AA263" s="1"/>
  <c r="AA263" i="40" s="1"/>
  <c r="AA266" i="37" a="1"/>
  <c r="AA266" s="1"/>
  <c r="AA266" i="40" s="1"/>
  <c r="AA258" i="37" a="1"/>
  <c r="AA258" s="1"/>
  <c r="AA258" i="40" s="1"/>
  <c r="AA265" i="37" a="1"/>
  <c r="AA265" s="1"/>
  <c r="AA265" i="40" s="1"/>
  <c r="AA257" i="37" a="1"/>
  <c r="AA257" s="1"/>
  <c r="AA257" i="40" s="1"/>
  <c r="AA273" i="37" a="1"/>
  <c r="AA273" s="1"/>
  <c r="AA273" i="40" s="1"/>
  <c r="AA254" i="37" a="1"/>
  <c r="AA254" s="1"/>
  <c r="AA254" i="40" s="1"/>
  <c r="AA276" i="37" a="1"/>
  <c r="AA276" s="1"/>
  <c r="AA276" i="40" s="1"/>
  <c r="AA260" i="37" a="1"/>
  <c r="AA260" s="1"/>
  <c r="AA260" i="40" s="1"/>
  <c r="AA268" i="37" a="1"/>
  <c r="AA268" s="1"/>
  <c r="AA268" i="40" s="1"/>
  <c r="AA270" i="37" a="1"/>
  <c r="AA270" s="1"/>
  <c r="AA270" i="40" s="1"/>
  <c r="AA275" i="37" a="1"/>
  <c r="AA275" s="1"/>
  <c r="AA275" i="40" s="1"/>
  <c r="AA267" i="37" a="1"/>
  <c r="AA267" s="1"/>
  <c r="AA267" i="40" s="1"/>
  <c r="AA259" i="37" a="1"/>
  <c r="AA259" s="1"/>
  <c r="AA259" i="40" s="1"/>
  <c r="AA272" i="37" a="1"/>
  <c r="AA272" s="1"/>
  <c r="AA272" i="40" s="1"/>
  <c r="AA256" i="37" a="1"/>
  <c r="AA256" s="1"/>
  <c r="AA256" i="40" s="1"/>
  <c r="AA269" i="37" a="1"/>
  <c r="AA269" s="1"/>
  <c r="AA269" i="40" s="1"/>
  <c r="AA264" i="37" a="1"/>
  <c r="AA264" s="1"/>
  <c r="AA264" i="40" s="1"/>
  <c r="S165" i="37" a="1"/>
  <c r="S165" s="1"/>
  <c r="S165" i="40" s="1"/>
  <c r="S162" i="37" a="1"/>
  <c r="S162" s="1"/>
  <c r="S162" i="40" s="1"/>
  <c r="S178" i="37" a="1"/>
  <c r="S178" s="1"/>
  <c r="S178" i="40" s="1"/>
  <c r="S167" i="37" a="1"/>
  <c r="S167" s="1"/>
  <c r="S167" i="40" s="1"/>
  <c r="S183" i="37" a="1"/>
  <c r="S183" s="1"/>
  <c r="S183" i="40" s="1"/>
  <c r="S164" i="37" a="1"/>
  <c r="S164" s="1"/>
  <c r="S164" i="40" s="1"/>
  <c r="S170" i="37" a="1"/>
  <c r="S170" s="1"/>
  <c r="S170" i="40" s="1"/>
  <c r="S177" i="37" a="1"/>
  <c r="S177" s="1"/>
  <c r="S177" i="40" s="1"/>
  <c r="S173" i="37" a="1"/>
  <c r="S173" s="1"/>
  <c r="S173" i="40" s="1"/>
  <c r="S175" i="37" a="1"/>
  <c r="S175" s="1"/>
  <c r="S175" i="40" s="1"/>
  <c r="S169" i="37" a="1"/>
  <c r="S169" s="1"/>
  <c r="S169" i="40" s="1"/>
  <c r="S166" i="37" a="1"/>
  <c r="S166" s="1"/>
  <c r="S166" i="40" s="1"/>
  <c r="S172" i="37" a="1"/>
  <c r="S172" s="1"/>
  <c r="S172" i="40" s="1"/>
  <c r="S174" i="37" a="1"/>
  <c r="S174" s="1"/>
  <c r="S174" i="40" s="1"/>
  <c r="S180" i="37" a="1"/>
  <c r="S180" s="1"/>
  <c r="S180" i="40" s="1"/>
  <c r="S181" i="37" a="1"/>
  <c r="S181" s="1"/>
  <c r="S181" i="40" s="1"/>
  <c r="S182" i="37" a="1"/>
  <c r="S182" s="1"/>
  <c r="S182" i="40" s="1"/>
  <c r="S163" i="37" a="1"/>
  <c r="S163" s="1"/>
  <c r="S171" a="1"/>
  <c r="S171" s="1"/>
  <c r="S171" i="40" s="1"/>
  <c r="S176" i="37" a="1"/>
  <c r="S176" s="1"/>
  <c r="S176" i="40" s="1"/>
  <c r="S184" i="37" a="1"/>
  <c r="S184" s="1"/>
  <c r="S184" i="40" s="1"/>
  <c r="S168" i="37" a="1"/>
  <c r="S168" s="1"/>
  <c r="S168" i="40" s="1"/>
  <c r="S179" i="37" a="1"/>
  <c r="S179" s="1"/>
  <c r="S179" i="40" s="1"/>
  <c r="R10" i="37" a="1"/>
  <c r="R10" s="1"/>
  <c r="R10" i="40" s="1"/>
  <c r="R21" i="37" a="1"/>
  <c r="R21" s="1"/>
  <c r="R21" i="40" s="1"/>
  <c r="R18" i="37" a="1"/>
  <c r="R18" s="1"/>
  <c r="R18" i="40" s="1"/>
  <c r="R4" i="37" a="1"/>
  <c r="R4" s="1"/>
  <c r="R4" i="40" s="1"/>
  <c r="R22" i="37" a="1"/>
  <c r="R22" s="1"/>
  <c r="R22" i="40" s="1"/>
  <c r="R15" i="37" a="1"/>
  <c r="R15" s="1"/>
  <c r="R15" i="40" s="1"/>
  <c r="R9" i="37" a="1"/>
  <c r="R9" s="1"/>
  <c r="R9" i="40" s="1"/>
  <c r="R20" i="37" a="1"/>
  <c r="R20" s="1"/>
  <c r="R20" i="40" s="1"/>
  <c r="R7" i="37" a="1"/>
  <c r="R7" s="1"/>
  <c r="R7" i="40" s="1"/>
  <c r="R12" i="37" a="1"/>
  <c r="R12" s="1"/>
  <c r="R12" i="40" s="1"/>
  <c r="R17" i="37" a="1"/>
  <c r="R17" s="1"/>
  <c r="R17" i="40" s="1"/>
  <c r="R23" i="37" a="1"/>
  <c r="R23" s="1"/>
  <c r="R23" i="40" s="1"/>
  <c r="R14" i="37" a="1"/>
  <c r="R14" s="1"/>
  <c r="R14" i="40" s="1"/>
  <c r="R6" i="37" a="1"/>
  <c r="R6" s="1"/>
  <c r="R6" i="40" s="1"/>
  <c r="R5" i="37" a="1"/>
  <c r="R5" s="1"/>
  <c r="R5" i="40" s="1"/>
  <c r="R8" i="37" a="1"/>
  <c r="R8" s="1"/>
  <c r="R8" i="40" s="1"/>
  <c r="R19" i="37" a="1"/>
  <c r="R19" s="1"/>
  <c r="R19" i="40" s="1"/>
  <c r="R11" i="37" a="1"/>
  <c r="R11" s="1"/>
  <c r="R11" i="40" s="1"/>
  <c r="R3" i="37" a="1"/>
  <c r="R3" s="1"/>
  <c r="R13" a="1"/>
  <c r="R13" s="1"/>
  <c r="R13" i="40" s="1"/>
  <c r="R16" i="37" a="1"/>
  <c r="R16" s="1"/>
  <c r="R16" i="40" s="1"/>
  <c r="AB20" i="37" a="1"/>
  <c r="AB20" s="1"/>
  <c r="AB20" i="40" s="1"/>
  <c r="AB9" i="37" a="1"/>
  <c r="AB9" s="1"/>
  <c r="AB9" i="40" s="1"/>
  <c r="AB23" i="37" a="1"/>
  <c r="AB23" s="1"/>
  <c r="AB23" i="40" s="1"/>
  <c r="AB15" i="37" a="1"/>
  <c r="AB15" s="1"/>
  <c r="AB15" i="40" s="1"/>
  <c r="AB7" i="37" a="1"/>
  <c r="AB7" s="1"/>
  <c r="AB7" i="40" s="1"/>
  <c r="AB5" i="37" a="1"/>
  <c r="AB5" s="1"/>
  <c r="AB5" i="40" s="1"/>
  <c r="AB21" i="37" a="1"/>
  <c r="AB21" s="1"/>
  <c r="AB21" i="40" s="1"/>
  <c r="AB18" i="37" a="1"/>
  <c r="AB18" s="1"/>
  <c r="AB18" i="40" s="1"/>
  <c r="AB12" i="37" a="1"/>
  <c r="AB12" s="1"/>
  <c r="AB12" i="40" s="1"/>
  <c r="AB10" i="37" a="1"/>
  <c r="AB10" s="1"/>
  <c r="AB10" i="40" s="1"/>
  <c r="AB17" i="37" a="1"/>
  <c r="AB17" s="1"/>
  <c r="AB17" i="40" s="1"/>
  <c r="AB14" i="37" a="1"/>
  <c r="AB14" s="1"/>
  <c r="AB14" i="40" s="1"/>
  <c r="AB6" i="37" a="1"/>
  <c r="AB6" s="1"/>
  <c r="AB6" i="40" s="1"/>
  <c r="AB22" i="37" a="1"/>
  <c r="AB22" s="1"/>
  <c r="AB22" i="40" s="1"/>
  <c r="AB4" i="37" a="1"/>
  <c r="AB4" s="1"/>
  <c r="AB4" i="40" s="1"/>
  <c r="AB16" i="37" a="1"/>
  <c r="AB16" s="1"/>
  <c r="AB16" i="40" s="1"/>
  <c r="AB11" i="37" a="1"/>
  <c r="AB11" s="1"/>
  <c r="AB11" i="40" s="1"/>
  <c r="AB13" i="37" a="1"/>
  <c r="AB13" s="1"/>
  <c r="AB13" i="40" s="1"/>
  <c r="AB8" i="37" a="1"/>
  <c r="AB8" s="1"/>
  <c r="AB8" i="40" s="1"/>
  <c r="AB19" i="37" a="1"/>
  <c r="AB19" s="1"/>
  <c r="AB19" i="40" s="1"/>
  <c r="AB3" i="37" a="1"/>
  <c r="AB3" s="1"/>
  <c r="R431" a="1"/>
  <c r="R431" s="1"/>
  <c r="R431" i="40" s="1"/>
  <c r="R415" i="37" a="1"/>
  <c r="R415" s="1"/>
  <c r="R415" i="40" s="1"/>
  <c r="R423" i="37" a="1"/>
  <c r="R423" s="1"/>
  <c r="R423" i="40" s="1"/>
  <c r="R422" i="37" a="1"/>
  <c r="R422" s="1"/>
  <c r="R422" i="40" s="1"/>
  <c r="R433" i="37" a="1"/>
  <c r="R433" s="1"/>
  <c r="R433" i="40" s="1"/>
  <c r="R421" i="37" a="1"/>
  <c r="R421" s="1"/>
  <c r="R421" i="40" s="1"/>
  <c r="R430" i="37" a="1"/>
  <c r="R430" s="1"/>
  <c r="R430" i="40" s="1"/>
  <c r="R414" i="37" a="1"/>
  <c r="R414" s="1"/>
  <c r="R428" a="1"/>
  <c r="R428" s="1"/>
  <c r="R428" i="40" s="1"/>
  <c r="R429" i="37" a="1"/>
  <c r="R429" s="1"/>
  <c r="R429" i="40" s="1"/>
  <c r="R413" i="37" a="1"/>
  <c r="R413" s="1"/>
  <c r="R413" i="40" s="1"/>
  <c r="R425" i="37" a="1"/>
  <c r="R425" s="1"/>
  <c r="R425" i="40" s="1"/>
  <c r="R426" i="37" a="1"/>
  <c r="R426" s="1"/>
  <c r="R426" i="40" s="1"/>
  <c r="R420" i="37" a="1"/>
  <c r="R420" s="1"/>
  <c r="R420" i="40" s="1"/>
  <c r="R417" i="37" a="1"/>
  <c r="R417" s="1"/>
  <c r="R417" i="40" s="1"/>
  <c r="R434" i="37" a="1"/>
  <c r="R434" s="1"/>
  <c r="R434" i="40" s="1"/>
  <c r="R418" i="37" a="1"/>
  <c r="R418" s="1"/>
  <c r="R418" i="40" s="1"/>
  <c r="R427" i="37" a="1"/>
  <c r="R427" s="1"/>
  <c r="R427" i="40" s="1"/>
  <c r="R424" i="37" a="1"/>
  <c r="R424" s="1"/>
  <c r="R424" i="40" s="1"/>
  <c r="R435" i="37" a="1"/>
  <c r="R435" s="1"/>
  <c r="R435" i="40" s="1"/>
  <c r="R419" i="37" a="1"/>
  <c r="R419" s="1"/>
  <c r="R419" i="40" s="1"/>
  <c r="R416" i="37" a="1"/>
  <c r="R416" s="1"/>
  <c r="R416" i="40" s="1"/>
  <c r="R432" i="37" a="1"/>
  <c r="R432" s="1"/>
  <c r="R432" i="40" s="1"/>
  <c r="AB423" i="37" a="1"/>
  <c r="AB423" s="1"/>
  <c r="AB423" i="40" s="1"/>
  <c r="AB431" i="37" a="1"/>
  <c r="AB431" s="1"/>
  <c r="AB431" i="40" s="1"/>
  <c r="AB415" i="37" a="1"/>
  <c r="AB415" s="1"/>
  <c r="AB415" i="40" s="1"/>
  <c r="AB430" i="37" a="1"/>
  <c r="AB430" s="1"/>
  <c r="AB430" i="40" s="1"/>
  <c r="AB414" i="37" a="1"/>
  <c r="AB414" s="1"/>
  <c r="AB421" a="1"/>
  <c r="AB421" s="1"/>
  <c r="AB421" i="40" s="1"/>
  <c r="AB428" i="37" a="1"/>
  <c r="AB428" s="1"/>
  <c r="AB428" i="40" s="1"/>
  <c r="AB433" i="37" a="1"/>
  <c r="AB433" s="1"/>
  <c r="AB433" i="40" s="1"/>
  <c r="AB429" i="37" a="1"/>
  <c r="AB429" s="1"/>
  <c r="AB429" i="40" s="1"/>
  <c r="AB425" i="37" a="1"/>
  <c r="AB425" s="1"/>
  <c r="AB425" i="40" s="1"/>
  <c r="AB413" i="37" a="1"/>
  <c r="AB413" s="1"/>
  <c r="AB413" i="40" s="1"/>
  <c r="AB422" i="37" a="1"/>
  <c r="AB422" s="1"/>
  <c r="AB422" i="40" s="1"/>
  <c r="AB435" i="37" a="1"/>
  <c r="AB435" s="1"/>
  <c r="AB435" i="40" s="1"/>
  <c r="AB426" i="37" a="1"/>
  <c r="AB426" s="1"/>
  <c r="AB426" i="40" s="1"/>
  <c r="AB417" i="37" a="1"/>
  <c r="AB417" s="1"/>
  <c r="AB417" i="40" s="1"/>
  <c r="AB420" i="37" a="1"/>
  <c r="AB420" s="1"/>
  <c r="AB420" i="40" s="1"/>
  <c r="AB427" i="37" a="1"/>
  <c r="AB427" s="1"/>
  <c r="AB427" i="40" s="1"/>
  <c r="AB419" i="37" a="1"/>
  <c r="AB419" s="1"/>
  <c r="AB419" i="40" s="1"/>
  <c r="AB424" i="37" a="1"/>
  <c r="AB424" s="1"/>
  <c r="AB424" i="40" s="1"/>
  <c r="AB416" i="37" a="1"/>
  <c r="AB416" s="1"/>
  <c r="AB416" i="40" s="1"/>
  <c r="AB432" i="37" a="1"/>
  <c r="AB432" s="1"/>
  <c r="AB432" i="40" s="1"/>
  <c r="AB434" i="37" a="1"/>
  <c r="AB434" s="1"/>
  <c r="AB434" i="40" s="1"/>
  <c r="AB418" i="37" a="1"/>
  <c r="AB418" s="1"/>
  <c r="AB418" i="40" s="1"/>
  <c r="R242" i="37" a="1"/>
  <c r="R242" s="1"/>
  <c r="R242" i="40" s="1"/>
  <c r="R250" i="37" a="1"/>
  <c r="R250" s="1"/>
  <c r="R250" i="40" s="1"/>
  <c r="R247" i="37" a="1"/>
  <c r="R247" s="1"/>
  <c r="R247" i="40" s="1"/>
  <c r="R237" i="37" a="1"/>
  <c r="R237" s="1"/>
  <c r="R237" i="40" s="1"/>
  <c r="R246" i="37" a="1"/>
  <c r="R246" s="1"/>
  <c r="R246" i="40" s="1"/>
  <c r="R231" i="37" a="1"/>
  <c r="R231" s="1"/>
  <c r="R231" i="40" s="1"/>
  <c r="R244" i="37" a="1"/>
  <c r="R244" s="1"/>
  <c r="R244" i="40" s="1"/>
  <c r="R241" i="37" a="1"/>
  <c r="R241" s="1"/>
  <c r="R241" i="40" s="1"/>
  <c r="R253" i="37" a="1"/>
  <c r="R253" s="1"/>
  <c r="R253" i="40" s="1"/>
  <c r="R234" i="37" a="1"/>
  <c r="R234" s="1"/>
  <c r="R234" i="40" s="1"/>
  <c r="R249" i="37" a="1"/>
  <c r="R249" s="1"/>
  <c r="R249" i="40" s="1"/>
  <c r="R245" i="37" a="1"/>
  <c r="R245" s="1"/>
  <c r="R245" i="40" s="1"/>
  <c r="R239" i="37" a="1"/>
  <c r="R239" s="1"/>
  <c r="R239" i="40" s="1"/>
  <c r="R236" i="37" a="1"/>
  <c r="R236" s="1"/>
  <c r="R236" i="40" s="1"/>
  <c r="R233" i="37" a="1"/>
  <c r="R233" s="1"/>
  <c r="R233" i="40" s="1"/>
  <c r="R238" i="37" a="1"/>
  <c r="R238" s="1"/>
  <c r="R238" i="40" s="1"/>
  <c r="R240" i="37" a="1"/>
  <c r="R240" s="1"/>
  <c r="R240" i="40" s="1"/>
  <c r="R232" i="37" a="1"/>
  <c r="R232" s="1"/>
  <c r="R251" a="1"/>
  <c r="R251" s="1"/>
  <c r="R251" i="40" s="1"/>
  <c r="R252" i="37" a="1"/>
  <c r="R252" s="1"/>
  <c r="R252" i="40" s="1"/>
  <c r="R248" i="37" a="1"/>
  <c r="R248" s="1"/>
  <c r="R248" i="40" s="1"/>
  <c r="R243" i="37" a="1"/>
  <c r="R243" s="1"/>
  <c r="R243" i="40" s="1"/>
  <c r="R235" i="37" a="1"/>
  <c r="R235" s="1"/>
  <c r="R235" i="40" s="1"/>
  <c r="AB234" i="37" a="1"/>
  <c r="AB234" s="1"/>
  <c r="AB234" i="40" s="1"/>
  <c r="AB239" i="37" a="1"/>
  <c r="AB239" s="1"/>
  <c r="AB239" i="40" s="1"/>
  <c r="AB242" i="37" a="1"/>
  <c r="AB242" s="1"/>
  <c r="AB242" i="40" s="1"/>
  <c r="AB253" i="37" a="1"/>
  <c r="AB253" s="1"/>
  <c r="AB253" i="40" s="1"/>
  <c r="AB247" i="37" a="1"/>
  <c r="AB247" s="1"/>
  <c r="AB247" i="40" s="1"/>
  <c r="AB244" i="37" a="1"/>
  <c r="AB244" s="1"/>
  <c r="AB244" i="40" s="1"/>
  <c r="AB241" i="37" a="1"/>
  <c r="AB241" s="1"/>
  <c r="AB241" i="40" s="1"/>
  <c r="AB236" i="37" a="1"/>
  <c r="AB236" s="1"/>
  <c r="AB236" i="40" s="1"/>
  <c r="AB245" i="37" a="1"/>
  <c r="AB245" s="1"/>
  <c r="AB245" i="40" s="1"/>
  <c r="AB231" i="37" a="1"/>
  <c r="AB231" s="1"/>
  <c r="AB231" i="40" s="1"/>
  <c r="AB233" i="37" a="1"/>
  <c r="AB233" s="1"/>
  <c r="AB233" i="40" s="1"/>
  <c r="AB237" i="37" a="1"/>
  <c r="AB237" s="1"/>
  <c r="AB237" i="40" s="1"/>
  <c r="AB250" i="37" a="1"/>
  <c r="AB250" s="1"/>
  <c r="AB250" i="40" s="1"/>
  <c r="AB249" i="37" a="1"/>
  <c r="AB249" s="1"/>
  <c r="AB249" i="40" s="1"/>
  <c r="AB238" i="37" a="1"/>
  <c r="AB238" s="1"/>
  <c r="AB238" i="40" s="1"/>
  <c r="AB246" i="37" a="1"/>
  <c r="AB246" s="1"/>
  <c r="AB246" i="40" s="1"/>
  <c r="AB243" i="37" a="1"/>
  <c r="AB243" s="1"/>
  <c r="AB243" i="40" s="1"/>
  <c r="AB251" i="37" a="1"/>
  <c r="AB251" s="1"/>
  <c r="AB251" i="40" s="1"/>
  <c r="AB235" i="37" a="1"/>
  <c r="AB235" s="1"/>
  <c r="AB235" i="40" s="1"/>
  <c r="AB248" i="37" a="1"/>
  <c r="AB248" s="1"/>
  <c r="AB248" i="40" s="1"/>
  <c r="AB240" i="37" a="1"/>
  <c r="AB240" s="1"/>
  <c r="AB240" i="40" s="1"/>
  <c r="AB252" i="37" a="1"/>
  <c r="AB252" s="1"/>
  <c r="AB252" i="40" s="1"/>
  <c r="AB232" i="37" a="1"/>
  <c r="AB232" s="1"/>
  <c r="Y159" a="1"/>
  <c r="Y159" s="1"/>
  <c r="Y159" i="40" s="1"/>
  <c r="Y146" i="37" a="1"/>
  <c r="Y146" s="1"/>
  <c r="Y146" i="40" s="1"/>
  <c r="Y154" i="37" a="1"/>
  <c r="Y154" s="1"/>
  <c r="Y154" i="40" s="1"/>
  <c r="Y156" i="37" a="1"/>
  <c r="Y156" s="1"/>
  <c r="Y156" i="40" s="1"/>
  <c r="Y157" i="37" a="1"/>
  <c r="Y157" s="1"/>
  <c r="Y157" i="40" s="1"/>
  <c r="Y151" i="37" a="1"/>
  <c r="Y151" s="1"/>
  <c r="Y151" i="40" s="1"/>
  <c r="Y145" i="37" a="1"/>
  <c r="Y145" s="1"/>
  <c r="Y149" a="1"/>
  <c r="Y149" s="1"/>
  <c r="Y149" i="40" s="1"/>
  <c r="Y153" i="37" a="1"/>
  <c r="Y153" s="1"/>
  <c r="Y153" i="40" s="1"/>
  <c r="Y143" i="37" a="1"/>
  <c r="Y143" s="1"/>
  <c r="Y143" i="40" s="1"/>
  <c r="Y138" i="37" a="1"/>
  <c r="Y138" s="1"/>
  <c r="Y138" i="40" s="1"/>
  <c r="Y161" i="37" a="1"/>
  <c r="Y161" s="1"/>
  <c r="Y161" i="40" s="1"/>
  <c r="Y142" i="37" a="1"/>
  <c r="Y142" s="1"/>
  <c r="Y142" i="40" s="1"/>
  <c r="Y150" i="37" a="1"/>
  <c r="Y150" s="1"/>
  <c r="Y150" i="40" s="1"/>
  <c r="Y148" i="37" a="1"/>
  <c r="Y148" s="1"/>
  <c r="Y141" a="1"/>
  <c r="Y141" s="1"/>
  <c r="Y140" a="1"/>
  <c r="Y140" s="1"/>
  <c r="Y158" a="1"/>
  <c r="Y158" s="1"/>
  <c r="Y158" i="40" s="1"/>
  <c r="Y147" i="37" a="1"/>
  <c r="Y147" s="1"/>
  <c r="Y147" i="40" s="1"/>
  <c r="Y152" i="37" a="1"/>
  <c r="Y152" s="1"/>
  <c r="Y152" i="40" s="1"/>
  <c r="Y144" i="37" a="1"/>
  <c r="Y144" s="1"/>
  <c r="Y144" i="40" s="1"/>
  <c r="Y139" i="37" a="1"/>
  <c r="Y139" s="1"/>
  <c r="Y155" a="1"/>
  <c r="Y155" s="1"/>
  <c r="Y155" i="40" s="1"/>
  <c r="Y160" i="37" a="1"/>
  <c r="Y160" s="1"/>
  <c r="Y160" i="40" s="1"/>
  <c r="AA154" i="37" a="1"/>
  <c r="AA154" s="1"/>
  <c r="AA154" i="40" s="1"/>
  <c r="AA157" i="37" a="1"/>
  <c r="AA157" s="1"/>
  <c r="AA157" i="40" s="1"/>
  <c r="AA151" i="37" a="1"/>
  <c r="AA151" s="1"/>
  <c r="AA151" i="40" s="1"/>
  <c r="AA138" i="37" a="1"/>
  <c r="AA138" s="1"/>
  <c r="AA138" i="40" s="1"/>
  <c r="AA146" i="37" a="1"/>
  <c r="AA146" s="1"/>
  <c r="AA146" i="40" s="1"/>
  <c r="AA153" i="37" a="1"/>
  <c r="AA153" s="1"/>
  <c r="AA153" i="40" s="1"/>
  <c r="AA143" i="37" a="1"/>
  <c r="AA143" s="1"/>
  <c r="AA143" i="40" s="1"/>
  <c r="AA141" i="37" a="1"/>
  <c r="AA141" s="1"/>
  <c r="AA141" i="40" s="1"/>
  <c r="AA156" i="37" a="1"/>
  <c r="AA156" s="1"/>
  <c r="AA156" i="40" s="1"/>
  <c r="AA149" i="37" a="1"/>
  <c r="AA149" s="1"/>
  <c r="AA149" i="40" s="1"/>
  <c r="AA145" i="37" a="1"/>
  <c r="AA145" s="1"/>
  <c r="AA145" i="40" s="1"/>
  <c r="AA159" i="37" a="1"/>
  <c r="AA159" s="1"/>
  <c r="AA159" i="40" s="1"/>
  <c r="AA161" i="37" a="1"/>
  <c r="AA161" s="1"/>
  <c r="AA161" i="40" s="1"/>
  <c r="AA150" i="37" a="1"/>
  <c r="AA150" s="1"/>
  <c r="AA150" i="40" s="1"/>
  <c r="AA148" i="37" a="1"/>
  <c r="AA148" s="1"/>
  <c r="AA148" i="40" s="1"/>
  <c r="AA158" i="37" a="1"/>
  <c r="AA158" s="1"/>
  <c r="AA158" i="40" s="1"/>
  <c r="AA140" i="37" a="1"/>
  <c r="AA140" s="1"/>
  <c r="AA140" i="40" s="1"/>
  <c r="AA142" i="37" a="1"/>
  <c r="AA142" s="1"/>
  <c r="AA142" i="40" s="1"/>
  <c r="AA144" i="37" a="1"/>
  <c r="AA144" s="1"/>
  <c r="AA144" i="40" s="1"/>
  <c r="AA160" i="37" a="1"/>
  <c r="AA160" s="1"/>
  <c r="AA160" i="40" s="1"/>
  <c r="AA152" i="37" a="1"/>
  <c r="AA152" s="1"/>
  <c r="AA152" i="40" s="1"/>
  <c r="AA139" i="37" a="1"/>
  <c r="AA139" s="1"/>
  <c r="AA147" a="1"/>
  <c r="AA147" s="1"/>
  <c r="AA147" i="40" s="1"/>
  <c r="AA155" i="37" a="1"/>
  <c r="AA155" s="1"/>
  <c r="AA155" i="40" s="1"/>
  <c r="W29" i="37" a="1"/>
  <c r="W29" s="1"/>
  <c r="W29" i="40" s="1"/>
  <c r="W34" i="37" a="1"/>
  <c r="W34" s="1"/>
  <c r="W34" i="40" s="1"/>
  <c r="W26" i="37" a="1"/>
  <c r="W26" s="1"/>
  <c r="W26" i="40" s="1"/>
  <c r="W41" i="37" a="1"/>
  <c r="W41" s="1"/>
  <c r="W41" i="40" s="1"/>
  <c r="W39" i="37" a="1"/>
  <c r="W39" s="1"/>
  <c r="W39" i="40" s="1"/>
  <c r="W31" i="37" a="1"/>
  <c r="W31" s="1"/>
  <c r="W31" i="40" s="1"/>
  <c r="W28" i="37" a="1"/>
  <c r="W28" s="1"/>
  <c r="W28" i="40" s="1"/>
  <c r="W42" i="37" a="1"/>
  <c r="W42" s="1"/>
  <c r="W42" i="40" s="1"/>
  <c r="W25" i="37" a="1"/>
  <c r="W25" s="1"/>
  <c r="W45" a="1"/>
  <c r="W45" s="1"/>
  <c r="W45" i="40" s="1"/>
  <c r="W33" i="37" a="1"/>
  <c r="W33" s="1"/>
  <c r="W33" i="40" s="1"/>
  <c r="W38" i="37" a="1"/>
  <c r="W38" s="1"/>
  <c r="W38" i="40" s="1"/>
  <c r="W37" i="37" a="1"/>
  <c r="W37" s="1"/>
  <c r="W37" i="40" s="1"/>
  <c r="W44" i="37" a="1"/>
  <c r="W44" s="1"/>
  <c r="W44" i="40" s="1"/>
  <c r="W30" i="37" a="1"/>
  <c r="W30" s="1"/>
  <c r="W30" i="40" s="1"/>
  <c r="W36" i="37" a="1"/>
  <c r="W36" s="1"/>
  <c r="W36" i="40" s="1"/>
  <c r="W24" i="37" a="1"/>
  <c r="W24" s="1"/>
  <c r="W24" i="40" s="1"/>
  <c r="W43" i="37" a="1"/>
  <c r="W43" s="1"/>
  <c r="W43" i="40" s="1"/>
  <c r="W32" i="37" a="1"/>
  <c r="W32" s="1"/>
  <c r="W32" i="40" s="1"/>
  <c r="W35" i="37" a="1"/>
  <c r="W35" s="1"/>
  <c r="W35" i="40" s="1"/>
  <c r="W27" i="37" a="1"/>
  <c r="W27" s="1"/>
  <c r="W27" i="40" s="1"/>
  <c r="W40" i="37" a="1"/>
  <c r="W40" s="1"/>
  <c r="W40" i="40" s="1"/>
  <c r="X381" i="37" a="1"/>
  <c r="X381" s="1"/>
  <c r="X381" i="40" s="1"/>
  <c r="X373" i="37" a="1"/>
  <c r="X373" s="1"/>
  <c r="X373" i="40" s="1"/>
  <c r="X383" i="37" a="1"/>
  <c r="X383" s="1"/>
  <c r="X383" i="40" s="1"/>
  <c r="X375" i="37" a="1"/>
  <c r="X375" s="1"/>
  <c r="X375" i="40" s="1"/>
  <c r="X367" i="37" a="1"/>
  <c r="X367" s="1"/>
  <c r="X367" i="40" s="1"/>
  <c r="X378" i="37" a="1"/>
  <c r="X378" s="1"/>
  <c r="X378" i="40" s="1"/>
  <c r="X386" i="37" a="1"/>
  <c r="X386" s="1"/>
  <c r="X386" i="40" s="1"/>
  <c r="X385" i="37" a="1"/>
  <c r="X385" s="1"/>
  <c r="X385" i="40" s="1"/>
  <c r="X369" i="37" a="1"/>
  <c r="X369" s="1"/>
  <c r="X369" i="40" s="1"/>
  <c r="X382" i="37" a="1"/>
  <c r="X382" s="1"/>
  <c r="X382" i="40" s="1"/>
  <c r="X380" i="37" a="1"/>
  <c r="X380" s="1"/>
  <c r="X380" i="40" s="1"/>
  <c r="X379" i="37" a="1"/>
  <c r="X379" s="1"/>
  <c r="X379" i="40" s="1"/>
  <c r="X366" i="37" a="1"/>
  <c r="X366" s="1"/>
  <c r="X370" a="1"/>
  <c r="X370" s="1"/>
  <c r="X370" i="40" s="1"/>
  <c r="X388" i="37" a="1"/>
  <c r="X388" s="1"/>
  <c r="X388" i="40" s="1"/>
  <c r="X372" i="37" a="1"/>
  <c r="X372" s="1"/>
  <c r="X372" i="40" s="1"/>
  <c r="X374" i="37" a="1"/>
  <c r="X374" s="1"/>
  <c r="X374" i="40" s="1"/>
  <c r="X377" i="37" a="1"/>
  <c r="X377" s="1"/>
  <c r="X377" i="40" s="1"/>
  <c r="X371" i="37" a="1"/>
  <c r="X371" s="1"/>
  <c r="X371" i="40" s="1"/>
  <c r="X384" i="37" a="1"/>
  <c r="X384" s="1"/>
  <c r="X384" i="40" s="1"/>
  <c r="X387" i="37" a="1"/>
  <c r="X387" s="1"/>
  <c r="X387" i="40" s="1"/>
  <c r="X376" i="37" a="1"/>
  <c r="X376" s="1"/>
  <c r="X376" i="40" s="1"/>
  <c r="X365" i="37" a="1"/>
  <c r="X365" s="1"/>
  <c r="X365" i="40" s="1"/>
  <c r="X368" i="37" a="1"/>
  <c r="X368" s="1"/>
  <c r="X368" i="40" s="1"/>
  <c r="Z375" i="37" a="1"/>
  <c r="Z375" s="1"/>
  <c r="Z375" i="40" s="1"/>
  <c r="Z373" i="37" a="1"/>
  <c r="Z373" s="1"/>
  <c r="Z373" i="40" s="1"/>
  <c r="Z378" i="37" a="1"/>
  <c r="Z378" s="1"/>
  <c r="Z378" i="40" s="1"/>
  <c r="Z383" i="37" a="1"/>
  <c r="Z383" s="1"/>
  <c r="Z383" i="40" s="1"/>
  <c r="Z382" i="37" a="1"/>
  <c r="Z382" s="1"/>
  <c r="Z382" i="40" s="1"/>
  <c r="Z380" i="37" a="1"/>
  <c r="Z380" s="1"/>
  <c r="Z380" i="40" s="1"/>
  <c r="Z366" i="37" a="1"/>
  <c r="Z366" s="1"/>
  <c r="Z367" a="1"/>
  <c r="Z367" s="1"/>
  <c r="Z367" i="40" s="1"/>
  <c r="Z381" i="37" a="1"/>
  <c r="Z381" s="1"/>
  <c r="Z381" i="40" s="1"/>
  <c r="Z369" i="37" a="1"/>
  <c r="Z369" s="1"/>
  <c r="Z369" i="40" s="1"/>
  <c r="Z386" i="37" a="1"/>
  <c r="Z386" s="1"/>
  <c r="Z386" i="40" s="1"/>
  <c r="Z385" i="37" a="1"/>
  <c r="Z385" s="1"/>
  <c r="Z385" i="40" s="1"/>
  <c r="Z388" i="37" a="1"/>
  <c r="Z388" s="1"/>
  <c r="Z388" i="40" s="1"/>
  <c r="Z377" i="37" a="1"/>
  <c r="Z377" s="1"/>
  <c r="Z377" i="40" s="1"/>
  <c r="Z372" i="37" a="1"/>
  <c r="Z372" s="1"/>
  <c r="Z372" i="40" s="1"/>
  <c r="Z374" i="37" a="1"/>
  <c r="Z374" s="1"/>
  <c r="Z374" i="40" s="1"/>
  <c r="Z370" i="37" a="1"/>
  <c r="Z370" s="1"/>
  <c r="Z370" i="40" s="1"/>
  <c r="Z371" i="37" a="1"/>
  <c r="Z371" s="1"/>
  <c r="Z371" i="40" s="1"/>
  <c r="Z379" i="37" a="1"/>
  <c r="Z379" s="1"/>
  <c r="Z379" i="40" s="1"/>
  <c r="Z376" i="37" a="1"/>
  <c r="Z376" s="1"/>
  <c r="Z376" i="40" s="1"/>
  <c r="Z387" i="37" a="1"/>
  <c r="Z387" s="1"/>
  <c r="Z387" i="40" s="1"/>
  <c r="Z365" i="37" a="1"/>
  <c r="Z365" s="1"/>
  <c r="Z365" i="40" s="1"/>
  <c r="Z384" i="37" a="1"/>
  <c r="Z384" s="1"/>
  <c r="Z384" i="40" s="1"/>
  <c r="Z368" i="37" a="1"/>
  <c r="Z368" s="1"/>
  <c r="Z368" i="40" s="1"/>
  <c r="X191" i="37" a="1"/>
  <c r="X191" s="1"/>
  <c r="X191" i="40" s="1"/>
  <c r="X186" i="37" a="1"/>
  <c r="X186" s="1"/>
  <c r="X207" a="1"/>
  <c r="X207" s="1"/>
  <c r="X207" i="40" s="1"/>
  <c r="X205" i="37" a="1"/>
  <c r="X205" s="1"/>
  <c r="X205" i="40" s="1"/>
  <c r="X196" i="37" a="1"/>
  <c r="X196" s="1"/>
  <c r="X196" i="40" s="1"/>
  <c r="X197" i="37" a="1"/>
  <c r="X197" s="1"/>
  <c r="X197" i="40" s="1"/>
  <c r="X199" i="37" a="1"/>
  <c r="X199" s="1"/>
  <c r="X199" i="40" s="1"/>
  <c r="X193" i="37" a="1"/>
  <c r="X193" s="1"/>
  <c r="X193" i="40" s="1"/>
  <c r="X202" i="37" a="1"/>
  <c r="X202" s="1"/>
  <c r="X202" i="40" s="1"/>
  <c r="X201" i="37" a="1"/>
  <c r="X201" s="1"/>
  <c r="X201" i="40" s="1"/>
  <c r="X189" i="37" a="1"/>
  <c r="X189" s="1"/>
  <c r="X189" i="40" s="1"/>
  <c r="X194" i="37" a="1"/>
  <c r="X194" s="1"/>
  <c r="X194" i="40" s="1"/>
  <c r="X185" i="37" a="1"/>
  <c r="X185" s="1"/>
  <c r="X185" i="40" s="1"/>
  <c r="X204" i="37" a="1"/>
  <c r="X204" s="1"/>
  <c r="X204" i="40" s="1"/>
  <c r="X198" i="37" a="1"/>
  <c r="X198" s="1"/>
  <c r="X198" i="40" s="1"/>
  <c r="X190" i="37" a="1"/>
  <c r="X190" s="1"/>
  <c r="X190" i="40" s="1"/>
  <c r="X188" i="37" a="1"/>
  <c r="X188" s="1"/>
  <c r="X188" i="40" s="1"/>
  <c r="X206" i="37" a="1"/>
  <c r="X206" s="1"/>
  <c r="X206" i="40" s="1"/>
  <c r="X192" i="37" a="1"/>
  <c r="X192" s="1"/>
  <c r="X192" i="40" s="1"/>
  <c r="X203" i="37" a="1"/>
  <c r="X203" s="1"/>
  <c r="X203" i="40" s="1"/>
  <c r="X195" i="37" a="1"/>
  <c r="X195" s="1"/>
  <c r="X195" i="40" s="1"/>
  <c r="X200" i="37" a="1"/>
  <c r="X200" s="1"/>
  <c r="X200" i="40" s="1"/>
  <c r="X187" i="37" a="1"/>
  <c r="X187" s="1"/>
  <c r="X187" i="40" s="1"/>
  <c r="Z202" i="37" a="1"/>
  <c r="Z202" s="1"/>
  <c r="Z202" i="40" s="1"/>
  <c r="Z186" i="37" a="1"/>
  <c r="Z186" s="1"/>
  <c r="Z194" a="1"/>
  <c r="Z194" s="1"/>
  <c r="Z194" i="40" s="1"/>
  <c r="Z191" i="37" a="1"/>
  <c r="Z191" s="1"/>
  <c r="Z191" i="40" s="1"/>
  <c r="Z185" i="37" a="1"/>
  <c r="Z185" s="1"/>
  <c r="Z185" i="40" s="1"/>
  <c r="Z193" i="37" a="1"/>
  <c r="Z193" s="1"/>
  <c r="Z193" i="40" s="1"/>
  <c r="Z205" i="37" a="1"/>
  <c r="Z205" s="1"/>
  <c r="Z205" i="40" s="1"/>
  <c r="Z207" i="37" a="1"/>
  <c r="Z207" s="1"/>
  <c r="Z207" i="40" s="1"/>
  <c r="Z196" i="37" a="1"/>
  <c r="Z196" s="1"/>
  <c r="Z196" i="40" s="1"/>
  <c r="Z197" i="37" a="1"/>
  <c r="Z197" s="1"/>
  <c r="Z197" i="40" s="1"/>
  <c r="Z189" i="37" a="1"/>
  <c r="Z189" s="1"/>
  <c r="Z189" i="40" s="1"/>
  <c r="Z201" i="37" a="1"/>
  <c r="Z201" s="1"/>
  <c r="Z201" i="40" s="1"/>
  <c r="Z199" i="37" a="1"/>
  <c r="Z199" s="1"/>
  <c r="Z199" i="40" s="1"/>
  <c r="Z206" i="37" a="1"/>
  <c r="Z206" s="1"/>
  <c r="Z206" i="40" s="1"/>
  <c r="Z188" i="37" a="1"/>
  <c r="Z188" s="1"/>
  <c r="Z188" i="40" s="1"/>
  <c r="Z204" i="37" a="1"/>
  <c r="Z204" s="1"/>
  <c r="Z204" i="40" s="1"/>
  <c r="Z198" i="37" a="1"/>
  <c r="Z198" s="1"/>
  <c r="Z198" i="40" s="1"/>
  <c r="Z190" i="37" a="1"/>
  <c r="Z190" s="1"/>
  <c r="Z190" i="40" s="1"/>
  <c r="Z203" i="37" a="1"/>
  <c r="Z203" s="1"/>
  <c r="Z203" i="40" s="1"/>
  <c r="Z192" i="37" a="1"/>
  <c r="Z192" s="1"/>
  <c r="Z192" i="40" s="1"/>
  <c r="Z195" i="37" a="1"/>
  <c r="Z195" s="1"/>
  <c r="Z195" i="40" s="1"/>
  <c r="Z187" i="37" a="1"/>
  <c r="Z187" s="1"/>
  <c r="Z187" i="40" s="1"/>
  <c r="Z200" i="37" a="1"/>
  <c r="Z200" s="1"/>
  <c r="Z200" i="40" s="1"/>
  <c r="X303" i="37" a="1"/>
  <c r="X303" s="1"/>
  <c r="X303" i="40" s="1"/>
  <c r="X311" i="37" a="1"/>
  <c r="X311" s="1"/>
  <c r="X311" i="40" s="1"/>
  <c r="X319" i="37" a="1"/>
  <c r="X319" s="1"/>
  <c r="X319" i="40" s="1"/>
  <c r="X313" i="37" a="1"/>
  <c r="X313" s="1"/>
  <c r="X313" i="40" s="1"/>
  <c r="X317" i="37" a="1"/>
  <c r="X317" s="1"/>
  <c r="X317" i="40" s="1"/>
  <c r="X305" i="37" a="1"/>
  <c r="X305" s="1"/>
  <c r="X305" i="40" s="1"/>
  <c r="X301" i="37" a="1"/>
  <c r="X301" s="1"/>
  <c r="X301" i="40" s="1"/>
  <c r="X318" i="37" a="1"/>
  <c r="X318" s="1"/>
  <c r="X318" i="40" s="1"/>
  <c r="X302" i="37" a="1"/>
  <c r="X302" s="1"/>
  <c r="X302" i="40" s="1"/>
  <c r="X306" i="37" a="1"/>
  <c r="X306" s="1"/>
  <c r="X306" i="40" s="1"/>
  <c r="X310" i="37" a="1"/>
  <c r="X310" s="1"/>
  <c r="X310" i="40" s="1"/>
  <c r="X309" i="37" a="1"/>
  <c r="X309" s="1"/>
  <c r="X309" i="40" s="1"/>
  <c r="X308" i="37" a="1"/>
  <c r="X308" s="1"/>
  <c r="X308" i="40" s="1"/>
  <c r="X315" i="37" a="1"/>
  <c r="X315" s="1"/>
  <c r="X315" i="40" s="1"/>
  <c r="X316" i="37" a="1"/>
  <c r="X316" s="1"/>
  <c r="X316" i="40" s="1"/>
  <c r="X304" i="37" a="1"/>
  <c r="X304" s="1"/>
  <c r="X304" i="40" s="1"/>
  <c r="X314" i="37" a="1"/>
  <c r="X314" s="1"/>
  <c r="X314" i="40" s="1"/>
  <c r="X300" i="37" a="1"/>
  <c r="X300" s="1"/>
  <c r="X312" a="1"/>
  <c r="X312" s="1"/>
  <c r="X312" i="40" s="1"/>
  <c r="X299" i="37" a="1"/>
  <c r="X299" s="1"/>
  <c r="X299" i="40" s="1"/>
  <c r="X307" i="37" a="1"/>
  <c r="X307" s="1"/>
  <c r="X307" i="40" s="1"/>
  <c r="X320" i="37" a="1"/>
  <c r="X320" s="1"/>
  <c r="X320" i="40" s="1"/>
  <c r="U114" i="37" a="1"/>
  <c r="U114" s="1"/>
  <c r="U114" i="40" s="1"/>
  <c r="U130" i="37" a="1"/>
  <c r="U130" s="1"/>
  <c r="U130" i="40" s="1"/>
  <c r="U119" i="37" a="1"/>
  <c r="U119" s="1"/>
  <c r="U119" i="40" s="1"/>
  <c r="U129" i="37" a="1"/>
  <c r="U129" s="1"/>
  <c r="U129" i="40" s="1"/>
  <c r="U126" i="37" a="1"/>
  <c r="U126" s="1"/>
  <c r="U126" i="40" s="1"/>
  <c r="U137" i="37" a="1"/>
  <c r="U137" s="1"/>
  <c r="U137" i="40" s="1"/>
  <c r="U125" i="37" a="1"/>
  <c r="U125" s="1"/>
  <c r="U125" i="40" s="1"/>
  <c r="U135" i="37" a="1"/>
  <c r="U135" s="1"/>
  <c r="U135" i="40" s="1"/>
  <c r="U122" i="37" a="1"/>
  <c r="U122" s="1"/>
  <c r="U122" i="40" s="1"/>
  <c r="U121" i="37" a="1"/>
  <c r="U121" s="1"/>
  <c r="U121" i="40" s="1"/>
  <c r="U127" i="37" a="1"/>
  <c r="U127" s="1"/>
  <c r="U127" i="40" s="1"/>
  <c r="U132" i="37" a="1"/>
  <c r="U132" s="1"/>
  <c r="U132" i="40" s="1"/>
  <c r="U124" i="37" a="1"/>
  <c r="U124" s="1"/>
  <c r="U124" i="40" s="1"/>
  <c r="U116" i="37" a="1"/>
  <c r="U116" s="1"/>
  <c r="U116" i="40" s="1"/>
  <c r="U134" i="37" a="1"/>
  <c r="U134" s="1"/>
  <c r="U134" i="40" s="1"/>
  <c r="U118" i="37" a="1"/>
  <c r="U118" s="1"/>
  <c r="U118" i="40" s="1"/>
  <c r="U128" i="37" a="1"/>
  <c r="U128" s="1"/>
  <c r="U128" i="40" s="1"/>
  <c r="U133" i="37" a="1"/>
  <c r="U133" s="1"/>
  <c r="U133" i="40" s="1"/>
  <c r="U115" i="37" a="1"/>
  <c r="U115" s="1"/>
  <c r="U136" a="1"/>
  <c r="U136" s="1"/>
  <c r="U136" i="40" s="1"/>
  <c r="U131" i="37" a="1"/>
  <c r="U131" s="1"/>
  <c r="U131" i="40" s="1"/>
  <c r="U117" i="37" a="1"/>
  <c r="U117" s="1"/>
  <c r="U117" i="40" s="1"/>
  <c r="U123" i="37" a="1"/>
  <c r="U123" s="1"/>
  <c r="U123" i="40" s="1"/>
  <c r="U120" i="37" a="1"/>
  <c r="U120" s="1"/>
  <c r="U120" i="40" s="1"/>
  <c r="S466" i="37" a="1"/>
  <c r="S466" s="1"/>
  <c r="S466" i="40" s="1"/>
  <c r="S463" i="37" a="1"/>
  <c r="S463" s="1"/>
  <c r="S463" i="40" s="1"/>
  <c r="S457" i="37" a="1"/>
  <c r="S457" s="1"/>
  <c r="S457" i="40" s="1"/>
  <c r="S455" i="37" a="1"/>
  <c r="S455" s="1"/>
  <c r="S455" i="40" s="1"/>
  <c r="S461" i="37" a="1"/>
  <c r="S461" s="1"/>
  <c r="S461" i="40" s="1"/>
  <c r="S458" i="37" a="1"/>
  <c r="S458" s="1"/>
  <c r="S458" i="40" s="1"/>
  <c r="S460" i="37" a="1"/>
  <c r="S460" s="1"/>
  <c r="S460" i="40" s="1"/>
  <c r="S465" i="37" a="1"/>
  <c r="S465" s="1"/>
  <c r="S465" i="40" s="1"/>
  <c r="S453" i="37" a="1"/>
  <c r="S453" s="1"/>
  <c r="S453" i="40" s="1"/>
  <c r="S454" i="37" a="1"/>
  <c r="S454" s="1"/>
  <c r="S454" i="40" s="1"/>
  <c r="S467" i="37" a="1"/>
  <c r="S467" s="1"/>
  <c r="S467" i="40" s="1"/>
  <c r="S459" i="37" a="1"/>
  <c r="S459" s="1"/>
  <c r="S459" i="40" s="1"/>
  <c r="S462" i="37" a="1"/>
  <c r="S462" s="1"/>
  <c r="S462" i="40" s="1"/>
  <c r="S452" i="37" a="1"/>
  <c r="S452" s="1"/>
  <c r="S464" a="1"/>
  <c r="S464" s="1"/>
  <c r="S464" i="40" s="1"/>
  <c r="S456" i="37" a="1"/>
  <c r="S456" s="1"/>
  <c r="S456" i="40" s="1"/>
  <c r="V98" i="37" a="1"/>
  <c r="V98" s="1"/>
  <c r="V98" i="40" s="1"/>
  <c r="V95" i="37" a="1"/>
  <c r="V95" s="1"/>
  <c r="V95" i="40" s="1"/>
  <c r="V90" i="37" a="1"/>
  <c r="V90" s="1"/>
  <c r="V90" i="40" s="1"/>
  <c r="V101" i="37" a="1"/>
  <c r="V101" s="1"/>
  <c r="V101" i="40" s="1"/>
  <c r="V102" i="37" a="1"/>
  <c r="V102" s="1"/>
  <c r="V102" i="40" s="1"/>
  <c r="V111" i="37" a="1"/>
  <c r="V111" s="1"/>
  <c r="V111" i="40" s="1"/>
  <c r="V103" i="37" a="1"/>
  <c r="V103" s="1"/>
  <c r="V103" i="40" s="1"/>
  <c r="V97" i="37" a="1"/>
  <c r="V97" s="1"/>
  <c r="V97" i="40" s="1"/>
  <c r="V109" i="37" a="1"/>
  <c r="V109" s="1"/>
  <c r="V109" i="40" s="1"/>
  <c r="V100" i="37" a="1"/>
  <c r="V100" s="1"/>
  <c r="V100" i="40" s="1"/>
  <c r="V106" i="37" a="1"/>
  <c r="V106" s="1"/>
  <c r="V106" i="40" s="1"/>
  <c r="V113" i="37" a="1"/>
  <c r="V113" s="1"/>
  <c r="V113" i="40" s="1"/>
  <c r="V105" i="37" a="1"/>
  <c r="V105" s="1"/>
  <c r="V105" i="40" s="1"/>
  <c r="V108" i="37" a="1"/>
  <c r="V108" s="1"/>
  <c r="V108" i="40" s="1"/>
  <c r="V92" i="37" a="1"/>
  <c r="V92" s="1"/>
  <c r="V92" i="40" s="1"/>
  <c r="V110" i="37" a="1"/>
  <c r="V110" s="1"/>
  <c r="V110" i="40" s="1"/>
  <c r="V94" i="37" a="1"/>
  <c r="V94" s="1"/>
  <c r="V94" i="40" s="1"/>
  <c r="V93" i="37" a="1"/>
  <c r="V93" s="1"/>
  <c r="V93" i="40" s="1"/>
  <c r="V99" i="37" a="1"/>
  <c r="V99" s="1"/>
  <c r="V99" i="40" s="1"/>
  <c r="V112" i="37" a="1"/>
  <c r="V112" s="1"/>
  <c r="V112" i="40" s="1"/>
  <c r="V91" i="37" a="1"/>
  <c r="V91" s="1"/>
  <c r="V96" a="1"/>
  <c r="V96" s="1"/>
  <c r="V96" i="40" s="1"/>
  <c r="V107" i="37" a="1"/>
  <c r="V107" s="1"/>
  <c r="V107" i="40" s="1"/>
  <c r="V104" i="37" a="1"/>
  <c r="V104" s="1"/>
  <c r="V104" i="40" s="1"/>
  <c r="V218" i="37" a="1"/>
  <c r="V218" s="1"/>
  <c r="V218" i="40" s="1"/>
  <c r="V215" i="37" a="1"/>
  <c r="V215" s="1"/>
  <c r="V215" i="40" s="1"/>
  <c r="V210" i="37" a="1"/>
  <c r="V210" s="1"/>
  <c r="V210" i="40" s="1"/>
  <c r="V225" i="37" a="1"/>
  <c r="V225" s="1"/>
  <c r="V225" i="40" s="1"/>
  <c r="V209" i="37" a="1"/>
  <c r="V209" s="1"/>
  <c r="V222" a="1"/>
  <c r="V222" s="1"/>
  <c r="V222" i="40" s="1"/>
  <c r="V217" i="37" a="1"/>
  <c r="V217" s="1"/>
  <c r="V217" i="40" s="1"/>
  <c r="V212" i="37" a="1"/>
  <c r="V212" s="1"/>
  <c r="V212" i="40" s="1"/>
  <c r="V226" i="37" a="1"/>
  <c r="V226" s="1"/>
  <c r="V226" i="40" s="1"/>
  <c r="V223" i="37" a="1"/>
  <c r="V223" s="1"/>
  <c r="V223" i="40" s="1"/>
  <c r="V228" i="37" a="1"/>
  <c r="V228" s="1"/>
  <c r="V228" i="40" s="1"/>
  <c r="V213" i="37" a="1"/>
  <c r="V213" s="1"/>
  <c r="V213" i="40" s="1"/>
  <c r="V230" i="37" a="1"/>
  <c r="V230" s="1"/>
  <c r="V230" i="40" s="1"/>
  <c r="V214" i="37" a="1"/>
  <c r="V214" s="1"/>
  <c r="V214" i="40" s="1"/>
  <c r="V220" i="37" a="1"/>
  <c r="V220" s="1"/>
  <c r="V220" i="40" s="1"/>
  <c r="V221" i="37" a="1"/>
  <c r="V221" s="1"/>
  <c r="V221" i="40" s="1"/>
  <c r="V216" i="37" a="1"/>
  <c r="V216" s="1"/>
  <c r="V216" i="40" s="1"/>
  <c r="V229" i="37" a="1"/>
  <c r="V229" s="1"/>
  <c r="V229" i="40" s="1"/>
  <c r="V227" i="37" a="1"/>
  <c r="V227" s="1"/>
  <c r="V227" i="40" s="1"/>
  <c r="V219" i="37" a="1"/>
  <c r="V219" s="1"/>
  <c r="V219" i="40" s="1"/>
  <c r="V208" i="37" a="1"/>
  <c r="V208" s="1"/>
  <c r="V208" i="40" s="1"/>
  <c r="V224" i="37" a="1"/>
  <c r="V224" s="1"/>
  <c r="V224" i="40" s="1"/>
  <c r="V211" i="37" a="1"/>
  <c r="V211" s="1"/>
  <c r="V211" i="40" s="1"/>
  <c r="S79" i="37" a="1"/>
  <c r="S79" s="1"/>
  <c r="S79" i="40" s="1"/>
  <c r="S78" i="37" a="1"/>
  <c r="S78" s="1"/>
  <c r="S78" i="40" s="1"/>
  <c r="S73" i="37" a="1"/>
  <c r="S73" s="1"/>
  <c r="S73" i="40" s="1"/>
  <c r="S84" i="37" a="1"/>
  <c r="S84" s="1"/>
  <c r="S84" i="40" s="1"/>
  <c r="S87" i="37" a="1"/>
  <c r="S87" s="1"/>
  <c r="S87" i="40" s="1"/>
  <c r="S89" i="37" a="1"/>
  <c r="S89" s="1"/>
  <c r="S89" i="40" s="1"/>
  <c r="S69" i="37" a="1"/>
  <c r="S69" s="1"/>
  <c r="S69" i="40" s="1"/>
  <c r="S74" i="37" a="1"/>
  <c r="S74" s="1"/>
  <c r="S74" i="40" s="1"/>
  <c r="S76" i="37" a="1"/>
  <c r="S76" s="1"/>
  <c r="S76" i="40" s="1"/>
  <c r="S77" i="37" a="1"/>
  <c r="S77" s="1"/>
  <c r="S77" i="40" s="1"/>
  <c r="S82" i="37" a="1"/>
  <c r="S82" s="1"/>
  <c r="S82" i="40" s="1"/>
  <c r="S81" i="37" a="1"/>
  <c r="S81" s="1"/>
  <c r="S81" i="40" s="1"/>
  <c r="S71" i="37" a="1"/>
  <c r="S71" s="1"/>
  <c r="S71" i="40" s="1"/>
  <c r="S85" i="37" a="1"/>
  <c r="S85" s="1"/>
  <c r="S85" i="40" s="1"/>
  <c r="S70" i="37" a="1"/>
  <c r="S70" s="1"/>
  <c r="S86" a="1"/>
  <c r="S86" s="1"/>
  <c r="S86" i="40" s="1"/>
  <c r="S88" i="37" a="1"/>
  <c r="S88" s="1"/>
  <c r="S88" i="40" s="1"/>
  <c r="S75" i="37" a="1"/>
  <c r="S75" s="1"/>
  <c r="S75" i="40" s="1"/>
  <c r="S72" i="37" a="1"/>
  <c r="S72" s="1"/>
  <c r="S72" i="40" s="1"/>
  <c r="S83" i="37" a="1"/>
  <c r="S83" s="1"/>
  <c r="S83" i="40" s="1"/>
  <c r="S80" i="37" a="1"/>
  <c r="S80" s="1"/>
  <c r="S80" i="40" s="1"/>
  <c r="Z87" i="37" a="1"/>
  <c r="Z87" s="1"/>
  <c r="Z87" i="40" s="1"/>
  <c r="Z82" i="37" a="1"/>
  <c r="Z82" s="1"/>
  <c r="Z82" i="40" s="1"/>
  <c r="Z74" i="37" a="1"/>
  <c r="Z74" s="1"/>
  <c r="Z74" i="40" s="1"/>
  <c r="Z81" i="37" a="1"/>
  <c r="Z81" s="1"/>
  <c r="Z81" i="40" s="1"/>
  <c r="Z78" i="37" a="1"/>
  <c r="Z78" s="1"/>
  <c r="Z78" i="40" s="1"/>
  <c r="Z79" i="37" a="1"/>
  <c r="Z79" s="1"/>
  <c r="Z79" i="40" s="1"/>
  <c r="Z77" i="37" a="1"/>
  <c r="Z77" s="1"/>
  <c r="Z77" i="40" s="1"/>
  <c r="Z76" i="37" a="1"/>
  <c r="Z76" s="1"/>
  <c r="Z76" i="40" s="1"/>
  <c r="Z89" i="37" a="1"/>
  <c r="Z89" s="1"/>
  <c r="Z89" i="40" s="1"/>
  <c r="Z73" i="37" a="1"/>
  <c r="Z73" s="1"/>
  <c r="Z73" i="40" s="1"/>
  <c r="Z71" i="37" a="1"/>
  <c r="Z71" s="1"/>
  <c r="Z71" i="40" s="1"/>
  <c r="Z69" i="37" a="1"/>
  <c r="Z69" s="1"/>
  <c r="Z69" i="40" s="1"/>
  <c r="Z84" i="37" a="1"/>
  <c r="Z84" s="1"/>
  <c r="Z84" i="40" s="1"/>
  <c r="Z86" i="37" a="1"/>
  <c r="Z86" s="1"/>
  <c r="Z86" i="40" s="1"/>
  <c r="Z70" i="37" a="1"/>
  <c r="Z70" s="1"/>
  <c r="Z85" a="1"/>
  <c r="Z85" s="1"/>
  <c r="Z85" i="40" s="1"/>
  <c r="Z72" i="37" a="1"/>
  <c r="Z72" s="1"/>
  <c r="Z72" i="40" s="1"/>
  <c r="Z83" i="37" a="1"/>
  <c r="Z83" s="1"/>
  <c r="Z83" i="40" s="1"/>
  <c r="Z80" i="37" a="1"/>
  <c r="Z80" s="1"/>
  <c r="Z80" i="40" s="1"/>
  <c r="Z75" i="37" a="1"/>
  <c r="Z75" s="1"/>
  <c r="Z75" i="40" s="1"/>
  <c r="Z88" i="37" a="1"/>
  <c r="Z88" s="1"/>
  <c r="Z88" i="40" s="1"/>
  <c r="V447" i="37" a="1"/>
  <c r="V447" s="1"/>
  <c r="V445" a="1"/>
  <c r="V445" s="1"/>
  <c r="V445" i="40" s="1"/>
  <c r="V439" i="37" a="1"/>
  <c r="V439" s="1"/>
  <c r="V439" i="40" s="1"/>
  <c r="V441" i="37" a="1"/>
  <c r="V441" s="1"/>
  <c r="V441" i="40" s="1"/>
  <c r="V437" i="37" a="1"/>
  <c r="V437" s="1"/>
  <c r="V437" i="40" s="1"/>
  <c r="V443" i="37" a="1"/>
  <c r="V443" s="1"/>
  <c r="V443" i="40" s="1"/>
  <c r="V438" i="37" a="1"/>
  <c r="V438" s="1"/>
  <c r="V438" i="40" s="1"/>
  <c r="V442" i="37" a="1"/>
  <c r="V442" s="1"/>
  <c r="V442" i="40" s="1"/>
  <c r="V444" i="37" a="1"/>
  <c r="V444" s="1"/>
  <c r="V444" i="40" s="1"/>
  <c r="V449" i="37" a="1"/>
  <c r="V449" s="1"/>
  <c r="V449" i="40" s="1"/>
  <c r="V446" i="37" a="1"/>
  <c r="V446" s="1"/>
  <c r="V446" i="40" s="1"/>
  <c r="V451" i="37" a="1"/>
  <c r="V451" s="1"/>
  <c r="V448" a="1"/>
  <c r="V448" s="1"/>
  <c r="V448" i="40" s="1"/>
  <c r="V450" i="37" a="1"/>
  <c r="V450" s="1"/>
  <c r="V450" i="40" s="1"/>
  <c r="V436" i="37" a="1"/>
  <c r="V436" s="1"/>
  <c r="V440" a="1"/>
  <c r="V440" s="1"/>
  <c r="V440" i="40" s="1"/>
  <c r="Y469" i="37" a="1"/>
  <c r="Y469" s="1"/>
  <c r="Y469" i="40" s="1"/>
  <c r="Y471" i="37" a="1"/>
  <c r="Y471" s="1"/>
  <c r="Y471" i="40" s="1"/>
  <c r="Y473" i="37" a="1"/>
  <c r="Y473" s="1"/>
  <c r="Y473" i="40" s="1"/>
  <c r="Y477" i="37" a="1"/>
  <c r="Y477" s="1"/>
  <c r="Y477" i="40" s="1"/>
  <c r="Y479" i="37" a="1"/>
  <c r="Y479" s="1"/>
  <c r="Y479" i="40" s="1"/>
  <c r="Y482" i="37" a="1"/>
  <c r="Y482" s="1"/>
  <c r="Y482" i="40" s="1"/>
  <c r="Y468" i="37" a="1"/>
  <c r="Y468" s="1"/>
  <c r="Y478" a="1"/>
  <c r="Y478" s="1"/>
  <c r="Y478" i="40" s="1"/>
  <c r="Y483" i="37" a="1"/>
  <c r="Y483" s="1"/>
  <c r="Y483" i="40" s="1"/>
  <c r="Y475" i="37" a="1"/>
  <c r="Y475" s="1"/>
  <c r="Y475" i="40" s="1"/>
  <c r="Y470" i="37" a="1"/>
  <c r="Y470" s="1"/>
  <c r="Y470" i="40" s="1"/>
  <c r="Y481" i="37" a="1"/>
  <c r="Y481" s="1"/>
  <c r="Y481" i="40" s="1"/>
  <c r="Y474" i="37" a="1"/>
  <c r="Y474" s="1"/>
  <c r="Y474" i="40" s="1"/>
  <c r="Y476" i="37" a="1"/>
  <c r="Y476" s="1"/>
  <c r="Y476" i="40" s="1"/>
  <c r="Y480" i="37" a="1"/>
  <c r="Y480" s="1"/>
  <c r="Y480" i="40" s="1"/>
  <c r="Y472" i="37" a="1"/>
  <c r="Y472" s="1"/>
  <c r="Y472" i="40" s="1"/>
  <c r="S295" i="37" a="1"/>
  <c r="S295" s="1"/>
  <c r="S295" i="40" s="1"/>
  <c r="S287" i="37" a="1"/>
  <c r="S287" s="1"/>
  <c r="S287" i="40" s="1"/>
  <c r="S282" i="37" a="1"/>
  <c r="S282" s="1"/>
  <c r="S282" i="40" s="1"/>
  <c r="S286" i="37" a="1"/>
  <c r="S286" s="1"/>
  <c r="S286" i="40" s="1"/>
  <c r="S279" i="37" a="1"/>
  <c r="S279" s="1"/>
  <c r="S281" a="1"/>
  <c r="S281" s="1"/>
  <c r="S297" a="1"/>
  <c r="S297" s="1"/>
  <c r="S297" i="40" s="1"/>
  <c r="S293" i="37" a="1"/>
  <c r="S293" s="1"/>
  <c r="S293" i="40" s="1"/>
  <c r="S284" i="37" a="1"/>
  <c r="S284" s="1"/>
  <c r="S289" a="1"/>
  <c r="S289" s="1"/>
  <c r="S289" i="40" s="1"/>
  <c r="S285" i="37" a="1"/>
  <c r="S285" s="1"/>
  <c r="S285" i="40" s="1"/>
  <c r="S278" i="37" a="1"/>
  <c r="S278" s="1"/>
  <c r="S277" a="1"/>
  <c r="S277" s="1"/>
  <c r="S277" i="40" s="1"/>
  <c r="S290" i="37" a="1"/>
  <c r="S290" s="1"/>
  <c r="S290" i="40" s="1"/>
  <c r="S292" i="37" a="1"/>
  <c r="S292" s="1"/>
  <c r="S292" i="40" s="1"/>
  <c r="S294" i="37" a="1"/>
  <c r="S294" s="1"/>
  <c r="S294" i="40" s="1"/>
  <c r="S291" i="37" a="1"/>
  <c r="S291" s="1"/>
  <c r="S291" i="40" s="1"/>
  <c r="S296" i="37" a="1"/>
  <c r="S296" s="1"/>
  <c r="S288" a="1"/>
  <c r="S288" s="1"/>
  <c r="S288" i="40" s="1"/>
  <c r="S298" i="37" a="1"/>
  <c r="S298" s="1"/>
  <c r="S298" i="40" s="1"/>
  <c r="S280" i="37" a="1"/>
  <c r="S280" s="1"/>
  <c r="S280" i="40" s="1"/>
  <c r="S283" i="37" a="1"/>
  <c r="S283" s="1"/>
  <c r="AJ575"/>
  <c r="AJ560"/>
  <c r="AJ557"/>
  <c r="AJ549"/>
  <c r="AJ525"/>
  <c r="AJ514"/>
  <c r="AJ552"/>
  <c r="AJ536"/>
  <c r="AJ542"/>
  <c r="AJ516"/>
  <c r="AJ544"/>
  <c r="AP505"/>
  <c r="AJ541"/>
  <c r="AJ571"/>
  <c r="AJ519"/>
  <c r="AF567"/>
  <c r="AF524"/>
  <c r="AF563"/>
  <c r="AF577"/>
  <c r="AJ507"/>
  <c r="AJ538"/>
  <c r="AF557"/>
  <c r="AJ574"/>
  <c r="AK511"/>
  <c r="AM511" s="1"/>
  <c r="AJ511"/>
  <c r="AF527"/>
  <c r="AF528"/>
  <c r="AK520"/>
  <c r="AM520" s="1"/>
  <c r="AJ520"/>
  <c r="AK515"/>
  <c r="AM515" s="1"/>
  <c r="AJ515"/>
  <c r="AJ545"/>
  <c r="AK579"/>
  <c r="AM579" s="1"/>
  <c r="AJ579"/>
  <c r="AK543"/>
  <c r="AM543" s="1"/>
  <c r="AJ543"/>
  <c r="AJ517"/>
  <c r="AJ551"/>
  <c r="AK572"/>
  <c r="AM572" s="1"/>
  <c r="AJ572"/>
  <c r="AJ558"/>
  <c r="AK539"/>
  <c r="AM539" s="1"/>
  <c r="AJ539"/>
  <c r="AK555"/>
  <c r="AM555" s="1"/>
  <c r="AJ561"/>
  <c r="AJ546"/>
  <c r="AJ527"/>
  <c r="AK553"/>
  <c r="AM553" s="1"/>
  <c r="AJ553"/>
  <c r="AJ528"/>
  <c r="AK569"/>
  <c r="AJ569"/>
  <c r="AO546"/>
  <c r="AK578"/>
  <c r="AM578" s="1"/>
  <c r="AJ578"/>
  <c r="AJ547"/>
  <c r="AK529"/>
  <c r="AM529" s="1"/>
  <c r="AJ529"/>
  <c r="AK566"/>
  <c r="AM566" s="1"/>
  <c r="AJ566"/>
  <c r="AK576"/>
  <c r="AM576" s="1"/>
  <c r="AJ576"/>
  <c r="AJ550"/>
  <c r="AJ503"/>
  <c r="AJ534"/>
  <c r="AJ508"/>
  <c r="AJ505"/>
  <c r="AJ523"/>
  <c r="AJ526"/>
  <c r="AJ565"/>
  <c r="AF519"/>
  <c r="AJ567"/>
  <c r="AJ524"/>
  <c r="AJ530"/>
  <c r="AJ573"/>
  <c r="AJ559"/>
  <c r="AJ563"/>
  <c r="AJ504"/>
  <c r="AJ533"/>
  <c r="AF508"/>
  <c r="AK522"/>
  <c r="AM522" s="1"/>
  <c r="AJ522"/>
  <c r="AF568"/>
  <c r="AJ512"/>
  <c r="AJ554"/>
  <c r="AJ564"/>
  <c r="AJ506"/>
  <c r="AJ568"/>
  <c r="AJ548"/>
  <c r="AJ540"/>
  <c r="AJ577"/>
  <c r="AJ556"/>
  <c r="AJ510"/>
  <c r="AK535"/>
  <c r="AM535" s="1"/>
  <c r="AJ535"/>
  <c r="AK562"/>
  <c r="AM562" s="1"/>
  <c r="AJ562"/>
  <c r="AJ518"/>
  <c r="AJ513"/>
  <c r="AF579"/>
  <c r="AJ537"/>
  <c r="AF576"/>
  <c r="AF512"/>
  <c r="AF534"/>
  <c r="AF522"/>
  <c r="AF516"/>
  <c r="AK538"/>
  <c r="AM538" s="1"/>
  <c r="AF560"/>
  <c r="AF503"/>
  <c r="AF545"/>
  <c r="AF505"/>
  <c r="AF506"/>
  <c r="AK552"/>
  <c r="AM552" s="1"/>
  <c r="AK536"/>
  <c r="AM536" s="1"/>
  <c r="AK512"/>
  <c r="AM512" s="1"/>
  <c r="AK519"/>
  <c r="AM519" s="1"/>
  <c r="AK542"/>
  <c r="AM542" s="1"/>
  <c r="AF540"/>
  <c r="AF538"/>
  <c r="AF504"/>
  <c r="AF556"/>
  <c r="AO512"/>
  <c r="AO574"/>
  <c r="AF574"/>
  <c r="AF523"/>
  <c r="AF552"/>
  <c r="AF541"/>
  <c r="AF507"/>
  <c r="AF536"/>
  <c r="AF518"/>
  <c r="AF571"/>
  <c r="AF570"/>
  <c r="AF542"/>
  <c r="AF554"/>
  <c r="AF559"/>
  <c r="AF537"/>
  <c r="AO531"/>
  <c r="AF531"/>
  <c r="AK513"/>
  <c r="AM513" s="1"/>
  <c r="AF513"/>
  <c r="AF551"/>
  <c r="AK531"/>
  <c r="AM531" s="1"/>
  <c r="AO555"/>
  <c r="AF555"/>
  <c r="AO535"/>
  <c r="AF535"/>
  <c r="AO562"/>
  <c r="AF562"/>
  <c r="AO575"/>
  <c r="AF575"/>
  <c r="AO553"/>
  <c r="AF553"/>
  <c r="AO521"/>
  <c r="AF521"/>
  <c r="AK545"/>
  <c r="AM545" s="1"/>
  <c r="AO569"/>
  <c r="AF569"/>
  <c r="AO514"/>
  <c r="AF514"/>
  <c r="AF532"/>
  <c r="AF547"/>
  <c r="AF529"/>
  <c r="AO566"/>
  <c r="AF566"/>
  <c r="AO548"/>
  <c r="AF548"/>
  <c r="AF543"/>
  <c r="AF510"/>
  <c r="AO509"/>
  <c r="AF509"/>
  <c r="AF515"/>
  <c r="AO511"/>
  <c r="AF511"/>
  <c r="AO550"/>
  <c r="AF550"/>
  <c r="AO576"/>
  <c r="AO520"/>
  <c r="AF520"/>
  <c r="AK514"/>
  <c r="AM514" s="1"/>
  <c r="AO544"/>
  <c r="AF544"/>
  <c r="AF549"/>
  <c r="AF517"/>
  <c r="AF525"/>
  <c r="AF572"/>
  <c r="AF558"/>
  <c r="AF526"/>
  <c r="AF539"/>
  <c r="AF561"/>
  <c r="AF546"/>
  <c r="AF565"/>
  <c r="AO530"/>
  <c r="AF530"/>
  <c r="AF573"/>
  <c r="AF578"/>
  <c r="AF564"/>
  <c r="AF533"/>
  <c r="AO557"/>
  <c r="AK517"/>
  <c r="AM517" s="1"/>
  <c r="AO527"/>
  <c r="AK564"/>
  <c r="AM564" s="1"/>
  <c r="AO513"/>
  <c r="AO545"/>
  <c r="AK560"/>
  <c r="AM560" s="1"/>
  <c r="AK532"/>
  <c r="AM532" s="1"/>
  <c r="AK561"/>
  <c r="AM561" s="1"/>
  <c r="AK546"/>
  <c r="AM546" s="1"/>
  <c r="AK527"/>
  <c r="AM527" s="1"/>
  <c r="AK528"/>
  <c r="AM528" s="1"/>
  <c r="AO529"/>
  <c r="AO519"/>
  <c r="AK516"/>
  <c r="AM516" s="1"/>
  <c r="AK573"/>
  <c r="AM573" s="1"/>
  <c r="AO508"/>
  <c r="AO503"/>
  <c r="AO568"/>
  <c r="AK541"/>
  <c r="AM541" s="1"/>
  <c r="AO567"/>
  <c r="AO536"/>
  <c r="AO517"/>
  <c r="AK518"/>
  <c r="AM518" s="1"/>
  <c r="AO516"/>
  <c r="AO515"/>
  <c r="AO579"/>
  <c r="AO560"/>
  <c r="AO543"/>
  <c r="AK537"/>
  <c r="AM537" s="1"/>
  <c r="AO510"/>
  <c r="AO532"/>
  <c r="AO551"/>
  <c r="AO528"/>
  <c r="AK557"/>
  <c r="AO547"/>
  <c r="AK551"/>
  <c r="AK521"/>
  <c r="AM521" s="1"/>
  <c r="AK547"/>
  <c r="AK27" i="52" s="1"/>
  <c r="AO549" i="37"/>
  <c r="AK525"/>
  <c r="AM525" s="1"/>
  <c r="AK507"/>
  <c r="AM507" s="1"/>
  <c r="AO572"/>
  <c r="AO563"/>
  <c r="AO558"/>
  <c r="AO526"/>
  <c r="AO539"/>
  <c r="AK549"/>
  <c r="AO561"/>
  <c r="AO565"/>
  <c r="AK550"/>
  <c r="AK504"/>
  <c r="AM504" s="1"/>
  <c r="AO573"/>
  <c r="AO578"/>
  <c r="AK544"/>
  <c r="AK503"/>
  <c r="AM503" s="1"/>
  <c r="AO564"/>
  <c r="AO552"/>
  <c r="AK534"/>
  <c r="AM534" s="1"/>
  <c r="AK508"/>
  <c r="AM508" s="1"/>
  <c r="AH243"/>
  <c r="AG243" i="40" s="1"/>
  <c r="AD259" i="37"/>
  <c r="AD259" i="40" s="1"/>
  <c r="AD256" i="37"/>
  <c r="AD256" i="40" s="1"/>
  <c r="AO525" i="37"/>
  <c r="AK505"/>
  <c r="AM505" s="1"/>
  <c r="AK526"/>
  <c r="AM526" s="1"/>
  <c r="AO556"/>
  <c r="AK565"/>
  <c r="AK523"/>
  <c r="AK567"/>
  <c r="AK524"/>
  <c r="AM524" s="1"/>
  <c r="AK530"/>
  <c r="AM530" s="1"/>
  <c r="AO522"/>
  <c r="AK559"/>
  <c r="AK563"/>
  <c r="AK533"/>
  <c r="AM533" s="1"/>
  <c r="AO534"/>
  <c r="AH232"/>
  <c r="AG232" i="40" s="1"/>
  <c r="AO506" i="37"/>
  <c r="AK575"/>
  <c r="AK571"/>
  <c r="AK509"/>
  <c r="AM509" s="1"/>
  <c r="AO540"/>
  <c r="AO538"/>
  <c r="AK554"/>
  <c r="AO504"/>
  <c r="AK570"/>
  <c r="AH324"/>
  <c r="AG324" i="40" s="1"/>
  <c r="AK506" i="37"/>
  <c r="AM506" s="1"/>
  <c r="AO523"/>
  <c r="AK568"/>
  <c r="AO541"/>
  <c r="AK548"/>
  <c r="AK558"/>
  <c r="AO507"/>
  <c r="AO524"/>
  <c r="AO518"/>
  <c r="AO577"/>
  <c r="AO571"/>
  <c r="AO570"/>
  <c r="AO542"/>
  <c r="AK540"/>
  <c r="AM540" s="1"/>
  <c r="AO554"/>
  <c r="AK577"/>
  <c r="AK556"/>
  <c r="AO537"/>
  <c r="AK510"/>
  <c r="AM510" s="1"/>
  <c r="AK574"/>
  <c r="E2" a="1"/>
  <c r="E2" s="1"/>
  <c r="H2" s="1"/>
  <c r="A5" i="36" a="1"/>
  <c r="A5" s="1"/>
  <c r="A6" a="1"/>
  <c r="A6" s="1"/>
  <c r="A7" a="1"/>
  <c r="A7" s="1"/>
  <c r="A8" a="1"/>
  <c r="A8" s="1"/>
  <c r="A9" a="1"/>
  <c r="A9" s="1"/>
  <c r="A10" a="1"/>
  <c r="A10" s="1"/>
  <c r="A11" a="1"/>
  <c r="A11" s="1"/>
  <c r="A12" a="1"/>
  <c r="A12" s="1"/>
  <c r="A13" a="1"/>
  <c r="A13" s="1"/>
  <c r="A14" a="1"/>
  <c r="A14" s="1"/>
  <c r="A15" a="1"/>
  <c r="A15" s="1"/>
  <c r="A16" a="1"/>
  <c r="A16" s="1"/>
  <c r="A17" a="1"/>
  <c r="A17" s="1"/>
  <c r="A18" a="1"/>
  <c r="A18" s="1"/>
  <c r="A19" a="1"/>
  <c r="A19" s="1"/>
  <c r="A20" a="1"/>
  <c r="A20" s="1"/>
  <c r="A21" a="1"/>
  <c r="A21" s="1"/>
  <c r="A22" a="1"/>
  <c r="A22" s="1"/>
  <c r="A24" a="1"/>
  <c r="A24" s="1"/>
  <c r="A25" a="1"/>
  <c r="A25" s="1"/>
  <c r="A26" a="1"/>
  <c r="A26" s="1"/>
  <c r="A27" a="1"/>
  <c r="A27" s="1"/>
  <c r="A28" a="1"/>
  <c r="A28" s="1"/>
  <c r="A29" a="1"/>
  <c r="A29" s="1"/>
  <c r="A30" a="1"/>
  <c r="A30" s="1"/>
  <c r="A31" a="1"/>
  <c r="A31" s="1"/>
  <c r="A32" a="1"/>
  <c r="A32" s="1"/>
  <c r="A33" a="1"/>
  <c r="A33" s="1"/>
  <c r="A34" a="1"/>
  <c r="A34" s="1"/>
  <c r="A36" a="1"/>
  <c r="A36" s="1"/>
  <c r="A37" a="1"/>
  <c r="A37" s="1"/>
  <c r="A38" a="1"/>
  <c r="A38" s="1"/>
  <c r="A39" a="1"/>
  <c r="A39" s="1"/>
  <c r="A40" a="1"/>
  <c r="A40" s="1"/>
  <c r="A41" a="1"/>
  <c r="A41" s="1"/>
  <c r="A42" a="1"/>
  <c r="A42" s="1"/>
  <c r="A43" a="1"/>
  <c r="A43" s="1"/>
  <c r="A45" a="1"/>
  <c r="A45" s="1"/>
  <c r="A46" a="1"/>
  <c r="A46" s="1"/>
  <c r="A47" a="1"/>
  <c r="A47" s="1"/>
  <c r="A48" a="1"/>
  <c r="A48" s="1"/>
  <c r="A49" a="1"/>
  <c r="A49" s="1"/>
  <c r="A50" a="1"/>
  <c r="A50" s="1"/>
  <c r="A51" a="1"/>
  <c r="A51" s="1"/>
  <c r="A52" a="1"/>
  <c r="A52" s="1"/>
  <c r="A53" a="1"/>
  <c r="A53" s="1"/>
  <c r="A54" a="1"/>
  <c r="A54" s="1"/>
  <c r="A56" a="1"/>
  <c r="A56" s="1"/>
  <c r="A57" a="1"/>
  <c r="A57" s="1"/>
  <c r="A58" a="1"/>
  <c r="A58" s="1"/>
  <c r="A59" a="1"/>
  <c r="A59" s="1"/>
  <c r="A60" a="1"/>
  <c r="A60" s="1"/>
  <c r="A61" a="1"/>
  <c r="A61" s="1"/>
  <c r="A62" a="1"/>
  <c r="A62" s="1"/>
  <c r="A63" a="1"/>
  <c r="A63" s="1"/>
  <c r="A64" a="1"/>
  <c r="A64" s="1"/>
  <c r="A65" a="1"/>
  <c r="A65" s="1"/>
  <c r="A66" a="1"/>
  <c r="A66" s="1"/>
  <c r="A68" a="1"/>
  <c r="A68" s="1"/>
  <c r="A69" a="1"/>
  <c r="A69" s="1"/>
  <c r="A70" a="1"/>
  <c r="A70" s="1"/>
  <c r="A71" a="1"/>
  <c r="A71" s="1"/>
  <c r="A72" a="1"/>
  <c r="A72" s="1"/>
  <c r="A73" a="1"/>
  <c r="A73" s="1"/>
  <c r="A74" a="1"/>
  <c r="A74" s="1"/>
  <c r="A75" a="1"/>
  <c r="A75" s="1"/>
  <c r="A77" a="1"/>
  <c r="A77" s="1"/>
  <c r="A78" a="1"/>
  <c r="A78" s="1"/>
  <c r="A79" a="1"/>
  <c r="A79" s="1"/>
  <c r="A80" a="1"/>
  <c r="A80" s="1"/>
  <c r="A81" a="1"/>
  <c r="A81" s="1"/>
  <c r="A82" a="1"/>
  <c r="A82" s="1"/>
  <c r="A83" a="1"/>
  <c r="A83" s="1"/>
  <c r="A84" a="1"/>
  <c r="A84" s="1"/>
  <c r="A85" a="1"/>
  <c r="A85" s="1"/>
  <c r="A86" a="1"/>
  <c r="A86" s="1"/>
  <c r="A88" a="1"/>
  <c r="A88" s="1"/>
  <c r="A89" a="1"/>
  <c r="A89" s="1"/>
  <c r="A90" a="1"/>
  <c r="A90" s="1"/>
  <c r="A91" a="1"/>
  <c r="A91" s="1"/>
  <c r="A92" a="1"/>
  <c r="A92" s="1"/>
  <c r="A93" a="1"/>
  <c r="A93" s="1"/>
  <c r="A94" a="1"/>
  <c r="A94" s="1"/>
  <c r="A95" a="1"/>
  <c r="A95" s="1"/>
  <c r="A97" a="1"/>
  <c r="A97" s="1"/>
  <c r="A98" a="1"/>
  <c r="A98" s="1"/>
  <c r="A99" a="1"/>
  <c r="A99" s="1"/>
  <c r="A101" a="1"/>
  <c r="A101" s="1"/>
  <c r="A102" a="1"/>
  <c r="A102" s="1"/>
  <c r="A103" a="1"/>
  <c r="A103" s="1"/>
  <c r="A104" a="1"/>
  <c r="A104" s="1"/>
  <c r="A105" a="1"/>
  <c r="A105" s="1"/>
  <c r="A106" a="1"/>
  <c r="A106" s="1"/>
  <c r="A107" a="1"/>
  <c r="A107" s="1"/>
  <c r="A108" a="1"/>
  <c r="A108" s="1"/>
  <c r="A110" a="1"/>
  <c r="A110" s="1"/>
  <c r="A111" a="1"/>
  <c r="A111" s="1"/>
  <c r="A112" a="1"/>
  <c r="A112" s="1"/>
  <c r="A113" a="1"/>
  <c r="A113" s="1"/>
  <c r="A114" a="1"/>
  <c r="A114" s="1"/>
  <c r="A115" a="1"/>
  <c r="A115" s="1"/>
  <c r="A116" a="1"/>
  <c r="A116" s="1"/>
  <c r="A117" a="1"/>
  <c r="A117" s="1"/>
  <c r="A118" a="1"/>
  <c r="A118" s="1"/>
  <c r="A119" a="1"/>
  <c r="A119" s="1"/>
  <c r="A121" a="1"/>
  <c r="A121" s="1"/>
  <c r="A122" a="1"/>
  <c r="A122" s="1"/>
  <c r="A123" a="1"/>
  <c r="A123" s="1"/>
  <c r="A124" a="1"/>
  <c r="A124" s="1"/>
  <c r="A125" a="1"/>
  <c r="A125" s="1"/>
  <c r="A126" a="1"/>
  <c r="A126" s="1"/>
  <c r="A127" a="1"/>
  <c r="A127" s="1"/>
  <c r="A128" a="1"/>
  <c r="A128" s="1"/>
  <c r="A130" a="1"/>
  <c r="A130" s="1"/>
  <c r="A131" a="1"/>
  <c r="A131" s="1"/>
  <c r="A132" a="1"/>
  <c r="A132" s="1"/>
  <c r="A134" a="1"/>
  <c r="A134" s="1"/>
  <c r="A135" a="1"/>
  <c r="A135" s="1"/>
  <c r="A136" a="1"/>
  <c r="A136" s="1"/>
  <c r="A137" a="1"/>
  <c r="A137" s="1"/>
  <c r="A138" a="1"/>
  <c r="A138" s="1"/>
  <c r="A139" a="1"/>
  <c r="A139" s="1"/>
  <c r="A140" a="1"/>
  <c r="A140" s="1"/>
  <c r="A141" a="1"/>
  <c r="A141" s="1"/>
  <c r="A143" a="1"/>
  <c r="A143" s="1"/>
  <c r="A144" a="1"/>
  <c r="A144" s="1"/>
  <c r="A145" a="1"/>
  <c r="A145" s="1"/>
  <c r="A146" a="1"/>
  <c r="A146" s="1"/>
  <c r="A147" a="1"/>
  <c r="A147" s="1"/>
  <c r="A148" a="1"/>
  <c r="A148" s="1"/>
  <c r="A149" a="1"/>
  <c r="A149" s="1"/>
  <c r="A150" a="1"/>
  <c r="A150" s="1"/>
  <c r="A151" a="1"/>
  <c r="A151" s="1"/>
  <c r="A152" a="1"/>
  <c r="A152" s="1"/>
  <c r="A154" a="1"/>
  <c r="A154" s="1"/>
  <c r="A155" a="1"/>
  <c r="A155" s="1"/>
  <c r="A156" a="1"/>
  <c r="A156" s="1"/>
  <c r="A157" a="1"/>
  <c r="A157" s="1"/>
  <c r="A158" a="1"/>
  <c r="A158" s="1"/>
  <c r="A159" a="1"/>
  <c r="A159" s="1"/>
  <c r="A160" a="1"/>
  <c r="A160" s="1"/>
  <c r="A161" a="1"/>
  <c r="A161" s="1"/>
  <c r="A3" a="1"/>
  <c r="A3" s="1"/>
  <c r="A4" a="1"/>
  <c r="A4" s="1"/>
  <c r="A2" a="1"/>
  <c r="A2" s="1"/>
  <c r="F161"/>
  <c r="F160"/>
  <c r="F159"/>
  <c r="F158"/>
  <c r="F157"/>
  <c r="F156"/>
  <c r="F155"/>
  <c r="F154"/>
  <c r="F152"/>
  <c r="F151"/>
  <c r="F150"/>
  <c r="F149"/>
  <c r="F148"/>
  <c r="M148" s="1"/>
  <c r="F147"/>
  <c r="F146"/>
  <c r="F145"/>
  <c r="F144"/>
  <c r="F143"/>
  <c r="F141"/>
  <c r="F140"/>
  <c r="F139"/>
  <c r="M139" s="1"/>
  <c r="F138"/>
  <c r="F137"/>
  <c r="F136"/>
  <c r="F135"/>
  <c r="F134"/>
  <c r="F132"/>
  <c r="F131"/>
  <c r="F130"/>
  <c r="F128"/>
  <c r="F127"/>
  <c r="F126"/>
  <c r="F125"/>
  <c r="F124"/>
  <c r="F123"/>
  <c r="F122"/>
  <c r="F121"/>
  <c r="F119"/>
  <c r="F118"/>
  <c r="F117"/>
  <c r="F115"/>
  <c r="F114"/>
  <c r="F113"/>
  <c r="F112"/>
  <c r="F111"/>
  <c r="M111" s="1"/>
  <c r="F110"/>
  <c r="F108"/>
  <c r="F107"/>
  <c r="F106"/>
  <c r="F105"/>
  <c r="F104"/>
  <c r="F103"/>
  <c r="F102"/>
  <c r="M102" s="1"/>
  <c r="F101"/>
  <c r="F99"/>
  <c r="F98"/>
  <c r="F97"/>
  <c r="F95"/>
  <c r="F94"/>
  <c r="F93"/>
  <c r="F92"/>
  <c r="F91"/>
  <c r="F90"/>
  <c r="F89"/>
  <c r="F88"/>
  <c r="F86"/>
  <c r="F85"/>
  <c r="F84"/>
  <c r="F83"/>
  <c r="M83" s="1"/>
  <c r="F82"/>
  <c r="F81"/>
  <c r="F80"/>
  <c r="F79"/>
  <c r="F78"/>
  <c r="F77"/>
  <c r="F75"/>
  <c r="F74"/>
  <c r="M74" s="1"/>
  <c r="F73"/>
  <c r="F72"/>
  <c r="F71"/>
  <c r="F70"/>
  <c r="F69"/>
  <c r="F68"/>
  <c r="F66"/>
  <c r="F65"/>
  <c r="M65" s="1"/>
  <c r="F64"/>
  <c r="F63"/>
  <c r="F62"/>
  <c r="F61"/>
  <c r="F60"/>
  <c r="F59"/>
  <c r="F58"/>
  <c r="F57"/>
  <c r="F56"/>
  <c r="F54"/>
  <c r="F53"/>
  <c r="F52"/>
  <c r="F51"/>
  <c r="F50"/>
  <c r="F49"/>
  <c r="F48"/>
  <c r="F46"/>
  <c r="F45"/>
  <c r="F43"/>
  <c r="F42"/>
  <c r="F41"/>
  <c r="F40"/>
  <c r="F39"/>
  <c r="F38"/>
  <c r="M38" s="1"/>
  <c r="F37"/>
  <c r="F36"/>
  <c r="F34"/>
  <c r="F33"/>
  <c r="F31"/>
  <c r="F30"/>
  <c r="F29"/>
  <c r="F28"/>
  <c r="F27"/>
  <c r="F26"/>
  <c r="F25"/>
  <c r="F24"/>
  <c r="F22"/>
  <c r="F21"/>
  <c r="F20"/>
  <c r="F19"/>
  <c r="F18"/>
  <c r="F17"/>
  <c r="F16"/>
  <c r="F15"/>
  <c r="F14"/>
  <c r="F13"/>
  <c r="F12"/>
  <c r="F11"/>
  <c r="F10"/>
  <c r="F9"/>
  <c r="F8"/>
  <c r="F7"/>
  <c r="F6"/>
  <c r="F5"/>
  <c r="F4"/>
  <c r="F3"/>
  <c r="M3" s="1"/>
  <c r="F2"/>
  <c r="AD145" i="37" l="1"/>
  <c r="AD145" i="40" s="1"/>
  <c r="Y145"/>
  <c r="AD141" i="37"/>
  <c r="AD141" i="40" s="1"/>
  <c r="Y141"/>
  <c r="AB414"/>
  <c r="AB20" i="52"/>
  <c r="V115" i="40"/>
  <c r="V7" i="52"/>
  <c r="X436" i="40"/>
  <c r="X21" i="52"/>
  <c r="AH283" i="37"/>
  <c r="AG283" i="40" s="1"/>
  <c r="S283"/>
  <c r="AD281" i="37"/>
  <c r="AD281" i="40" s="1"/>
  <c r="S281"/>
  <c r="W25"/>
  <c r="W3" i="52"/>
  <c r="AD140" i="37"/>
  <c r="AD140" i="40" s="1"/>
  <c r="Y140"/>
  <c r="AB390"/>
  <c r="AB19" i="52"/>
  <c r="R390" i="40"/>
  <c r="R19" i="52"/>
  <c r="Z209" i="40"/>
  <c r="Z11" i="52"/>
  <c r="Y366" i="40"/>
  <c r="Y18" i="52"/>
  <c r="X25" i="40"/>
  <c r="X3" i="52"/>
  <c r="Y3" i="40"/>
  <c r="Y2" i="52"/>
  <c r="Z322" i="40"/>
  <c r="Z16" i="52"/>
  <c r="AA484" i="40"/>
  <c r="AA24" i="52"/>
  <c r="S484" i="40"/>
  <c r="S24" i="52"/>
  <c r="Z91" i="40"/>
  <c r="Z6" i="52"/>
  <c r="S300" i="40"/>
  <c r="S15" i="52"/>
  <c r="AA322" i="40"/>
  <c r="AA16" i="52"/>
  <c r="AB484" i="40"/>
  <c r="AB24" i="52"/>
  <c r="R278" i="40"/>
  <c r="R14" i="52"/>
  <c r="Z436" i="40"/>
  <c r="Z21" i="52"/>
  <c r="W70" i="40"/>
  <c r="W5" i="52"/>
  <c r="S366" i="40"/>
  <c r="S18" i="52"/>
  <c r="T139" i="40"/>
  <c r="T8" i="52"/>
  <c r="V163" i="40"/>
  <c r="V9" i="52"/>
  <c r="T255" i="40"/>
  <c r="T13" i="52"/>
  <c r="AA436" i="40"/>
  <c r="AA21" i="52"/>
  <c r="U70" i="40"/>
  <c r="U5" i="52"/>
  <c r="R91" i="40"/>
  <c r="R6" i="52"/>
  <c r="S91" i="40"/>
  <c r="S6" i="52"/>
  <c r="U366" i="40"/>
  <c r="U18" i="52"/>
  <c r="X232" i="40"/>
  <c r="X12" i="52"/>
  <c r="X278" i="40"/>
  <c r="X14" i="52"/>
  <c r="AB468" i="40"/>
  <c r="AB23" i="52"/>
  <c r="AA300" i="40"/>
  <c r="AA15" i="52"/>
  <c r="V186" i="40"/>
  <c r="V10" i="52"/>
  <c r="X414" i="40"/>
  <c r="X20" i="52"/>
  <c r="Y70" i="40"/>
  <c r="Y5" i="52"/>
  <c r="U209" i="40"/>
  <c r="U11" i="52"/>
  <c r="AA47" i="40"/>
  <c r="AA4" i="52"/>
  <c r="T18" i="53"/>
  <c r="X18" s="1"/>
  <c r="R18"/>
  <c r="R22"/>
  <c r="T22"/>
  <c r="X22" s="1"/>
  <c r="AP594" i="37"/>
  <c r="W16" i="53"/>
  <c r="AP602" i="37"/>
  <c r="AP597"/>
  <c r="AP596"/>
  <c r="R14" i="53"/>
  <c r="T14"/>
  <c r="X14" s="1"/>
  <c r="AD10"/>
  <c r="W10"/>
  <c r="AP584" i="37"/>
  <c r="AP591"/>
  <c r="W5" i="53"/>
  <c r="U5"/>
  <c r="W20"/>
  <c r="R11"/>
  <c r="T11"/>
  <c r="X11" s="1"/>
  <c r="AP29" i="52"/>
  <c r="V209" i="40"/>
  <c r="V11" i="52"/>
  <c r="S452" i="40"/>
  <c r="S22" i="52"/>
  <c r="AA255" i="40"/>
  <c r="AA13" i="52"/>
  <c r="AB47" i="40"/>
  <c r="AB4" i="52"/>
  <c r="Y484" i="40"/>
  <c r="Y24" i="52"/>
  <c r="W91" i="40"/>
  <c r="W6" i="52"/>
  <c r="T452" i="40"/>
  <c r="T22" i="52"/>
  <c r="Y186" i="40"/>
  <c r="Y10" i="52"/>
  <c r="T232" i="40"/>
  <c r="T12" i="52"/>
  <c r="U452" i="40"/>
  <c r="U22" i="52"/>
  <c r="R186" i="40"/>
  <c r="R10" i="52"/>
  <c r="Y25" i="40"/>
  <c r="Y3" i="52"/>
  <c r="S139" i="40"/>
  <c r="S8" i="52"/>
  <c r="Y91" i="40"/>
  <c r="Y6" i="52"/>
  <c r="T3" i="40"/>
  <c r="T2" i="52"/>
  <c r="R322" i="40"/>
  <c r="R16" i="52"/>
  <c r="Z468" i="40"/>
  <c r="Z23" i="52"/>
  <c r="U3" i="40"/>
  <c r="U2" i="52"/>
  <c r="S322" i="40"/>
  <c r="S16" i="52"/>
  <c r="U484" i="40"/>
  <c r="U24" i="52"/>
  <c r="AB436" i="40"/>
  <c r="AB21" i="52"/>
  <c r="W414" i="40"/>
  <c r="W20" i="52"/>
  <c r="X163" i="40"/>
  <c r="X9" i="52"/>
  <c r="W47" i="40"/>
  <c r="W4" i="52"/>
  <c r="T91" i="40"/>
  <c r="T6" i="52"/>
  <c r="Y452" i="40"/>
  <c r="Y22" i="52"/>
  <c r="W300" i="40"/>
  <c r="W15" i="52"/>
  <c r="U25" i="40"/>
  <c r="U3" i="52"/>
  <c r="Y163" i="40"/>
  <c r="Y9" i="52"/>
  <c r="U322" i="40"/>
  <c r="U16" i="52"/>
  <c r="R452" i="40"/>
  <c r="R22" i="52"/>
  <c r="T115" i="40"/>
  <c r="T7" i="52"/>
  <c r="AB300" i="40"/>
  <c r="AB15" i="52"/>
  <c r="R300" i="40"/>
  <c r="R15" i="52"/>
  <c r="AB163" i="40"/>
  <c r="AB9" i="52"/>
  <c r="T4" i="53"/>
  <c r="X4" s="1"/>
  <c r="R4"/>
  <c r="W6"/>
  <c r="T21"/>
  <c r="X21" s="1"/>
  <c r="R21"/>
  <c r="AJ29" i="52"/>
  <c r="AM29"/>
  <c r="U13" i="53"/>
  <c r="AD13"/>
  <c r="W13"/>
  <c r="T12"/>
  <c r="X12" s="1"/>
  <c r="R12"/>
  <c r="T13"/>
  <c r="X13" s="1"/>
  <c r="R13"/>
  <c r="W19"/>
  <c r="AD19"/>
  <c r="R8"/>
  <c r="T8"/>
  <c r="X8" s="1"/>
  <c r="V14"/>
  <c r="V18"/>
  <c r="AH258" i="37"/>
  <c r="AG258" i="40" s="1"/>
  <c r="Y258"/>
  <c r="V436"/>
  <c r="V21" i="52"/>
  <c r="X366" i="40"/>
  <c r="X18" i="52"/>
  <c r="T278" i="40"/>
  <c r="T14" i="52"/>
  <c r="AA186" i="40"/>
  <c r="AA10" i="52"/>
  <c r="AA366" i="40"/>
  <c r="AA18" i="52"/>
  <c r="T163" i="40"/>
  <c r="T9" i="52"/>
  <c r="U278" i="40"/>
  <c r="U14" i="52"/>
  <c r="AA209" i="40"/>
  <c r="AA11" i="52"/>
  <c r="X91" i="40"/>
  <c r="X6" i="52"/>
  <c r="U232" i="40"/>
  <c r="U12" i="52"/>
  <c r="T414" i="40"/>
  <c r="T20" i="52"/>
  <c r="R484" i="40"/>
  <c r="R24" i="52"/>
  <c r="AH252" i="37"/>
  <c r="AG252" i="40" s="1"/>
  <c r="V252"/>
  <c r="AB322"/>
  <c r="AB16" i="52"/>
  <c r="U300" i="40"/>
  <c r="U15" i="52"/>
  <c r="T436" i="40"/>
  <c r="T21" i="52"/>
  <c r="AA163" i="40"/>
  <c r="AA9" i="52"/>
  <c r="Z47" i="40"/>
  <c r="Z4" i="52"/>
  <c r="X468" i="40"/>
  <c r="X23" i="52"/>
  <c r="X139" i="40"/>
  <c r="X8" i="52"/>
  <c r="AA3" i="40"/>
  <c r="AA2" i="52"/>
  <c r="R163" i="40"/>
  <c r="R9" i="52"/>
  <c r="X255" i="40"/>
  <c r="X13" i="52"/>
  <c r="X484" i="40"/>
  <c r="X24" i="52"/>
  <c r="T17" i="53"/>
  <c r="X17" s="1"/>
  <c r="R17"/>
  <c r="W14"/>
  <c r="AD14"/>
  <c r="U14"/>
  <c r="AO28" i="52"/>
  <c r="AF28"/>
  <c r="AP593" i="37"/>
  <c r="AP587"/>
  <c r="AP599"/>
  <c r="T16" i="53"/>
  <c r="X16" s="1"/>
  <c r="R16"/>
  <c r="W18"/>
  <c r="AD18"/>
  <c r="U18"/>
  <c r="AO29" i="52"/>
  <c r="AF29"/>
  <c r="AP603" i="37"/>
  <c r="AF27" i="52"/>
  <c r="AO27"/>
  <c r="AP27" s="1"/>
  <c r="R7" i="53"/>
  <c r="T7"/>
  <c r="X7" s="1"/>
  <c r="W2"/>
  <c r="AP583" i="37"/>
  <c r="AH253"/>
  <c r="AG253" i="40" s="1"/>
  <c r="AP28" i="52"/>
  <c r="V22" i="53"/>
  <c r="AD431" i="37"/>
  <c r="AD431" i="40" s="1"/>
  <c r="S431"/>
  <c r="X186"/>
  <c r="X10" i="52"/>
  <c r="T468" i="40"/>
  <c r="T23" i="52"/>
  <c r="Y468" i="40"/>
  <c r="Y23" i="52"/>
  <c r="AM523" i="37"/>
  <c r="AK26" i="52"/>
  <c r="AM569" i="37"/>
  <c r="AK28" i="52"/>
  <c r="AD284" i="37"/>
  <c r="AD284" i="40" s="1"/>
  <c r="S284"/>
  <c r="AH447" i="37"/>
  <c r="AG447" i="40" s="1"/>
  <c r="V447"/>
  <c r="R232"/>
  <c r="R12" i="52"/>
  <c r="R414" i="40"/>
  <c r="R20" i="52"/>
  <c r="AB3" i="40"/>
  <c r="AB2" i="52"/>
  <c r="AB255" i="40"/>
  <c r="AB13" i="52"/>
  <c r="S47" i="40"/>
  <c r="S4" i="52"/>
  <c r="AA278" i="40"/>
  <c r="AA14" i="52"/>
  <c r="AB70" i="40"/>
  <c r="AB5" i="52"/>
  <c r="AB366" i="40"/>
  <c r="AB18" i="52"/>
  <c r="S3" i="40"/>
  <c r="S2" i="52"/>
  <c r="U163" i="40"/>
  <c r="U9" i="52"/>
  <c r="S255" i="40"/>
  <c r="S13" i="52"/>
  <c r="V452" i="40"/>
  <c r="V22" i="52"/>
  <c r="Z115" i="40"/>
  <c r="Z7" i="52"/>
  <c r="AB25" i="40"/>
  <c r="AB3" i="52"/>
  <c r="T484" i="40"/>
  <c r="T24" i="52"/>
  <c r="U342" i="40"/>
  <c r="U17" i="52"/>
  <c r="U390" i="40"/>
  <c r="U19" i="52"/>
  <c r="V468" i="40"/>
  <c r="V23" i="52"/>
  <c r="AB91" i="40"/>
  <c r="AB6" i="52"/>
  <c r="W452" i="40"/>
  <c r="W22" i="52"/>
  <c r="V47" i="40"/>
  <c r="V4" i="52"/>
  <c r="W278" i="40"/>
  <c r="W14" i="52"/>
  <c r="AA468" i="40"/>
  <c r="AA23" i="52"/>
  <c r="W468" i="40"/>
  <c r="W23" i="52"/>
  <c r="X452" i="40"/>
  <c r="X22" i="52"/>
  <c r="V3" i="40"/>
  <c r="V2" i="52"/>
  <c r="V255" i="40"/>
  <c r="V13" i="52"/>
  <c r="T322" i="40"/>
  <c r="T16" i="52"/>
  <c r="W390" i="40"/>
  <c r="W19" i="52"/>
  <c r="Z232" i="40"/>
  <c r="Z12" i="52"/>
  <c r="Z3" i="40"/>
  <c r="Z2" i="52"/>
  <c r="Z342" i="40"/>
  <c r="Z17" i="52"/>
  <c r="AB452" i="40"/>
  <c r="AB22" i="52"/>
  <c r="W186" i="40"/>
  <c r="W10" i="52"/>
  <c r="S232" i="40"/>
  <c r="S12" i="52"/>
  <c r="Y414" i="40"/>
  <c r="Y20" i="52"/>
  <c r="AP607" i="37"/>
  <c r="W4" i="53"/>
  <c r="T20"/>
  <c r="X20" s="1"/>
  <c r="R20"/>
  <c r="R5"/>
  <c r="T5"/>
  <c r="X5" s="1"/>
  <c r="AM28" i="52"/>
  <c r="AJ28"/>
  <c r="W15" i="53"/>
  <c r="R6"/>
  <c r="T6"/>
  <c r="X6" s="1"/>
  <c r="R15"/>
  <c r="T15"/>
  <c r="X15" s="1"/>
  <c r="AP586" i="37"/>
  <c r="AJ27" i="52"/>
  <c r="AM27"/>
  <c r="W22" i="53"/>
  <c r="AP610" i="37"/>
  <c r="R3" i="53"/>
  <c r="T3"/>
  <c r="X3" s="1"/>
  <c r="AD247" i="37"/>
  <c r="AD247" i="40" s="1"/>
  <c r="V8" i="53"/>
  <c r="S278" i="40"/>
  <c r="S14" i="52"/>
  <c r="V91" i="40"/>
  <c r="V6" i="52"/>
  <c r="Z186" i="40"/>
  <c r="Z10" i="52"/>
  <c r="T47" i="40"/>
  <c r="T4" i="52"/>
  <c r="AH279" i="37"/>
  <c r="AG279" i="40" s="1"/>
  <c r="S279"/>
  <c r="AA342"/>
  <c r="AA17" i="52"/>
  <c r="R139" i="40"/>
  <c r="R8" i="52"/>
  <c r="AH296" i="37"/>
  <c r="AG296" i="40" s="1"/>
  <c r="S296"/>
  <c r="Z70"/>
  <c r="Z5" i="52"/>
  <c r="U115" i="40"/>
  <c r="U7" i="52"/>
  <c r="Z366" i="40"/>
  <c r="Z18" i="52"/>
  <c r="R3" i="40"/>
  <c r="R2" i="52"/>
  <c r="S163" i="40"/>
  <c r="S9" i="52"/>
  <c r="AH255" i="37"/>
  <c r="AG255" i="40" s="1"/>
  <c r="Y255"/>
  <c r="Y13" i="52"/>
  <c r="W322" i="40"/>
  <c r="W16" i="52"/>
  <c r="R342" i="40"/>
  <c r="R17" i="52"/>
  <c r="AA70" i="40"/>
  <c r="AA5" i="52"/>
  <c r="T70" i="40"/>
  <c r="T5" i="52"/>
  <c r="Y300" i="40"/>
  <c r="Y15" i="52"/>
  <c r="R255" i="40"/>
  <c r="R13" i="52"/>
  <c r="S342" i="40"/>
  <c r="S17" i="52"/>
  <c r="R70" i="40"/>
  <c r="R5" i="52"/>
  <c r="X209" i="40"/>
  <c r="X11" i="52"/>
  <c r="AB278" i="40"/>
  <c r="AB14" i="52"/>
  <c r="U468" i="40"/>
  <c r="U23" i="52"/>
  <c r="AA91" i="40"/>
  <c r="AA6" i="52"/>
  <c r="T366" i="40"/>
  <c r="T18" i="52"/>
  <c r="U139" i="40"/>
  <c r="U8" i="52"/>
  <c r="W163" i="40"/>
  <c r="W9" i="52"/>
  <c r="V342" i="40"/>
  <c r="V17" i="52"/>
  <c r="V70" i="40"/>
  <c r="V5" i="52"/>
  <c r="S209" i="40"/>
  <c r="S11" i="52"/>
  <c r="Z452" i="40"/>
  <c r="Z22" i="52"/>
  <c r="V300" i="40"/>
  <c r="V15" i="52"/>
  <c r="V139" i="40"/>
  <c r="V8" i="52"/>
  <c r="Z163" i="40"/>
  <c r="Z9" i="52"/>
  <c r="Y232" i="40"/>
  <c r="Y12" i="52"/>
  <c r="W255" i="40"/>
  <c r="W13" i="52"/>
  <c r="X47" i="40"/>
  <c r="X4" i="52"/>
  <c r="X342" i="40"/>
  <c r="X17" i="52"/>
  <c r="X390" i="40"/>
  <c r="X19" i="52"/>
  <c r="Z255" i="40"/>
  <c r="Z13" i="52"/>
  <c r="AP592" i="37"/>
  <c r="AJ25" i="52"/>
  <c r="AM25"/>
  <c r="AP601" i="37"/>
  <c r="AP609"/>
  <c r="AK29" i="52"/>
  <c r="AM591" i="37"/>
  <c r="AP582"/>
  <c r="W8" i="53"/>
  <c r="U8"/>
  <c r="AD8"/>
  <c r="AI593" i="40"/>
  <c r="AK593" s="1"/>
  <c r="V17" i="53"/>
  <c r="AD451" i="37"/>
  <c r="AD451" i="40" s="1"/>
  <c r="V451"/>
  <c r="Z484"/>
  <c r="Z24" i="52"/>
  <c r="AB139" i="40"/>
  <c r="AB8" i="52"/>
  <c r="AH357" i="37"/>
  <c r="AG357" i="40" s="1"/>
  <c r="S357"/>
  <c r="W115"/>
  <c r="W7" i="52"/>
  <c r="S70" i="40"/>
  <c r="S5" i="52"/>
  <c r="AB232" i="40"/>
  <c r="AB12" i="52"/>
  <c r="W436" i="40"/>
  <c r="W21" i="52"/>
  <c r="X300" i="40"/>
  <c r="X15" i="52"/>
  <c r="AA139" i="40"/>
  <c r="AA8" i="52"/>
  <c r="Y139" i="40"/>
  <c r="Y8" i="52"/>
  <c r="Z278" i="40"/>
  <c r="Z14" i="52"/>
  <c r="S468" i="40"/>
  <c r="S23" i="52"/>
  <c r="W209" i="40"/>
  <c r="W11" i="52"/>
  <c r="Z25" i="40"/>
  <c r="Z3" i="52"/>
  <c r="S414" i="40"/>
  <c r="S20" i="52"/>
  <c r="X322" i="40"/>
  <c r="X16" i="52"/>
  <c r="S390" i="40"/>
  <c r="S19" i="52"/>
  <c r="AB186" i="40"/>
  <c r="AB10" i="52"/>
  <c r="AA25" i="40"/>
  <c r="AA3" i="52"/>
  <c r="Y322" i="40"/>
  <c r="Y16" i="52"/>
  <c r="T390" i="40"/>
  <c r="T19" i="52"/>
  <c r="S186" i="40"/>
  <c r="S10" i="52"/>
  <c r="R25" i="40"/>
  <c r="R3" i="52"/>
  <c r="Y115" i="40"/>
  <c r="Y7" i="52"/>
  <c r="T186" i="40"/>
  <c r="T10" i="52"/>
  <c r="U255" i="40"/>
  <c r="U13" i="52"/>
  <c r="R115" i="40"/>
  <c r="R7" i="52"/>
  <c r="Z300" i="40"/>
  <c r="Z15" i="52"/>
  <c r="U186" i="40"/>
  <c r="U10" i="52"/>
  <c r="W342" i="40"/>
  <c r="W17" i="52"/>
  <c r="Z390" i="40"/>
  <c r="Z19" i="52"/>
  <c r="Y278" i="40"/>
  <c r="Y14" i="52"/>
  <c r="W366" i="40"/>
  <c r="W18" i="52"/>
  <c r="V25" i="40"/>
  <c r="V3" i="52"/>
  <c r="Z139" i="40"/>
  <c r="Z8" i="52"/>
  <c r="AA232" i="40"/>
  <c r="AA12" i="52"/>
  <c r="Y47" i="40"/>
  <c r="Y4" i="52"/>
  <c r="AB342" i="40"/>
  <c r="AB17" i="52"/>
  <c r="W3" i="53"/>
  <c r="U3"/>
  <c r="AD3"/>
  <c r="AF25" i="52"/>
  <c r="AO25"/>
  <c r="AP25" s="1"/>
  <c r="AP608" i="37"/>
  <c r="R9" i="53"/>
  <c r="T9"/>
  <c r="X9" s="1"/>
  <c r="AP585" i="37"/>
  <c r="AP598"/>
  <c r="W23" i="53"/>
  <c r="AP580" i="37"/>
  <c r="W11" i="53"/>
  <c r="AD11"/>
  <c r="U11"/>
  <c r="AP604" i="37"/>
  <c r="AP605"/>
  <c r="W17" i="53"/>
  <c r="U17"/>
  <c r="AD17"/>
  <c r="AI581" i="40"/>
  <c r="AK581" s="1"/>
  <c r="AI584"/>
  <c r="AK584" s="1"/>
  <c r="V12" i="53"/>
  <c r="T342" i="40"/>
  <c r="T17" i="52"/>
  <c r="X115" i="40"/>
  <c r="X7" i="52"/>
  <c r="U414" i="40"/>
  <c r="U20" i="52"/>
  <c r="U47" i="40"/>
  <c r="U4" i="52"/>
  <c r="S436" i="40"/>
  <c r="S21" i="52"/>
  <c r="Y209" i="40"/>
  <c r="Y11" i="52"/>
  <c r="S25" i="40"/>
  <c r="S3" i="52"/>
  <c r="V414" i="40"/>
  <c r="V20" i="52"/>
  <c r="V390" i="40"/>
  <c r="V19" i="52"/>
  <c r="V484" i="40"/>
  <c r="V24" i="52"/>
  <c r="R468" i="40"/>
  <c r="R23" i="52"/>
  <c r="X70" i="40"/>
  <c r="X5" i="52"/>
  <c r="W139" i="40"/>
  <c r="W8" i="52"/>
  <c r="W3" i="40"/>
  <c r="W2" i="52"/>
  <c r="AA414" i="40"/>
  <c r="AA20" i="52"/>
  <c r="X3" i="40"/>
  <c r="X2" i="52"/>
  <c r="T19" i="53"/>
  <c r="X19" s="1"/>
  <c r="R19"/>
  <c r="AP588" i="37"/>
  <c r="AP600"/>
  <c r="AP606"/>
  <c r="W7" i="53"/>
  <c r="AD7"/>
  <c r="U7"/>
  <c r="AP581" i="37"/>
  <c r="T10" i="53"/>
  <c r="X10" s="1"/>
  <c r="R10"/>
  <c r="AP590" i="37"/>
  <c r="W12" i="53"/>
  <c r="AD12"/>
  <c r="U12"/>
  <c r="AP26" i="52"/>
  <c r="AF591" i="40"/>
  <c r="AM26" i="52"/>
  <c r="AH148" i="37"/>
  <c r="AG148" i="40" s="1"/>
  <c r="Y148"/>
  <c r="R47"/>
  <c r="R4" i="52"/>
  <c r="R366" i="40"/>
  <c r="R18" i="52"/>
  <c r="Y436" i="40"/>
  <c r="Y21" i="52"/>
  <c r="AB209" i="40"/>
  <c r="AB11" i="52"/>
  <c r="R209" i="40"/>
  <c r="R11" i="52"/>
  <c r="T300" i="40"/>
  <c r="T15" i="52"/>
  <c r="V232" i="40"/>
  <c r="V12" i="52"/>
  <c r="V278" i="40"/>
  <c r="V14" i="52"/>
  <c r="AA115" i="40"/>
  <c r="AA7" i="52"/>
  <c r="W232" i="40"/>
  <c r="W12" i="52"/>
  <c r="R436" i="40"/>
  <c r="R21" i="52"/>
  <c r="AB115" i="40"/>
  <c r="AB7" i="52"/>
  <c r="T25" i="40"/>
  <c r="T3" i="52"/>
  <c r="T209" i="40"/>
  <c r="T11" i="52"/>
  <c r="AA452" i="40"/>
  <c r="AA22" i="52"/>
  <c r="S115" i="40"/>
  <c r="S7" i="52"/>
  <c r="V366" i="40"/>
  <c r="V18" i="52"/>
  <c r="Z414" i="40"/>
  <c r="Z20" i="52"/>
  <c r="W484" i="40"/>
  <c r="W24" i="52"/>
  <c r="U436" i="40"/>
  <c r="U21" i="52"/>
  <c r="U91" i="40"/>
  <c r="U6" i="52"/>
  <c r="V322" i="40"/>
  <c r="V16" i="52"/>
  <c r="Y342" i="40"/>
  <c r="Y17" i="52"/>
  <c r="AA390" i="40"/>
  <c r="AA19" i="52"/>
  <c r="Y390" i="40"/>
  <c r="Y19" i="52"/>
  <c r="AP595" i="37"/>
  <c r="W9" i="53"/>
  <c r="U9"/>
  <c r="AD9"/>
  <c r="R23"/>
  <c r="T23"/>
  <c r="X23" s="1"/>
  <c r="AP589" i="37"/>
  <c r="W21" i="53"/>
  <c r="U21"/>
  <c r="AD21"/>
  <c r="AP611" i="37"/>
  <c r="T2" i="53"/>
  <c r="X2" s="1"/>
  <c r="R2"/>
  <c r="AF599" i="40"/>
  <c r="AF26" i="52"/>
  <c r="V5" i="53"/>
  <c r="V20"/>
  <c r="M12" i="36"/>
  <c r="M39"/>
  <c r="M75"/>
  <c r="M112"/>
  <c r="M5"/>
  <c r="M30"/>
  <c r="M59"/>
  <c r="M94"/>
  <c r="M123"/>
  <c r="M14"/>
  <c r="M51"/>
  <c r="M78"/>
  <c r="M114"/>
  <c r="M151"/>
  <c r="M15"/>
  <c r="M33"/>
  <c r="BC7" i="52" s="1"/>
  <c r="M44" i="36"/>
  <c r="P3"/>
  <c r="M35"/>
  <c r="M47"/>
  <c r="M55"/>
  <c r="M32"/>
  <c r="M61"/>
  <c r="M135"/>
  <c r="M11"/>
  <c r="M19"/>
  <c r="M28"/>
  <c r="M20"/>
  <c r="M58"/>
  <c r="M103"/>
  <c r="M140"/>
  <c r="M13"/>
  <c r="M40"/>
  <c r="M85"/>
  <c r="M132"/>
  <c r="M22"/>
  <c r="M31"/>
  <c r="M60"/>
  <c r="M86"/>
  <c r="M124"/>
  <c r="M52"/>
  <c r="M88"/>
  <c r="M97"/>
  <c r="M100"/>
  <c r="P5"/>
  <c r="M109"/>
  <c r="M116"/>
  <c r="M129"/>
  <c r="M120"/>
  <c r="M125"/>
  <c r="M161"/>
  <c r="M34"/>
  <c r="M80"/>
  <c r="M107"/>
  <c r="M136"/>
  <c r="M154"/>
  <c r="M48"/>
  <c r="M57"/>
  <c r="M121"/>
  <c r="M130"/>
  <c r="P6"/>
  <c r="M133"/>
  <c r="M153"/>
  <c r="M142"/>
  <c r="M162"/>
  <c r="M66"/>
  <c r="M93"/>
  <c r="M122"/>
  <c r="M68"/>
  <c r="M104"/>
  <c r="M141"/>
  <c r="M6"/>
  <c r="F539" i="40" s="1" a="1"/>
  <c r="F539" s="1"/>
  <c r="M69" i="36"/>
  <c r="M95"/>
  <c r="M143"/>
  <c r="M42"/>
  <c r="M79"/>
  <c r="M115"/>
  <c r="M144"/>
  <c r="M16"/>
  <c r="M43"/>
  <c r="M71"/>
  <c r="M98"/>
  <c r="M126"/>
  <c r="M9"/>
  <c r="M17"/>
  <c r="M26"/>
  <c r="M54"/>
  <c r="M72"/>
  <c r="M90"/>
  <c r="M108"/>
  <c r="M127"/>
  <c r="M92"/>
  <c r="M157"/>
  <c r="M4"/>
  <c r="M29"/>
  <c r="M49"/>
  <c r="M84"/>
  <c r="M131"/>
  <c r="M149"/>
  <c r="M158"/>
  <c r="M21"/>
  <c r="M50"/>
  <c r="M77"/>
  <c r="M113"/>
  <c r="M150"/>
  <c r="M159"/>
  <c r="M41"/>
  <c r="M105"/>
  <c r="M134"/>
  <c r="M160"/>
  <c r="M7"/>
  <c r="M24"/>
  <c r="M70"/>
  <c r="M106"/>
  <c r="M152"/>
  <c r="M8"/>
  <c r="M25"/>
  <c r="M53"/>
  <c r="M62"/>
  <c r="M89"/>
  <c r="M117"/>
  <c r="M145"/>
  <c r="M36"/>
  <c r="M45"/>
  <c r="M63"/>
  <c r="BC3" i="52" s="1"/>
  <c r="M81" i="36"/>
  <c r="M99"/>
  <c r="M118"/>
  <c r="M137"/>
  <c r="M146"/>
  <c r="M155"/>
  <c r="M2"/>
  <c r="M23"/>
  <c r="M10"/>
  <c r="M18"/>
  <c r="M27"/>
  <c r="M37"/>
  <c r="M46"/>
  <c r="M56"/>
  <c r="M64"/>
  <c r="P4"/>
  <c r="M67"/>
  <c r="M76"/>
  <c r="M87"/>
  <c r="M96"/>
  <c r="M73"/>
  <c r="M82"/>
  <c r="M91"/>
  <c r="M101"/>
  <c r="M110"/>
  <c r="M119"/>
  <c r="M128"/>
  <c r="M138"/>
  <c r="M147"/>
  <c r="M156"/>
  <c r="F504" i="40" a="1"/>
  <c r="F504" s="1"/>
  <c r="F549" a="1"/>
  <c r="F549" s="1"/>
  <c r="F573" a="1"/>
  <c r="F573" s="1"/>
  <c r="AP547" i="37"/>
  <c r="AP520"/>
  <c r="AP535"/>
  <c r="AP537"/>
  <c r="AP577"/>
  <c r="AP523"/>
  <c r="AP572"/>
  <c r="AP579"/>
  <c r="AP568"/>
  <c r="AP527"/>
  <c r="AP530"/>
  <c r="AP576"/>
  <c r="AP533"/>
  <c r="AP518"/>
  <c r="AP522"/>
  <c r="AP552"/>
  <c r="AP565"/>
  <c r="AP528"/>
  <c r="AP515"/>
  <c r="AP503"/>
  <c r="AP553"/>
  <c r="AP555"/>
  <c r="AP559"/>
  <c r="AP571"/>
  <c r="AP556"/>
  <c r="AP560"/>
  <c r="AP531"/>
  <c r="AP524"/>
  <c r="AP564"/>
  <c r="AP551"/>
  <c r="AP508"/>
  <c r="AP550"/>
  <c r="AP554"/>
  <c r="AP507"/>
  <c r="AP532"/>
  <c r="AP546"/>
  <c r="AP504"/>
  <c r="AP539"/>
  <c r="AP510"/>
  <c r="AP517"/>
  <c r="AP544"/>
  <c r="AP511"/>
  <c r="AP569"/>
  <c r="AP542"/>
  <c r="AP534"/>
  <c r="AP578"/>
  <c r="AP526"/>
  <c r="AP536"/>
  <c r="AP519"/>
  <c r="AP545"/>
  <c r="AP566"/>
  <c r="AP562"/>
  <c r="AP574"/>
  <c r="AP540"/>
  <c r="AP563"/>
  <c r="AP509"/>
  <c r="AP521"/>
  <c r="AP525"/>
  <c r="AP561"/>
  <c r="AP516"/>
  <c r="AP557"/>
  <c r="AP514"/>
  <c r="AP506"/>
  <c r="AP549"/>
  <c r="AP548"/>
  <c r="AP575"/>
  <c r="AP570"/>
  <c r="AP541"/>
  <c r="AP538"/>
  <c r="AP573"/>
  <c r="AP558"/>
  <c r="AP543"/>
  <c r="AP567"/>
  <c r="AP529"/>
  <c r="AP513"/>
  <c r="AP512"/>
  <c r="AL580"/>
  <c r="AL593"/>
  <c r="AL585"/>
  <c r="AL591"/>
  <c r="AL582"/>
  <c r="AL584"/>
  <c r="AL583"/>
  <c r="AL596"/>
  <c r="AL581"/>
  <c r="AL605"/>
  <c r="AL598"/>
  <c r="AL587"/>
  <c r="AL607"/>
  <c r="AL609"/>
  <c r="AL603"/>
  <c r="AL589"/>
  <c r="AL611"/>
  <c r="AL590"/>
  <c r="AL599"/>
  <c r="AL606"/>
  <c r="AL600"/>
  <c r="AL610"/>
  <c r="AL597"/>
  <c r="AL594"/>
  <c r="AL586"/>
  <c r="AL602"/>
  <c r="AL608"/>
  <c r="AL588"/>
  <c r="AL592"/>
  <c r="AL604"/>
  <c r="AL595"/>
  <c r="AL601"/>
  <c r="AI432"/>
  <c r="AH432" i="40" s="1"/>
  <c r="AH318" i="37"/>
  <c r="AG318" i="40" s="1"/>
  <c r="AI427" i="37"/>
  <c r="AH427" i="40" s="1"/>
  <c r="AH438" i="37"/>
  <c r="AG438" i="40" s="1"/>
  <c r="AD254" i="37"/>
  <c r="AD254" i="40" s="1"/>
  <c r="AI319" i="37"/>
  <c r="AH319" i="40" s="1"/>
  <c r="AG313" i="37"/>
  <c r="AN196"/>
  <c r="AH247"/>
  <c r="AG247" i="40" s="1"/>
  <c r="AE137" i="37"/>
  <c r="AE137" i="40" s="1"/>
  <c r="AC181" i="37"/>
  <c r="AC181" i="40" s="1"/>
  <c r="AG317" i="37"/>
  <c r="AG44"/>
  <c r="AG374"/>
  <c r="AG224"/>
  <c r="AG429"/>
  <c r="AG361"/>
  <c r="AG354"/>
  <c r="AG292"/>
  <c r="AG169"/>
  <c r="AG473"/>
  <c r="AC238"/>
  <c r="AC238" i="40" s="1"/>
  <c r="AG58" i="37"/>
  <c r="AG379"/>
  <c r="AG358"/>
  <c r="AN219"/>
  <c r="AG320"/>
  <c r="AG59"/>
  <c r="AG50"/>
  <c r="AG383"/>
  <c r="AG54"/>
  <c r="AD332"/>
  <c r="AD332" i="40" s="1"/>
  <c r="AD296" i="37"/>
  <c r="AD296" i="40" s="1"/>
  <c r="AG60" i="37"/>
  <c r="AG61"/>
  <c r="AE322"/>
  <c r="AE322" i="40" s="1"/>
  <c r="AG337" i="37"/>
  <c r="AG170"/>
  <c r="AE149"/>
  <c r="AE149" i="40" s="1"/>
  <c r="AD328" i="37"/>
  <c r="AD328" i="40" s="1"/>
  <c r="AG319" i="37"/>
  <c r="AG393"/>
  <c r="AG227"/>
  <c r="AG237"/>
  <c r="AH359"/>
  <c r="AG359" i="40" s="1"/>
  <c r="AG418" i="37"/>
  <c r="AG351"/>
  <c r="AG172"/>
  <c r="AD423"/>
  <c r="AD423" i="40" s="1"/>
  <c r="AG314" i="37"/>
  <c r="AG380"/>
  <c r="AG389"/>
  <c r="AG419"/>
  <c r="AH335"/>
  <c r="AG335" i="40" s="1"/>
  <c r="AE330" i="37"/>
  <c r="AE330" i="40" s="1"/>
  <c r="AC229" i="37"/>
  <c r="AC229" i="40" s="1"/>
  <c r="AN205" i="37"/>
  <c r="AE365"/>
  <c r="AE365" i="40" s="1"/>
  <c r="AC188" i="37"/>
  <c r="AC188" i="40" s="1"/>
  <c r="AC197" i="37"/>
  <c r="AC197" i="40" s="1"/>
  <c r="AD428" i="37"/>
  <c r="AD428" i="40" s="1"/>
  <c r="AE288" i="37"/>
  <c r="AE288" i="40" s="1"/>
  <c r="AE244" i="37"/>
  <c r="AE244" i="40" s="1"/>
  <c r="AN175" i="37"/>
  <c r="AG308"/>
  <c r="AG52"/>
  <c r="AG47"/>
  <c r="AG4" i="52" s="1"/>
  <c r="AG55" i="37"/>
  <c r="AC25"/>
  <c r="AG388"/>
  <c r="AG378"/>
  <c r="AG225"/>
  <c r="AG426"/>
  <c r="AE317"/>
  <c r="AE317" i="40" s="1"/>
  <c r="AG434" i="37"/>
  <c r="AG216"/>
  <c r="AG368"/>
  <c r="AH249"/>
  <c r="AG249" i="40" s="1"/>
  <c r="AC234" i="37"/>
  <c r="AC234" i="40" s="1"/>
  <c r="AH327" i="37"/>
  <c r="AG327" i="40" s="1"/>
  <c r="AH443" i="37"/>
  <c r="AG443" i="40" s="1"/>
  <c r="AH303" i="37"/>
  <c r="AG303" i="40" s="1"/>
  <c r="AG51" i="37"/>
  <c r="AN51"/>
  <c r="AG433"/>
  <c r="AG446"/>
  <c r="AG208"/>
  <c r="AG212"/>
  <c r="AG205"/>
  <c r="AG360"/>
  <c r="AG350"/>
  <c r="AG304"/>
  <c r="AG287"/>
  <c r="AG298"/>
  <c r="AG175"/>
  <c r="AG464"/>
  <c r="AG471"/>
  <c r="AC227"/>
  <c r="AC227" i="40" s="1"/>
  <c r="AD427" i="37"/>
  <c r="AD427" i="40" s="1"/>
  <c r="AG427" i="37"/>
  <c r="AE237"/>
  <c r="AE237" i="40" s="1"/>
  <c r="AG209" i="37"/>
  <c r="AG11" i="52" s="1"/>
  <c r="AG213" i="37"/>
  <c r="AG369"/>
  <c r="AG353"/>
  <c r="AI136"/>
  <c r="AH136" i="40" s="1"/>
  <c r="AI140" i="37"/>
  <c r="AH140" i="40" s="1"/>
  <c r="AI140" s="1"/>
  <c r="AK140" s="1"/>
  <c r="AG288" i="37"/>
  <c r="AG297"/>
  <c r="AD293"/>
  <c r="AD293" i="40" s="1"/>
  <c r="AG293" i="37"/>
  <c r="AG155"/>
  <c r="AG166"/>
  <c r="AG472"/>
  <c r="AG463"/>
  <c r="AE430"/>
  <c r="AE430" i="40" s="1"/>
  <c r="AG99" i="37"/>
  <c r="AG100"/>
  <c r="AG90"/>
  <c r="AG447"/>
  <c r="AI145"/>
  <c r="AH145" i="40" s="1"/>
  <c r="AC239" i="37"/>
  <c r="AC239" i="40" s="1"/>
  <c r="AH322" i="37"/>
  <c r="AG322" i="40" s="1"/>
  <c r="AG322" i="37"/>
  <c r="AG16" i="52" s="1"/>
  <c r="AD322" i="37"/>
  <c r="AD322" i="40" s="1"/>
  <c r="AF322" s="1"/>
  <c r="AG377" i="37"/>
  <c r="AI279"/>
  <c r="AH279" i="40" s="1"/>
  <c r="AI279" s="1"/>
  <c r="AK279" s="1"/>
  <c r="AN229" i="37"/>
  <c r="AG229"/>
  <c r="AD335"/>
  <c r="AD335" i="40" s="1"/>
  <c r="AN224" i="37"/>
  <c r="AC223"/>
  <c r="AC223" i="40" s="1"/>
  <c r="AC184" i="37"/>
  <c r="AC184" i="40" s="1"/>
  <c r="AC193" i="37"/>
  <c r="AC193" i="40" s="1"/>
  <c r="AG312" i="37"/>
  <c r="AD307"/>
  <c r="AD307" i="40" s="1"/>
  <c r="AG307" i="37"/>
  <c r="AG309"/>
  <c r="AG57"/>
  <c r="AG62"/>
  <c r="AC40"/>
  <c r="AC40" i="40" s="1"/>
  <c r="AC41" i="37"/>
  <c r="AC41" i="40" s="1"/>
  <c r="AG375" i="37"/>
  <c r="AG390"/>
  <c r="AG19" i="52" s="1"/>
  <c r="AG394" i="37"/>
  <c r="AD230"/>
  <c r="AD230" i="40" s="1"/>
  <c r="AF230" s="1"/>
  <c r="AG230" i="37"/>
  <c r="AH234"/>
  <c r="AG234" i="40" s="1"/>
  <c r="AG234" i="37"/>
  <c r="AG417"/>
  <c r="AG421"/>
  <c r="AH315"/>
  <c r="AG315" i="40" s="1"/>
  <c r="AG315" i="37"/>
  <c r="AG441"/>
  <c r="AD441"/>
  <c r="AD441" i="40" s="1"/>
  <c r="AG201" i="37"/>
  <c r="AG474"/>
  <c r="AG104"/>
  <c r="AG187"/>
  <c r="AG183"/>
  <c r="AG191"/>
  <c r="AG147"/>
  <c r="AG143"/>
  <c r="AG146"/>
  <c r="AG480"/>
  <c r="AG487"/>
  <c r="AG490"/>
  <c r="AG24"/>
  <c r="AG38"/>
  <c r="AG42"/>
  <c r="AG128"/>
  <c r="AG130"/>
  <c r="AG117"/>
  <c r="AG249"/>
  <c r="AG263"/>
  <c r="AG261"/>
  <c r="AG403"/>
  <c r="AG405"/>
  <c r="AG413"/>
  <c r="AG226"/>
  <c r="AG290"/>
  <c r="AD290"/>
  <c r="AD290" i="40" s="1"/>
  <c r="AG97" i="37"/>
  <c r="AG448"/>
  <c r="AG438"/>
  <c r="AG199"/>
  <c r="AG349"/>
  <c r="AG289"/>
  <c r="AG286"/>
  <c r="AG301"/>
  <c r="AG160"/>
  <c r="AG174"/>
  <c r="AG467"/>
  <c r="AG469"/>
  <c r="AG96"/>
  <c r="AG94"/>
  <c r="AG106"/>
  <c r="AG460"/>
  <c r="AG457"/>
  <c r="AI146"/>
  <c r="AH146" i="40" s="1"/>
  <c r="AH228" i="37"/>
  <c r="AG228" i="40" s="1"/>
  <c r="AI228" s="1"/>
  <c r="AK228" s="1"/>
  <c r="AG228" i="37"/>
  <c r="AG171"/>
  <c r="AG333"/>
  <c r="AG64"/>
  <c r="AG376"/>
  <c r="AG240"/>
  <c r="AG420"/>
  <c r="AG436"/>
  <c r="AG21" i="52" s="1"/>
  <c r="AG357" i="37"/>
  <c r="AG386"/>
  <c r="AG232"/>
  <c r="AG12" i="52" s="1"/>
  <c r="AG422" i="37"/>
  <c r="AG219"/>
  <c r="AG355"/>
  <c r="AG305"/>
  <c r="AG158"/>
  <c r="AG465"/>
  <c r="AG105"/>
  <c r="AD231"/>
  <c r="AD231" i="40" s="1"/>
  <c r="AG231" i="37"/>
  <c r="AG432"/>
  <c r="AD432"/>
  <c r="AD432" i="40" s="1"/>
  <c r="AG217" i="37"/>
  <c r="AG92"/>
  <c r="AG449"/>
  <c r="AG329"/>
  <c r="AG325"/>
  <c r="AH325"/>
  <c r="AG325" i="40" s="1"/>
  <c r="AG241" i="37"/>
  <c r="AG220"/>
  <c r="AG367"/>
  <c r="AD237"/>
  <c r="AD237" i="40" s="1"/>
  <c r="AG311" i="37"/>
  <c r="AG391"/>
  <c r="AG238"/>
  <c r="AG444"/>
  <c r="AG206"/>
  <c r="AG362"/>
  <c r="AG294"/>
  <c r="AG157"/>
  <c r="AH256"/>
  <c r="AG256" i="40" s="1"/>
  <c r="AH320" i="37"/>
  <c r="AG320" i="40" s="1"/>
  <c r="AH241" i="37"/>
  <c r="AG241" i="40" s="1"/>
  <c r="AH237" i="37"/>
  <c r="AG237" i="40" s="1"/>
  <c r="AH321" i="37"/>
  <c r="AG321" i="40" s="1"/>
  <c r="AG321" i="37"/>
  <c r="AG425"/>
  <c r="AG218"/>
  <c r="AG291"/>
  <c r="AG176"/>
  <c r="AG318"/>
  <c r="AG382"/>
  <c r="AG222"/>
  <c r="AG214"/>
  <c r="AG49"/>
  <c r="AG63"/>
  <c r="AG384"/>
  <c r="AH239"/>
  <c r="AG239" i="40" s="1"/>
  <c r="AG239" i="37"/>
  <c r="AG424"/>
  <c r="AG437"/>
  <c r="AG366"/>
  <c r="AG18" i="52" s="1"/>
  <c r="AG156" i="37"/>
  <c r="AH147"/>
  <c r="AG147" i="40" s="1"/>
  <c r="AG107" i="37"/>
  <c r="AG89"/>
  <c r="AG93"/>
  <c r="AG451"/>
  <c r="AG454"/>
  <c r="AG344"/>
  <c r="AG348"/>
  <c r="AG338"/>
  <c r="AG188"/>
  <c r="AG178"/>
  <c r="AG144"/>
  <c r="AG153"/>
  <c r="AG138"/>
  <c r="AG476"/>
  <c r="AG478"/>
  <c r="AG489"/>
  <c r="AG28"/>
  <c r="AG26"/>
  <c r="AG123"/>
  <c r="AG126"/>
  <c r="AG264"/>
  <c r="AG243"/>
  <c r="AG250"/>
  <c r="AG416"/>
  <c r="AG415"/>
  <c r="AG412"/>
  <c r="AG72"/>
  <c r="AG81"/>
  <c r="AG84"/>
  <c r="AG8"/>
  <c r="AG22"/>
  <c r="AG5"/>
  <c r="AG276"/>
  <c r="AG270"/>
  <c r="AG327"/>
  <c r="AG334"/>
  <c r="AG330"/>
  <c r="AG192"/>
  <c r="AG185"/>
  <c r="AG186"/>
  <c r="AG10" i="52" s="1"/>
  <c r="AG139" i="37"/>
  <c r="AG8" i="52" s="1"/>
  <c r="AG134" i="37"/>
  <c r="AG141"/>
  <c r="AG495"/>
  <c r="AG486"/>
  <c r="AG493"/>
  <c r="AG35"/>
  <c r="AG34"/>
  <c r="AG112"/>
  <c r="AG124"/>
  <c r="AG114"/>
  <c r="AG256"/>
  <c r="AG248"/>
  <c r="AG255"/>
  <c r="AG13" i="52" s="1"/>
  <c r="AG395" i="37"/>
  <c r="AG398"/>
  <c r="AG410"/>
  <c r="AG80"/>
  <c r="AG70"/>
  <c r="AG5" i="52" s="1"/>
  <c r="AG85" i="37"/>
  <c r="AG16"/>
  <c r="AG17"/>
  <c r="AG13"/>
  <c r="AG268"/>
  <c r="AG266"/>
  <c r="AC480"/>
  <c r="AC480" i="40" s="1"/>
  <c r="AD440" i="37"/>
  <c r="AD440" i="40" s="1"/>
  <c r="AG440" i="37"/>
  <c r="AG442"/>
  <c r="AG211"/>
  <c r="AG202"/>
  <c r="AG210"/>
  <c r="AG370"/>
  <c r="AG364"/>
  <c r="AG356"/>
  <c r="AG296"/>
  <c r="AG300"/>
  <c r="AG15" i="52" s="1"/>
  <c r="AG306" i="37"/>
  <c r="AG168"/>
  <c r="AG167"/>
  <c r="AG173"/>
  <c r="AE442"/>
  <c r="AE442" i="40" s="1"/>
  <c r="AG468" i="37"/>
  <c r="AG23" i="52" s="1"/>
  <c r="AG466" i="37"/>
  <c r="AI423"/>
  <c r="AH423" i="40" s="1"/>
  <c r="AG95" i="37"/>
  <c r="AG87"/>
  <c r="AG456"/>
  <c r="AG453"/>
  <c r="AG343"/>
  <c r="AG345"/>
  <c r="AG346"/>
  <c r="AG184"/>
  <c r="AG190"/>
  <c r="AG197"/>
  <c r="AG148"/>
  <c r="AG140"/>
  <c r="AG149"/>
  <c r="AG496"/>
  <c r="AG482"/>
  <c r="AG40"/>
  <c r="AG27"/>
  <c r="AG39"/>
  <c r="AG120"/>
  <c r="AG116"/>
  <c r="AG110"/>
  <c r="AG260"/>
  <c r="AG262"/>
  <c r="AG258"/>
  <c r="AG411"/>
  <c r="AG414"/>
  <c r="AG20" i="52" s="1"/>
  <c r="AG397" i="37"/>
  <c r="AG68"/>
  <c r="AG78"/>
  <c r="AG77"/>
  <c r="AG11"/>
  <c r="AG15"/>
  <c r="AG18"/>
  <c r="AG272"/>
  <c r="AG267"/>
  <c r="AG277"/>
  <c r="AG83"/>
  <c r="AG73"/>
  <c r="AG69"/>
  <c r="AG3"/>
  <c r="AG2" i="52" s="1"/>
  <c r="AG14" i="37"/>
  <c r="AG280"/>
  <c r="AG279"/>
  <c r="AG285"/>
  <c r="AG339"/>
  <c r="AG332"/>
  <c r="AG326"/>
  <c r="AG179"/>
  <c r="AG177"/>
  <c r="AG194"/>
  <c r="AG137"/>
  <c r="AG142"/>
  <c r="AG133"/>
  <c r="AG488"/>
  <c r="AG491"/>
  <c r="AG481"/>
  <c r="AG33"/>
  <c r="AG41"/>
  <c r="AG37"/>
  <c r="AG121"/>
  <c r="AG113"/>
  <c r="AG122"/>
  <c r="AG252"/>
  <c r="AG251"/>
  <c r="AG245"/>
  <c r="AG399"/>
  <c r="AG407"/>
  <c r="AG71"/>
  <c r="AG82"/>
  <c r="AG19"/>
  <c r="AG20"/>
  <c r="AG273"/>
  <c r="AG275"/>
  <c r="AG282"/>
  <c r="AG455"/>
  <c r="AG458"/>
  <c r="AG347"/>
  <c r="AG340"/>
  <c r="AG196"/>
  <c r="AG189"/>
  <c r="AG181"/>
  <c r="AG135"/>
  <c r="AG150"/>
  <c r="AG497"/>
  <c r="AG475"/>
  <c r="AG492"/>
  <c r="AG32"/>
  <c r="AG30"/>
  <c r="AG31"/>
  <c r="AG115"/>
  <c r="AG7" i="52" s="1"/>
  <c r="AG111" i="37"/>
  <c r="AG125"/>
  <c r="AG257"/>
  <c r="AG254"/>
  <c r="AG253"/>
  <c r="AG409"/>
  <c r="AG402"/>
  <c r="AG67"/>
  <c r="AG79"/>
  <c r="AG4"/>
  <c r="AG7"/>
  <c r="AG281"/>
  <c r="AG284"/>
  <c r="AG274"/>
  <c r="AG101"/>
  <c r="AG48"/>
  <c r="AG392"/>
  <c r="AG223"/>
  <c r="AH242"/>
  <c r="AG242" i="40" s="1"/>
  <c r="AG242" i="37"/>
  <c r="AG431"/>
  <c r="AN8"/>
  <c r="AG445"/>
  <c r="AI433"/>
  <c r="AH433" i="40" s="1"/>
  <c r="AN295" i="37"/>
  <c r="AG295"/>
  <c r="AG302"/>
  <c r="AG163"/>
  <c r="AG9" i="52" s="1"/>
  <c r="AG162" i="37"/>
  <c r="AG165"/>
  <c r="AG462"/>
  <c r="AG108"/>
  <c r="AG86"/>
  <c r="AG102"/>
  <c r="AG452"/>
  <c r="AG22" i="52" s="1"/>
  <c r="AG461" i="37"/>
  <c r="AG328"/>
  <c r="AG331"/>
  <c r="AG335"/>
  <c r="AG195"/>
  <c r="AG198"/>
  <c r="AG182"/>
  <c r="AG136"/>
  <c r="AG132"/>
  <c r="AG154"/>
  <c r="AG483"/>
  <c r="AG479"/>
  <c r="AG477"/>
  <c r="AG25"/>
  <c r="AG3" i="52" s="1"/>
  <c r="AG36" i="37"/>
  <c r="AG29"/>
  <c r="AG131"/>
  <c r="AG127"/>
  <c r="AG109"/>
  <c r="AG259"/>
  <c r="AG247"/>
  <c r="AG408"/>
  <c r="AG396"/>
  <c r="AG406"/>
  <c r="AG76"/>
  <c r="AG66"/>
  <c r="AG21"/>
  <c r="AG10"/>
  <c r="AG271"/>
  <c r="AG283"/>
  <c r="AG269"/>
  <c r="AG88"/>
  <c r="AI235"/>
  <c r="AH235" i="40" s="1"/>
  <c r="AN106" i="37"/>
  <c r="AD323"/>
  <c r="AD323" i="40" s="1"/>
  <c r="AG323" i="37"/>
  <c r="AG310"/>
  <c r="AG46"/>
  <c r="AG53"/>
  <c r="AG387"/>
  <c r="AG373"/>
  <c r="AD236"/>
  <c r="AD236" i="40" s="1"/>
  <c r="AF236" s="1"/>
  <c r="AG236" i="37"/>
  <c r="AG430"/>
  <c r="AI248"/>
  <c r="AH248" i="40" s="1"/>
  <c r="AN415" i="37"/>
  <c r="AG435"/>
  <c r="AG215"/>
  <c r="AG203"/>
  <c r="AG363"/>
  <c r="AG365"/>
  <c r="AE316"/>
  <c r="AE316" i="40" s="1"/>
  <c r="AG324" i="37"/>
  <c r="AG316"/>
  <c r="AG56"/>
  <c r="AG65"/>
  <c r="AG45"/>
  <c r="AG372"/>
  <c r="AG385"/>
  <c r="AG381"/>
  <c r="AG235"/>
  <c r="AH233"/>
  <c r="AG233" i="40" s="1"/>
  <c r="AG233" i="37"/>
  <c r="AG221"/>
  <c r="AG428"/>
  <c r="AH423"/>
  <c r="AG423" i="40" s="1"/>
  <c r="AI423" s="1"/>
  <c r="AK423" s="1"/>
  <c r="AG423" i="37"/>
  <c r="AD455"/>
  <c r="AD455" i="40" s="1"/>
  <c r="AG443" i="37"/>
  <c r="AG439"/>
  <c r="AG200"/>
  <c r="AG204"/>
  <c r="AG207"/>
  <c r="AG352"/>
  <c r="AG371"/>
  <c r="AG359"/>
  <c r="AG299"/>
  <c r="AG303"/>
  <c r="AG164"/>
  <c r="AG161"/>
  <c r="AG159"/>
  <c r="AG470"/>
  <c r="AG91"/>
  <c r="AG6" i="52" s="1"/>
  <c r="AG103" i="37"/>
  <c r="AG98"/>
  <c r="AG459"/>
  <c r="AG450"/>
  <c r="AG336"/>
  <c r="AG342"/>
  <c r="AG17" i="52" s="1"/>
  <c r="AG341" i="37"/>
  <c r="AG180"/>
  <c r="AG193"/>
  <c r="AG152"/>
  <c r="AG145"/>
  <c r="AG151"/>
  <c r="AG494"/>
  <c r="AG484"/>
  <c r="AG24" i="52" s="1"/>
  <c r="AG485" i="37"/>
  <c r="AG43"/>
  <c r="AG23"/>
  <c r="AG129"/>
  <c r="AG118"/>
  <c r="AG119"/>
  <c r="AG244"/>
  <c r="AG246"/>
  <c r="AG400"/>
  <c r="AG404"/>
  <c r="AG401"/>
  <c r="AG75"/>
  <c r="AG74"/>
  <c r="AG9"/>
  <c r="AG6"/>
  <c r="AG12"/>
  <c r="AG265"/>
  <c r="AG278"/>
  <c r="AG14" i="52" s="1"/>
  <c r="AG2" i="37"/>
  <c r="AH427"/>
  <c r="AD363"/>
  <c r="AD363" i="40" s="1"/>
  <c r="AN46" i="37"/>
  <c r="AE321"/>
  <c r="AE321" i="40" s="1"/>
  <c r="AH434" i="37"/>
  <c r="AG434" i="40" s="1"/>
  <c r="AH314" i="37"/>
  <c r="AG314" i="40" s="1"/>
  <c r="AN115" i="37"/>
  <c r="AI283"/>
  <c r="AE296"/>
  <c r="AE296" i="40" s="1"/>
  <c r="AH293" i="37"/>
  <c r="AG293" i="40" s="1"/>
  <c r="AC454" i="37"/>
  <c r="AC454" i="40" s="1"/>
  <c r="AH300" i="37"/>
  <c r="AG300" i="40" s="1"/>
  <c r="AD453" i="37"/>
  <c r="AE441"/>
  <c r="AE441" i="40" s="1"/>
  <c r="AC37" i="37"/>
  <c r="AC37" i="40" s="1"/>
  <c r="AC482" i="37"/>
  <c r="AC482" i="40" s="1"/>
  <c r="AC231" i="37"/>
  <c r="AC231" i="40" s="1"/>
  <c r="AC192" i="37"/>
  <c r="AC192" i="40" s="1"/>
  <c r="AI304" i="37"/>
  <c r="AH304" i="40" s="1"/>
  <c r="AE247" i="37"/>
  <c r="AE247" i="40" s="1"/>
  <c r="AI311" i="37"/>
  <c r="AH311" i="40" s="1"/>
  <c r="AN449" i="37"/>
  <c r="AC483"/>
  <c r="AC483" i="40" s="1"/>
  <c r="AC472" i="37"/>
  <c r="AC472" i="40" s="1"/>
  <c r="AE423" i="37"/>
  <c r="AE423" i="40" s="1"/>
  <c r="AE148" i="37"/>
  <c r="AE148" i="40" s="1"/>
  <c r="AD318" i="37"/>
  <c r="AD318" i="40" s="1"/>
  <c r="AE140" i="37"/>
  <c r="AI287"/>
  <c r="AH287" i="40" s="1"/>
  <c r="AC182" i="37"/>
  <c r="AC182" i="40" s="1"/>
  <c r="AN102" i="37"/>
  <c r="AC39"/>
  <c r="AC39" i="40" s="1"/>
  <c r="AD255" i="37"/>
  <c r="AD255" i="40" s="1"/>
  <c r="AI297" i="37"/>
  <c r="AH297" i="40" s="1"/>
  <c r="AN416" i="37"/>
  <c r="AN414"/>
  <c r="AC469"/>
  <c r="AC469" i="40" s="1"/>
  <c r="AC240" i="37"/>
  <c r="AC240" i="40" s="1"/>
  <c r="AC35" i="37"/>
  <c r="AC35" i="40" s="1"/>
  <c r="AI228" i="37"/>
  <c r="AH228" i="40" s="1"/>
  <c r="AC225" i="37"/>
  <c r="AC225" i="40" s="1"/>
  <c r="AC236" i="37"/>
  <c r="AC236" i="40" s="1"/>
  <c r="AC180" i="37"/>
  <c r="AC180" i="40" s="1"/>
  <c r="AC198" i="37"/>
  <c r="AC198" i="40" s="1"/>
  <c r="AN402" i="37"/>
  <c r="AN486"/>
  <c r="AN63"/>
  <c r="AC33"/>
  <c r="AC33" i="40" s="1"/>
  <c r="AC42" i="37"/>
  <c r="AC42" i="40" s="1"/>
  <c r="AN181" i="37"/>
  <c r="AH448"/>
  <c r="AG448" i="40" s="1"/>
  <c r="AE313" i="37"/>
  <c r="AE313" i="40" s="1"/>
  <c r="AC495" i="37"/>
  <c r="AC495" i="40" s="1"/>
  <c r="AD444" i="37"/>
  <c r="AD444" i="40" s="1"/>
  <c r="AD437" i="37"/>
  <c r="AD437" i="40" s="1"/>
  <c r="AE422" i="37"/>
  <c r="AE422" i="40" s="1"/>
  <c r="AD305" i="37"/>
  <c r="AD305" i="40" s="1"/>
  <c r="AI438" i="37"/>
  <c r="AH438" i="40" s="1"/>
  <c r="AC426" i="37"/>
  <c r="AC426" i="40" s="1"/>
  <c r="AN101" i="37"/>
  <c r="AN81"/>
  <c r="AH240"/>
  <c r="AG240" i="40" s="1"/>
  <c r="AC475" i="37"/>
  <c r="AC475" i="40" s="1"/>
  <c r="AC464" i="37"/>
  <c r="AC464" i="40" s="1"/>
  <c r="AD356" i="37"/>
  <c r="AD356" i="40" s="1"/>
  <c r="AC448" i="37"/>
  <c r="AC448" i="40" s="1"/>
  <c r="AC276" i="37"/>
  <c r="AC276" i="40" s="1"/>
  <c r="AC284" i="37"/>
  <c r="AC284" i="40" s="1"/>
  <c r="AC282" i="37"/>
  <c r="AC282" i="40" s="1"/>
  <c r="AE433" i="37"/>
  <c r="AE433" i="40" s="1"/>
  <c r="AC425" i="37"/>
  <c r="AC425" i="40" s="1"/>
  <c r="AC423" i="37"/>
  <c r="AC423" i="40" s="1"/>
  <c r="AC305" i="37"/>
  <c r="AC305" i="40" s="1"/>
  <c r="AC299" i="37"/>
  <c r="AC299" i="40" s="1"/>
  <c r="AC411" i="37"/>
  <c r="AC411" i="40" s="1"/>
  <c r="AC413" i="37"/>
  <c r="AC413" i="40" s="1"/>
  <c r="AC410" i="37"/>
  <c r="AC410" i="40" s="1"/>
  <c r="AC144" i="37"/>
  <c r="AC144" i="40" s="1"/>
  <c r="AI144" i="37"/>
  <c r="AH144" i="40" s="1"/>
  <c r="AC132" i="37"/>
  <c r="AC132" i="40" s="1"/>
  <c r="AC150" i="37"/>
  <c r="AC150" i="40" s="1"/>
  <c r="AE150" i="37"/>
  <c r="AE150" i="40" s="1"/>
  <c r="AC26" i="37"/>
  <c r="AC26" i="40" s="1"/>
  <c r="AI282" i="37"/>
  <c r="AH282" i="40" s="1"/>
  <c r="AC456" i="37"/>
  <c r="AC456" i="40" s="1"/>
  <c r="AC275" i="37"/>
  <c r="AC275" i="40" s="1"/>
  <c r="AC431" i="37"/>
  <c r="AC431" i="40" s="1"/>
  <c r="AC286" i="37"/>
  <c r="AC286" i="40" s="1"/>
  <c r="AC397" i="37"/>
  <c r="AC397" i="40" s="1"/>
  <c r="AC147" i="37"/>
  <c r="AC147" i="40" s="1"/>
  <c r="AC153" i="37"/>
  <c r="AC153" i="40" s="1"/>
  <c r="AC340" i="37"/>
  <c r="AC340" i="40" s="1"/>
  <c r="AC123" i="37"/>
  <c r="AC123" i="40" s="1"/>
  <c r="AH433" i="37"/>
  <c r="AC355"/>
  <c r="AC355" i="40" s="1"/>
  <c r="AD234" i="37"/>
  <c r="AD234" i="40" s="1"/>
  <c r="AC476" i="37"/>
  <c r="AC476" i="40" s="1"/>
  <c r="AC493" i="37"/>
  <c r="AC493" i="40" s="1"/>
  <c r="AC474" i="37"/>
  <c r="AC474" i="40" s="1"/>
  <c r="AC459" i="37"/>
  <c r="AC459" i="40" s="1"/>
  <c r="AC265" i="37"/>
  <c r="AC265" i="40" s="1"/>
  <c r="AC277" i="37"/>
  <c r="AC277" i="40" s="1"/>
  <c r="AD291" i="37"/>
  <c r="AD291" i="40" s="1"/>
  <c r="AC429" i="37"/>
  <c r="AC429" i="40" s="1"/>
  <c r="AC297" i="37"/>
  <c r="AC297" i="40" s="1"/>
  <c r="AE297" i="37"/>
  <c r="AE297" i="40" s="1"/>
  <c r="AC406" i="37"/>
  <c r="AC406" i="40" s="1"/>
  <c r="AC133" i="37"/>
  <c r="AC133" i="40" s="1"/>
  <c r="AC344" i="37"/>
  <c r="AC344" i="40" s="1"/>
  <c r="AC326" i="37"/>
  <c r="AC326" i="40" s="1"/>
  <c r="AC128" i="37"/>
  <c r="AC128" i="40" s="1"/>
  <c r="AC122" i="37"/>
  <c r="AC122" i="40" s="1"/>
  <c r="AC360" i="37"/>
  <c r="AC360" i="40" s="1"/>
  <c r="AC354" i="37"/>
  <c r="AC354" i="40" s="1"/>
  <c r="AH230" i="37"/>
  <c r="AG230" i="40" s="1"/>
  <c r="AI299" i="37"/>
  <c r="AH299" i="40" s="1"/>
  <c r="AI260" i="37"/>
  <c r="AH260" i="40" s="1"/>
  <c r="AC462" i="37"/>
  <c r="AC462" i="40" s="1"/>
  <c r="AC455" i="37"/>
  <c r="AC455" i="40" s="1"/>
  <c r="AH326" i="37"/>
  <c r="AG326" i="40" s="1"/>
  <c r="AC329" i="37"/>
  <c r="AC329" i="40" s="1"/>
  <c r="AC335" i="37"/>
  <c r="AC335" i="40" s="1"/>
  <c r="AC346" i="37"/>
  <c r="AC346" i="40" s="1"/>
  <c r="AC113" i="37"/>
  <c r="AC113" i="40" s="1"/>
  <c r="AC127" i="37"/>
  <c r="AC127" i="40" s="1"/>
  <c r="AC125" i="37"/>
  <c r="AC125" i="40" s="1"/>
  <c r="AC352" i="37"/>
  <c r="AC352" i="40" s="1"/>
  <c r="AC356" i="37"/>
  <c r="AC356" i="40" s="1"/>
  <c r="AC349" i="37"/>
  <c r="AC349" i="40" s="1"/>
  <c r="AC186" i="37"/>
  <c r="AC485"/>
  <c r="AC485" i="40" s="1"/>
  <c r="AC451" i="37"/>
  <c r="AC451" i="40" s="1"/>
  <c r="AE451" i="37"/>
  <c r="AE451" i="40" s="1"/>
  <c r="AC285" i="37"/>
  <c r="AC285" i="40" s="1"/>
  <c r="AC306" i="37"/>
  <c r="AC306" i="40" s="1"/>
  <c r="AC402" i="37"/>
  <c r="AC402" i="40" s="1"/>
  <c r="AC141" i="37"/>
  <c r="AC141" i="40" s="1"/>
  <c r="AI141" i="37"/>
  <c r="AH141" i="40" s="1"/>
  <c r="AI285" i="37"/>
  <c r="AH285" i="40" s="1"/>
  <c r="AC179" i="37"/>
  <c r="AC179" i="40" s="1"/>
  <c r="AC38" i="37"/>
  <c r="AC38" i="40" s="1"/>
  <c r="AC489" i="37"/>
  <c r="AC489" i="40" s="1"/>
  <c r="AC473" i="37"/>
  <c r="AC473" i="40" s="1"/>
  <c r="AC450" i="37"/>
  <c r="AC450" i="40" s="1"/>
  <c r="AC266" i="37"/>
  <c r="AC266" i="40" s="1"/>
  <c r="AC421" i="37"/>
  <c r="AC421" i="40" s="1"/>
  <c r="AE421" i="37"/>
  <c r="AE421" i="40" s="1"/>
  <c r="AC304" i="37"/>
  <c r="AC304" i="40" s="1"/>
  <c r="AC412" i="37"/>
  <c r="AC412" i="40" s="1"/>
  <c r="AC405" i="37"/>
  <c r="AC405" i="40" s="1"/>
  <c r="AN165" i="37"/>
  <c r="AC481"/>
  <c r="AC481" i="40" s="1"/>
  <c r="AC271" i="37"/>
  <c r="AC271" i="40" s="1"/>
  <c r="AC417" i="37"/>
  <c r="AC417" i="40" s="1"/>
  <c r="AC296" i="37"/>
  <c r="AC296" i="40" s="1"/>
  <c r="AC400" i="37"/>
  <c r="AC400" i="40" s="1"/>
  <c r="AC134" i="37"/>
  <c r="AC134" i="40" s="1"/>
  <c r="AC235" i="37"/>
  <c r="AC235" i="40" s="1"/>
  <c r="AC194" i="37"/>
  <c r="AC194" i="40" s="1"/>
  <c r="AC496" i="37"/>
  <c r="AC496" i="40" s="1"/>
  <c r="AC470" i="37"/>
  <c r="AC470" i="40" s="1"/>
  <c r="AC268" i="37"/>
  <c r="AC268" i="40" s="1"/>
  <c r="AC294" i="37"/>
  <c r="AC294" i="40" s="1"/>
  <c r="AN343" i="37"/>
  <c r="AI329"/>
  <c r="AH329" i="40" s="1"/>
  <c r="AC465" i="37"/>
  <c r="AC465" i="40" s="1"/>
  <c r="AN96" i="37"/>
  <c r="AC291"/>
  <c r="AC291" i="40" s="1"/>
  <c r="AC414" i="37"/>
  <c r="AC137"/>
  <c r="AC137" i="40" s="1"/>
  <c r="AC242" i="37"/>
  <c r="AC242" i="40" s="1"/>
  <c r="AI242" i="37"/>
  <c r="AH242" i="40" s="1"/>
  <c r="AI242" s="1"/>
  <c r="AK242" s="1"/>
  <c r="AC177" i="37"/>
  <c r="AC177" i="40" s="1"/>
  <c r="AC28" i="37"/>
  <c r="AC28" i="40" s="1"/>
  <c r="AN236" i="37"/>
  <c r="AC490"/>
  <c r="AC490" i="40" s="1"/>
  <c r="AC457" i="37"/>
  <c r="AC457" i="40" s="1"/>
  <c r="AC419" i="37"/>
  <c r="AC419" i="40" s="1"/>
  <c r="AC293" i="37"/>
  <c r="AC293" i="40" s="1"/>
  <c r="AC408" i="37"/>
  <c r="AC408" i="40" s="1"/>
  <c r="AD443" i="37"/>
  <c r="AD443" i="40" s="1"/>
  <c r="AE147" i="37"/>
  <c r="AE147" i="40" s="1"/>
  <c r="AD447" i="37"/>
  <c r="AD447" i="40" s="1"/>
  <c r="AI293" i="37"/>
  <c r="AH293" i="40" s="1"/>
  <c r="AE355" i="37"/>
  <c r="AE355" i="40" s="1"/>
  <c r="AE326" i="37"/>
  <c r="AE326" i="40" s="1"/>
  <c r="AI456" i="37"/>
  <c r="AH456" i="40" s="1"/>
  <c r="AD321" i="37"/>
  <c r="AD321" i="40" s="1"/>
  <c r="AI360" i="37"/>
  <c r="AH360" i="40" s="1"/>
  <c r="AI230" i="37"/>
  <c r="AH230" i="40" s="1"/>
  <c r="AC230" i="37"/>
  <c r="AC230" i="40" s="1"/>
  <c r="AC195" i="37"/>
  <c r="AC195" i="40" s="1"/>
  <c r="AI288" i="37"/>
  <c r="AH288" i="40" s="1"/>
  <c r="AC31" i="37"/>
  <c r="AC31" i="40" s="1"/>
  <c r="AC29" i="37"/>
  <c r="AC29" i="40" s="1"/>
  <c r="AE279" i="37"/>
  <c r="AE279" i="40" s="1"/>
  <c r="AE146" i="37"/>
  <c r="AE146" i="40" s="1"/>
  <c r="AC488" i="37"/>
  <c r="AC488" i="40" s="1"/>
  <c r="AC492" i="37"/>
  <c r="AC492" i="40" s="1"/>
  <c r="AC478" i="37"/>
  <c r="AC478" i="40" s="1"/>
  <c r="AE228" i="37"/>
  <c r="AE228" i="40" s="1"/>
  <c r="AC471" i="37"/>
  <c r="AC471" i="40" s="1"/>
  <c r="AC449" i="37"/>
  <c r="AC449" i="40" s="1"/>
  <c r="AC336" i="37"/>
  <c r="AC336" i="40" s="1"/>
  <c r="AC339" i="37"/>
  <c r="AC339" i="40" s="1"/>
  <c r="AC345" i="37"/>
  <c r="AC345" i="40" s="1"/>
  <c r="AC120" i="37"/>
  <c r="AC120" i="40" s="1"/>
  <c r="AC111" i="37"/>
  <c r="AC111" i="40" s="1"/>
  <c r="AC117" i="37"/>
  <c r="AC117" i="40" s="1"/>
  <c r="AC371" i="37"/>
  <c r="AC371" i="40" s="1"/>
  <c r="AC370" i="37"/>
  <c r="AC370" i="40" s="1"/>
  <c r="AC176" i="37"/>
  <c r="AC176" i="40" s="1"/>
  <c r="AC171" i="37"/>
  <c r="AC171" i="40" s="1"/>
  <c r="AC169" i="37"/>
  <c r="AC169" i="40" s="1"/>
  <c r="AC19" i="37"/>
  <c r="AC19" i="40" s="1"/>
  <c r="AC7" i="37"/>
  <c r="AC7" i="40" s="1"/>
  <c r="AC435" i="37"/>
  <c r="AC435" i="40" s="1"/>
  <c r="AC446" i="37"/>
  <c r="AC446" i="40" s="1"/>
  <c r="AC200" i="37"/>
  <c r="AC200" i="40" s="1"/>
  <c r="AC214" i="37"/>
  <c r="AC214" i="40" s="1"/>
  <c r="AC202" i="37"/>
  <c r="AC202" i="40" s="1"/>
  <c r="AC256" i="37"/>
  <c r="AC256" i="40" s="1"/>
  <c r="AC264" i="37"/>
  <c r="AC264" i="40" s="1"/>
  <c r="AC255" i="37"/>
  <c r="AC95"/>
  <c r="AC95" i="40" s="1"/>
  <c r="AC106" i="37"/>
  <c r="AC106" i="40" s="1"/>
  <c r="AC90" i="37"/>
  <c r="AC90" i="40" s="1"/>
  <c r="AC80" i="37"/>
  <c r="AC80" i="40" s="1"/>
  <c r="AC74" i="37"/>
  <c r="AC74" i="40" s="1"/>
  <c r="AC79" i="37"/>
  <c r="AC79" i="40" s="1"/>
  <c r="AC321" i="37"/>
  <c r="AC321" i="40" s="1"/>
  <c r="AC310" i="37"/>
  <c r="AC310" i="40" s="1"/>
  <c r="AC44" i="37"/>
  <c r="AC44" i="40" s="1"/>
  <c r="AC47" i="37"/>
  <c r="AC53"/>
  <c r="AC53" i="40" s="1"/>
  <c r="AC383" i="37"/>
  <c r="AC383" i="40" s="1"/>
  <c r="AC379" i="37"/>
  <c r="AC379" i="40" s="1"/>
  <c r="AC386" i="37"/>
  <c r="AC386" i="40" s="1"/>
  <c r="AC160" i="37"/>
  <c r="AC160" i="40" s="1"/>
  <c r="AC164" i="37"/>
  <c r="AC164" i="40" s="1"/>
  <c r="AC18" i="37"/>
  <c r="AC18" i="40" s="1"/>
  <c r="AC444" i="37"/>
  <c r="AC444" i="40" s="1"/>
  <c r="AC442" i="37"/>
  <c r="AC442" i="40" s="1"/>
  <c r="AC208" i="37"/>
  <c r="AC208" i="40" s="1"/>
  <c r="AC215" i="37"/>
  <c r="AC215" i="40" s="1"/>
  <c r="AC205" i="37"/>
  <c r="AC205" i="40" s="1"/>
  <c r="AC257" i="37"/>
  <c r="AC257" i="40" s="1"/>
  <c r="AC247" i="37"/>
  <c r="AC247" i="40" s="1"/>
  <c r="AC245" i="37"/>
  <c r="AC245" i="40" s="1"/>
  <c r="AC99" i="37"/>
  <c r="AC99" i="40" s="1"/>
  <c r="AC103" i="37"/>
  <c r="AC103" i="40" s="1"/>
  <c r="AC76" i="37"/>
  <c r="AC76" i="40" s="1"/>
  <c r="AC73" i="37"/>
  <c r="AC73" i="40" s="1"/>
  <c r="AC77" i="37"/>
  <c r="AC77" i="40" s="1"/>
  <c r="AC315" i="37"/>
  <c r="AC315" i="40" s="1"/>
  <c r="AC318" i="37"/>
  <c r="AC318" i="40" s="1"/>
  <c r="AC52" i="37"/>
  <c r="AC52" i="40" s="1"/>
  <c r="AC50" i="37"/>
  <c r="AC50" i="40" s="1"/>
  <c r="AC61" i="37"/>
  <c r="AC61" i="40" s="1"/>
  <c r="AC391" i="37"/>
  <c r="AC391" i="40" s="1"/>
  <c r="AC387" i="37"/>
  <c r="AC387" i="40" s="1"/>
  <c r="AC393" i="37"/>
  <c r="AC393" i="40" s="1"/>
  <c r="AC162" i="37"/>
  <c r="AC162" i="40" s="1"/>
  <c r="AC14" i="37"/>
  <c r="AC14" i="40" s="1"/>
  <c r="AC233" i="37"/>
  <c r="AC233" i="40" s="1"/>
  <c r="AC228" i="37"/>
  <c r="AC228" i="40" s="1"/>
  <c r="AC237" i="37"/>
  <c r="AC237" i="40" s="1"/>
  <c r="AN188" i="37"/>
  <c r="AC196"/>
  <c r="AC196" i="40" s="1"/>
  <c r="AC190" i="37"/>
  <c r="AC190" i="40" s="1"/>
  <c r="AC191" i="37"/>
  <c r="AC191" i="40" s="1"/>
  <c r="AC43" i="37"/>
  <c r="AC43" i="40" s="1"/>
  <c r="AC34" i="37"/>
  <c r="AC34" i="40" s="1"/>
  <c r="AC487" i="37"/>
  <c r="AC487" i="40" s="1"/>
  <c r="AC479" i="37"/>
  <c r="AC479" i="40" s="1"/>
  <c r="AC477" i="37"/>
  <c r="AC477" i="40" s="1"/>
  <c r="AC468" i="37"/>
  <c r="AC466"/>
  <c r="AC466" i="40" s="1"/>
  <c r="AC460" i="37"/>
  <c r="AC460" i="40" s="1"/>
  <c r="AC453" i="37"/>
  <c r="AC453" i="40" s="1"/>
  <c r="AC267" i="37"/>
  <c r="AC267" i="40" s="1"/>
  <c r="AC270" i="37"/>
  <c r="AC270" i="40" s="1"/>
  <c r="AC427" i="37"/>
  <c r="AC427" i="40" s="1"/>
  <c r="AC418" i="37"/>
  <c r="AC418" i="40" s="1"/>
  <c r="AC288" i="37"/>
  <c r="AC288" i="40" s="1"/>
  <c r="AC292" i="37"/>
  <c r="AC292" i="40" s="1"/>
  <c r="AC290" i="37"/>
  <c r="AC290" i="40" s="1"/>
  <c r="AC409" i="37"/>
  <c r="AC409" i="40" s="1"/>
  <c r="AC407" i="37"/>
  <c r="AC407" i="40" s="1"/>
  <c r="AC135" i="37"/>
  <c r="AC135" i="40" s="1"/>
  <c r="AC140" i="37"/>
  <c r="AC140" i="40" s="1"/>
  <c r="AC146" i="37"/>
  <c r="AC146" i="40" s="1"/>
  <c r="AC328" i="37"/>
  <c r="AC328" i="40" s="1"/>
  <c r="AC348" i="37"/>
  <c r="AC348" i="40" s="1"/>
  <c r="AC330" i="37"/>
  <c r="AC330" i="40" s="1"/>
  <c r="AC129" i="37"/>
  <c r="AC129" i="40" s="1"/>
  <c r="AC118" i="37"/>
  <c r="AC118" i="40" s="1"/>
  <c r="AC119" i="37"/>
  <c r="AC119" i="40" s="1"/>
  <c r="AC368" i="37"/>
  <c r="AC368" i="40" s="1"/>
  <c r="AC353" i="37"/>
  <c r="AC353" i="40" s="1"/>
  <c r="AC365" i="37"/>
  <c r="AC365" i="40" s="1"/>
  <c r="AC168" i="37"/>
  <c r="AC168" i="40" s="1"/>
  <c r="AC175" i="37"/>
  <c r="AC175" i="40" s="1"/>
  <c r="AC157" i="37"/>
  <c r="AC157" i="40" s="1"/>
  <c r="AC8" i="37"/>
  <c r="AC8" i="40" s="1"/>
  <c r="AC22" i="37"/>
  <c r="AC22" i="40" s="1"/>
  <c r="AC5" i="37"/>
  <c r="AC5" i="40" s="1"/>
  <c r="AC436" i="37"/>
  <c r="AC437"/>
  <c r="AC437" i="40" s="1"/>
  <c r="AC199" i="37"/>
  <c r="AC199" i="40" s="1"/>
  <c r="AC204" i="37"/>
  <c r="AC204" i="40" s="1"/>
  <c r="AC210" i="37"/>
  <c r="AC210" i="40" s="1"/>
  <c r="AC252" i="37"/>
  <c r="AC252" i="40" s="1"/>
  <c r="AC254" i="37"/>
  <c r="AC254" i="40" s="1"/>
  <c r="AC250" i="37"/>
  <c r="AC250" i="40" s="1"/>
  <c r="AC88" i="37"/>
  <c r="AC88" i="40" s="1"/>
  <c r="AC94" i="37"/>
  <c r="AC94" i="40" s="1"/>
  <c r="AC98" i="37"/>
  <c r="AC98" i="40" s="1"/>
  <c r="AC75" i="37"/>
  <c r="AC75" i="40" s="1"/>
  <c r="AC69" i="37"/>
  <c r="AC69" i="40" s="1"/>
  <c r="AC85" i="37"/>
  <c r="AC85" i="40" s="1"/>
  <c r="AC316" i="37"/>
  <c r="AC316" i="40" s="1"/>
  <c r="AC317" i="37"/>
  <c r="AC317" i="40" s="1"/>
  <c r="AC51" i="37"/>
  <c r="AC51" i="40" s="1"/>
  <c r="AC45" i="37"/>
  <c r="AC45" i="40" s="1"/>
  <c r="AC375" i="37"/>
  <c r="AC375" i="40" s="1"/>
  <c r="AC390" i="37"/>
  <c r="AC172"/>
  <c r="AC172" i="40" s="1"/>
  <c r="AC158" i="37"/>
  <c r="AC158" i="40" s="1"/>
  <c r="AC159" i="37"/>
  <c r="AC159" i="40" s="1"/>
  <c r="AC9" i="37"/>
  <c r="AC9" i="40" s="1"/>
  <c r="AC17" i="37"/>
  <c r="AC17" i="40" s="1"/>
  <c r="AC20" i="37"/>
  <c r="AC20" i="40" s="1"/>
  <c r="AC443" i="37"/>
  <c r="AC443" i="40" s="1"/>
  <c r="AC445" i="37"/>
  <c r="AC445" i="40" s="1"/>
  <c r="AC219" i="37"/>
  <c r="AC219" i="40" s="1"/>
  <c r="AC212" i="37"/>
  <c r="AC212" i="40" s="1"/>
  <c r="AC209" i="37"/>
  <c r="AC243"/>
  <c r="AC243" i="40" s="1"/>
  <c r="AC262" i="37"/>
  <c r="AC262" i="40" s="1"/>
  <c r="AC258" i="37"/>
  <c r="AC258" i="40" s="1"/>
  <c r="AC96" i="37"/>
  <c r="AC96" i="40" s="1"/>
  <c r="AC87" i="37"/>
  <c r="AC87" i="40" s="1"/>
  <c r="AC102" i="37"/>
  <c r="AC102" i="40" s="1"/>
  <c r="AC83" i="37"/>
  <c r="AC83" i="40" s="1"/>
  <c r="AC70" i="37"/>
  <c r="AC319"/>
  <c r="AC319" i="40" s="1"/>
  <c r="AC309" i="37"/>
  <c r="AC309" i="40" s="1"/>
  <c r="AC49" i="37"/>
  <c r="AC49" i="40" s="1"/>
  <c r="AC55" i="37"/>
  <c r="AC55" i="40" s="1"/>
  <c r="AC376" i="37"/>
  <c r="AC376" i="40" s="1"/>
  <c r="AC374" i="37"/>
  <c r="AC374" i="40" s="1"/>
  <c r="AC389" i="37"/>
  <c r="AC389" i="40" s="1"/>
  <c r="AC148" i="37"/>
  <c r="AC148" i="40" s="1"/>
  <c r="AC154" i="37"/>
  <c r="AC154" i="40" s="1"/>
  <c r="AC149" i="37"/>
  <c r="AC149" i="40" s="1"/>
  <c r="AC327" i="37"/>
  <c r="AC327" i="40" s="1"/>
  <c r="AC347" i="37"/>
  <c r="AC347" i="40" s="1"/>
  <c r="AC341" i="37"/>
  <c r="AC341" i="40" s="1"/>
  <c r="AC115" i="37"/>
  <c r="AC130"/>
  <c r="AC130" i="40" s="1"/>
  <c r="AC109" i="37"/>
  <c r="AC109" i="40" s="1"/>
  <c r="AC369" i="37"/>
  <c r="AC369" i="40" s="1"/>
  <c r="AC364" i="37"/>
  <c r="AC364" i="40" s="1"/>
  <c r="AC357" i="37"/>
  <c r="AC357" i="40" s="1"/>
  <c r="AC156" i="37"/>
  <c r="AC156" i="40" s="1"/>
  <c r="AC166" i="37"/>
  <c r="AC166" i="40" s="1"/>
  <c r="AC165" i="37"/>
  <c r="AC165" i="40" s="1"/>
  <c r="AC16" i="37"/>
  <c r="AC16" i="40" s="1"/>
  <c r="AC15" i="37"/>
  <c r="AC15" i="40" s="1"/>
  <c r="AC13" i="37"/>
  <c r="AC13" i="40" s="1"/>
  <c r="AC438" i="37"/>
  <c r="AC438" i="40" s="1"/>
  <c r="AC439" i="37"/>
  <c r="AC439" i="40" s="1"/>
  <c r="AC217" i="37"/>
  <c r="AC217" i="40" s="1"/>
  <c r="AC207" i="37"/>
  <c r="AC207" i="40" s="1"/>
  <c r="AC213" i="37"/>
  <c r="AC213" i="40" s="1"/>
  <c r="AC251" i="37"/>
  <c r="AC251" i="40" s="1"/>
  <c r="AC261" i="37"/>
  <c r="AC261" i="40" s="1"/>
  <c r="AC253" i="37"/>
  <c r="AC253" i="40" s="1"/>
  <c r="AC104" i="37"/>
  <c r="AC104" i="40" s="1"/>
  <c r="AC89" i="37"/>
  <c r="AC89" i="40" s="1"/>
  <c r="AC86" i="37"/>
  <c r="AC86" i="40" s="1"/>
  <c r="AC71" i="37"/>
  <c r="AC71" i="40" s="1"/>
  <c r="AC84" i="37"/>
  <c r="AC84" i="40" s="1"/>
  <c r="AC312" i="37"/>
  <c r="AC312" i="40" s="1"/>
  <c r="AC323" i="37"/>
  <c r="AC323" i="40" s="1"/>
  <c r="AC314" i="37"/>
  <c r="AC314" i="40" s="1"/>
  <c r="AC57" i="37"/>
  <c r="AC57" i="40" s="1"/>
  <c r="AC62" i="37"/>
  <c r="AC62" i="40" s="1"/>
  <c r="AC58" i="37"/>
  <c r="AC58" i="40" s="1"/>
  <c r="AC384" i="37"/>
  <c r="AC384" i="40" s="1"/>
  <c r="AC382" i="37"/>
  <c r="AC382" i="40" s="1"/>
  <c r="AC394" i="37"/>
  <c r="AC394" i="40" s="1"/>
  <c r="AE443" i="37"/>
  <c r="AE443" i="40" s="1"/>
  <c r="AC224" i="37"/>
  <c r="AC224" i="40" s="1"/>
  <c r="AC222" i="37"/>
  <c r="AC222" i="40" s="1"/>
  <c r="AC221" i="37"/>
  <c r="AC221" i="40" s="1"/>
  <c r="AE360" i="37"/>
  <c r="AE360" i="40" s="1"/>
  <c r="AC185" i="37"/>
  <c r="AC185" i="40" s="1"/>
  <c r="AC178" i="37"/>
  <c r="AC178" i="40" s="1"/>
  <c r="AC189" i="37"/>
  <c r="AC189" i="40" s="1"/>
  <c r="AH430" i="37"/>
  <c r="AG430" i="40" s="1"/>
  <c r="AE453" i="37"/>
  <c r="AE453" i="40" s="1"/>
  <c r="AC24" i="37"/>
  <c r="AC24" i="40" s="1"/>
  <c r="AC27" i="37"/>
  <c r="AC27" i="40" s="1"/>
  <c r="AC23" i="37"/>
  <c r="AC23" i="40" s="1"/>
  <c r="AC494" i="37"/>
  <c r="AC494" i="40" s="1"/>
  <c r="AC491" i="37"/>
  <c r="AC491" i="40" s="1"/>
  <c r="AC486" i="37"/>
  <c r="AC486" i="40" s="1"/>
  <c r="AC467" i="37"/>
  <c r="AC467" i="40" s="1"/>
  <c r="AC452" i="37"/>
  <c r="AC458"/>
  <c r="AC458" i="40" s="1"/>
  <c r="AC272" i="37"/>
  <c r="AC272" i="40" s="1"/>
  <c r="AC283" i="37"/>
  <c r="AC283" i="40" s="1"/>
  <c r="AC269" i="37"/>
  <c r="AC269" i="40" s="1"/>
  <c r="AC420" i="37"/>
  <c r="AC420" i="40" s="1"/>
  <c r="AC289" i="37"/>
  <c r="AC289" i="40" s="1"/>
  <c r="AC300" i="37"/>
  <c r="AC298"/>
  <c r="AC298" i="40" s="1"/>
  <c r="AC416" i="37"/>
  <c r="AC416" i="40" s="1"/>
  <c r="AC398" i="37"/>
  <c r="AC398" i="40" s="1"/>
  <c r="AC401" i="37"/>
  <c r="AC401" i="40" s="1"/>
  <c r="AC139" i="37"/>
  <c r="AC142"/>
  <c r="AC142" i="40" s="1"/>
  <c r="AC343" i="37"/>
  <c r="AC343" i="40" s="1"/>
  <c r="AC342" i="37"/>
  <c r="AC338"/>
  <c r="AC338" i="40" s="1"/>
  <c r="AC131" i="37"/>
  <c r="AC131" i="40" s="1"/>
  <c r="AC116" i="37"/>
  <c r="AC116" i="40" s="1"/>
  <c r="AC361" i="37"/>
  <c r="AC361" i="40" s="1"/>
  <c r="AC350" i="37"/>
  <c r="AC350" i="40" s="1"/>
  <c r="AC358" i="37"/>
  <c r="AC358" i="40" s="1"/>
  <c r="AC155" i="37"/>
  <c r="AC155" i="40" s="1"/>
  <c r="AC174" i="37"/>
  <c r="AC174" i="40" s="1"/>
  <c r="AC173" i="37"/>
  <c r="AC173" i="40" s="1"/>
  <c r="AC4" i="37"/>
  <c r="AC4" i="40" s="1"/>
  <c r="AC6" i="37"/>
  <c r="AC6" i="40" s="1"/>
  <c r="AC21" i="37"/>
  <c r="AC21" i="40" s="1"/>
  <c r="AC441" i="37"/>
  <c r="AC441" i="40" s="1"/>
  <c r="AC203" i="37"/>
  <c r="AC203" i="40" s="1"/>
  <c r="AC220" i="37"/>
  <c r="AC220" i="40" s="1"/>
  <c r="AC260" i="37"/>
  <c r="AC260" i="40" s="1"/>
  <c r="AC246" i="37"/>
  <c r="AC246" i="40" s="1"/>
  <c r="AC107" i="37"/>
  <c r="AC107" i="40" s="1"/>
  <c r="AC100" i="37"/>
  <c r="AC100" i="40" s="1"/>
  <c r="AC93" i="37"/>
  <c r="AC93" i="40" s="1"/>
  <c r="AC68" i="37"/>
  <c r="AC68" i="40" s="1"/>
  <c r="AC82" i="37"/>
  <c r="AC82" i="40" s="1"/>
  <c r="AC320" i="37"/>
  <c r="AC320" i="40" s="1"/>
  <c r="AC324" i="37"/>
  <c r="AC324" i="40" s="1"/>
  <c r="AC311" i="37"/>
  <c r="AC311" i="40" s="1"/>
  <c r="AC48" i="37"/>
  <c r="AC48" i="40" s="1"/>
  <c r="AC60" i="37"/>
  <c r="AC60" i="40" s="1"/>
  <c r="AC63" i="37"/>
  <c r="AC63" i="40" s="1"/>
  <c r="AC392" i="37"/>
  <c r="AC392" i="40" s="1"/>
  <c r="AC377" i="37"/>
  <c r="AC377" i="40" s="1"/>
  <c r="AC378" i="37"/>
  <c r="AC378" i="40" s="1"/>
  <c r="AE236" i="37"/>
  <c r="AE236" i="40" s="1"/>
  <c r="AC232" i="37"/>
  <c r="AI241"/>
  <c r="AH241" i="40" s="1"/>
  <c r="AC241" i="37"/>
  <c r="AC241" i="40" s="1"/>
  <c r="AC226" i="37"/>
  <c r="AC226" i="40" s="1"/>
  <c r="AC187" i="37"/>
  <c r="AC187" i="40" s="1"/>
  <c r="AC183" i="37"/>
  <c r="AC183" i="40" s="1"/>
  <c r="AH424" i="37"/>
  <c r="AG424" i="40" s="1"/>
  <c r="AN301" i="37"/>
  <c r="AE259"/>
  <c r="AE259" i="40" s="1"/>
  <c r="AF259" s="1"/>
  <c r="AN398" i="37"/>
  <c r="AN7"/>
  <c r="AE455"/>
  <c r="AE455" i="40" s="1"/>
  <c r="AE450" i="37"/>
  <c r="AE450" i="40" s="1"/>
  <c r="AN135" i="37"/>
  <c r="AC32"/>
  <c r="AC32" i="40" s="1"/>
  <c r="AC30" i="37"/>
  <c r="AC30" i="40" s="1"/>
  <c r="AC36" i="37"/>
  <c r="AC36" i="40" s="1"/>
  <c r="AC497" i="37"/>
  <c r="AC497" i="40" s="1"/>
  <c r="AC484" i="37"/>
  <c r="AC463"/>
  <c r="AC463" i="40" s="1"/>
  <c r="AC447" i="37"/>
  <c r="AC447" i="40" s="1"/>
  <c r="AC461" i="37"/>
  <c r="AC461" i="40" s="1"/>
  <c r="AC281" i="37"/>
  <c r="AC281" i="40" s="1"/>
  <c r="AC280" i="37"/>
  <c r="AC280" i="40" s="1"/>
  <c r="AC274" i="37"/>
  <c r="AC274" i="40" s="1"/>
  <c r="AC424" i="37"/>
  <c r="AC424" i="40" s="1"/>
  <c r="AC422" i="37"/>
  <c r="AC422" i="40" s="1"/>
  <c r="AC287" i="37"/>
  <c r="AC287" i="40" s="1"/>
  <c r="AC303" i="37"/>
  <c r="AC303" i="40" s="1"/>
  <c r="AC301" i="37"/>
  <c r="AC301" i="40" s="1"/>
  <c r="AC395" i="37"/>
  <c r="AC395" i="40" s="1"/>
  <c r="AC415" i="37"/>
  <c r="AC415" i="40" s="1"/>
  <c r="AC396" i="37"/>
  <c r="AC396" i="40" s="1"/>
  <c r="AC152" i="37"/>
  <c r="AC152" i="40" s="1"/>
  <c r="AC143" i="37"/>
  <c r="AC143" i="40" s="1"/>
  <c r="AC138" i="37"/>
  <c r="AC138" i="40" s="1"/>
  <c r="AC331" i="37"/>
  <c r="AC331" i="40" s="1"/>
  <c r="AC334" i="37"/>
  <c r="AC334" i="40" s="1"/>
  <c r="AC333" i="37"/>
  <c r="AC333" i="40" s="1"/>
  <c r="AC112" i="37"/>
  <c r="AC112" i="40" s="1"/>
  <c r="AC126" i="37"/>
  <c r="AC126" i="40" s="1"/>
  <c r="AC110" i="37"/>
  <c r="AC110" i="40" s="1"/>
  <c r="AC367" i="37"/>
  <c r="AC367" i="40" s="1"/>
  <c r="AC359" i="37"/>
  <c r="AC359" i="40" s="1"/>
  <c r="AC362" i="37"/>
  <c r="AC362" i="40" s="1"/>
  <c r="AC163" i="37"/>
  <c r="AC161"/>
  <c r="AC161" i="40" s="1"/>
  <c r="AC3" i="37"/>
  <c r="AC10"/>
  <c r="AC10" i="40" s="1"/>
  <c r="AC440" i="37"/>
  <c r="AC440" i="40" s="1"/>
  <c r="AC434" i="37"/>
  <c r="AC434" i="40" s="1"/>
  <c r="AC211" i="37"/>
  <c r="AC211" i="40" s="1"/>
  <c r="AC218" i="37"/>
  <c r="AC218" i="40" s="1"/>
  <c r="AC249" i="37"/>
  <c r="AC249" i="40" s="1"/>
  <c r="AC259" i="37"/>
  <c r="AC259" i="40" s="1"/>
  <c r="AC108" i="37"/>
  <c r="AC108" i="40" s="1"/>
  <c r="AC97" i="37"/>
  <c r="AC97" i="40" s="1"/>
  <c r="AC101" i="37"/>
  <c r="AC101" i="40" s="1"/>
  <c r="AC67" i="37"/>
  <c r="AC67" i="40" s="1"/>
  <c r="AC78" i="37"/>
  <c r="AC78" i="40" s="1"/>
  <c r="AC307" i="37"/>
  <c r="AC307" i="40" s="1"/>
  <c r="AC308" i="37"/>
  <c r="AC308" i="40" s="1"/>
  <c r="AC322" i="37"/>
  <c r="AC56"/>
  <c r="AC56" i="40" s="1"/>
  <c r="AC54" i="37"/>
  <c r="AC54" i="40" s="1"/>
  <c r="AC65" i="37"/>
  <c r="AC65" i="40" s="1"/>
  <c r="AC372" i="37"/>
  <c r="AC372" i="40" s="1"/>
  <c r="AC385" i="37"/>
  <c r="AC385" i="40" s="1"/>
  <c r="AC373" i="37"/>
  <c r="AC373" i="40" s="1"/>
  <c r="AC279" i="37"/>
  <c r="AC279" i="40" s="1"/>
  <c r="AC273" i="37"/>
  <c r="AC273" i="40" s="1"/>
  <c r="AC278" i="37"/>
  <c r="AC428"/>
  <c r="AC428" i="40" s="1"/>
  <c r="AC430" i="37"/>
  <c r="AC430" i="40" s="1"/>
  <c r="AC295" i="37"/>
  <c r="AC295" i="40" s="1"/>
  <c r="AC302" i="37"/>
  <c r="AC302" i="40" s="1"/>
  <c r="AC403" i="37"/>
  <c r="AC403" i="40" s="1"/>
  <c r="AC399" i="37"/>
  <c r="AC399" i="40" s="1"/>
  <c r="AC404" i="37"/>
  <c r="AC404" i="40" s="1"/>
  <c r="AC136" i="37"/>
  <c r="AC136" i="40" s="1"/>
  <c r="AC145" i="37"/>
  <c r="AC145" i="40" s="1"/>
  <c r="AC151" i="37"/>
  <c r="AC151" i="40" s="1"/>
  <c r="AC332" i="37"/>
  <c r="AC332" i="40" s="1"/>
  <c r="AC337" i="37"/>
  <c r="AC337" i="40" s="1"/>
  <c r="AC121" i="37"/>
  <c r="AC121" i="40" s="1"/>
  <c r="AC124" i="37"/>
  <c r="AC124" i="40" s="1"/>
  <c r="AC114" i="37"/>
  <c r="AC114" i="40" s="1"/>
  <c r="AC363" i="37"/>
  <c r="AC363" i="40" s="1"/>
  <c r="AC366" i="37"/>
  <c r="AC351"/>
  <c r="AC351" i="40" s="1"/>
  <c r="AC167" i="37"/>
  <c r="AC167" i="40" s="1"/>
  <c r="AC170" i="37"/>
  <c r="AC170" i="40" s="1"/>
  <c r="AC11" i="37"/>
  <c r="AC11" i="40" s="1"/>
  <c r="AC12" i="37"/>
  <c r="AC12" i="40" s="1"/>
  <c r="AC432" i="37"/>
  <c r="AC432" i="40" s="1"/>
  <c r="AC433" i="37"/>
  <c r="AC433" i="40" s="1"/>
  <c r="AC216" i="37"/>
  <c r="AC216" i="40" s="1"/>
  <c r="AC201" i="37"/>
  <c r="AC201" i="40" s="1"/>
  <c r="AC206" i="37"/>
  <c r="AC206" i="40" s="1"/>
  <c r="AC248" i="37"/>
  <c r="AC248" i="40" s="1"/>
  <c r="AC244" i="37"/>
  <c r="AC244" i="40" s="1"/>
  <c r="AC263" i="37"/>
  <c r="AC263" i="40" s="1"/>
  <c r="AC91" i="37"/>
  <c r="AC105"/>
  <c r="AC105" i="40" s="1"/>
  <c r="AC92" i="37"/>
  <c r="AC92" i="40" s="1"/>
  <c r="AC72" i="37"/>
  <c r="AC72" i="40" s="1"/>
  <c r="AC81" i="37"/>
  <c r="AC81" i="40" s="1"/>
  <c r="AC66" i="37"/>
  <c r="AC66" i="40" s="1"/>
  <c r="AC313" i="37"/>
  <c r="AC313" i="40" s="1"/>
  <c r="AC325" i="37"/>
  <c r="AC325" i="40" s="1"/>
  <c r="AC64" i="37"/>
  <c r="AC64" i="40" s="1"/>
  <c r="AC59" i="37"/>
  <c r="AC59" i="40" s="1"/>
  <c r="AC46" i="37"/>
  <c r="AC46" i="40" s="1"/>
  <c r="AC380" i="37"/>
  <c r="AC380" i="40" s="1"/>
  <c r="AC388" i="37"/>
  <c r="AC388" i="40" s="1"/>
  <c r="AC381" i="37"/>
  <c r="AC381" i="40" s="1"/>
  <c r="AC2" i="37"/>
  <c r="AC2" i="40" s="1"/>
  <c r="AE230" i="37"/>
  <c r="AE230" i="40" s="1"/>
  <c r="AM550" i="37"/>
  <c r="AL576"/>
  <c r="AL578"/>
  <c r="AM567"/>
  <c r="AM551"/>
  <c r="AM548"/>
  <c r="AM563"/>
  <c r="AM559"/>
  <c r="AM565"/>
  <c r="AM544"/>
  <c r="AL572"/>
  <c r="AM557"/>
  <c r="AM570"/>
  <c r="AL570"/>
  <c r="AM571"/>
  <c r="AL571"/>
  <c r="AL573"/>
  <c r="AM549"/>
  <c r="AL569"/>
  <c r="AM558"/>
  <c r="AM556"/>
  <c r="AM575"/>
  <c r="AL575"/>
  <c r="AM574"/>
  <c r="AL574"/>
  <c r="AM568"/>
  <c r="AL568"/>
  <c r="AM577"/>
  <c r="AL577"/>
  <c r="AM554"/>
  <c r="AM547"/>
  <c r="AL579"/>
  <c r="AO451"/>
  <c r="AK423"/>
  <c r="AM423" s="1"/>
  <c r="AK228"/>
  <c r="AM228" s="1"/>
  <c r="AN177"/>
  <c r="AH316"/>
  <c r="AG316" i="40" s="1"/>
  <c r="AD316" i="37"/>
  <c r="AD316" i="40" s="1"/>
  <c r="AF316" s="1"/>
  <c r="AN200" i="37"/>
  <c r="AN74"/>
  <c r="AN217"/>
  <c r="AD301"/>
  <c r="AD301" i="40" s="1"/>
  <c r="AI313" i="37"/>
  <c r="AH313" i="40" s="1"/>
  <c r="AN144" i="37"/>
  <c r="AD144"/>
  <c r="AD144" i="40" s="1"/>
  <c r="AI289" i="37"/>
  <c r="AH289" i="40" s="1"/>
  <c r="AI289" s="1"/>
  <c r="AK289" s="1"/>
  <c r="AE289" i="37"/>
  <c r="AE289" i="40" s="1"/>
  <c r="AN281" i="37"/>
  <c r="AH281"/>
  <c r="AG281" i="40" s="1"/>
  <c r="AN358" i="37"/>
  <c r="AH358"/>
  <c r="AG358" i="40" s="1"/>
  <c r="AD358" i="37"/>
  <c r="AD358" i="40" s="1"/>
  <c r="AF358" s="1"/>
  <c r="AH235" i="37"/>
  <c r="AG235" i="40" s="1"/>
  <c r="AI235" s="1"/>
  <c r="AK235" s="1"/>
  <c r="AD235" i="37"/>
  <c r="AD235" i="40" s="1"/>
  <c r="AF235" s="1"/>
  <c r="AH297" i="37"/>
  <c r="AG297" i="40" s="1"/>
  <c r="AD297" i="37"/>
  <c r="AD297" i="40" s="1"/>
  <c r="AF297" s="1"/>
  <c r="AI358" i="37"/>
  <c r="AH358" i="40" s="1"/>
  <c r="AN329" i="37"/>
  <c r="AD329"/>
  <c r="AD329" i="40" s="1"/>
  <c r="AI501" i="37"/>
  <c r="AH501" i="40" s="1"/>
  <c r="AI501" s="1"/>
  <c r="AK501" s="1"/>
  <c r="AE501" i="37"/>
  <c r="AE501" i="40" s="1"/>
  <c r="AF501" s="1"/>
  <c r="AD286" i="37"/>
  <c r="AD286" i="40" s="1"/>
  <c r="AF286" s="1"/>
  <c r="AH286" i="37"/>
  <c r="AG286" i="40" s="1"/>
  <c r="AN250" i="37"/>
  <c r="AH250"/>
  <c r="AG250" i="40" s="1"/>
  <c r="AI450" i="37"/>
  <c r="AH450" i="40" s="1"/>
  <c r="AN87" i="37"/>
  <c r="AN372"/>
  <c r="AN183"/>
  <c r="AN180"/>
  <c r="AN112"/>
  <c r="AN404"/>
  <c r="AN410"/>
  <c r="AO423"/>
  <c r="AE306"/>
  <c r="AE306" i="40" s="1"/>
  <c r="AE246" i="37"/>
  <c r="AE246" i="40" s="1"/>
  <c r="AF246" s="1"/>
  <c r="AH151" i="37"/>
  <c r="AG151" i="40" s="1"/>
  <c r="AN151" i="37"/>
  <c r="AH150"/>
  <c r="AG150" i="40" s="1"/>
  <c r="AN150" i="37"/>
  <c r="AO455"/>
  <c r="AH355"/>
  <c r="AG355" i="40" s="1"/>
  <c r="AN355" i="37"/>
  <c r="AD355"/>
  <c r="AD355" i="40" s="1"/>
  <c r="AF355" s="1"/>
  <c r="AD302" i="37"/>
  <c r="AD302" i="40" s="1"/>
  <c r="AN302" i="37"/>
  <c r="AK438"/>
  <c r="AD333"/>
  <c r="AD333" i="40" s="1"/>
  <c r="AN333" i="37"/>
  <c r="AH333"/>
  <c r="AG333" i="40" s="1"/>
  <c r="AH334" i="37"/>
  <c r="AG334" i="40" s="1"/>
  <c r="AN334" i="37"/>
  <c r="AD334"/>
  <c r="AD334" i="40" s="1"/>
  <c r="AN300" i="37"/>
  <c r="AD300"/>
  <c r="AD300" i="40" s="1"/>
  <c r="AN282" i="37"/>
  <c r="AH282"/>
  <c r="AG282" i="40" s="1"/>
  <c r="AI282" s="1"/>
  <c r="AK282" s="1"/>
  <c r="AI502" i="37"/>
  <c r="AH502" i="40" s="1"/>
  <c r="AI502" s="1"/>
  <c r="AK502" s="1"/>
  <c r="AE502" i="37"/>
  <c r="AE502" i="40" s="1"/>
  <c r="AF502" s="1"/>
  <c r="AI452" i="37"/>
  <c r="AH452" i="40" s="1"/>
  <c r="AH287" i="37"/>
  <c r="AG287" i="40" s="1"/>
  <c r="AD287" i="37"/>
  <c r="AD287" i="40" s="1"/>
  <c r="AF287" s="1"/>
  <c r="AH310" i="37"/>
  <c r="AG310" i="40" s="1"/>
  <c r="AD310" i="37"/>
  <c r="AD310" i="40" s="1"/>
  <c r="AN244" i="37"/>
  <c r="AN259"/>
  <c r="AI320"/>
  <c r="AE241"/>
  <c r="AE241" i="40" s="1"/>
  <c r="AE357" i="37"/>
  <c r="AE357" i="40" s="1"/>
  <c r="AN433" i="37"/>
  <c r="AD433"/>
  <c r="AD433" i="40" s="1"/>
  <c r="AF433" s="1"/>
  <c r="AN441" i="37"/>
  <c r="AN228"/>
  <c r="AD228"/>
  <c r="AD228" i="40" s="1"/>
  <c r="AF228" s="1"/>
  <c r="AN351" i="37"/>
  <c r="AN354"/>
  <c r="AN132"/>
  <c r="AN163"/>
  <c r="AN161"/>
  <c r="AN382"/>
  <c r="AN264"/>
  <c r="AN269"/>
  <c r="AN472"/>
  <c r="AN21"/>
  <c r="AE141"/>
  <c r="AE141" i="40" s="1"/>
  <c r="AD325" i="37"/>
  <c r="AD325" i="40" s="1"/>
  <c r="AF325" s="1"/>
  <c r="AH444" i="37"/>
  <c r="AG444" i="40" s="1"/>
  <c r="AI444" s="1"/>
  <c r="AK444" s="1"/>
  <c r="AK279" i="37"/>
  <c r="AE235"/>
  <c r="AE235" i="40" s="1"/>
  <c r="AN140" i="37"/>
  <c r="AN142"/>
  <c r="AD142"/>
  <c r="AD142" i="40" s="1"/>
  <c r="AH142" i="37"/>
  <c r="AG142" i="40" s="1"/>
  <c r="AI250" i="37"/>
  <c r="AH250" i="40" s="1"/>
  <c r="AI250" s="1"/>
  <c r="AK250" s="1"/>
  <c r="AN359" i="37"/>
  <c r="AE136"/>
  <c r="AE136" i="40" s="1"/>
  <c r="AD361" i="37"/>
  <c r="AD361" i="40" s="1"/>
  <c r="AF361" s="1"/>
  <c r="AN361" i="37"/>
  <c r="AH361"/>
  <c r="AG361" i="40" s="1"/>
  <c r="AH111" i="37"/>
  <c r="AG111" i="40" s="1"/>
  <c r="AI111" s="1"/>
  <c r="AK111" s="1"/>
  <c r="AN111" i="37"/>
  <c r="AN70"/>
  <c r="AN485"/>
  <c r="AD314"/>
  <c r="AD314" i="40" s="1"/>
  <c r="AF314" s="1"/>
  <c r="AN314" i="37"/>
  <c r="AN2"/>
  <c r="AN189"/>
  <c r="AN197"/>
  <c r="AN64"/>
  <c r="AN82"/>
  <c r="AN227"/>
  <c r="AN171"/>
  <c r="AN182"/>
  <c r="AN107"/>
  <c r="AN100"/>
  <c r="AN408"/>
  <c r="AN413"/>
  <c r="AN207"/>
  <c r="AN190"/>
  <c r="AN68"/>
  <c r="AN483"/>
  <c r="AN481"/>
  <c r="AN89"/>
  <c r="AN86"/>
  <c r="AN370"/>
  <c r="AN216"/>
  <c r="AN222"/>
  <c r="AN15"/>
  <c r="AN14"/>
  <c r="AN48"/>
  <c r="AN344"/>
  <c r="AN338"/>
  <c r="AN116"/>
  <c r="AN167"/>
  <c r="AN158"/>
  <c r="AN381"/>
  <c r="AN263"/>
  <c r="AN262"/>
  <c r="AN475"/>
  <c r="AN28"/>
  <c r="AE285"/>
  <c r="AE285" i="40" s="1"/>
  <c r="AH259" i="37"/>
  <c r="AG259" i="40" s="1"/>
  <c r="AH307" i="37"/>
  <c r="AG307" i="40" s="1"/>
  <c r="AE325" i="37"/>
  <c r="AE325" i="40" s="1"/>
  <c r="AD139" i="37"/>
  <c r="AD139" i="40" s="1"/>
  <c r="AF139" s="1"/>
  <c r="AI233" i="37"/>
  <c r="AE233"/>
  <c r="AE233" i="40" s="1"/>
  <c r="AI305" i="37"/>
  <c r="AH305" i="40" s="1"/>
  <c r="AI305" s="1"/>
  <c r="AK305" s="1"/>
  <c r="AD283" i="37"/>
  <c r="AD283" i="40" s="1"/>
  <c r="AD298" i="37"/>
  <c r="AD298" i="40" s="1"/>
  <c r="AF298" s="1"/>
  <c r="AN105" i="37"/>
  <c r="AN192"/>
  <c r="AE358"/>
  <c r="AE358" i="40" s="1"/>
  <c r="AN71" i="37"/>
  <c r="AN490"/>
  <c r="AN187"/>
  <c r="AN109"/>
  <c r="AN406"/>
  <c r="AN484"/>
  <c r="AN368"/>
  <c r="AN209"/>
  <c r="AN40"/>
  <c r="AN97"/>
  <c r="AN202"/>
  <c r="AN488"/>
  <c r="AN477"/>
  <c r="AN77"/>
  <c r="AN90"/>
  <c r="AN369"/>
  <c r="AN220"/>
  <c r="AN218"/>
  <c r="AN3"/>
  <c r="AN10"/>
  <c r="AN55"/>
  <c r="AN41"/>
  <c r="AN395"/>
  <c r="AN348"/>
  <c r="AN337"/>
  <c r="AN125"/>
  <c r="AN155"/>
  <c r="AN166"/>
  <c r="AN388"/>
  <c r="AN265"/>
  <c r="AN266"/>
  <c r="AN458"/>
  <c r="AN33"/>
  <c r="AO296"/>
  <c r="AH329"/>
  <c r="AG329" i="40" s="1"/>
  <c r="AD150" i="37"/>
  <c r="AD150" i="40" s="1"/>
  <c r="AF150" s="1"/>
  <c r="AI229" i="37"/>
  <c r="AH229" i="40" s="1"/>
  <c r="AI229" s="1"/>
  <c r="AK229" s="1"/>
  <c r="AD249" i="37"/>
  <c r="AD249" i="40" s="1"/>
  <c r="AF249" s="1"/>
  <c r="AI139" i="37"/>
  <c r="AH139" i="40" s="1"/>
  <c r="AN172" i="37"/>
  <c r="AN412"/>
  <c r="AN69"/>
  <c r="AN184"/>
  <c r="AN103"/>
  <c r="AN198"/>
  <c r="AN482"/>
  <c r="AN85"/>
  <c r="AH211"/>
  <c r="AG211" i="40" s="1"/>
  <c r="AN211" i="37"/>
  <c r="AN47"/>
  <c r="AN38"/>
  <c r="AN399"/>
  <c r="AN342"/>
  <c r="AN131"/>
  <c r="AN157"/>
  <c r="AN277"/>
  <c r="AN461"/>
  <c r="AN36"/>
  <c r="AD424"/>
  <c r="AD424" i="40" s="1"/>
  <c r="AI231" i="37"/>
  <c r="AH231" i="40" s="1"/>
  <c r="AE280" i="37"/>
  <c r="AE280" i="40" s="1"/>
  <c r="AI280" i="37"/>
  <c r="AH280" i="40" s="1"/>
  <c r="AN134" i="37"/>
  <c r="AD134"/>
  <c r="AD134" i="40" s="1"/>
  <c r="AF134" s="1"/>
  <c r="AH134" i="37"/>
  <c r="AG134" i="40" s="1"/>
  <c r="AN357" i="37"/>
  <c r="AI137"/>
  <c r="AH137" i="40" s="1"/>
  <c r="AE145" i="37"/>
  <c r="AE145" i="40" s="1"/>
  <c r="AH312" i="37"/>
  <c r="AG312" i="40" s="1"/>
  <c r="AI312" s="1"/>
  <c r="AK312" s="1"/>
  <c r="AN312" i="37"/>
  <c r="AN179"/>
  <c r="AN58"/>
  <c r="AN479"/>
  <c r="AN403"/>
  <c r="AN93"/>
  <c r="AN6"/>
  <c r="AN174"/>
  <c r="AN99"/>
  <c r="AN191"/>
  <c r="AN186"/>
  <c r="AN98"/>
  <c r="AN419"/>
  <c r="AN195"/>
  <c r="AN65"/>
  <c r="AN491"/>
  <c r="AN366"/>
  <c r="AN210"/>
  <c r="AN12"/>
  <c r="AN352"/>
  <c r="AN128"/>
  <c r="AN170"/>
  <c r="AN384"/>
  <c r="AN268"/>
  <c r="AI359"/>
  <c r="AI232"/>
  <c r="AI259"/>
  <c r="AH259" i="40" s="1"/>
  <c r="AO443" i="37"/>
  <c r="AE452"/>
  <c r="AE452" i="40" s="1"/>
  <c r="AD240" i="37"/>
  <c r="AD240" i="40" s="1"/>
  <c r="AF240" s="1"/>
  <c r="AD229" i="37"/>
  <c r="AD229" i="40" s="1"/>
  <c r="AE318" i="37"/>
  <c r="AO322"/>
  <c r="AE281"/>
  <c r="AI281"/>
  <c r="AH281" i="40" s="1"/>
  <c r="AI281" s="1"/>
  <c r="AK281" s="1"/>
  <c r="AN61" i="37"/>
  <c r="AN374"/>
  <c r="AN400"/>
  <c r="AN122"/>
  <c r="AN162"/>
  <c r="AN383"/>
  <c r="AN271"/>
  <c r="AN467"/>
  <c r="AN469"/>
  <c r="AN25"/>
  <c r="AD250"/>
  <c r="AD250" i="40" s="1"/>
  <c r="AI240" i="37"/>
  <c r="AH240" i="40" s="1"/>
  <c r="AN76" i="37"/>
  <c r="AN221"/>
  <c r="AN396"/>
  <c r="AN118"/>
  <c r="AN276"/>
  <c r="AN466"/>
  <c r="AN27"/>
  <c r="AE334"/>
  <c r="AE334" i="40" s="1"/>
  <c r="AI238" i="37"/>
  <c r="AH238" i="40" s="1"/>
  <c r="AI238" s="1"/>
  <c r="AK238" s="1"/>
  <c r="AN331" i="37"/>
  <c r="AH331"/>
  <c r="AG331" i="40" s="1"/>
  <c r="AD331" i="37"/>
  <c r="AD331" i="40" s="1"/>
  <c r="AF331" s="1"/>
  <c r="AN292" i="37"/>
  <c r="AD292"/>
  <c r="AD292" i="40" s="1"/>
  <c r="AI499" i="37"/>
  <c r="AH499" i="40" s="1"/>
  <c r="AI499" s="1"/>
  <c r="AK499" s="1"/>
  <c r="AE499" i="37"/>
  <c r="AE499" i="40" s="1"/>
  <c r="AF499" s="1"/>
  <c r="AO247" i="37"/>
  <c r="AH364"/>
  <c r="AG364" i="40" s="1"/>
  <c r="AI364" s="1"/>
  <c r="AK364" s="1"/>
  <c r="AD364" i="37"/>
  <c r="AD364" i="40" s="1"/>
  <c r="AF364" s="1"/>
  <c r="AN242" i="37"/>
  <c r="AD242"/>
  <c r="AD242" i="40" s="1"/>
  <c r="AN246" i="37"/>
  <c r="AN251"/>
  <c r="AH251"/>
  <c r="AG251" i="40" s="1"/>
  <c r="AD251" i="37"/>
  <c r="AD251" i="40" s="1"/>
  <c r="AF251" s="1"/>
  <c r="AE361" i="37"/>
  <c r="AE361" i="40" s="1"/>
  <c r="AI333" i="37"/>
  <c r="AH333" i="40" s="1"/>
  <c r="AN422" i="37"/>
  <c r="AN429"/>
  <c r="AH409"/>
  <c r="AG409" i="40" s="1"/>
  <c r="AN409" i="37"/>
  <c r="AN480"/>
  <c r="AN173"/>
  <c r="AN113"/>
  <c r="AN407"/>
  <c r="AN417"/>
  <c r="AN193"/>
  <c r="AN201"/>
  <c r="AN73"/>
  <c r="AN492"/>
  <c r="AN377"/>
  <c r="AN4"/>
  <c r="AN39"/>
  <c r="AN54"/>
  <c r="AN349"/>
  <c r="AN127"/>
  <c r="AN169"/>
  <c r="AN387"/>
  <c r="AN459"/>
  <c r="AN29"/>
  <c r="AO230"/>
  <c r="AO259"/>
  <c r="AN319"/>
  <c r="AD319"/>
  <c r="AD319" i="40" s="1"/>
  <c r="AH319" i="37"/>
  <c r="AG319" i="40" s="1"/>
  <c r="AN321" i="37"/>
  <c r="AN453"/>
  <c r="AH453"/>
  <c r="AG453" i="40" s="1"/>
  <c r="AH428" i="37"/>
  <c r="AG428" i="40" s="1"/>
  <c r="AD147" i="37"/>
  <c r="AD147" i="40" s="1"/>
  <c r="AF147" s="1"/>
  <c r="AH229" i="37"/>
  <c r="AG229" i="40" s="1"/>
  <c r="AK293" i="37"/>
  <c r="AD309"/>
  <c r="AD309" i="40" s="1"/>
  <c r="AN309" i="37"/>
  <c r="AH317"/>
  <c r="AG317" i="40" s="1"/>
  <c r="AN317" i="37"/>
  <c r="AH457"/>
  <c r="AG457" i="40" s="1"/>
  <c r="AI457" s="1"/>
  <c r="AK457" s="1"/>
  <c r="AN457" i="37"/>
  <c r="AD135"/>
  <c r="AD135" i="40" s="1"/>
  <c r="AF135" s="1"/>
  <c r="AE284" i="37"/>
  <c r="AE284" i="40" s="1"/>
  <c r="AI284" i="37"/>
  <c r="AH284" i="40" s="1"/>
  <c r="AN332" i="37"/>
  <c r="AH332"/>
  <c r="AG332" i="40" s="1"/>
  <c r="AN294" i="37"/>
  <c r="AD294"/>
  <c r="AD294" i="40" s="1"/>
  <c r="AF294" s="1"/>
  <c r="AI497" i="37"/>
  <c r="AH497" i="40" s="1"/>
  <c r="AE497" i="37"/>
  <c r="AE497" i="40" s="1"/>
  <c r="AI317" i="37"/>
  <c r="AH317" i="40" s="1"/>
  <c r="AI317" s="1"/>
  <c r="AK317" s="1"/>
  <c r="AE144" i="37"/>
  <c r="AE144" i="40" s="1"/>
  <c r="AH456" i="37"/>
  <c r="AG456" i="40" s="1"/>
  <c r="AD456" i="37"/>
  <c r="AD456" i="40" s="1"/>
  <c r="AD288" i="37"/>
  <c r="AD288" i="40" s="1"/>
  <c r="AF288" s="1"/>
  <c r="AH330" i="37"/>
  <c r="AG330" i="40" s="1"/>
  <c r="AD330" i="37"/>
  <c r="AD330" i="40" s="1"/>
  <c r="AF330" s="1"/>
  <c r="AN252" i="37"/>
  <c r="AD252"/>
  <c r="AD252" i="40" s="1"/>
  <c r="AI308" i="37"/>
  <c r="AH308" i="40" s="1"/>
  <c r="AE308" i="37"/>
  <c r="AE308" i="40" s="1"/>
  <c r="AI334" i="37"/>
  <c r="AH334" i="40" s="1"/>
  <c r="AE437" i="37"/>
  <c r="AN424"/>
  <c r="AN436"/>
  <c r="AH436"/>
  <c r="AG436" i="40" s="1"/>
  <c r="AE424" i="37"/>
  <c r="AE424" i="40" s="1"/>
  <c r="AI454" i="37"/>
  <c r="AH454" i="40" s="1"/>
  <c r="AE315" i="37"/>
  <c r="AE315" i="40" s="1"/>
  <c r="AF315" s="1"/>
  <c r="AI309" i="37"/>
  <c r="AH309" i="40" s="1"/>
  <c r="AI309" s="1"/>
  <c r="AK309" s="1"/>
  <c r="AH440" i="37"/>
  <c r="AG440" i="40" s="1"/>
  <c r="AD148" i="37"/>
  <c r="AD148" i="40" s="1"/>
  <c r="AF148" s="1"/>
  <c r="AN148" i="37"/>
  <c r="AH149"/>
  <c r="AG149" i="40" s="1"/>
  <c r="AN149" i="37"/>
  <c r="AI436"/>
  <c r="AH436" i="40" s="1"/>
  <c r="AI300" i="37"/>
  <c r="AE255"/>
  <c r="AI364"/>
  <c r="AH364" i="40" s="1"/>
  <c r="AE359" i="37"/>
  <c r="AE359" i="40" s="1"/>
  <c r="AH280" i="37"/>
  <c r="AG280" i="40" s="1"/>
  <c r="AI280" s="1"/>
  <c r="AK280" s="1"/>
  <c r="AN280" i="37"/>
  <c r="AI326"/>
  <c r="AI307"/>
  <c r="AH307" i="40" s="1"/>
  <c r="AE332" i="37"/>
  <c r="AI148"/>
  <c r="AI443"/>
  <c r="AN303"/>
  <c r="AH313"/>
  <c r="AG313" i="40" s="1"/>
  <c r="AN313" i="37"/>
  <c r="AN448"/>
  <c r="AE295"/>
  <c r="AE295" i="40" s="1"/>
  <c r="AI294" i="37"/>
  <c r="AH294" i="40" s="1"/>
  <c r="AI455" i="37"/>
  <c r="AH455" i="40" s="1"/>
  <c r="AN323" i="37"/>
  <c r="AN285"/>
  <c r="AE496"/>
  <c r="AE496" i="40" s="1"/>
  <c r="AI496" i="37"/>
  <c r="AH496" i="40" s="1"/>
  <c r="AN230" i="37"/>
  <c r="AN238"/>
  <c r="AN253"/>
  <c r="AN258"/>
  <c r="AN421"/>
  <c r="AN439"/>
  <c r="AN425"/>
  <c r="AN440"/>
  <c r="AN185"/>
  <c r="AN178"/>
  <c r="AN95"/>
  <c r="AN110"/>
  <c r="AN405"/>
  <c r="AN199"/>
  <c r="AN206"/>
  <c r="AN72"/>
  <c r="AN476"/>
  <c r="AN92"/>
  <c r="AN373"/>
  <c r="AN212"/>
  <c r="AN226"/>
  <c r="AN17"/>
  <c r="AN43"/>
  <c r="AN49"/>
  <c r="AN392"/>
  <c r="AN339"/>
  <c r="AN119"/>
  <c r="AN126"/>
  <c r="AN164"/>
  <c r="AN154"/>
  <c r="AN379"/>
  <c r="AN272"/>
  <c r="AN465"/>
  <c r="AN24"/>
  <c r="AD258"/>
  <c r="AD258" i="40" s="1"/>
  <c r="AF258" s="1"/>
  <c r="AH425" i="37"/>
  <c r="AG425" i="40" s="1"/>
  <c r="AD436" i="37"/>
  <c r="AD436" i="40" s="1"/>
  <c r="AD143" i="37"/>
  <c r="AD143" i="40" s="1"/>
  <c r="AF143" s="1"/>
  <c r="AN143" i="37"/>
  <c r="AI447"/>
  <c r="AH447" i="40" s="1"/>
  <c r="AH452" i="37"/>
  <c r="AG452" i="40" s="1"/>
  <c r="AN356" i="37"/>
  <c r="AH236"/>
  <c r="AG236" i="40" s="1"/>
  <c r="AN364" i="37"/>
  <c r="AD315"/>
  <c r="AD315" i="40" s="1"/>
  <c r="AN315" i="37"/>
  <c r="AN318"/>
  <c r="AD421"/>
  <c r="AD421" i="40" s="1"/>
  <c r="AF421" s="1"/>
  <c r="AN454" i="37"/>
  <c r="AD445"/>
  <c r="AD445" i="40" s="1"/>
  <c r="AI291" i="37"/>
  <c r="AH291" i="40" s="1"/>
  <c r="AI286" i="37"/>
  <c r="AH286" i="40" s="1"/>
  <c r="AE448" i="37"/>
  <c r="AE448" i="40" s="1"/>
  <c r="AN322" i="37"/>
  <c r="AN283"/>
  <c r="AN296"/>
  <c r="AE498"/>
  <c r="AE498" i="40" s="1"/>
  <c r="AI498" i="37"/>
  <c r="AH498" i="40" s="1"/>
  <c r="AN240" i="37"/>
  <c r="AN255"/>
  <c r="AN447"/>
  <c r="AN445"/>
  <c r="AN147"/>
  <c r="AN360"/>
  <c r="AH363"/>
  <c r="AG363" i="40" s="1"/>
  <c r="AN363" i="37"/>
  <c r="AD308"/>
  <c r="AD308" i="40" s="1"/>
  <c r="AF308" s="1"/>
  <c r="AN308" i="37"/>
  <c r="AH306"/>
  <c r="AG306" i="40" s="1"/>
  <c r="AN306" i="37"/>
  <c r="AD425"/>
  <c r="AD425" i="40" s="1"/>
  <c r="AN450" i="37"/>
  <c r="AH435"/>
  <c r="AG435" i="40" s="1"/>
  <c r="AI435" s="1"/>
  <c r="AK435" s="1"/>
  <c r="AD434" i="37"/>
  <c r="AD434" i="40" s="1"/>
  <c r="AE290" i="37"/>
  <c r="AH328"/>
  <c r="AG328" i="40" s="1"/>
  <c r="AI328" s="1"/>
  <c r="AK328" s="1"/>
  <c r="AN328" i="37"/>
  <c r="AN326"/>
  <c r="AN293"/>
  <c r="AN289"/>
  <c r="AI500"/>
  <c r="AH500" i="40" s="1"/>
  <c r="AI500" s="1"/>
  <c r="AK500" s="1"/>
  <c r="AE500" i="37"/>
  <c r="AE500" i="40" s="1"/>
  <c r="AF500" s="1"/>
  <c r="AN232" i="37"/>
  <c r="AN248"/>
  <c r="AN431"/>
  <c r="AN437"/>
  <c r="AN176"/>
  <c r="AN108"/>
  <c r="AN94"/>
  <c r="AN411"/>
  <c r="AN401"/>
  <c r="AN203"/>
  <c r="AN194"/>
  <c r="AN59"/>
  <c r="AN66"/>
  <c r="AN493"/>
  <c r="AN75"/>
  <c r="AN80"/>
  <c r="AN375"/>
  <c r="AN223"/>
  <c r="AN13"/>
  <c r="AN44"/>
  <c r="AN42"/>
  <c r="AN391"/>
  <c r="AN341"/>
  <c r="AN123"/>
  <c r="AN130"/>
  <c r="AN168"/>
  <c r="AN380"/>
  <c r="AN275"/>
  <c r="AN463"/>
  <c r="AN462"/>
  <c r="AN35"/>
  <c r="AN26"/>
  <c r="AH285"/>
  <c r="AG285" i="40" s="1"/>
  <c r="AH238" i="37"/>
  <c r="AG238" i="40" s="1"/>
  <c r="AE447" i="37"/>
  <c r="AI357"/>
  <c r="AE328"/>
  <c r="AD138"/>
  <c r="AD138" i="40" s="1"/>
  <c r="AN138" i="37"/>
  <c r="AI444"/>
  <c r="AH444" i="40" s="1"/>
  <c r="AI440" i="37"/>
  <c r="AH440" i="40" s="1"/>
  <c r="AI292" i="37"/>
  <c r="AH292" i="40" s="1"/>
  <c r="AE258" i="37"/>
  <c r="AE258" i="40" s="1"/>
  <c r="AH449" i="37"/>
  <c r="AG449" i="40" s="1"/>
  <c r="AI449" s="1"/>
  <c r="AK449" s="1"/>
  <c r="AI331" i="37"/>
  <c r="AH331" i="40" s="1"/>
  <c r="AI331" s="1"/>
  <c r="AK331" s="1"/>
  <c r="AE329" i="37"/>
  <c r="AE329" i="40" s="1"/>
  <c r="AE261" i="37"/>
  <c r="AE261" i="40" s="1"/>
  <c r="AF261" s="1"/>
  <c r="AI150" i="37"/>
  <c r="AH150" i="40" s="1"/>
  <c r="AI149" i="37"/>
  <c r="AH149" i="40" s="1"/>
  <c r="AI437" i="37"/>
  <c r="AH437" i="40" s="1"/>
  <c r="AD289" i="37"/>
  <c r="AD289" i="40" s="1"/>
  <c r="AN365" i="37"/>
  <c r="AD320"/>
  <c r="AD320" i="40" s="1"/>
  <c r="AN320" i="37"/>
  <c r="AI355"/>
  <c r="AH355" i="40" s="1"/>
  <c r="AD426" i="37"/>
  <c r="AD426" i="40" s="1"/>
  <c r="AN327" i="37"/>
  <c r="AN287"/>
  <c r="AN297"/>
  <c r="AE495"/>
  <c r="AE495" i="40" s="1"/>
  <c r="AI495" i="37"/>
  <c r="AH495" i="40" s="1"/>
  <c r="AN233" i="37"/>
  <c r="AN256"/>
  <c r="AN444"/>
  <c r="AN430"/>
  <c r="AN497"/>
  <c r="AD497"/>
  <c r="AD497" i="40" s="1"/>
  <c r="AF497" s="1"/>
  <c r="AH497" i="37"/>
  <c r="AG497" i="40" s="1"/>
  <c r="AI497" s="1"/>
  <c r="AK497" s="1"/>
  <c r="AN79" i="37"/>
  <c r="AN88"/>
  <c r="AN367"/>
  <c r="AN213"/>
  <c r="AN16"/>
  <c r="AN56"/>
  <c r="AN50"/>
  <c r="AN390"/>
  <c r="AN346"/>
  <c r="AN124"/>
  <c r="AN114"/>
  <c r="AN156"/>
  <c r="AN385"/>
  <c r="AN273"/>
  <c r="AN460"/>
  <c r="AN474"/>
  <c r="AN23"/>
  <c r="AN37"/>
  <c r="AE299"/>
  <c r="AE299" i="40" s="1"/>
  <c r="AD360" i="37"/>
  <c r="AD360" i="40" s="1"/>
  <c r="AE432" i="37"/>
  <c r="AN139"/>
  <c r="AI312"/>
  <c r="AH312" i="40" s="1"/>
  <c r="AE151" i="37"/>
  <c r="AE151" i="40" s="1"/>
  <c r="AE138" i="37"/>
  <c r="AE138" i="40" s="1"/>
  <c r="AE429" i="37"/>
  <c r="AE429" i="40" s="1"/>
  <c r="AH421" i="37"/>
  <c r="AG421" i="40" s="1"/>
  <c r="AI421" s="1"/>
  <c r="AK421" s="1"/>
  <c r="AN362" i="37"/>
  <c r="AH305"/>
  <c r="AG305" i="40" s="1"/>
  <c r="AN305" i="37"/>
  <c r="AN456"/>
  <c r="AN335"/>
  <c r="AN291"/>
  <c r="AN286"/>
  <c r="AN231"/>
  <c r="AN237"/>
  <c r="AN254"/>
  <c r="AN432"/>
  <c r="AN438"/>
  <c r="AN494"/>
  <c r="AD494"/>
  <c r="AD494" i="40" s="1"/>
  <c r="AH494" i="37"/>
  <c r="AG494" i="40" s="1"/>
  <c r="AN104" i="37"/>
  <c r="AN420"/>
  <c r="AN418"/>
  <c r="AN204"/>
  <c r="AN67"/>
  <c r="AN57"/>
  <c r="AN489"/>
  <c r="AN83"/>
  <c r="AN84"/>
  <c r="AN376"/>
  <c r="AN225"/>
  <c r="AN5"/>
  <c r="AN45"/>
  <c r="AN393"/>
  <c r="AN347"/>
  <c r="AN345"/>
  <c r="AN129"/>
  <c r="AN117"/>
  <c r="AN152"/>
  <c r="AN386"/>
  <c r="AN270"/>
  <c r="AN464"/>
  <c r="AN470"/>
  <c r="AN31"/>
  <c r="AN34"/>
  <c r="AH231"/>
  <c r="AG231" i="40" s="1"/>
  <c r="AH323" i="37"/>
  <c r="AG323" i="40" s="1"/>
  <c r="AH360" i="37"/>
  <c r="AG360" i="40" s="1"/>
  <c r="AI360" s="1"/>
  <c r="AK360" s="1"/>
  <c r="AD448" i="37"/>
  <c r="AD448" i="40" s="1"/>
  <c r="AF448" s="1"/>
  <c r="AE303" i="37"/>
  <c r="AE303" i="40" s="1"/>
  <c r="AE304" i="37"/>
  <c r="AE304" i="40" s="1"/>
  <c r="AH441" i="37"/>
  <c r="AG441" i="40" s="1"/>
  <c r="AE238" i="37"/>
  <c r="AE238" i="40" s="1"/>
  <c r="AN141" i="37"/>
  <c r="AI446"/>
  <c r="AH446" i="40" s="1"/>
  <c r="AE250" i="37"/>
  <c r="AE250" i="40" s="1"/>
  <c r="AE427" i="37"/>
  <c r="AE320"/>
  <c r="AE320" i="40" s="1"/>
  <c r="AI321" i="37"/>
  <c r="AH244"/>
  <c r="AG244" i="40" s="1"/>
  <c r="AI143" i="37"/>
  <c r="AH143" i="40" s="1"/>
  <c r="AI142" i="37"/>
  <c r="AH142" i="40" s="1"/>
  <c r="AI142" s="1"/>
  <c r="AK142" s="1"/>
  <c r="AH291" i="37"/>
  <c r="AG291" i="40" s="1"/>
  <c r="AD282" i="37"/>
  <c r="AD282" i="40" s="1"/>
  <c r="AF282" s="1"/>
  <c r="AN316" i="37"/>
  <c r="AN455"/>
  <c r="AE300"/>
  <c r="AE300" i="40" s="1"/>
  <c r="AE364" i="37"/>
  <c r="AE364" i="40" s="1"/>
  <c r="AD324" i="37"/>
  <c r="AD324" i="40" s="1"/>
  <c r="AF324" s="1"/>
  <c r="AN324" i="37"/>
  <c r="AN299"/>
  <c r="AN290"/>
  <c r="AN235"/>
  <c r="AN241"/>
  <c r="AN260"/>
  <c r="AN427"/>
  <c r="AN443"/>
  <c r="AN442"/>
  <c r="AN495"/>
  <c r="AH495"/>
  <c r="AG495" i="40" s="1"/>
  <c r="AI495" s="1"/>
  <c r="AK495" s="1"/>
  <c r="AD495" i="37"/>
  <c r="AD495" i="40" s="1"/>
  <c r="AN11" i="37"/>
  <c r="AN9"/>
  <c r="AN52"/>
  <c r="AN394"/>
  <c r="AN340"/>
  <c r="AN353"/>
  <c r="AN133"/>
  <c r="AN121"/>
  <c r="AN160"/>
  <c r="AN389"/>
  <c r="AN274"/>
  <c r="AN468"/>
  <c r="AN473"/>
  <c r="AN32"/>
  <c r="AN22"/>
  <c r="AD326"/>
  <c r="AD326" i="40" s="1"/>
  <c r="AF326" s="1"/>
  <c r="AD303" i="37"/>
  <c r="AD303" i="40" s="1"/>
  <c r="AD248" i="37"/>
  <c r="AD248" i="40" s="1"/>
  <c r="AE139" i="37"/>
  <c r="AE139" i="40" s="1"/>
  <c r="AI330" i="37"/>
  <c r="AH330" i="40" s="1"/>
  <c r="AI435" i="37"/>
  <c r="AH435" i="40" s="1"/>
  <c r="AE232" i="37"/>
  <c r="AE232" i="40" s="1"/>
  <c r="AH248" i="37"/>
  <c r="AG248" i="40" s="1"/>
  <c r="AI362" i="37"/>
  <c r="AH362" i="40" s="1"/>
  <c r="AI421" i="37"/>
  <c r="AH421" i="40" s="1"/>
  <c r="AI314" i="37"/>
  <c r="AE302"/>
  <c r="AE302" i="40" s="1"/>
  <c r="AD146" i="37"/>
  <c r="AD146" i="40" s="1"/>
  <c r="AF146" s="1"/>
  <c r="AN146" i="37"/>
  <c r="AH137"/>
  <c r="AG137" i="40" s="1"/>
  <c r="AN137" i="37"/>
  <c r="AI445"/>
  <c r="AH445" i="40" s="1"/>
  <c r="AE301" i="37"/>
  <c r="AE301" i="40" s="1"/>
  <c r="AF301" s="1"/>
  <c r="AI247" i="37"/>
  <c r="AE254"/>
  <c r="AE312"/>
  <c r="AE312" i="40" s="1"/>
  <c r="AI302" i="37"/>
  <c r="AH302" i="40" s="1"/>
  <c r="AD450" i="37"/>
  <c r="AD450" i="40" s="1"/>
  <c r="AF450" s="1"/>
  <c r="AE335" i="37"/>
  <c r="AI249"/>
  <c r="AE323"/>
  <c r="AH245"/>
  <c r="AG245" i="40" s="1"/>
  <c r="AI322" i="37"/>
  <c r="AE135"/>
  <c r="AE135" i="40" s="1"/>
  <c r="AI134" i="37"/>
  <c r="AH134" i="40" s="1"/>
  <c r="AI134" s="1"/>
  <c r="AK134" s="1"/>
  <c r="AH294" i="37"/>
  <c r="AG294" i="40" s="1"/>
  <c r="AN307" i="37"/>
  <c r="AN310"/>
  <c r="AD452"/>
  <c r="AD452" i="40" s="1"/>
  <c r="AF452" s="1"/>
  <c r="AN452" i="37"/>
  <c r="AH446"/>
  <c r="AG446" i="40" s="1"/>
  <c r="AI446" s="1"/>
  <c r="AK446" s="1"/>
  <c r="AH437" i="37"/>
  <c r="AG437" i="40" s="1"/>
  <c r="AN330" i="37"/>
  <c r="AN284"/>
  <c r="AN298"/>
  <c r="AN239"/>
  <c r="AN245"/>
  <c r="AN247"/>
  <c r="AN257"/>
  <c r="AN423"/>
  <c r="AN435"/>
  <c r="AN446"/>
  <c r="AD496"/>
  <c r="AD496" i="40" s="1"/>
  <c r="AN496" i="37"/>
  <c r="AH496"/>
  <c r="AG496" i="40" s="1"/>
  <c r="AN208" i="37"/>
  <c r="AN60"/>
  <c r="AN62"/>
  <c r="AN487"/>
  <c r="AN478"/>
  <c r="AN91"/>
  <c r="AN78"/>
  <c r="AN371"/>
  <c r="AN215"/>
  <c r="AN214"/>
  <c r="AN19"/>
  <c r="AN18"/>
  <c r="AN53"/>
  <c r="AN397"/>
  <c r="AN336"/>
  <c r="AN350"/>
  <c r="AN120"/>
  <c r="AN159"/>
  <c r="AN153"/>
  <c r="AN378"/>
  <c r="AN267"/>
  <c r="AN278"/>
  <c r="AN471"/>
  <c r="AN20"/>
  <c r="AN30"/>
  <c r="AD285"/>
  <c r="AD285" i="40" s="1"/>
  <c r="AF285" s="1"/>
  <c r="AI328" i="37"/>
  <c r="AH328" i="40" s="1"/>
  <c r="AE431" i="37"/>
  <c r="AI434"/>
  <c r="AE234"/>
  <c r="AE287"/>
  <c r="AE287" i="40" s="1"/>
  <c r="AE298" i="37"/>
  <c r="AE298" i="40" s="1"/>
  <c r="AD261" i="37"/>
  <c r="AD261" i="40" s="1"/>
  <c r="AE239" i="37"/>
  <c r="AE239" i="40" s="1"/>
  <c r="AE242" i="37"/>
  <c r="AE242" i="40" s="1"/>
  <c r="AN136" i="37"/>
  <c r="AH145"/>
  <c r="AG145" i="40" s="1"/>
  <c r="AI145" s="1"/>
  <c r="AK145" s="1"/>
  <c r="AN145" i="37"/>
  <c r="AI428"/>
  <c r="AH428" i="40" s="1"/>
  <c r="AI428" s="1"/>
  <c r="AK428" s="1"/>
  <c r="AI442" i="37"/>
  <c r="AH442" i="40" s="1"/>
  <c r="AE251" i="37"/>
  <c r="AE251" i="40" s="1"/>
  <c r="AI363" i="37"/>
  <c r="AH363" i="40" s="1"/>
  <c r="AE314" i="37"/>
  <c r="AE314" i="40" s="1"/>
  <c r="AI426" i="37"/>
  <c r="AH426" i="40" s="1"/>
  <c r="AI426" s="1"/>
  <c r="AK426" s="1"/>
  <c r="AD279" i="37"/>
  <c r="AD279" i="40" s="1"/>
  <c r="AF279" s="1"/>
  <c r="AN279" i="37"/>
  <c r="AE333"/>
  <c r="AE333" i="40" s="1"/>
  <c r="AE245" i="37"/>
  <c r="AE245" i="40" s="1"/>
  <c r="AE257" i="37"/>
  <c r="AE257" i="40" s="1"/>
  <c r="AI310" i="37"/>
  <c r="AH310" i="40" s="1"/>
  <c r="AH246" i="37"/>
  <c r="AG246" i="40" s="1"/>
  <c r="AI147" i="37"/>
  <c r="AD313"/>
  <c r="AD313" i="40" s="1"/>
  <c r="AN311" i="37"/>
  <c r="AD304"/>
  <c r="AD304" i="40" s="1"/>
  <c r="AF304" s="1"/>
  <c r="AN304" i="37"/>
  <c r="AI356"/>
  <c r="AH356" i="40" s="1"/>
  <c r="AH451" i="37"/>
  <c r="AG451" i="40" s="1"/>
  <c r="AI451" s="1"/>
  <c r="AK451" s="1"/>
  <c r="AN451" i="37"/>
  <c r="AH143"/>
  <c r="AG143" i="40" s="1"/>
  <c r="AN325" i="37"/>
  <c r="AN288"/>
  <c r="AE494"/>
  <c r="AE494" i="40" s="1"/>
  <c r="AI494" i="37"/>
  <c r="AH494" i="40" s="1"/>
  <c r="AI494" s="1"/>
  <c r="AK494" s="1"/>
  <c r="AN243" i="37"/>
  <c r="AN234"/>
  <c r="AN249"/>
  <c r="AN261"/>
  <c r="AN426"/>
  <c r="AN428"/>
  <c r="AN434"/>
  <c r="BC6" i="52"/>
  <c r="BC8"/>
  <c r="BC2"/>
  <c r="AE294" i="37"/>
  <c r="AE294" i="40" s="1"/>
  <c r="AI301" i="37"/>
  <c r="AH301" i="40" s="1"/>
  <c r="AI301" s="1"/>
  <c r="AK301" s="1"/>
  <c r="AH284" i="37"/>
  <c r="AG284" i="40" s="1"/>
  <c r="AI284" s="1"/>
  <c r="AK284" s="1"/>
  <c r="AI295" i="37"/>
  <c r="AH295" i="40" s="1"/>
  <c r="AH138" i="37"/>
  <c r="AG138" i="40" s="1"/>
  <c r="AI234" i="37"/>
  <c r="AI138"/>
  <c r="AH138" i="40" s="1"/>
  <c r="AH445" i="37"/>
  <c r="AG445" i="40" s="1"/>
  <c r="AI445" s="1"/>
  <c r="AK445" s="1"/>
  <c r="AI257" i="37"/>
  <c r="AH257" i="40" s="1"/>
  <c r="AE252" i="37"/>
  <c r="AE252" i="40" s="1"/>
  <c r="AD244" i="37"/>
  <c r="AD244" i="40" s="1"/>
  <c r="AE243" i="37"/>
  <c r="AE243" i="40" s="1"/>
  <c r="AH257" i="37"/>
  <c r="AG257" i="40" s="1"/>
  <c r="AD257" i="37"/>
  <c r="AD257" i="40" s="1"/>
  <c r="AI9" i="37"/>
  <c r="AH9" i="40" s="1"/>
  <c r="AH177" i="37"/>
  <c r="AG177" i="40" s="1"/>
  <c r="AI224" i="37"/>
  <c r="AH224" i="40" s="1"/>
  <c r="AH105" i="37"/>
  <c r="AG105" i="40" s="1"/>
  <c r="AI105" s="1"/>
  <c r="AK105" s="1"/>
  <c r="AE286" i="37"/>
  <c r="AE286" i="40" s="1"/>
  <c r="AE292" i="37"/>
  <c r="AE292" i="40" s="1"/>
  <c r="AD457" i="37"/>
  <c r="AD457" i="40" s="1"/>
  <c r="AF457" s="1"/>
  <c r="AH304" i="37"/>
  <c r="AG304" i="40" s="1"/>
  <c r="AI304" s="1"/>
  <c r="AK304" s="1"/>
  <c r="AE445" i="37"/>
  <c r="AE445" i="40" s="1"/>
  <c r="AE283" i="37"/>
  <c r="AE283" i="40" s="1"/>
  <c r="AI246" i="37"/>
  <c r="AH246" i="40" s="1"/>
  <c r="AI246" s="1"/>
  <c r="AK246" s="1"/>
  <c r="AE444" i="37"/>
  <c r="AI303"/>
  <c r="AH254"/>
  <c r="AG254" i="40" s="1"/>
  <c r="AD151" i="37"/>
  <c r="AD151" i="40" s="1"/>
  <c r="AF151" s="1"/>
  <c r="AI239" i="37"/>
  <c r="AI296"/>
  <c r="AH296" i="40" s="1"/>
  <c r="AD430" i="37"/>
  <c r="AD430" i="40" s="1"/>
  <c r="AF430" s="1"/>
  <c r="AE229" i="37"/>
  <c r="AE229" i="40" s="1"/>
  <c r="AE426" i="37"/>
  <c r="AE426" i="40" s="1"/>
  <c r="AE310" i="37"/>
  <c r="AE310" i="40" s="1"/>
  <c r="AH144" i="37"/>
  <c r="AG144" i="40" s="1"/>
  <c r="AE435" i="37"/>
  <c r="AE435" i="40" s="1"/>
  <c r="AE324" i="37"/>
  <c r="AE324" i="40" s="1"/>
  <c r="AI324" i="37"/>
  <c r="AH324" i="40" s="1"/>
  <c r="AI324" s="1"/>
  <c r="AK324" s="1"/>
  <c r="AH442" i="37"/>
  <c r="AG442" i="40" s="1"/>
  <c r="AI442" s="1"/>
  <c r="AK442" s="1"/>
  <c r="AD442" i="37"/>
  <c r="AD442" i="40" s="1"/>
  <c r="AI453" i="37"/>
  <c r="AH453" i="40" s="1"/>
  <c r="AE311" i="37"/>
  <c r="AE311" i="40" s="1"/>
  <c r="AI255" i="37"/>
  <c r="AI253"/>
  <c r="AH253" i="40" s="1"/>
  <c r="AI441" i="37"/>
  <c r="AH441" i="40" s="1"/>
  <c r="AD299" i="37"/>
  <c r="AD299" i="40" s="1"/>
  <c r="AH299" i="37"/>
  <c r="AG299" i="40" s="1"/>
  <c r="AH261" i="37"/>
  <c r="AG261" i="40" s="1"/>
  <c r="AH455" i="37"/>
  <c r="AG455" i="40" s="1"/>
  <c r="AI455" s="1"/>
  <c r="AK455" s="1"/>
  <c r="AE454" i="37"/>
  <c r="AE454" i="40" s="1"/>
  <c r="AH432" i="37"/>
  <c r="AG432" i="40" s="1"/>
  <c r="AE307" i="37"/>
  <c r="AD449"/>
  <c r="AD449" i="40" s="1"/>
  <c r="AE434" i="37"/>
  <c r="AE434" i="40" s="1"/>
  <c r="AH302" i="37"/>
  <c r="AG302" i="40" s="1"/>
  <c r="AI302" s="1"/>
  <c r="AK302" s="1"/>
  <c r="AD306" i="37"/>
  <c r="AD306" i="40" s="1"/>
  <c r="AI290" i="37"/>
  <c r="AH290" i="40" s="1"/>
  <c r="AH426" i="37"/>
  <c r="AG426" i="40" s="1"/>
  <c r="AH356" i="37"/>
  <c r="AG356" i="40" s="1"/>
  <c r="AI356" s="1"/>
  <c r="AK356" s="1"/>
  <c r="AI135" i="37"/>
  <c r="AH135" i="40" s="1"/>
  <c r="AE231" i="37"/>
  <c r="AE231" i="40" s="1"/>
  <c r="AE305" i="37"/>
  <c r="AE305" i="40" s="1"/>
  <c r="AF305" s="1"/>
  <c r="AI430" i="37"/>
  <c r="AE428"/>
  <c r="AE253"/>
  <c r="AE253" i="40" s="1"/>
  <c r="AD241" i="37"/>
  <c r="AD241" i="40" s="1"/>
  <c r="AE248" i="37"/>
  <c r="AE248" i="40" s="1"/>
  <c r="AE363" i="37"/>
  <c r="AI422"/>
  <c r="AH422" i="40" s="1"/>
  <c r="AH309" i="37"/>
  <c r="AG309" i="40" s="1"/>
  <c r="AI151" i="37"/>
  <c r="AH151" i="40" s="1"/>
  <c r="AD246" i="37"/>
  <c r="AD246" i="40" s="1"/>
  <c r="AD233" i="37"/>
  <c r="AD233" i="40" s="1"/>
  <c r="AF233" s="1"/>
  <c r="AH431" i="37"/>
  <c r="AG431" i="40" s="1"/>
  <c r="AI431" s="1"/>
  <c r="AK431" s="1"/>
  <c r="AH140" i="37"/>
  <c r="AG140" i="40" s="1"/>
  <c r="AE438" i="37"/>
  <c r="AE438" i="40" s="1"/>
  <c r="AI325" i="37"/>
  <c r="AI251"/>
  <c r="AH251" i="40" s="1"/>
  <c r="AD359" i="37"/>
  <c r="AD359" i="40" s="1"/>
  <c r="AF359" s="1"/>
  <c r="AE282" i="37"/>
  <c r="AE282" i="40" s="1"/>
  <c r="AE436" i="37"/>
  <c r="AE436" i="40" s="1"/>
  <c r="AD317" i="37"/>
  <c r="AD317" i="40" s="1"/>
  <c r="AH308" i="37"/>
  <c r="AG308" i="40" s="1"/>
  <c r="AI308" s="1"/>
  <c r="AK308" s="1"/>
  <c r="AI316" i="37"/>
  <c r="AH316" i="40" s="1"/>
  <c r="AE260" i="37"/>
  <c r="AE260" i="40" s="1"/>
  <c r="AH311" i="37"/>
  <c r="AG311" i="40" s="1"/>
  <c r="AD311" i="37"/>
  <c r="AD311" i="40" s="1"/>
  <c r="AI457" i="37"/>
  <c r="AH457" i="40" s="1"/>
  <c r="AH298" i="37"/>
  <c r="AG298" i="40" s="1"/>
  <c r="AI298" s="1"/>
  <c r="AK298" s="1"/>
  <c r="AD446" i="37"/>
  <c r="AD446" i="40" s="1"/>
  <c r="AD260" i="37"/>
  <c r="AD260" i="40" s="1"/>
  <c r="AH260" i="37"/>
  <c r="AG260" i="40" s="1"/>
  <c r="AI260" s="1"/>
  <c r="AK260" s="1"/>
  <c r="AI237" i="37"/>
  <c r="AE356"/>
  <c r="AE356" i="40" s="1"/>
  <c r="AI245" i="37"/>
  <c r="AH245" i="40" s="1"/>
  <c r="AH429" i="37"/>
  <c r="AG429" i="40" s="1"/>
  <c r="AD429" i="37"/>
  <c r="AD429" i="40" s="1"/>
  <c r="AF429" s="1"/>
  <c r="AI361" i="37"/>
  <c r="AH361" i="40" s="1"/>
  <c r="AH197" i="37"/>
  <c r="AG197" i="40" s="1"/>
  <c r="AE309" i="37"/>
  <c r="AE309" i="40" s="1"/>
  <c r="AF309" s="1"/>
  <c r="AE331" i="37"/>
  <c r="AE331" i="40" s="1"/>
  <c r="AD137" i="37"/>
  <c r="AD137" i="40" s="1"/>
  <c r="AF137" s="1"/>
  <c r="AE142" i="37"/>
  <c r="AE142" i="40" s="1"/>
  <c r="AD280" i="37"/>
  <c r="AD280" i="40" s="1"/>
  <c r="AE446" i="37"/>
  <c r="AE446" i="40" s="1"/>
  <c r="AD312" i="37"/>
  <c r="AD312" i="40" s="1"/>
  <c r="AI243" i="37"/>
  <c r="AI448"/>
  <c r="AD149"/>
  <c r="AD149" i="40" s="1"/>
  <c r="AF149" s="1"/>
  <c r="AI451" i="37"/>
  <c r="AH451" i="40" s="1"/>
  <c r="AI236" i="37"/>
  <c r="AH236" i="40" s="1"/>
  <c r="AI236" s="1"/>
  <c r="AK236" s="1"/>
  <c r="AI298" i="37"/>
  <c r="AH298" i="40" s="1"/>
  <c r="AI254" i="37"/>
  <c r="AH254" i="40" s="1"/>
  <c r="AH290" i="37"/>
  <c r="AG290" i="40" s="1"/>
  <c r="AE143" i="37"/>
  <c r="AE143" i="40" s="1"/>
  <c r="AH135" i="37"/>
  <c r="AI252"/>
  <c r="AH252" i="40" s="1"/>
  <c r="AI252" s="1"/>
  <c r="AK252" s="1"/>
  <c r="AD245" i="37"/>
  <c r="AD245" i="40" s="1"/>
  <c r="AI306" i="37"/>
  <c r="AH306" i="40" s="1"/>
  <c r="AE240" i="37"/>
  <c r="AE240" i="40" s="1"/>
  <c r="AE319" i="37"/>
  <c r="AE319" i="40" s="1"/>
  <c r="AI332" i="37"/>
  <c r="AH332" i="40" s="1"/>
  <c r="AI318" i="37"/>
  <c r="AD357"/>
  <c r="AD357" i="40" s="1"/>
  <c r="AF357" s="1"/>
  <c r="AE362" i="37"/>
  <c r="AE362" i="40" s="1"/>
  <c r="AH292" i="37"/>
  <c r="AG292" i="40" s="1"/>
  <c r="AH422" i="37"/>
  <c r="AG422" i="40" s="1"/>
  <c r="AI367" i="37"/>
  <c r="AH367" i="40" s="1"/>
  <c r="AI40" i="37"/>
  <c r="AH40" i="40" s="1"/>
  <c r="AI348" i="37"/>
  <c r="AH348" i="40" s="1"/>
  <c r="AH482" i="37"/>
  <c r="AG482" i="40" s="1"/>
  <c r="AH12" i="37"/>
  <c r="AG12" i="40" s="1"/>
  <c r="AI12" s="1"/>
  <c r="AH38" i="37"/>
  <c r="AG38" i="40" s="1"/>
  <c r="AE293" i="37"/>
  <c r="AE293" i="40" s="1"/>
  <c r="AD239" i="37"/>
  <c r="AD239" i="40" s="1"/>
  <c r="AF239" s="1"/>
  <c r="AE134" i="37"/>
  <c r="AE134" i="40" s="1"/>
  <c r="AE440" i="37"/>
  <c r="AI258"/>
  <c r="AH289"/>
  <c r="AG289" i="40" s="1"/>
  <c r="AI424" i="37"/>
  <c r="AI244"/>
  <c r="AH244" i="40" s="1"/>
  <c r="AI244" s="1"/>
  <c r="AK244" s="1"/>
  <c r="AI431" i="37"/>
  <c r="AH431" i="40" s="1"/>
  <c r="AI429" i="37"/>
  <c r="AH429" i="40" s="1"/>
  <c r="AE327" i="37"/>
  <c r="AE327" i="40" s="1"/>
  <c r="AH139" i="37"/>
  <c r="AE457"/>
  <c r="AE457" i="40" s="1"/>
  <c r="AE291" i="37"/>
  <c r="AI261"/>
  <c r="AH261" i="40" s="1"/>
  <c r="AI261" s="1"/>
  <c r="AK261" s="1"/>
  <c r="AD435" i="37"/>
  <c r="AD435" i="40" s="1"/>
  <c r="AI365" i="37"/>
  <c r="AH365" i="40" s="1"/>
  <c r="AD438" i="37"/>
  <c r="AD438" i="40" s="1"/>
  <c r="AF438" s="1"/>
  <c r="AH141" i="37"/>
  <c r="AG141" i="40" s="1"/>
  <c r="AI141" s="1"/>
  <c r="AK141" s="1"/>
  <c r="AI323" i="37"/>
  <c r="AH323" i="40" s="1"/>
  <c r="AI323" s="1"/>
  <c r="AK323" s="1"/>
  <c r="AI256" i="37"/>
  <c r="AE256"/>
  <c r="AI327"/>
  <c r="AD454"/>
  <c r="AD454" i="40" s="1"/>
  <c r="AF454" s="1"/>
  <c r="AH454" i="37"/>
  <c r="AG454" i="40" s="1"/>
  <c r="AE456" i="37"/>
  <c r="AE456" i="40" s="1"/>
  <c r="AH301" i="37"/>
  <c r="AG301" i="40" s="1"/>
  <c r="AH146" i="37"/>
  <c r="AG146" i="40" s="1"/>
  <c r="AI335" i="37"/>
  <c r="AE249"/>
  <c r="AE249" i="40" s="1"/>
  <c r="AD365" i="37"/>
  <c r="AD365" i="40" s="1"/>
  <c r="AH365" i="37"/>
  <c r="AG365" i="40" s="1"/>
  <c r="AH450" i="37"/>
  <c r="AG450" i="40" s="1"/>
  <c r="AD243" i="37"/>
  <c r="AD243" i="40" s="1"/>
  <c r="AF243" s="1"/>
  <c r="AI315" i="37"/>
  <c r="AE425"/>
  <c r="AE425" i="40" s="1"/>
  <c r="AI425" i="37"/>
  <c r="AH425" i="40" s="1"/>
  <c r="AI449" i="37"/>
  <c r="AH449" i="40" s="1"/>
  <c r="AE449" i="37"/>
  <c r="AE449" i="40" s="1"/>
  <c r="AD136" i="37"/>
  <c r="AD136" i="40" s="1"/>
  <c r="AF136" s="1"/>
  <c r="AH136" i="37"/>
  <c r="AG136" i="40" s="1"/>
  <c r="AH295" i="37"/>
  <c r="AG295" i="40" s="1"/>
  <c r="AD295" i="37"/>
  <c r="AD295" i="40" s="1"/>
  <c r="AF295" s="1"/>
  <c r="AD362" i="37"/>
  <c r="AD362" i="40" s="1"/>
  <c r="AF362" s="1"/>
  <c r="AH362" i="37"/>
  <c r="AG362" i="40" s="1"/>
  <c r="AI362" s="1"/>
  <c r="AK362" s="1"/>
  <c r="AD422" i="37"/>
  <c r="AD422" i="40" s="1"/>
  <c r="AF422" s="1"/>
  <c r="AI439" i="37"/>
  <c r="AH439" i="40" s="1"/>
  <c r="AE439" i="37"/>
  <c r="AE439" i="40" s="1"/>
  <c r="AH288" i="37"/>
  <c r="AG288" i="40" s="1"/>
  <c r="AI288" s="1"/>
  <c r="AK288" s="1"/>
  <c r="AD232" i="37"/>
  <c r="AD439"/>
  <c r="AD439" i="40" s="1"/>
  <c r="AH439" i="37"/>
  <c r="AG439" i="40" s="1"/>
  <c r="AI439" s="1"/>
  <c r="AK439" s="1"/>
  <c r="AD327" i="37"/>
  <c r="AD327" i="40" s="1"/>
  <c r="AF327" s="1"/>
  <c r="AH86" i="37"/>
  <c r="AG86" i="40" s="1"/>
  <c r="AD238" i="37"/>
  <c r="AD238" i="40" s="1"/>
  <c r="AD253" i="37"/>
  <c r="AD253" i="40" s="1"/>
  <c r="AI375" i="37"/>
  <c r="AH375" i="40" s="1"/>
  <c r="AH481" i="37"/>
  <c r="AG481" i="40" s="1"/>
  <c r="AI481" s="1"/>
  <c r="AK481" s="1"/>
  <c r="AH174" i="37"/>
  <c r="AG174" i="40" s="1"/>
  <c r="AH97" i="37"/>
  <c r="AG97" i="40" s="1"/>
  <c r="AI97" s="1"/>
  <c r="AK97" s="1"/>
  <c r="AH202" i="37"/>
  <c r="AG202" i="40" s="1"/>
  <c r="AH10" i="37"/>
  <c r="AG10" i="40" s="1"/>
  <c r="AH366" i="37"/>
  <c r="AG366" i="40" s="1"/>
  <c r="AI366" s="1"/>
  <c r="AK366" s="1"/>
  <c r="AH47" i="37"/>
  <c r="AG47" i="40" s="1"/>
  <c r="AH98" i="37"/>
  <c r="AG98" i="40" s="1"/>
  <c r="AH210" i="37"/>
  <c r="AG210" i="40" s="1"/>
  <c r="AI210" s="1"/>
  <c r="AK210" s="1"/>
  <c r="AI23" i="37"/>
  <c r="AH23" i="40" s="1"/>
  <c r="AH342" i="37"/>
  <c r="AG342" i="40" s="1"/>
  <c r="AI342" s="1"/>
  <c r="AK342" s="1"/>
  <c r="AH178" i="37"/>
  <c r="AG178" i="40" s="1"/>
  <c r="AH46" i="37"/>
  <c r="AG46" i="40" s="1"/>
  <c r="AI13" i="37"/>
  <c r="AH13" i="40" s="1"/>
  <c r="AI374" i="37"/>
  <c r="AH374" i="40" s="1"/>
  <c r="AH80" i="37"/>
  <c r="AG80" i="40" s="1"/>
  <c r="AH67" i="37"/>
  <c r="AG67" i="40" s="1"/>
  <c r="AH57" i="37"/>
  <c r="AG57" i="40" s="1"/>
  <c r="AH83" i="37"/>
  <c r="AG83" i="40" s="1"/>
  <c r="AI83" s="1"/>
  <c r="AK83" s="1"/>
  <c r="AH84" i="37"/>
  <c r="AG84" i="40" s="1"/>
  <c r="AH376" i="37"/>
  <c r="AG376" i="40" s="1"/>
  <c r="AH5" i="37"/>
  <c r="AG5" i="40" s="1"/>
  <c r="AI5" s="1"/>
  <c r="AH45" i="37"/>
  <c r="AG45" i="40" s="1"/>
  <c r="AH347" i="37"/>
  <c r="AG347" i="40" s="1"/>
  <c r="AH345" i="37"/>
  <c r="AG345" i="40" s="1"/>
  <c r="AI345" s="1"/>
  <c r="AK345" s="1"/>
  <c r="AH152" i="37"/>
  <c r="AG152" i="40" s="1"/>
  <c r="AH479" i="37"/>
  <c r="AG479" i="40" s="1"/>
  <c r="AI479" s="1"/>
  <c r="AK479" s="1"/>
  <c r="AH11" i="37"/>
  <c r="AG11" i="40" s="1"/>
  <c r="AH52" i="37"/>
  <c r="AG52" i="40" s="1"/>
  <c r="AH491" i="37"/>
  <c r="AG491" i="40" s="1"/>
  <c r="AH399" i="37"/>
  <c r="AG399" i="40" s="1"/>
  <c r="AI100" i="37"/>
  <c r="AH100" i="40" s="1"/>
  <c r="AH352" i="37"/>
  <c r="AG352" i="40" s="1"/>
  <c r="AI352" s="1"/>
  <c r="AK352" s="1"/>
  <c r="AI411" i="37"/>
  <c r="AH411" i="40" s="1"/>
  <c r="AH131" i="37"/>
  <c r="AG131" i="40" s="1"/>
  <c r="AI131" s="1"/>
  <c r="AK131" s="1"/>
  <c r="AH384" i="37"/>
  <c r="AG384" i="40" s="1"/>
  <c r="AH277" i="37"/>
  <c r="AG277" i="40" s="1"/>
  <c r="AH461" i="37"/>
  <c r="AG461" i="40" s="1"/>
  <c r="AI377" i="37"/>
  <c r="AH377" i="40" s="1"/>
  <c r="AI377" s="1"/>
  <c r="AK377" s="1"/>
  <c r="AH95" i="37"/>
  <c r="AG95" i="40" s="1"/>
  <c r="AH110" i="37"/>
  <c r="AG110" i="40" s="1"/>
  <c r="AH72" i="37"/>
  <c r="AG72" i="40" s="1"/>
  <c r="AH17" i="37"/>
  <c r="AG17" i="40" s="1"/>
  <c r="AH43" i="37"/>
  <c r="AG43" i="40" s="1"/>
  <c r="AI131" i="37"/>
  <c r="AH131" i="40" s="1"/>
  <c r="AH31" i="37"/>
  <c r="AG31" i="40" s="1"/>
  <c r="AH490" i="37"/>
  <c r="AG490" i="40" s="1"/>
  <c r="AI220" i="37"/>
  <c r="AH220" i="40" s="1"/>
  <c r="AI216" i="37"/>
  <c r="AH216" i="40" s="1"/>
  <c r="AH87" i="37"/>
  <c r="AG87" i="40" s="1"/>
  <c r="AH217" i="37"/>
  <c r="AG217" i="40" s="1"/>
  <c r="AH470" i="37"/>
  <c r="AG470" i="40" s="1"/>
  <c r="AI166" i="37"/>
  <c r="AH166" i="40" s="1"/>
  <c r="AI380" i="37"/>
  <c r="AH380" i="40" s="1"/>
  <c r="AI211" i="37"/>
  <c r="AH211" i="40" s="1"/>
  <c r="AI337" i="37"/>
  <c r="AH337" i="40" s="1"/>
  <c r="AH48" i="37"/>
  <c r="AG48" i="40" s="1"/>
  <c r="AI48" s="1"/>
  <c r="AK48" s="1"/>
  <c r="AI386" i="37"/>
  <c r="AH386" i="40" s="1"/>
  <c r="AI217" i="37"/>
  <c r="AH217" i="40" s="1"/>
  <c r="AI217" s="1"/>
  <c r="AK217" s="1"/>
  <c r="AI48" i="37"/>
  <c r="AH48" i="40" s="1"/>
  <c r="AH68" i="37"/>
  <c r="AG68" i="40" s="1"/>
  <c r="AI339" i="37"/>
  <c r="AH339" i="40" s="1"/>
  <c r="AH483" i="37"/>
  <c r="AG483" i="40" s="1"/>
  <c r="AI483" s="1"/>
  <c r="AK483" s="1"/>
  <c r="AI16" i="37"/>
  <c r="AH16" i="40" s="1"/>
  <c r="AI371" i="37"/>
  <c r="AH371" i="40" s="1"/>
  <c r="AI371" s="1"/>
  <c r="AK371" s="1"/>
  <c r="AI219" i="37"/>
  <c r="AH219" i="40" s="1"/>
  <c r="AI213" i="37"/>
  <c r="AH213" i="40" s="1"/>
  <c r="AI213" s="1"/>
  <c r="AK213" s="1"/>
  <c r="AI44" i="37"/>
  <c r="AH44" i="40" s="1"/>
  <c r="AI399" i="37"/>
  <c r="AH399" i="40" s="1"/>
  <c r="AI352" i="37"/>
  <c r="AH352" i="40" s="1"/>
  <c r="AH488" i="37"/>
  <c r="AG488" i="40" s="1"/>
  <c r="AH477" i="37"/>
  <c r="AG477" i="40" s="1"/>
  <c r="AI126" i="37"/>
  <c r="AH126" i="40" s="1"/>
  <c r="AI126" s="1"/>
  <c r="AK126" s="1"/>
  <c r="AI161" i="37"/>
  <c r="AH161" i="40" s="1"/>
  <c r="AH77" i="37"/>
  <c r="AG77" i="40" s="1"/>
  <c r="AH90" i="37"/>
  <c r="AG90" i="40" s="1"/>
  <c r="AH220" i="37"/>
  <c r="AG220" i="40" s="1"/>
  <c r="AI220" s="1"/>
  <c r="AK220" s="1"/>
  <c r="AI273" i="37"/>
  <c r="AH273" i="40" s="1"/>
  <c r="AH3" i="37"/>
  <c r="AG3" i="40" s="1"/>
  <c r="AI73" i="37"/>
  <c r="AH73" i="40" s="1"/>
  <c r="AI463" i="37"/>
  <c r="AH463" i="40" s="1"/>
  <c r="AI30" i="37"/>
  <c r="AH30" i="40" s="1"/>
  <c r="AH55" i="37"/>
  <c r="AG55" i="40" s="1"/>
  <c r="AH41" i="37"/>
  <c r="AG41" i="40" s="1"/>
  <c r="AI41" s="1"/>
  <c r="AK41" s="1"/>
  <c r="AH395" i="37"/>
  <c r="AG395" i="40" s="1"/>
  <c r="AI179" i="37"/>
  <c r="AH179" i="40" s="1"/>
  <c r="AI182" i="37"/>
  <c r="AH182" i="40" s="1"/>
  <c r="AH348" i="37"/>
  <c r="AG348" i="40" s="1"/>
  <c r="AH337" i="37"/>
  <c r="AG337" i="40" s="1"/>
  <c r="AI415" i="37"/>
  <c r="AH415" i="40" s="1"/>
  <c r="AI401" i="37"/>
  <c r="AH401" i="40" s="1"/>
  <c r="AI479" i="37"/>
  <c r="AH479" i="40" s="1"/>
  <c r="AH125" i="37"/>
  <c r="AG125" i="40" s="1"/>
  <c r="AH166" i="37"/>
  <c r="AG166" i="40" s="1"/>
  <c r="AI166" s="1"/>
  <c r="AK166" s="1"/>
  <c r="AE5" i="37"/>
  <c r="AE5" i="40" s="1"/>
  <c r="AI5" i="37"/>
  <c r="AH5" i="40" s="1"/>
  <c r="AI164" i="37"/>
  <c r="AH164" i="40" s="1"/>
  <c r="AD182" i="37"/>
  <c r="AD182" i="40" s="1"/>
  <c r="AH182" i="37"/>
  <c r="AG182" i="40" s="1"/>
  <c r="AI182" s="1"/>
  <c r="AK182" s="1"/>
  <c r="AD171" i="37"/>
  <c r="AD171" i="40" s="1"/>
  <c r="AF171" s="1"/>
  <c r="AH171" i="37"/>
  <c r="AG171" i="40" s="1"/>
  <c r="AD107" i="37"/>
  <c r="AD107" i="40" s="1"/>
  <c r="AF107" s="1"/>
  <c r="AH107" i="37"/>
  <c r="AG107" i="40" s="1"/>
  <c r="AI107" s="1"/>
  <c r="AK107" s="1"/>
  <c r="AD413" i="37"/>
  <c r="AD413" i="40" s="1"/>
  <c r="AH413" i="37"/>
  <c r="AG413" i="40" s="1"/>
  <c r="AI387" i="37"/>
  <c r="AH387" i="40" s="1"/>
  <c r="AE15" i="37"/>
  <c r="AE15" i="40" s="1"/>
  <c r="AI15" i="37"/>
  <c r="AH15" i="40" s="1"/>
  <c r="AE18" i="37"/>
  <c r="AE18" i="40" s="1"/>
  <c r="AI18" i="37"/>
  <c r="AH18" i="40" s="1"/>
  <c r="AI18" s="1"/>
  <c r="AE366" i="37"/>
  <c r="AE366" i="40" s="1"/>
  <c r="AI366" i="37"/>
  <c r="AH366" i="40" s="1"/>
  <c r="AD181" i="37"/>
  <c r="AD181" i="40" s="1"/>
  <c r="AF181" s="1"/>
  <c r="AH181" i="37"/>
  <c r="AG181" i="40" s="1"/>
  <c r="AI51" i="37"/>
  <c r="AH51" i="40" s="1"/>
  <c r="AI51" s="1"/>
  <c r="AK51" s="1"/>
  <c r="AE42" i="37"/>
  <c r="AE42" i="40" s="1"/>
  <c r="AI42" i="37"/>
  <c r="AH42" i="40" s="1"/>
  <c r="AD104" i="37"/>
  <c r="AD104" i="40" s="1"/>
  <c r="AF104" s="1"/>
  <c r="AH104" i="37"/>
  <c r="AG104" i="40" s="1"/>
  <c r="AD420" i="37"/>
  <c r="AD420" i="40" s="1"/>
  <c r="AH420" i="37"/>
  <c r="AG420" i="40" s="1"/>
  <c r="AD418" i="37"/>
  <c r="AD418" i="40" s="1"/>
  <c r="AH418" i="37"/>
  <c r="AG418" i="40" s="1"/>
  <c r="AI393" i="37"/>
  <c r="AH393" i="40" s="1"/>
  <c r="AI393" s="1"/>
  <c r="AK393" s="1"/>
  <c r="AD204" i="37"/>
  <c r="AD204" i="40" s="1"/>
  <c r="AH204" i="37"/>
  <c r="AG204" i="40" s="1"/>
  <c r="AI336" i="37"/>
  <c r="AH336" i="40" s="1"/>
  <c r="AI350" i="37"/>
  <c r="AH350" i="40" s="1"/>
  <c r="AH489" i="37"/>
  <c r="AG489" i="40" s="1"/>
  <c r="AD172" i="37"/>
  <c r="AD172" i="40" s="1"/>
  <c r="AH172" i="37"/>
  <c r="AG172" i="40" s="1"/>
  <c r="AI172" s="1"/>
  <c r="AK172" s="1"/>
  <c r="AD99" i="37"/>
  <c r="AD99" i="40" s="1"/>
  <c r="AH99" i="37"/>
  <c r="AG99" i="40" s="1"/>
  <c r="AI493" i="37"/>
  <c r="AH493" i="40" s="1"/>
  <c r="AI204" i="37"/>
  <c r="AH204" i="40" s="1"/>
  <c r="AI206" i="37"/>
  <c r="AH206" i="40" s="1"/>
  <c r="AH155" i="37"/>
  <c r="AG155" i="40" s="1"/>
  <c r="AI155" s="1"/>
  <c r="AK155" s="1"/>
  <c r="AH388" i="37"/>
  <c r="AG388" i="40" s="1"/>
  <c r="AH265" i="37"/>
  <c r="AG265" i="40" s="1"/>
  <c r="AH266" i="37"/>
  <c r="AG266" i="40" s="1"/>
  <c r="AI266" s="1"/>
  <c r="AK266" s="1"/>
  <c r="AH458" i="37"/>
  <c r="AG458" i="40" s="1"/>
  <c r="AH33" i="37"/>
  <c r="AG33" i="40" s="1"/>
  <c r="AD190" i="37"/>
  <c r="AD190" i="40" s="1"/>
  <c r="AH190" i="37"/>
  <c r="AG190" i="40" s="1"/>
  <c r="AD191" i="37"/>
  <c r="AD191" i="40" s="1"/>
  <c r="AF191" s="1"/>
  <c r="AH191" i="37"/>
  <c r="AG191" i="40" s="1"/>
  <c r="AE12" i="37"/>
  <c r="AE12" i="40" s="1"/>
  <c r="AI12" i="37"/>
  <c r="AH12" i="40" s="1"/>
  <c r="AI223" i="37"/>
  <c r="AH223" i="40" s="1"/>
  <c r="AD419" i="37"/>
  <c r="AD419" i="40" s="1"/>
  <c r="AF419" s="1"/>
  <c r="AH419" i="37"/>
  <c r="AG419" i="40" s="1"/>
  <c r="AI65" i="37"/>
  <c r="AH65" i="40" s="1"/>
  <c r="AI468" i="37"/>
  <c r="AH468" i="40" s="1"/>
  <c r="AI34" i="37"/>
  <c r="AH34" i="40" s="1"/>
  <c r="AD408" i="37"/>
  <c r="AD408" i="40" s="1"/>
  <c r="AF408" s="1"/>
  <c r="AH408" i="37"/>
  <c r="AG408" i="40" s="1"/>
  <c r="AH69" i="37"/>
  <c r="AG69" i="40" s="1"/>
  <c r="AI461" i="37"/>
  <c r="AH461" i="40" s="1"/>
  <c r="AI96" i="37"/>
  <c r="AH96" i="40" s="1"/>
  <c r="AH186" i="37"/>
  <c r="AG186" i="40" s="1"/>
  <c r="AD103" i="37"/>
  <c r="AD103" i="40" s="1"/>
  <c r="AH103" i="37"/>
  <c r="AG103" i="40" s="1"/>
  <c r="AI395" i="37"/>
  <c r="AH395" i="40" s="1"/>
  <c r="AI395" s="1"/>
  <c r="AK395" s="1"/>
  <c r="AD195" i="37"/>
  <c r="AD195" i="40" s="1"/>
  <c r="AH195" i="37"/>
  <c r="AG195" i="40" s="1"/>
  <c r="AI195" s="1"/>
  <c r="AK195" s="1"/>
  <c r="AI353" i="37"/>
  <c r="AH353" i="40" s="1"/>
  <c r="AI132" i="37"/>
  <c r="AH132" i="40" s="1"/>
  <c r="AI157" i="37"/>
  <c r="AH157" i="40" s="1"/>
  <c r="AI269" i="37"/>
  <c r="AH269" i="40" s="1"/>
  <c r="AI269" s="1"/>
  <c r="AK269" s="1"/>
  <c r="AI71" i="37"/>
  <c r="AH71" i="40" s="1"/>
  <c r="AI465" i="37"/>
  <c r="AH465" i="40" s="1"/>
  <c r="AI178" i="37"/>
  <c r="AH178" i="40" s="1"/>
  <c r="AI487" i="37"/>
  <c r="AH487" i="40" s="1"/>
  <c r="AD100" i="37"/>
  <c r="AD100" i="40" s="1"/>
  <c r="AF100" s="1"/>
  <c r="AH100" i="37"/>
  <c r="AG100" i="40" s="1"/>
  <c r="AI31" i="37"/>
  <c r="AH31" i="40" s="1"/>
  <c r="AI106" i="37"/>
  <c r="AH106" i="40" s="1"/>
  <c r="AI383" i="37"/>
  <c r="AH383" i="40" s="1"/>
  <c r="AD198" i="37"/>
  <c r="AD198" i="40" s="1"/>
  <c r="AH198" i="37"/>
  <c r="AG198" i="40" s="1"/>
  <c r="AH65" i="37"/>
  <c r="AG65" i="40" s="1"/>
  <c r="AI118" i="37"/>
  <c r="AH118" i="40" s="1"/>
  <c r="AI118" s="1"/>
  <c r="AK118" s="1"/>
  <c r="AH85" i="37"/>
  <c r="AG85" i="40" s="1"/>
  <c r="AI181" i="37"/>
  <c r="AH181" i="40" s="1"/>
  <c r="AI181" s="1"/>
  <c r="AK181" s="1"/>
  <c r="AI81" i="37"/>
  <c r="AH81" i="40" s="1"/>
  <c r="AD412" i="37"/>
  <c r="AD412" i="40" s="1"/>
  <c r="AH412" i="37"/>
  <c r="AG412" i="40" s="1"/>
  <c r="AI128" i="37"/>
  <c r="AH128" i="40" s="1"/>
  <c r="AI128" s="1"/>
  <c r="AK128" s="1"/>
  <c r="AH369" i="37"/>
  <c r="AG369" i="40" s="1"/>
  <c r="AI80" i="37"/>
  <c r="AH80" i="40" s="1"/>
  <c r="AE226" i="37"/>
  <c r="AE226" i="40" s="1"/>
  <c r="AI226" i="37"/>
  <c r="AH226" i="40" s="1"/>
  <c r="AI385" i="37"/>
  <c r="AH385" i="40" s="1"/>
  <c r="AI385" s="1"/>
  <c r="AK385" s="1"/>
  <c r="AH176" i="37"/>
  <c r="AG176" i="40" s="1"/>
  <c r="AI215" i="37"/>
  <c r="AH215" i="40" s="1"/>
  <c r="AI215" s="1"/>
  <c r="AK215" s="1"/>
  <c r="AI210" i="37"/>
  <c r="AH210" i="40" s="1"/>
  <c r="AI39" i="37"/>
  <c r="AH39" i="40" s="1"/>
  <c r="AI56" i="37"/>
  <c r="AH56" i="40" s="1"/>
  <c r="AD108" i="37"/>
  <c r="AD108" i="40" s="1"/>
  <c r="AH108" i="37"/>
  <c r="AG108" i="40" s="1"/>
  <c r="AH94" i="37"/>
  <c r="AG94" i="40" s="1"/>
  <c r="AD207" i="37"/>
  <c r="AD207" i="40" s="1"/>
  <c r="AH207" i="37"/>
  <c r="AG207" i="40" s="1"/>
  <c r="AI207" s="1"/>
  <c r="AK207" s="1"/>
  <c r="AI338" i="37"/>
  <c r="AH338" i="40" s="1"/>
  <c r="AH218" i="37"/>
  <c r="AG218" i="40" s="1"/>
  <c r="AI218" s="1"/>
  <c r="AK218" s="1"/>
  <c r="AD184" i="37"/>
  <c r="AD184" i="40" s="1"/>
  <c r="AF184" s="1"/>
  <c r="AH184" i="37"/>
  <c r="AG184" i="40" s="1"/>
  <c r="AI19" i="37"/>
  <c r="AH19" i="40" s="1"/>
  <c r="AI381" i="37"/>
  <c r="AH381" i="40" s="1"/>
  <c r="AI381" s="1"/>
  <c r="AK381" s="1"/>
  <c r="AI370" i="37"/>
  <c r="AH370" i="40" s="1"/>
  <c r="AI55" i="37"/>
  <c r="AH55" i="40" s="1"/>
  <c r="AI55" s="1"/>
  <c r="AK55" s="1"/>
  <c r="AI50" i="37"/>
  <c r="AH50" i="40" s="1"/>
  <c r="AD101" i="37"/>
  <c r="AD101" i="40" s="1"/>
  <c r="AH101" i="37"/>
  <c r="AG101" i="40" s="1"/>
  <c r="AI101" s="1"/>
  <c r="AK101" s="1"/>
  <c r="AI470" i="37"/>
  <c r="AH470" i="40" s="1"/>
  <c r="AI470" s="1"/>
  <c r="AK470" s="1"/>
  <c r="AI107" i="37"/>
  <c r="AH107" i="40" s="1"/>
  <c r="AI82" i="37"/>
  <c r="AH82" i="40" s="1"/>
  <c r="AH225" i="37"/>
  <c r="AG225" i="40" s="1"/>
  <c r="AI72" i="37"/>
  <c r="AH72" i="40" s="1"/>
  <c r="AI176" i="37"/>
  <c r="AH176" i="40" s="1"/>
  <c r="AI270" i="37"/>
  <c r="AH270" i="40" s="1"/>
  <c r="AI102" i="37"/>
  <c r="AH102" i="40" s="1"/>
  <c r="AI416" i="37"/>
  <c r="AH416" i="40" s="1"/>
  <c r="AI416" s="1"/>
  <c r="AK416" s="1"/>
  <c r="AI199" i="37"/>
  <c r="AH199" i="40" s="1"/>
  <c r="AH129" i="37"/>
  <c r="AG129" i="40" s="1"/>
  <c r="AI129" s="1"/>
  <c r="AK129" s="1"/>
  <c r="AH386" i="37"/>
  <c r="AG386" i="40" s="1"/>
  <c r="AI386" s="1"/>
  <c r="AK386" s="1"/>
  <c r="AE11" i="37"/>
  <c r="AE11" i="40" s="1"/>
  <c r="AI11" i="37"/>
  <c r="AH11" i="40" s="1"/>
  <c r="AI11" s="1"/>
  <c r="AD179" i="37"/>
  <c r="AD179" i="40" s="1"/>
  <c r="AH179" i="37"/>
  <c r="AG179" i="40" s="1"/>
  <c r="AI46" i="37"/>
  <c r="AH46" i="40" s="1"/>
  <c r="AD402" i="37"/>
  <c r="AD402" i="40" s="1"/>
  <c r="AH402" i="37"/>
  <c r="AG402" i="40" s="1"/>
  <c r="AH58" i="37"/>
  <c r="AG58" i="40" s="1"/>
  <c r="AI351" i="37"/>
  <c r="AH351" i="40" s="1"/>
  <c r="AI127" i="37"/>
  <c r="AH127" i="40" s="1"/>
  <c r="AI125" i="37"/>
  <c r="AH125" i="40" s="1"/>
  <c r="AI162" i="37"/>
  <c r="AH162" i="40" s="1"/>
  <c r="AH74" i="37"/>
  <c r="AG74" i="40" s="1"/>
  <c r="AH372" i="37"/>
  <c r="AG372" i="40" s="1"/>
  <c r="AH219" i="37"/>
  <c r="AG219" i="40" s="1"/>
  <c r="AI272" i="37"/>
  <c r="AH272" i="40" s="1"/>
  <c r="AH9" i="37"/>
  <c r="AG9" i="40" s="1"/>
  <c r="AI458" i="37"/>
  <c r="AH458" i="40" s="1"/>
  <c r="AI458" s="1"/>
  <c r="AK458" s="1"/>
  <c r="AI28" i="37"/>
  <c r="AH28" i="40" s="1"/>
  <c r="AH394" i="37"/>
  <c r="AG394" i="40" s="1"/>
  <c r="AI394" s="1"/>
  <c r="AK394" s="1"/>
  <c r="AI172" i="37"/>
  <c r="AH172" i="40" s="1"/>
  <c r="AI98" i="37"/>
  <c r="AH98" i="40" s="1"/>
  <c r="AI98" s="1"/>
  <c r="AK98" s="1"/>
  <c r="AH353" i="37"/>
  <c r="AG353" i="40" s="1"/>
  <c r="AI353" s="1"/>
  <c r="AK353" s="1"/>
  <c r="AI92" i="37"/>
  <c r="AH92" i="40" s="1"/>
  <c r="AI412" i="37"/>
  <c r="AH412" i="40" s="1"/>
  <c r="AI207" i="37"/>
  <c r="AH207" i="40" s="1"/>
  <c r="AH133" i="37"/>
  <c r="AG133" i="40" s="1"/>
  <c r="AH160" i="37"/>
  <c r="AG160" i="40" s="1"/>
  <c r="AH468" i="37"/>
  <c r="AG468" i="40" s="1"/>
  <c r="AH22" i="37"/>
  <c r="AG22" i="40" s="1"/>
  <c r="AE3" i="37"/>
  <c r="AE3" i="40" s="1"/>
  <c r="AI3" i="37"/>
  <c r="AH3" i="40" s="1"/>
  <c r="AI10" i="37"/>
  <c r="AH10" i="40" s="1"/>
  <c r="AI382" i="37"/>
  <c r="AH382" i="40" s="1"/>
  <c r="AE372" i="37"/>
  <c r="AE372" i="40" s="1"/>
  <c r="AI372" i="37"/>
  <c r="AH372" i="40" s="1"/>
  <c r="AD183" i="37"/>
  <c r="AD183" i="40" s="1"/>
  <c r="AH183" i="37"/>
  <c r="AG183" i="40" s="1"/>
  <c r="AD180" i="37"/>
  <c r="AD180" i="40" s="1"/>
  <c r="AF180" s="1"/>
  <c r="AH180" i="37"/>
  <c r="AG180" i="40" s="1"/>
  <c r="AE225" i="37"/>
  <c r="AE225" i="40" s="1"/>
  <c r="AI225" i="37"/>
  <c r="AH225" i="40" s="1"/>
  <c r="AI225" s="1"/>
  <c r="AK225" s="1"/>
  <c r="AE52" i="37"/>
  <c r="AE52" i="40" s="1"/>
  <c r="AI52" i="37"/>
  <c r="AH52" i="40" s="1"/>
  <c r="AI38" i="37"/>
  <c r="AH38" i="40" s="1"/>
  <c r="AD112" i="37"/>
  <c r="AD112" i="40" s="1"/>
  <c r="AH112" i="37"/>
  <c r="AG112" i="40" s="1"/>
  <c r="AD404" i="37"/>
  <c r="AD404" i="40" s="1"/>
  <c r="AH404" i="37"/>
  <c r="AG404" i="40" s="1"/>
  <c r="AD410" i="37"/>
  <c r="AD410" i="40" s="1"/>
  <c r="AF410" s="1"/>
  <c r="AH410" i="37"/>
  <c r="AG410" i="40" s="1"/>
  <c r="AI390" i="37"/>
  <c r="AH390" i="40" s="1"/>
  <c r="AD208" i="37"/>
  <c r="AD208" i="40" s="1"/>
  <c r="AH208" i="37"/>
  <c r="AG208" i="40" s="1"/>
  <c r="AH60" i="37"/>
  <c r="AG60" i="40" s="1"/>
  <c r="AI60" s="1"/>
  <c r="AK60" s="1"/>
  <c r="AH62" i="37"/>
  <c r="AG62" i="40" s="1"/>
  <c r="AI343" i="37"/>
  <c r="AH343" i="40" s="1"/>
  <c r="AI342" i="37"/>
  <c r="AH342" i="40" s="1"/>
  <c r="AH487" i="37"/>
  <c r="AH478"/>
  <c r="AG478" i="40" s="1"/>
  <c r="AI123" i="37"/>
  <c r="AH123" i="40" s="1"/>
  <c r="AI129" i="37"/>
  <c r="AH129" i="40" s="1"/>
  <c r="AI156" i="37"/>
  <c r="AH156" i="40" s="1"/>
  <c r="AI156" s="1"/>
  <c r="AK156" s="1"/>
  <c r="AI158" i="37"/>
  <c r="AH158" i="40" s="1"/>
  <c r="AH91" i="37"/>
  <c r="AG91" i="40" s="1"/>
  <c r="AI91" s="1"/>
  <c r="AK91" s="1"/>
  <c r="AH78" i="37"/>
  <c r="AG78" i="40" s="1"/>
  <c r="AI78" s="1"/>
  <c r="AK78" s="1"/>
  <c r="AH371" i="37"/>
  <c r="AG371" i="40" s="1"/>
  <c r="AH215" i="37"/>
  <c r="AG215" i="40" s="1"/>
  <c r="AH214" i="37"/>
  <c r="AG214" i="40" s="1"/>
  <c r="AI268" i="37"/>
  <c r="AH268" i="40" s="1"/>
  <c r="AH19" i="37"/>
  <c r="AG19" i="40" s="1"/>
  <c r="AI19" s="1"/>
  <c r="AH18" i="37"/>
  <c r="AG18" i="40" s="1"/>
  <c r="AI64" i="37"/>
  <c r="AH64" i="40" s="1"/>
  <c r="AI467" i="37"/>
  <c r="AH467" i="40" s="1"/>
  <c r="AI462" i="37"/>
  <c r="AH462" i="40" s="1"/>
  <c r="AI25" i="37"/>
  <c r="AH25" i="40" s="1"/>
  <c r="AH53" i="37"/>
  <c r="AG53" i="40" s="1"/>
  <c r="AH397" i="37"/>
  <c r="AG397" i="40" s="1"/>
  <c r="AI175" i="37"/>
  <c r="AH175" i="40" s="1"/>
  <c r="AI175" s="1"/>
  <c r="AK175" s="1"/>
  <c r="AI185" i="37"/>
  <c r="AH185" i="40" s="1"/>
  <c r="AI99" i="37"/>
  <c r="AH99" i="40" s="1"/>
  <c r="AI94" i="37"/>
  <c r="AH94" i="40" s="1"/>
  <c r="AH336" i="37"/>
  <c r="AG336" i="40" s="1"/>
  <c r="AH350" i="37"/>
  <c r="AG350" i="40" s="1"/>
  <c r="AI350" s="1"/>
  <c r="AK350" s="1"/>
  <c r="AI85" i="37"/>
  <c r="AH85" i="40" s="1"/>
  <c r="AI78" i="37"/>
  <c r="AH78" i="40" s="1"/>
  <c r="AI404" i="37"/>
  <c r="AH404" i="40" s="1"/>
  <c r="AI413" i="37"/>
  <c r="AH413" i="40" s="1"/>
  <c r="AI482" i="37"/>
  <c r="AH482" i="40" s="1"/>
  <c r="AI482" s="1"/>
  <c r="AK482" s="1"/>
  <c r="AI208" i="37"/>
  <c r="AH208" i="40" s="1"/>
  <c r="AI194" i="37"/>
  <c r="AH194" i="40" s="1"/>
  <c r="AH120" i="37"/>
  <c r="AG120" i="40" s="1"/>
  <c r="AH159" i="37"/>
  <c r="AG159" i="40" s="1"/>
  <c r="AH153" i="37"/>
  <c r="AG153" i="40" s="1"/>
  <c r="AH378" i="37"/>
  <c r="AG378" i="40" s="1"/>
  <c r="AI378" s="1"/>
  <c r="AK378" s="1"/>
  <c r="AH267" i="37"/>
  <c r="AG267" i="40" s="1"/>
  <c r="AH278" i="37"/>
  <c r="AG278" i="40" s="1"/>
  <c r="AH471" i="37"/>
  <c r="AG471" i="40" s="1"/>
  <c r="AH20" i="37"/>
  <c r="AG20" i="40" s="1"/>
  <c r="AH30" i="37"/>
  <c r="AG30" i="40" s="1"/>
  <c r="AI30" s="1"/>
  <c r="AK30" s="1"/>
  <c r="AI117" i="37"/>
  <c r="AH117" i="40" s="1"/>
  <c r="AI267" i="37"/>
  <c r="AH267" i="40" s="1"/>
  <c r="AI267" s="1"/>
  <c r="AK267" s="1"/>
  <c r="AI24" i="37"/>
  <c r="AH24" i="40" s="1"/>
  <c r="AH393" i="37"/>
  <c r="AG393" i="40" s="1"/>
  <c r="AI79" i="37"/>
  <c r="AH79" i="40" s="1"/>
  <c r="AI406" i="37"/>
  <c r="AH406" i="40" s="1"/>
  <c r="AI483" i="37"/>
  <c r="AH483" i="40" s="1"/>
  <c r="AI202" i="37"/>
  <c r="AH202" i="40" s="1"/>
  <c r="AI202" s="1"/>
  <c r="AK202" s="1"/>
  <c r="AH117" i="37"/>
  <c r="AG117" i="40" s="1"/>
  <c r="AI117" s="1"/>
  <c r="AK117" s="1"/>
  <c r="AH270" i="37"/>
  <c r="AG270" i="40" s="1"/>
  <c r="AH464" i="37"/>
  <c r="AG464" i="40" s="1"/>
  <c r="AH34" i="37"/>
  <c r="AE14"/>
  <c r="AE14" i="40" s="1"/>
  <c r="AI14" i="37"/>
  <c r="AH14" i="40" s="1"/>
  <c r="AI378" i="37"/>
  <c r="AH378" i="40" s="1"/>
  <c r="AI376" i="37"/>
  <c r="AH376" i="40" s="1"/>
  <c r="AD188" i="37"/>
  <c r="AD188" i="40" s="1"/>
  <c r="AH188" i="37"/>
  <c r="AG188" i="40" s="1"/>
  <c r="AI47" i="37"/>
  <c r="AH47" i="40" s="1"/>
  <c r="AI47" s="1"/>
  <c r="AK47" s="1"/>
  <c r="AD96" i="37"/>
  <c r="AD96" i="40" s="1"/>
  <c r="AH96" i="37"/>
  <c r="AG96" i="40" s="1"/>
  <c r="AD416" i="37"/>
  <c r="AD416" i="40" s="1"/>
  <c r="AF416" s="1"/>
  <c r="AH416" i="37"/>
  <c r="AG416" i="40" s="1"/>
  <c r="AI398" i="37"/>
  <c r="AH398" i="40" s="1"/>
  <c r="AD200" i="37"/>
  <c r="AD200" i="40" s="1"/>
  <c r="AH200" i="37"/>
  <c r="AG200" i="40" s="1"/>
  <c r="AH71" i="37"/>
  <c r="AG71" i="40" s="1"/>
  <c r="AI71" s="1"/>
  <c r="AK71" s="1"/>
  <c r="AI341" i="37"/>
  <c r="AH341" i="40" s="1"/>
  <c r="AI160" i="37"/>
  <c r="AH160" i="40" s="1"/>
  <c r="AI160" s="1"/>
  <c r="AK160" s="1"/>
  <c r="AI68" i="37"/>
  <c r="AH68" i="40" s="1"/>
  <c r="AI103" i="37"/>
  <c r="AH103" i="40" s="1"/>
  <c r="AH340" i="37"/>
  <c r="AG340" i="40" s="1"/>
  <c r="AI340" s="1"/>
  <c r="AK340" s="1"/>
  <c r="AI86" i="37"/>
  <c r="AH86" i="40" s="1"/>
  <c r="AI417" i="37"/>
  <c r="AH417" i="40" s="1"/>
  <c r="AI492" i="37"/>
  <c r="AH492" i="40" s="1"/>
  <c r="AI492" s="1"/>
  <c r="AK492" s="1"/>
  <c r="AI198" i="37"/>
  <c r="AH198" i="40" s="1"/>
  <c r="AH121" i="37"/>
  <c r="AG121" i="40" s="1"/>
  <c r="AI121" s="1"/>
  <c r="AK121" s="1"/>
  <c r="AH389" i="37"/>
  <c r="AG389" i="40" s="1"/>
  <c r="AH274" i="37"/>
  <c r="AG274" i="40" s="1"/>
  <c r="AH473" i="37"/>
  <c r="AG473" i="40" s="1"/>
  <c r="AI473" s="1"/>
  <c r="AK473" s="1"/>
  <c r="AH32" i="37"/>
  <c r="AG32" i="40" s="1"/>
  <c r="AI32" s="1"/>
  <c r="AK32" s="1"/>
  <c r="AE7" i="37"/>
  <c r="AE7" i="40" s="1"/>
  <c r="AI7" i="37"/>
  <c r="AH7" i="40" s="1"/>
  <c r="AE6" i="37"/>
  <c r="AE6" i="40" s="1"/>
  <c r="AI6" i="37"/>
  <c r="AH6" i="40" s="1"/>
  <c r="AI384" i="37"/>
  <c r="AH384" i="40" s="1"/>
  <c r="AE368" i="37"/>
  <c r="AE368" i="40" s="1"/>
  <c r="AI368" i="37"/>
  <c r="AH368" i="40" s="1"/>
  <c r="AD187" i="37"/>
  <c r="AD187" i="40" s="1"/>
  <c r="AF187" s="1"/>
  <c r="AH187" i="37"/>
  <c r="AG187" i="40" s="1"/>
  <c r="AD189" i="37"/>
  <c r="AD189" i="40" s="1"/>
  <c r="AF189" s="1"/>
  <c r="AH189" i="37"/>
  <c r="AG189" i="40" s="1"/>
  <c r="AE221" i="37"/>
  <c r="AE221" i="40" s="1"/>
  <c r="AI221" i="37"/>
  <c r="AH221" i="40" s="1"/>
  <c r="AI53" i="37"/>
  <c r="AH53" i="40" s="1"/>
  <c r="AI54" i="37"/>
  <c r="AH54" i="40" s="1"/>
  <c r="AD109" i="37"/>
  <c r="AD109" i="40" s="1"/>
  <c r="AH109" i="37"/>
  <c r="AG109" i="40" s="1"/>
  <c r="AD403" i="37"/>
  <c r="AD403" i="40" s="1"/>
  <c r="AF403" s="1"/>
  <c r="AH403" i="37"/>
  <c r="AG403" i="40" s="1"/>
  <c r="AH406" i="37"/>
  <c r="AG406" i="40" s="1"/>
  <c r="AI406" s="1"/>
  <c r="AK406" s="1"/>
  <c r="AI394" i="37"/>
  <c r="AH394" i="40" s="1"/>
  <c r="AH64" i="37"/>
  <c r="AG64" i="40" s="1"/>
  <c r="AI347" i="37"/>
  <c r="AH347" i="40" s="1"/>
  <c r="AI346" i="37"/>
  <c r="AH346" i="40" s="1"/>
  <c r="AH484" i="37"/>
  <c r="AG484" i="40" s="1"/>
  <c r="AH486" i="37"/>
  <c r="AG486" i="40" s="1"/>
  <c r="AI119" i="37"/>
  <c r="AH119" i="40" s="1"/>
  <c r="AI130" i="37"/>
  <c r="AH130" i="40" s="1"/>
  <c r="AI130" s="1"/>
  <c r="AK130" s="1"/>
  <c r="AI153" i="37"/>
  <c r="AH153" i="40" s="1"/>
  <c r="AH93" i="37"/>
  <c r="AG93" i="40" s="1"/>
  <c r="AH82" i="37"/>
  <c r="AG82" i="40" s="1"/>
  <c r="AH368" i="37"/>
  <c r="AG368" i="40" s="1"/>
  <c r="AH227" i="37"/>
  <c r="AG227" i="40" s="1"/>
  <c r="AH209" i="37"/>
  <c r="AG209" i="40" s="1"/>
  <c r="AI264" i="37"/>
  <c r="AH264" i="40" s="1"/>
  <c r="AH7" i="37"/>
  <c r="AG7" i="40" s="1"/>
  <c r="AH6" i="37"/>
  <c r="AG6" i="40" s="1"/>
  <c r="AI57" i="37"/>
  <c r="AH57" i="40" s="1"/>
  <c r="AI57" s="1"/>
  <c r="AK57" s="1"/>
  <c r="AI459" i="37"/>
  <c r="AH459" i="40" s="1"/>
  <c r="AI469" i="37"/>
  <c r="AH469" i="40" s="1"/>
  <c r="AI35" i="37"/>
  <c r="AH35" i="40" s="1"/>
  <c r="AI21" i="37"/>
  <c r="AH21" i="40" s="1"/>
  <c r="AH40" i="37"/>
  <c r="AG40" i="40" s="1"/>
  <c r="AH398" i="37"/>
  <c r="AG398" i="40" s="1"/>
  <c r="AI398" s="1"/>
  <c r="AK398" s="1"/>
  <c r="AI171" i="37"/>
  <c r="AH171" i="40" s="1"/>
  <c r="AI171" s="1"/>
  <c r="AK171" s="1"/>
  <c r="AI177" i="37"/>
  <c r="AH177" i="40" s="1"/>
  <c r="AI104" i="37"/>
  <c r="AH104" i="40" s="1"/>
  <c r="AI104" s="1"/>
  <c r="AK104" s="1"/>
  <c r="AI113" i="37"/>
  <c r="AH113" i="40" s="1"/>
  <c r="AH351" i="37"/>
  <c r="AG351" i="40" s="1"/>
  <c r="AH354" i="37"/>
  <c r="AG354" i="40" s="1"/>
  <c r="AI354" s="1"/>
  <c r="AK354" s="1"/>
  <c r="AI88" i="37"/>
  <c r="AH88" i="40" s="1"/>
  <c r="AI74" i="37"/>
  <c r="AH74" i="40" s="1"/>
  <c r="AI408" i="37"/>
  <c r="AH408" i="40" s="1"/>
  <c r="AI409" i="37"/>
  <c r="AH409" i="40" s="1"/>
  <c r="AI409" s="1"/>
  <c r="AK409" s="1"/>
  <c r="AI478" i="37"/>
  <c r="AH478" i="40" s="1"/>
  <c r="AI478" s="1"/>
  <c r="AK478" s="1"/>
  <c r="AI197" i="37"/>
  <c r="AH197" i="40" s="1"/>
  <c r="AI190" i="37"/>
  <c r="AH190" i="40" s="1"/>
  <c r="AI190" s="1"/>
  <c r="AK190" s="1"/>
  <c r="AH132" i="37"/>
  <c r="AG132" i="40" s="1"/>
  <c r="AH163" i="37"/>
  <c r="AG163" i="40" s="1"/>
  <c r="AH161" i="37"/>
  <c r="AG161" i="40" s="1"/>
  <c r="AI161" s="1"/>
  <c r="AK161" s="1"/>
  <c r="AH382" i="37"/>
  <c r="AG382" i="40" s="1"/>
  <c r="AI382" s="1"/>
  <c r="AK382" s="1"/>
  <c r="AH264" i="37"/>
  <c r="AG264" i="40" s="1"/>
  <c r="AI264" s="1"/>
  <c r="AK264" s="1"/>
  <c r="AH269" i="37"/>
  <c r="AG269" i="40" s="1"/>
  <c r="AH472" i="37"/>
  <c r="AG472" i="40" s="1"/>
  <c r="AH21" i="37"/>
  <c r="AG21" i="40" s="1"/>
  <c r="AI115" i="37"/>
  <c r="AH115" i="40" s="1"/>
  <c r="AI122" i="37"/>
  <c r="AH122" i="40" s="1"/>
  <c r="AI152" i="37"/>
  <c r="AH152" i="40" s="1"/>
  <c r="AI152" s="1"/>
  <c r="AK152" s="1"/>
  <c r="AH89" i="37"/>
  <c r="AG89" i="40" s="1"/>
  <c r="AI89" s="1"/>
  <c r="AK89" s="1"/>
  <c r="AH370" i="37"/>
  <c r="AG370" i="40" s="1"/>
  <c r="AI370" s="1"/>
  <c r="AK370" s="1"/>
  <c r="AH216" i="37"/>
  <c r="AG216" i="40" s="1"/>
  <c r="AH222" i="37"/>
  <c r="AG222" i="40" s="1"/>
  <c r="AI222" s="1"/>
  <c r="AK222" s="1"/>
  <c r="AI277" i="37"/>
  <c r="AH277" i="40" s="1"/>
  <c r="AH15" i="37"/>
  <c r="AG15" i="40" s="1"/>
  <c r="AI15" s="1"/>
  <c r="AH14" i="37"/>
  <c r="AG14" i="40" s="1"/>
  <c r="AI60" i="37"/>
  <c r="AH60" i="40" s="1"/>
  <c r="AI475" i="37"/>
  <c r="AH475" i="40" s="1"/>
  <c r="AI473" i="37"/>
  <c r="AH473" i="40" s="1"/>
  <c r="AI27" i="37"/>
  <c r="AH27" i="40" s="1"/>
  <c r="AI37" i="37"/>
  <c r="AH37" i="40" s="1"/>
  <c r="AI37" s="1"/>
  <c r="AK37" s="1"/>
  <c r="AI183" i="37"/>
  <c r="AH183" i="40" s="1"/>
  <c r="AI183" s="1"/>
  <c r="AK183" s="1"/>
  <c r="AI186" i="37"/>
  <c r="AH186" i="40" s="1"/>
  <c r="AI186" s="1"/>
  <c r="AK186" s="1"/>
  <c r="AI108" i="37"/>
  <c r="AH108" i="40" s="1"/>
  <c r="AI110" i="37"/>
  <c r="AH110" i="40" s="1"/>
  <c r="AH344" i="37"/>
  <c r="AG344" i="40" s="1"/>
  <c r="AH338" i="37"/>
  <c r="AG338" i="40" s="1"/>
  <c r="AI84" i="37"/>
  <c r="AH84" i="40" s="1"/>
  <c r="AI419" i="37"/>
  <c r="AH419" i="40" s="1"/>
  <c r="AI405" i="37"/>
  <c r="AH405" i="40" s="1"/>
  <c r="AI489" i="37"/>
  <c r="AH489" i="40" s="1"/>
  <c r="AI195" i="37"/>
  <c r="AH195" i="40" s="1"/>
  <c r="AI201" i="37"/>
  <c r="AH201" i="40" s="1"/>
  <c r="AH116" i="37"/>
  <c r="AG116" i="40" s="1"/>
  <c r="AH167" i="37"/>
  <c r="AG167" i="40" s="1"/>
  <c r="AH158" i="37"/>
  <c r="AG158" i="40" s="1"/>
  <c r="AH381" i="37"/>
  <c r="AG381" i="40" s="1"/>
  <c r="AH263" i="37"/>
  <c r="AG263" i="40" s="1"/>
  <c r="AH262" i="37"/>
  <c r="AG262" i="40" s="1"/>
  <c r="AI262" s="1"/>
  <c r="AK262" s="1"/>
  <c r="AH475" i="37"/>
  <c r="AG475" i="40" s="1"/>
  <c r="AH28" i="37"/>
  <c r="AG28" i="40" s="1"/>
  <c r="AI28" s="1"/>
  <c r="AK28" s="1"/>
  <c r="AI485" i="37"/>
  <c r="AH485" i="40" s="1"/>
  <c r="AH157" i="37"/>
  <c r="AG157" i="40" s="1"/>
  <c r="AI157" s="1"/>
  <c r="AK157" s="1"/>
  <c r="AH268" i="37"/>
  <c r="AG268" i="40" s="1"/>
  <c r="AI268" s="1"/>
  <c r="AK268" s="1"/>
  <c r="AH36" i="37"/>
  <c r="AG36" i="40" s="1"/>
  <c r="AI36" s="1"/>
  <c r="AK36" s="1"/>
  <c r="AD405" i="37"/>
  <c r="AD405" i="40" s="1"/>
  <c r="AH405" i="37"/>
  <c r="AG405" i="40" s="1"/>
  <c r="AI391" i="37"/>
  <c r="AH391" i="40" s="1"/>
  <c r="AH199" i="37"/>
  <c r="AG199" i="40" s="1"/>
  <c r="AI199" s="1"/>
  <c r="AK199" s="1"/>
  <c r="AD206" i="37"/>
  <c r="AD206" i="40" s="1"/>
  <c r="AH206" i="37"/>
  <c r="AG206" i="40" s="1"/>
  <c r="AI344" i="37"/>
  <c r="AH344" i="40" s="1"/>
  <c r="AH476" i="37"/>
  <c r="AG476" i="40" s="1"/>
  <c r="AI121" i="37"/>
  <c r="AH121" i="40" s="1"/>
  <c r="AI114" i="37"/>
  <c r="AH114" i="40" s="1"/>
  <c r="AI168" i="37"/>
  <c r="AH168" i="40" s="1"/>
  <c r="AH92" i="37"/>
  <c r="AG92" i="40" s="1"/>
  <c r="AH373" i="37"/>
  <c r="AG373" i="40" s="1"/>
  <c r="AH212" i="37"/>
  <c r="AG212" i="40" s="1"/>
  <c r="AH226" i="37"/>
  <c r="AG226" i="40" s="1"/>
  <c r="AI226" s="1"/>
  <c r="AK226" s="1"/>
  <c r="AI265" i="37"/>
  <c r="AH265" i="40" s="1"/>
  <c r="AI67" i="37"/>
  <c r="AH67" i="40" s="1"/>
  <c r="AI70" i="37"/>
  <c r="AH70" i="40" s="1"/>
  <c r="AI472" i="37"/>
  <c r="AH472" i="40" s="1"/>
  <c r="AI474" i="37"/>
  <c r="AH474" i="40" s="1"/>
  <c r="AI33" i="37"/>
  <c r="AH33" i="40" s="1"/>
  <c r="AI26" i="37"/>
  <c r="AH26" i="40" s="1"/>
  <c r="AH49" i="37"/>
  <c r="AG49" i="40" s="1"/>
  <c r="AH392" i="37"/>
  <c r="AG392" i="40" s="1"/>
  <c r="AI187" i="37"/>
  <c r="AH187" i="40" s="1"/>
  <c r="AI174" i="37"/>
  <c r="AH174" i="40" s="1"/>
  <c r="AI101" i="37"/>
  <c r="AH101" i="40" s="1"/>
  <c r="AH339" i="37"/>
  <c r="AG339" i="40" s="1"/>
  <c r="AI76" i="37"/>
  <c r="AH76" i="40" s="1"/>
  <c r="AI407" i="37"/>
  <c r="AH407" i="40" s="1"/>
  <c r="AI491" i="37"/>
  <c r="AH491" i="40" s="1"/>
  <c r="AI481" i="37"/>
  <c r="AH481" i="40" s="1"/>
  <c r="AI200" i="37"/>
  <c r="AH200" i="40" s="1"/>
  <c r="AI200" s="1"/>
  <c r="AK200" s="1"/>
  <c r="AH119" i="37"/>
  <c r="AG119" i="40" s="1"/>
  <c r="AI119" s="1"/>
  <c r="AK119" s="1"/>
  <c r="AH126" i="37"/>
  <c r="AG126" i="40" s="1"/>
  <c r="AH164" i="37"/>
  <c r="AG164" i="40" s="1"/>
  <c r="AH154" i="37"/>
  <c r="AG154" i="40" s="1"/>
  <c r="AH379" i="37"/>
  <c r="AG379" i="40" s="1"/>
  <c r="AH272" i="37"/>
  <c r="AG272" i="40" s="1"/>
  <c r="AI272" s="1"/>
  <c r="AK272" s="1"/>
  <c r="AH465" i="37"/>
  <c r="AG465" i="40" s="1"/>
  <c r="AH24" i="37"/>
  <c r="AG24" i="40" s="1"/>
  <c r="AI191" i="37"/>
  <c r="AH191" i="40" s="1"/>
  <c r="AH128" i="37"/>
  <c r="AG128" i="40" s="1"/>
  <c r="AH170" i="37"/>
  <c r="AG170" i="40" s="1"/>
  <c r="AI170" s="1"/>
  <c r="AK170" s="1"/>
  <c r="AI8" i="37"/>
  <c r="AH8" i="40" s="1"/>
  <c r="AI49" i="37"/>
  <c r="AH49" i="40" s="1"/>
  <c r="AI4" i="37"/>
  <c r="AH4" i="40" s="1"/>
  <c r="AH175" i="37"/>
  <c r="AG175" i="40" s="1"/>
  <c r="AI209" i="37"/>
  <c r="AH209" i="40" s="1"/>
  <c r="AI45" i="37"/>
  <c r="AH45" i="40" s="1"/>
  <c r="AI340" i="37"/>
  <c r="AH340" i="40" s="1"/>
  <c r="AH480" i="37"/>
  <c r="AG480" i="40" s="1"/>
  <c r="AI124" i="37"/>
  <c r="AH124" i="40" s="1"/>
  <c r="AI124" s="1"/>
  <c r="AK124" s="1"/>
  <c r="AI167" i="37"/>
  <c r="AH167" i="40" s="1"/>
  <c r="AI167" s="1"/>
  <c r="AK167" s="1"/>
  <c r="AI169" i="37"/>
  <c r="AH169" i="40" s="1"/>
  <c r="AH81" i="37"/>
  <c r="AG81" i="40" s="1"/>
  <c r="AH374" i="37"/>
  <c r="AG374" i="40" s="1"/>
  <c r="AH224" i="37"/>
  <c r="AG224" i="40" s="1"/>
  <c r="AI224" s="1"/>
  <c r="AK224" s="1"/>
  <c r="AI275" i="37"/>
  <c r="AH275" i="40" s="1"/>
  <c r="AI278" i="37"/>
  <c r="AH278" i="40" s="1"/>
  <c r="AH8" i="37"/>
  <c r="AI63"/>
  <c r="AH63" i="40" s="1"/>
  <c r="AI66" i="37"/>
  <c r="AH66" i="40" s="1"/>
  <c r="AI464" i="37"/>
  <c r="AH464" i="40" s="1"/>
  <c r="AI29" i="37"/>
  <c r="AH29" i="40" s="1"/>
  <c r="AI22" i="37"/>
  <c r="AH22" i="40" s="1"/>
  <c r="AH51" i="37"/>
  <c r="AG51" i="40" s="1"/>
  <c r="AH400" i="37"/>
  <c r="AG400" i="40" s="1"/>
  <c r="AI400" s="1"/>
  <c r="AK400" s="1"/>
  <c r="AI188" i="37"/>
  <c r="AH188" i="40" s="1"/>
  <c r="AI188" s="1"/>
  <c r="AK188" s="1"/>
  <c r="AI189" i="37"/>
  <c r="AH189" i="40" s="1"/>
  <c r="AI97" i="37"/>
  <c r="AH97" i="40" s="1"/>
  <c r="AH343" i="37"/>
  <c r="AG343" i="40" s="1"/>
  <c r="AI91" i="37"/>
  <c r="AH91" i="40" s="1"/>
  <c r="AI93" i="37"/>
  <c r="AH93" i="40" s="1"/>
  <c r="AI418" i="37"/>
  <c r="AH418" i="40" s="1"/>
  <c r="AI480" i="37"/>
  <c r="AH480" i="40" s="1"/>
  <c r="AI480" s="1"/>
  <c r="AK480" s="1"/>
  <c r="AI477" i="37"/>
  <c r="AH477" i="40" s="1"/>
  <c r="AI196" i="37"/>
  <c r="AH196" i="40" s="1"/>
  <c r="AI196" s="1"/>
  <c r="AK196" s="1"/>
  <c r="AH115" i="37"/>
  <c r="AG115" i="40" s="1"/>
  <c r="AH122" i="37"/>
  <c r="AG122" i="40" s="1"/>
  <c r="AH165" i="37"/>
  <c r="AG165" i="40" s="1"/>
  <c r="AH162" i="37"/>
  <c r="AG162" i="40" s="1"/>
  <c r="AH383" i="37"/>
  <c r="AH271"/>
  <c r="AG271" i="40" s="1"/>
  <c r="AH467" i="37"/>
  <c r="AH469"/>
  <c r="AG469" i="40" s="1"/>
  <c r="AH25" i="37"/>
  <c r="AI379"/>
  <c r="AH379" i="40" s="1"/>
  <c r="AI379" s="1"/>
  <c r="AK379" s="1"/>
  <c r="AH185" i="37"/>
  <c r="AG185" i="40" s="1"/>
  <c r="AI212" i="37"/>
  <c r="AH212" i="40" s="1"/>
  <c r="AI218" i="37"/>
  <c r="AH218" i="40" s="1"/>
  <c r="AI388" i="37"/>
  <c r="AH388" i="40" s="1"/>
  <c r="AI373" i="37"/>
  <c r="AH373" i="40" s="1"/>
  <c r="AI373" s="1"/>
  <c r="AK373" s="1"/>
  <c r="AI222" i="37"/>
  <c r="AH222" i="40" s="1"/>
  <c r="AH102" i="37"/>
  <c r="AG102" i="40" s="1"/>
  <c r="AI400" i="37"/>
  <c r="AH400" i="40" s="1"/>
  <c r="AH196" i="37"/>
  <c r="AG196" i="40" s="1"/>
  <c r="AH205" i="37"/>
  <c r="AG205" i="40" s="1"/>
  <c r="AI205" s="1"/>
  <c r="AK205" s="1"/>
  <c r="AH61" i="37"/>
  <c r="AG61" i="40" s="1"/>
  <c r="AI17" i="37"/>
  <c r="AH17" i="40" s="1"/>
  <c r="AI17" s="1"/>
  <c r="AI389" i="37"/>
  <c r="AH389" i="40" s="1"/>
  <c r="AE369" i="37"/>
  <c r="AE369" i="40" s="1"/>
  <c r="AI369" i="37"/>
  <c r="AH369" i="40" s="1"/>
  <c r="AI369" s="1"/>
  <c r="AK369" s="1"/>
  <c r="AH173" i="37"/>
  <c r="AG173" i="40" s="1"/>
  <c r="AE227" i="37"/>
  <c r="AE227" i="40" s="1"/>
  <c r="AI227" i="37"/>
  <c r="AH227" i="40" s="1"/>
  <c r="AI227" s="1"/>
  <c r="AK227" s="1"/>
  <c r="AE214" i="37"/>
  <c r="AE214" i="40" s="1"/>
  <c r="AI214" i="37"/>
  <c r="AH214" i="40" s="1"/>
  <c r="AI43" i="37"/>
  <c r="AH43" i="40" s="1"/>
  <c r="AI41" i="37"/>
  <c r="AH41" i="40" s="1"/>
  <c r="AD113" i="37"/>
  <c r="AD113" i="40" s="1"/>
  <c r="AF113" s="1"/>
  <c r="AH113" i="37"/>
  <c r="AG113" i="40" s="1"/>
  <c r="AI113" s="1"/>
  <c r="AK113" s="1"/>
  <c r="AD106" i="37"/>
  <c r="AD106" i="40" s="1"/>
  <c r="AH106" i="37"/>
  <c r="AG106" i="40" s="1"/>
  <c r="AD407" i="37"/>
  <c r="AD407" i="40" s="1"/>
  <c r="AH407" i="37"/>
  <c r="AG407" i="40" s="1"/>
  <c r="AD417" i="37"/>
  <c r="AD417" i="40" s="1"/>
  <c r="AF417" s="1"/>
  <c r="AH417" i="37"/>
  <c r="AG417" i="40" s="1"/>
  <c r="AI417" s="1"/>
  <c r="AK417" s="1"/>
  <c r="AI396" i="37"/>
  <c r="AH396" i="40" s="1"/>
  <c r="AD193" i="37"/>
  <c r="AD193" i="40" s="1"/>
  <c r="AH193" i="37"/>
  <c r="AG193" i="40" s="1"/>
  <c r="AD201" i="37"/>
  <c r="AD201" i="40" s="1"/>
  <c r="AF201" s="1"/>
  <c r="AH201" i="37"/>
  <c r="AG201" i="40" s="1"/>
  <c r="AH73" i="37"/>
  <c r="AG73" i="40" s="1"/>
  <c r="AI73" s="1"/>
  <c r="AK73" s="1"/>
  <c r="AI349" i="37"/>
  <c r="AH349" i="40" s="1"/>
  <c r="AH492" i="37"/>
  <c r="AG492" i="40" s="1"/>
  <c r="AI120" i="37"/>
  <c r="AH120" i="40" s="1"/>
  <c r="AI120" s="1"/>
  <c r="AK120" s="1"/>
  <c r="AI163" i="37"/>
  <c r="AH163" i="40" s="1"/>
  <c r="AI163" s="1"/>
  <c r="AK163" s="1"/>
  <c r="AI154" i="37"/>
  <c r="AH154" i="40" s="1"/>
  <c r="AH76" i="37"/>
  <c r="AG76" i="40" s="1"/>
  <c r="AI76" s="1"/>
  <c r="AK76" s="1"/>
  <c r="AH377" i="37"/>
  <c r="AG377" i="40" s="1"/>
  <c r="AH221" i="37"/>
  <c r="AG221" i="40" s="1"/>
  <c r="AI263" i="37"/>
  <c r="AH263" i="40" s="1"/>
  <c r="AI263" s="1"/>
  <c r="AK263" s="1"/>
  <c r="AI274" i="37"/>
  <c r="AH274" i="40" s="1"/>
  <c r="AH4" i="37"/>
  <c r="AI59"/>
  <c r="AH59" i="40" s="1"/>
  <c r="AI59" s="1"/>
  <c r="AK59" s="1"/>
  <c r="AI62" i="37"/>
  <c r="AH62" i="40" s="1"/>
  <c r="AI460" i="37"/>
  <c r="AH460" i="40" s="1"/>
  <c r="AI460" s="1"/>
  <c r="AK460" s="1"/>
  <c r="AI32" i="37"/>
  <c r="AH32" i="40" s="1"/>
  <c r="AH39" i="37"/>
  <c r="AG39" i="40" s="1"/>
  <c r="AH54" i="37"/>
  <c r="AG54" i="40" s="1"/>
  <c r="AH396" i="37"/>
  <c r="AG396" i="40" s="1"/>
  <c r="AI184" i="37"/>
  <c r="AH184" i="40" s="1"/>
  <c r="AI109" i="37"/>
  <c r="AH109" i="40" s="1"/>
  <c r="AH349" i="37"/>
  <c r="AG349" i="40" s="1"/>
  <c r="AI87" i="37"/>
  <c r="AH87" i="40" s="1"/>
  <c r="AI89" i="37"/>
  <c r="AH89" i="40" s="1"/>
  <c r="AI410" i="37"/>
  <c r="AH410" i="40" s="1"/>
  <c r="AI488" i="37"/>
  <c r="AH488" i="40" s="1"/>
  <c r="AI488" s="1"/>
  <c r="AK488" s="1"/>
  <c r="AI490" i="37"/>
  <c r="AH490" i="40" s="1"/>
  <c r="AI192" i="37"/>
  <c r="AH192" i="40" s="1"/>
  <c r="AI192" s="1"/>
  <c r="AK192" s="1"/>
  <c r="AH127" i="37"/>
  <c r="AG127" i="40" s="1"/>
  <c r="AI127" s="1"/>
  <c r="AK127" s="1"/>
  <c r="AH118" i="37"/>
  <c r="AG118" i="40" s="1"/>
  <c r="AH169" i="37"/>
  <c r="AG169" i="40" s="1"/>
  <c r="AH387" i="37"/>
  <c r="AH276"/>
  <c r="AG276" i="40" s="1"/>
  <c r="AH459" i="37"/>
  <c r="AG459" i="40" s="1"/>
  <c r="AH466" i="37"/>
  <c r="AG466" i="40" s="1"/>
  <c r="AH27" i="37"/>
  <c r="AH29"/>
  <c r="AG29" i="40" s="1"/>
  <c r="AD411" i="37"/>
  <c r="AD411" i="40" s="1"/>
  <c r="AH411" i="37"/>
  <c r="AG411" i="40" s="1"/>
  <c r="AD401" i="37"/>
  <c r="AD401" i="40" s="1"/>
  <c r="AH401" i="37"/>
  <c r="AI392"/>
  <c r="AH392" i="40" s="1"/>
  <c r="AH203" i="37"/>
  <c r="AG203" i="40" s="1"/>
  <c r="AD194" i="37"/>
  <c r="AD194" i="40" s="1"/>
  <c r="AH194" i="37"/>
  <c r="AG194" i="40" s="1"/>
  <c r="AH59" i="37"/>
  <c r="AG59" i="40" s="1"/>
  <c r="AH66" i="37"/>
  <c r="AG66" i="40" s="1"/>
  <c r="AI66" s="1"/>
  <c r="AK66" s="1"/>
  <c r="AI354" i="37"/>
  <c r="AH354" i="40" s="1"/>
  <c r="AH493" i="37"/>
  <c r="AG493" i="40" s="1"/>
  <c r="AI493" s="1"/>
  <c r="AK493" s="1"/>
  <c r="AI133" i="37"/>
  <c r="AH133" i="40" s="1"/>
  <c r="AI155" i="37"/>
  <c r="AH155" i="40" s="1"/>
  <c r="AI165" i="37"/>
  <c r="AH165" i="40" s="1"/>
  <c r="AI165" s="1"/>
  <c r="AK165" s="1"/>
  <c r="AH75" i="37"/>
  <c r="AG75" i="40" s="1"/>
  <c r="AH375" i="37"/>
  <c r="AG375" i="40" s="1"/>
  <c r="AH223" i="37"/>
  <c r="AG223" i="40" s="1"/>
  <c r="AI271" i="37"/>
  <c r="AH271" i="40" s="1"/>
  <c r="AI262" i="37"/>
  <c r="AH262" i="40" s="1"/>
  <c r="AH13" i="37"/>
  <c r="AG13" i="40" s="1"/>
  <c r="AI69" i="37"/>
  <c r="AH69" i="40" s="1"/>
  <c r="AI58" i="37"/>
  <c r="AH58" i="40" s="1"/>
  <c r="AI471" i="37"/>
  <c r="AH471" i="40" s="1"/>
  <c r="AI36" i="37"/>
  <c r="AH36" i="40" s="1"/>
  <c r="AH44" i="37"/>
  <c r="AG44" i="40" s="1"/>
  <c r="AI44" s="1"/>
  <c r="AK44" s="1"/>
  <c r="AH42" i="37"/>
  <c r="AG42" i="40" s="1"/>
  <c r="AH391" i="37"/>
  <c r="AG391" i="40" s="1"/>
  <c r="AI173" i="37"/>
  <c r="AH173" i="40" s="1"/>
  <c r="AI173" s="1"/>
  <c r="AK173" s="1"/>
  <c r="AI95" i="37"/>
  <c r="AH95" i="40" s="1"/>
  <c r="AI105" i="37"/>
  <c r="AH105" i="40" s="1"/>
  <c r="AH341" i="37"/>
  <c r="AG341" i="40" s="1"/>
  <c r="AI83" i="37"/>
  <c r="AH83" i="40" s="1"/>
  <c r="AI77" i="37"/>
  <c r="AH77" i="40" s="1"/>
  <c r="AI403" i="37"/>
  <c r="AH403" i="40" s="1"/>
  <c r="AI403" s="1"/>
  <c r="AK403" s="1"/>
  <c r="AI414" i="37"/>
  <c r="AH414" i="40" s="1"/>
  <c r="AI476" i="37"/>
  <c r="AH476" i="40" s="1"/>
  <c r="AI476" s="1"/>
  <c r="AK476" s="1"/>
  <c r="AI486" i="37"/>
  <c r="AH486" i="40" s="1"/>
  <c r="AI193" i="37"/>
  <c r="AH193" i="40" s="1"/>
  <c r="AH123" i="37"/>
  <c r="AG123" i="40" s="1"/>
  <c r="AI123" s="1"/>
  <c r="AK123" s="1"/>
  <c r="AH130" i="37"/>
  <c r="AG130" i="40" s="1"/>
  <c r="AH168" i="37"/>
  <c r="AG168" i="40" s="1"/>
  <c r="AI168" s="1"/>
  <c r="AK168" s="1"/>
  <c r="AH380" i="37"/>
  <c r="AG380" i="40" s="1"/>
  <c r="AH275" i="37"/>
  <c r="AG275" i="40" s="1"/>
  <c r="AH463" i="37"/>
  <c r="AG463" i="40" s="1"/>
  <c r="AH462" i="37"/>
  <c r="AH35"/>
  <c r="AG35" i="40" s="1"/>
  <c r="AH26" i="37"/>
  <c r="AG26" i="40" s="1"/>
  <c r="AI26" s="1"/>
  <c r="AK26" s="1"/>
  <c r="AD415" i="37"/>
  <c r="AD415" i="40" s="1"/>
  <c r="AH415" i="37"/>
  <c r="AG415" i="40" s="1"/>
  <c r="AI415" s="1"/>
  <c r="AK415" s="1"/>
  <c r="AD414" i="37"/>
  <c r="AD414" i="40" s="1"/>
  <c r="AH414" i="37"/>
  <c r="AI397"/>
  <c r="AH397" i="40" s="1"/>
  <c r="AI397" s="1"/>
  <c r="AK397" s="1"/>
  <c r="AH192" i="37"/>
  <c r="AG192" i="40" s="1"/>
  <c r="AH63" i="37"/>
  <c r="AG63" i="40" s="1"/>
  <c r="AH70" i="37"/>
  <c r="AG70" i="40" s="1"/>
  <c r="AI345" i="37"/>
  <c r="AH345" i="40" s="1"/>
  <c r="AH485" i="37"/>
  <c r="AG485" i="40" s="1"/>
  <c r="AI485" s="1"/>
  <c r="AK485" s="1"/>
  <c r="AI116" i="37"/>
  <c r="AH116" i="40" s="1"/>
  <c r="AI159" i="37"/>
  <c r="AH159" i="40" s="1"/>
  <c r="AI170" i="37"/>
  <c r="AH170" i="40" s="1"/>
  <c r="AH79" i="37"/>
  <c r="AG79" i="40" s="1"/>
  <c r="AH88" i="37"/>
  <c r="AG88" i="40" s="1"/>
  <c r="AI88" s="1"/>
  <c r="AK88" s="1"/>
  <c r="AH367" i="37"/>
  <c r="AG367" i="40" s="1"/>
  <c r="AH213" i="37"/>
  <c r="AG213" i="40" s="1"/>
  <c r="AI276" i="37"/>
  <c r="AH276" i="40" s="1"/>
  <c r="AI266" i="37"/>
  <c r="AH266" i="40" s="1"/>
  <c r="AH16" i="37"/>
  <c r="AG16" i="40" s="1"/>
  <c r="AI16" s="1"/>
  <c r="AI61" i="37"/>
  <c r="AH61" i="40" s="1"/>
  <c r="AI61" s="1"/>
  <c r="AK61" s="1"/>
  <c r="AI466" i="37"/>
  <c r="AH466" i="40" s="1"/>
  <c r="AI466" s="1"/>
  <c r="AK466" s="1"/>
  <c r="AI20" i="37"/>
  <c r="AH20" i="40" s="1"/>
  <c r="AH56" i="37"/>
  <c r="AG56" i="40" s="1"/>
  <c r="AH50" i="37"/>
  <c r="AG50" i="40" s="1"/>
  <c r="AH390" i="37"/>
  <c r="AG390" i="40" s="1"/>
  <c r="AI390" s="1"/>
  <c r="AK390" s="1"/>
  <c r="AI180" i="37"/>
  <c r="AH180" i="40" s="1"/>
  <c r="AI111" i="37"/>
  <c r="AH111" i="40" s="1"/>
  <c r="AI112" i="37"/>
  <c r="AH112" i="40" s="1"/>
  <c r="AH346" i="37"/>
  <c r="AG346" i="40" s="1"/>
  <c r="AI75" i="37"/>
  <c r="AH75" i="40" s="1"/>
  <c r="AI90" i="37"/>
  <c r="AH90" i="40" s="1"/>
  <c r="AI420" i="37"/>
  <c r="AH420" i="40" s="1"/>
  <c r="AI402" i="37"/>
  <c r="AH402" i="40" s="1"/>
  <c r="AI484" i="37"/>
  <c r="AH484" i="40" s="1"/>
  <c r="AI203" i="37"/>
  <c r="AH203" i="40" s="1"/>
  <c r="AI205" i="37"/>
  <c r="AH205" i="40" s="1"/>
  <c r="AH124" i="37"/>
  <c r="AG124" i="40" s="1"/>
  <c r="AH114" i="37"/>
  <c r="AG114" i="40" s="1"/>
  <c r="AH156" i="37"/>
  <c r="AG156" i="40" s="1"/>
  <c r="AH385" i="37"/>
  <c r="AG385" i="40" s="1"/>
  <c r="AH273" i="37"/>
  <c r="AG273" i="40" s="1"/>
  <c r="AH460" i="37"/>
  <c r="AG460" i="40" s="1"/>
  <c r="AH474" i="37"/>
  <c r="AG474" i="40" s="1"/>
  <c r="AH23" i="37"/>
  <c r="AG23" i="40" s="1"/>
  <c r="AI23" s="1"/>
  <c r="AH37" i="37"/>
  <c r="AG37" i="40" s="1"/>
  <c r="AD406" i="37"/>
  <c r="AD406" i="40" s="1"/>
  <c r="AD197" i="37"/>
  <c r="AD197" i="40" s="1"/>
  <c r="AF197" s="1"/>
  <c r="AD483" i="37"/>
  <c r="AD483" i="40" s="1"/>
  <c r="AE219" i="37"/>
  <c r="AE219" i="40" s="1"/>
  <c r="AE383" i="37"/>
  <c r="AE383" i="40" s="1"/>
  <c r="AE367" i="37"/>
  <c r="AE367" i="40" s="1"/>
  <c r="AD186" i="37"/>
  <c r="AD186" i="40" s="1"/>
  <c r="AE223" i="37"/>
  <c r="AE223" i="40" s="1"/>
  <c r="AD98" i="37"/>
  <c r="AD98" i="40" s="1"/>
  <c r="AF98" s="1"/>
  <c r="AD482" i="37"/>
  <c r="AD482" i="40" s="1"/>
  <c r="AE375" i="37"/>
  <c r="AE375" i="40" s="1"/>
  <c r="AE373" i="37"/>
  <c r="AE373" i="40" s="1"/>
  <c r="AD175" i="37"/>
  <c r="AD175" i="40" s="1"/>
  <c r="AE209" i="37"/>
  <c r="AE209" i="40" s="1"/>
  <c r="AD111" i="37"/>
  <c r="AD111" i="40" s="1"/>
  <c r="AD102" i="37"/>
  <c r="AD102" i="40" s="1"/>
  <c r="AF102" s="1"/>
  <c r="AD409" i="37"/>
  <c r="AD409" i="40" s="1"/>
  <c r="AD205" i="37"/>
  <c r="AD205" i="40" s="1"/>
  <c r="AD81" i="37"/>
  <c r="AD81" i="40" s="1"/>
  <c r="AF81" s="1"/>
  <c r="AE211" i="37"/>
  <c r="AE211" i="40" s="1"/>
  <c r="AE17" i="37"/>
  <c r="AE17" i="40" s="1"/>
  <c r="AE389" i="37"/>
  <c r="AE389" i="40" s="1"/>
  <c r="AE217" i="37"/>
  <c r="AE217" i="40" s="1"/>
  <c r="AD173" i="37"/>
  <c r="AD173" i="40" s="1"/>
  <c r="AD105" i="37"/>
  <c r="AD105" i="40" s="1"/>
  <c r="AD192" i="37"/>
  <c r="AD192" i="40" s="1"/>
  <c r="AE48" i="37"/>
  <c r="AE48" i="40" s="1"/>
  <c r="AE387" i="37"/>
  <c r="AE387" i="40" s="1"/>
  <c r="AD174" i="37"/>
  <c r="AD174" i="40" s="1"/>
  <c r="AE213" i="37"/>
  <c r="AE213" i="40" s="1"/>
  <c r="AD97" i="37"/>
  <c r="AD97" i="40" s="1"/>
  <c r="AF97" s="1"/>
  <c r="AE399" i="37"/>
  <c r="AE399" i="40" s="1"/>
  <c r="AD202" i="37"/>
  <c r="AD202" i="40" s="1"/>
  <c r="AD3" i="37"/>
  <c r="AD3" i="40" s="1"/>
  <c r="AD10" i="37"/>
  <c r="AD10" i="40" s="1"/>
  <c r="AD55" i="37"/>
  <c r="AD55" i="40" s="1"/>
  <c r="AD41" i="37"/>
  <c r="AD41" i="40" s="1"/>
  <c r="AD491" i="37"/>
  <c r="AD491" i="40" s="1"/>
  <c r="AF491" s="1"/>
  <c r="AD95" i="37"/>
  <c r="AD95" i="40" s="1"/>
  <c r="AF95" s="1"/>
  <c r="AD110" i="37"/>
  <c r="AD110" i="40" s="1"/>
  <c r="AD199" i="37"/>
  <c r="AD199" i="40" s="1"/>
  <c r="AF199" s="1"/>
  <c r="AE4" i="37"/>
  <c r="AE4" i="40" s="1"/>
  <c r="AE222" i="37"/>
  <c r="AE222" i="40" s="1"/>
  <c r="AD196" i="37"/>
  <c r="AD196" i="40" s="1"/>
  <c r="AD8" i="37"/>
  <c r="AD8" i="40" s="1"/>
  <c r="AD51" i="37"/>
  <c r="AD51" i="40" s="1"/>
  <c r="AD46" i="37"/>
  <c r="AD46" i="40" s="1"/>
  <c r="AD4" i="37"/>
  <c r="AD4" i="40" s="1"/>
  <c r="AD39" i="37"/>
  <c r="AD39" i="40" s="1"/>
  <c r="AD54" i="37"/>
  <c r="AD54" i="40" s="1"/>
  <c r="AE13" i="37"/>
  <c r="AE13" i="40" s="1"/>
  <c r="AE374" i="37"/>
  <c r="AE374" i="40" s="1"/>
  <c r="AD176" i="37"/>
  <c r="AD176" i="40" s="1"/>
  <c r="AE215" i="37"/>
  <c r="AE215" i="40" s="1"/>
  <c r="AE39" i="37"/>
  <c r="AE39" i="40" s="1"/>
  <c r="AD94" i="37"/>
  <c r="AD94" i="40" s="1"/>
  <c r="AD203" i="37"/>
  <c r="AD203" i="40" s="1"/>
  <c r="AD13" i="37"/>
  <c r="AD13" i="40" s="1"/>
  <c r="AF13" s="1"/>
  <c r="AD44" i="37"/>
  <c r="AD44" i="40" s="1"/>
  <c r="AE386" i="37"/>
  <c r="AE386" i="40" s="1"/>
  <c r="AE220" i="37"/>
  <c r="AE220" i="40" s="1"/>
  <c r="AE51" i="37"/>
  <c r="AE51" i="40" s="1"/>
  <c r="AD67" i="37"/>
  <c r="AD67" i="40" s="1"/>
  <c r="AE378" i="37"/>
  <c r="AE378" i="40" s="1"/>
  <c r="AE376" i="37"/>
  <c r="AE376" i="40" s="1"/>
  <c r="AE216" i="37"/>
  <c r="AE216" i="40" s="1"/>
  <c r="AE46" i="37"/>
  <c r="AE46" i="40" s="1"/>
  <c r="AE398" i="37"/>
  <c r="AE398" i="40" s="1"/>
  <c r="AE341" i="37"/>
  <c r="AE341" i="40" s="1"/>
  <c r="AD490" i="37"/>
  <c r="AD490" i="40" s="1"/>
  <c r="AF490" s="1"/>
  <c r="AE53" i="37"/>
  <c r="AE53" i="40" s="1"/>
  <c r="AE394" i="37"/>
  <c r="AE394" i="40" s="1"/>
  <c r="AD484" i="37"/>
  <c r="AD484" i="40" s="1"/>
  <c r="AD486" i="37"/>
  <c r="AD486" i="40" s="1"/>
  <c r="AF486" s="1"/>
  <c r="AE19" i="37"/>
  <c r="AE19" i="40" s="1"/>
  <c r="AE9" i="37"/>
  <c r="AE9" i="40" s="1"/>
  <c r="AE381" i="37"/>
  <c r="AE381" i="40" s="1"/>
  <c r="AE370" i="37"/>
  <c r="AE370" i="40" s="1"/>
  <c r="AD177" i="37"/>
  <c r="AD177" i="40" s="1"/>
  <c r="AE224" i="37"/>
  <c r="AE224" i="40" s="1"/>
  <c r="AE55" i="37"/>
  <c r="AE55" i="40" s="1"/>
  <c r="AE50" i="37"/>
  <c r="AE50" i="40" s="1"/>
  <c r="AE397" i="37"/>
  <c r="AE397" i="40" s="1"/>
  <c r="AD63" i="37"/>
  <c r="AD63" i="40" s="1"/>
  <c r="AD70" i="37"/>
  <c r="AD70" i="40" s="1"/>
  <c r="AE345" i="37"/>
  <c r="AE345" i="40" s="1"/>
  <c r="AD485" i="37"/>
  <c r="AD485" i="40" s="1"/>
  <c r="AF485" s="1"/>
  <c r="AE116" i="37"/>
  <c r="AE116" i="40" s="1"/>
  <c r="AE159" i="37"/>
  <c r="AE159" i="40" s="1"/>
  <c r="AE170" i="37"/>
  <c r="AE170" i="40" s="1"/>
  <c r="AD79" i="37"/>
  <c r="AD79" i="40" s="1"/>
  <c r="AD88" i="37"/>
  <c r="AD88" i="40" s="1"/>
  <c r="AF88" s="1"/>
  <c r="AD367" i="37"/>
  <c r="AD367" i="40" s="1"/>
  <c r="AD213" i="37"/>
  <c r="AE276"/>
  <c r="AE276" i="40" s="1"/>
  <c r="AE266" i="37"/>
  <c r="AE266" i="40" s="1"/>
  <c r="AD16" i="37"/>
  <c r="AD16" i="40" s="1"/>
  <c r="AF16" s="1"/>
  <c r="AE61" i="37"/>
  <c r="AE61" i="40" s="1"/>
  <c r="AE466" i="37"/>
  <c r="AE466" i="40" s="1"/>
  <c r="AE20" i="37"/>
  <c r="AE20" i="40" s="1"/>
  <c r="AD56" i="37"/>
  <c r="AD56" i="40" s="1"/>
  <c r="AD50" i="37"/>
  <c r="AD50" i="40" s="1"/>
  <c r="AF50" s="1"/>
  <c r="AD390" i="37"/>
  <c r="AD390" i="40" s="1"/>
  <c r="AF390" s="1"/>
  <c r="AE180" i="37"/>
  <c r="AE180" i="40" s="1"/>
  <c r="AE111" i="37"/>
  <c r="AE111" i="40" s="1"/>
  <c r="AE112" i="37"/>
  <c r="AE112" i="40" s="1"/>
  <c r="AF112" s="1"/>
  <c r="AD346" i="37"/>
  <c r="AD346" i="40" s="1"/>
  <c r="AF346" s="1"/>
  <c r="AE75" i="37"/>
  <c r="AE75" i="40" s="1"/>
  <c r="AE90" i="37"/>
  <c r="AE90" i="40" s="1"/>
  <c r="AE420" i="37"/>
  <c r="AE420" i="40" s="1"/>
  <c r="AE402" i="37"/>
  <c r="AE402" i="40" s="1"/>
  <c r="AE484" i="37"/>
  <c r="AE484" i="40" s="1"/>
  <c r="AE203" i="37"/>
  <c r="AE203" i="40" s="1"/>
  <c r="AE205" i="37"/>
  <c r="AE205" i="40" s="1"/>
  <c r="AD124" i="37"/>
  <c r="AD124" i="40" s="1"/>
  <c r="AD114" i="37"/>
  <c r="AD114" i="40" s="1"/>
  <c r="AD156" i="37"/>
  <c r="AD156" i="40" s="1"/>
  <c r="AD385" i="37"/>
  <c r="AD385" i="40" s="1"/>
  <c r="AF385" s="1"/>
  <c r="AD273" i="37"/>
  <c r="AD273" i="40" s="1"/>
  <c r="AD460" i="37"/>
  <c r="AD460" i="40" s="1"/>
  <c r="AF460" s="1"/>
  <c r="AD474" i="37"/>
  <c r="AD474" i="40" s="1"/>
  <c r="AF474" s="1"/>
  <c r="AD23" i="37"/>
  <c r="AD23" i="40" s="1"/>
  <c r="AF23" s="1"/>
  <c r="AD37" i="37"/>
  <c r="AD37" i="40" s="1"/>
  <c r="AE393" i="37"/>
  <c r="AE393" i="40" s="1"/>
  <c r="AD57" i="37"/>
  <c r="AD57" i="40" s="1"/>
  <c r="AE336" i="37"/>
  <c r="AE336" i="40" s="1"/>
  <c r="AE350" i="37"/>
  <c r="AE350" i="40" s="1"/>
  <c r="AD489" i="37"/>
  <c r="AD489" i="40" s="1"/>
  <c r="AF489" s="1"/>
  <c r="AE131" i="37"/>
  <c r="AE131" i="40" s="1"/>
  <c r="AE117" i="37"/>
  <c r="AE117" i="40" s="1"/>
  <c r="AE164" i="37"/>
  <c r="AE164" i="40" s="1"/>
  <c r="AE166" i="37"/>
  <c r="AE166" i="40" s="1"/>
  <c r="AD83" i="37"/>
  <c r="AD83" i="40" s="1"/>
  <c r="AD84" i="37"/>
  <c r="AD84" i="40" s="1"/>
  <c r="AF84" s="1"/>
  <c r="AD376" i="37"/>
  <c r="AD376" i="40" s="1"/>
  <c r="AD225" i="37"/>
  <c r="AD225" i="40" s="1"/>
  <c r="AE267" i="37"/>
  <c r="AE267" i="40" s="1"/>
  <c r="AF267" s="1"/>
  <c r="AE270" i="37"/>
  <c r="AE270" i="40" s="1"/>
  <c r="AD5" i="37"/>
  <c r="AD5" i="40" s="1"/>
  <c r="AE72" i="37"/>
  <c r="AE72" i="40" s="1"/>
  <c r="AE470" i="37"/>
  <c r="AE470" i="40" s="1"/>
  <c r="AE24" i="37"/>
  <c r="AE24" i="40" s="1"/>
  <c r="AD45" i="37"/>
  <c r="AD45" i="40" s="1"/>
  <c r="AD393" i="37"/>
  <c r="AD393" i="40" s="1"/>
  <c r="AE176" i="37"/>
  <c r="AE176" i="40" s="1"/>
  <c r="AE107" i="37"/>
  <c r="AE107" i="40" s="1"/>
  <c r="AE102" i="37"/>
  <c r="AE102" i="40" s="1"/>
  <c r="AD347" i="37"/>
  <c r="AD347" i="40" s="1"/>
  <c r="AD345" i="37"/>
  <c r="AD345" i="40" s="1"/>
  <c r="AE79" i="37"/>
  <c r="AE79" i="40" s="1"/>
  <c r="AE82" i="37"/>
  <c r="AE82" i="40" s="1"/>
  <c r="AE416" i="37"/>
  <c r="AE416" i="40" s="1"/>
  <c r="AE406" i="37"/>
  <c r="AE406" i="40" s="1"/>
  <c r="AE483" i="37"/>
  <c r="AE483" i="40" s="1"/>
  <c r="AE199" i="37"/>
  <c r="AE199" i="40" s="1"/>
  <c r="AE202" i="37"/>
  <c r="AE202" i="40" s="1"/>
  <c r="AF202" s="1"/>
  <c r="AD129" i="37"/>
  <c r="AD129" i="40" s="1"/>
  <c r="AD117" i="37"/>
  <c r="AD117" i="40" s="1"/>
  <c r="AF117" s="1"/>
  <c r="AD152" i="37"/>
  <c r="AD152" i="40" s="1"/>
  <c r="AF152" s="1"/>
  <c r="AD386" i="37"/>
  <c r="AD386" i="40" s="1"/>
  <c r="AD270" i="37"/>
  <c r="AD270" i="40" s="1"/>
  <c r="AF270" s="1"/>
  <c r="AD464" i="37"/>
  <c r="AD464" i="40" s="1"/>
  <c r="AF464" s="1"/>
  <c r="AD470" i="37"/>
  <c r="AD470" i="40" s="1"/>
  <c r="AF470" s="1"/>
  <c r="AD31" i="37"/>
  <c r="AD31" i="40" s="1"/>
  <c r="AD34" i="37"/>
  <c r="AD34" i="40" s="1"/>
  <c r="AD71" i="37"/>
  <c r="AD71" i="40" s="1"/>
  <c r="AF71" s="1"/>
  <c r="AD58" i="37"/>
  <c r="AD58" i="40" s="1"/>
  <c r="AF58" s="1"/>
  <c r="AE351" i="37"/>
  <c r="AE351" i="40" s="1"/>
  <c r="AD479" i="37"/>
  <c r="AD479" i="40" s="1"/>
  <c r="AF479" s="1"/>
  <c r="AE127" i="37"/>
  <c r="AE127" i="40" s="1"/>
  <c r="AE125" i="37"/>
  <c r="AE125" i="40" s="1"/>
  <c r="AE160" i="37"/>
  <c r="AE160" i="40" s="1"/>
  <c r="AE162" i="37"/>
  <c r="AE162" i="40" s="1"/>
  <c r="AD87" i="37"/>
  <c r="AD87" i="40" s="1"/>
  <c r="AF87" s="1"/>
  <c r="AD74" i="37"/>
  <c r="AD74" i="40" s="1"/>
  <c r="AD372" i="37"/>
  <c r="AD372" i="40" s="1"/>
  <c r="AF372" s="1"/>
  <c r="AD219" i="37"/>
  <c r="AD219" i="40" s="1"/>
  <c r="AD217" i="37"/>
  <c r="AD217" i="40" s="1"/>
  <c r="AF217" s="1"/>
  <c r="AE272" i="37"/>
  <c r="AE272" i="40" s="1"/>
  <c r="AD11" i="37"/>
  <c r="AD11" i="40" s="1"/>
  <c r="AF11" s="1"/>
  <c r="AD9" i="37"/>
  <c r="AD9" i="40" s="1"/>
  <c r="AE68" i="37"/>
  <c r="AE68" i="40" s="1"/>
  <c r="AE458" i="37"/>
  <c r="AE458" i="40" s="1"/>
  <c r="AE28" i="37"/>
  <c r="AE28" i="40" s="1"/>
  <c r="AD52" i="37"/>
  <c r="AD52" i="40" s="1"/>
  <c r="AF52" s="1"/>
  <c r="AD394" i="37"/>
  <c r="AD394" i="40" s="1"/>
  <c r="AF394" s="1"/>
  <c r="AE172" i="37"/>
  <c r="AE172" i="40" s="1"/>
  <c r="AE103" i="37"/>
  <c r="AE103" i="40" s="1"/>
  <c r="AE98" i="37"/>
  <c r="AE98" i="40" s="1"/>
  <c r="AD340" i="37"/>
  <c r="AD340" i="40" s="1"/>
  <c r="AF340" s="1"/>
  <c r="AD353" i="37"/>
  <c r="AD353" i="40" s="1"/>
  <c r="AF353" s="1"/>
  <c r="AE92" i="37"/>
  <c r="AE92" i="40" s="1"/>
  <c r="AE86" i="37"/>
  <c r="AE86" i="40" s="1"/>
  <c r="AE412" i="37"/>
  <c r="AE412" i="40" s="1"/>
  <c r="AE417" i="37"/>
  <c r="AE417" i="40" s="1"/>
  <c r="AE492" i="37"/>
  <c r="AE492" i="40" s="1"/>
  <c r="AE207" i="37"/>
  <c r="AE207" i="40" s="1"/>
  <c r="AE198" i="37"/>
  <c r="AE198" i="40" s="1"/>
  <c r="AF198" s="1"/>
  <c r="AD133" i="37"/>
  <c r="AD133" i="40" s="1"/>
  <c r="AF133" s="1"/>
  <c r="AD121" i="37"/>
  <c r="AD121" i="40" s="1"/>
  <c r="AF121" s="1"/>
  <c r="AD160" i="37"/>
  <c r="AD160" i="40" s="1"/>
  <c r="AD389" i="37"/>
  <c r="AD389" i="40" s="1"/>
  <c r="AD274" i="37"/>
  <c r="AD274" i="40" s="1"/>
  <c r="AD468" i="37"/>
  <c r="AD468" i="40" s="1"/>
  <c r="AD473" i="37"/>
  <c r="AD473" i="40" s="1"/>
  <c r="AD32" i="37"/>
  <c r="AD32" i="40" s="1"/>
  <c r="AD22" i="37"/>
  <c r="AD22" i="40" s="1"/>
  <c r="AE10" i="37"/>
  <c r="AE10" i="40" s="1"/>
  <c r="AE382" i="37"/>
  <c r="AE382" i="40" s="1"/>
  <c r="AE38" i="37"/>
  <c r="AE38" i="40" s="1"/>
  <c r="AE390" i="37"/>
  <c r="AE390" i="40" s="1"/>
  <c r="AD60" i="37"/>
  <c r="AD60" i="40" s="1"/>
  <c r="AF60" s="1"/>
  <c r="AD62" i="37"/>
  <c r="AD62" i="40" s="1"/>
  <c r="AE343" i="37"/>
  <c r="AE343" i="40" s="1"/>
  <c r="AE342" i="37"/>
  <c r="AE342" i="40" s="1"/>
  <c r="AD487" i="37"/>
  <c r="AD487" i="40" s="1"/>
  <c r="AD478" i="37"/>
  <c r="AD478" i="40" s="1"/>
  <c r="AF478" s="1"/>
  <c r="AE123" i="37"/>
  <c r="AE123" i="40" s="1"/>
  <c r="AE129" i="37"/>
  <c r="AE129" i="40" s="1"/>
  <c r="AE156" i="37"/>
  <c r="AE156" i="40" s="1"/>
  <c r="AE158" i="37"/>
  <c r="AE158" i="40" s="1"/>
  <c r="AD91" i="37"/>
  <c r="AD91" i="40" s="1"/>
  <c r="AF91" s="1"/>
  <c r="AD78" i="37"/>
  <c r="AD78" i="40" s="1"/>
  <c r="AF78" s="1"/>
  <c r="AD371" i="37"/>
  <c r="AD371" i="40" s="1"/>
  <c r="AD215" i="37"/>
  <c r="AD215" i="40" s="1"/>
  <c r="AD214" i="37"/>
  <c r="AD214" i="40" s="1"/>
  <c r="AF214" s="1"/>
  <c r="AE268" i="37"/>
  <c r="AE268" i="40" s="1"/>
  <c r="AD19" i="37"/>
  <c r="AD19" i="40" s="1"/>
  <c r="AF19" s="1"/>
  <c r="AD18" i="37"/>
  <c r="AD18" i="40" s="1"/>
  <c r="AE64" i="37"/>
  <c r="AE64" i="40" s="1"/>
  <c r="AE467" i="37"/>
  <c r="AE467" i="40" s="1"/>
  <c r="AE462" i="37"/>
  <c r="AE462" i="40" s="1"/>
  <c r="AE25" i="37"/>
  <c r="AE25" i="40" s="1"/>
  <c r="AF25" s="1"/>
  <c r="AD53" i="37"/>
  <c r="AD53" i="40" s="1"/>
  <c r="AD397" i="37"/>
  <c r="AD397" i="40" s="1"/>
  <c r="AF397" s="1"/>
  <c r="AE175" i="37"/>
  <c r="AE175" i="40" s="1"/>
  <c r="AE185" i="37"/>
  <c r="AE185" i="40" s="1"/>
  <c r="AE99" i="37"/>
  <c r="AE99" i="40" s="1"/>
  <c r="AE94" i="37"/>
  <c r="AE94" i="40" s="1"/>
  <c r="AD336" i="37"/>
  <c r="AD336" i="40" s="1"/>
  <c r="AD350" i="37"/>
  <c r="AD350" i="40" s="1"/>
  <c r="AF350" s="1"/>
  <c r="AE85" i="37"/>
  <c r="AE85" i="40" s="1"/>
  <c r="AE78" i="37"/>
  <c r="AE78" i="40" s="1"/>
  <c r="AE404" i="37"/>
  <c r="AE404" i="40" s="1"/>
  <c r="AE413" i="37"/>
  <c r="AE413" i="40" s="1"/>
  <c r="AE482" i="37"/>
  <c r="AE482" i="40" s="1"/>
  <c r="AE208" i="37"/>
  <c r="AE208" i="40" s="1"/>
  <c r="AE194" i="37"/>
  <c r="AE194" i="40" s="1"/>
  <c r="AD120" i="37"/>
  <c r="AD120" i="40" s="1"/>
  <c r="AF120" s="1"/>
  <c r="AD159" i="37"/>
  <c r="AD159" i="40" s="1"/>
  <c r="AD153" i="37"/>
  <c r="AD153" i="40" s="1"/>
  <c r="AD378" i="37"/>
  <c r="AD378" i="40" s="1"/>
  <c r="AF378" s="1"/>
  <c r="AD267" i="37"/>
  <c r="AD267" i="40" s="1"/>
  <c r="AD278" i="37"/>
  <c r="AD278" i="40" s="1"/>
  <c r="AF278" s="1"/>
  <c r="AD471" i="37"/>
  <c r="AD471" i="40" s="1"/>
  <c r="AD20" i="37"/>
  <c r="AD20" i="40" s="1"/>
  <c r="AD30" i="37"/>
  <c r="AD30" i="40" s="1"/>
  <c r="AF30" s="1"/>
  <c r="AE384" i="37"/>
  <c r="AE384" i="40" s="1"/>
  <c r="AD64" i="37"/>
  <c r="AD64" i="40" s="1"/>
  <c r="AE347" i="37"/>
  <c r="AE347" i="40" s="1"/>
  <c r="AE346" i="37"/>
  <c r="AE346" i="40" s="1"/>
  <c r="AE119" i="37"/>
  <c r="AE119" i="40" s="1"/>
  <c r="AE130" i="37"/>
  <c r="AE130" i="40" s="1"/>
  <c r="AE153" i="37"/>
  <c r="AE153" i="40" s="1"/>
  <c r="AD93" i="37"/>
  <c r="AD93" i="40" s="1"/>
  <c r="AD82" i="37"/>
  <c r="AD82" i="40" s="1"/>
  <c r="AD368" i="37"/>
  <c r="AD368" i="40" s="1"/>
  <c r="AD227" i="37"/>
  <c r="AD227" i="40" s="1"/>
  <c r="AF227" s="1"/>
  <c r="AD209" i="37"/>
  <c r="AD209" i="40" s="1"/>
  <c r="AE264" i="37"/>
  <c r="AE264" i="40" s="1"/>
  <c r="AD7" i="37"/>
  <c r="AD7" i="40" s="1"/>
  <c r="AF7" s="1"/>
  <c r="AD6" i="37"/>
  <c r="AD6" i="40" s="1"/>
  <c r="AF6" s="1"/>
  <c r="AE57" i="37"/>
  <c r="AE57" i="40" s="1"/>
  <c r="AF57" s="1"/>
  <c r="AE459" i="37"/>
  <c r="AE459" i="40" s="1"/>
  <c r="AE469" i="37"/>
  <c r="AE469" i="40" s="1"/>
  <c r="AE35" i="37"/>
  <c r="AE35" i="40" s="1"/>
  <c r="AE21" i="37"/>
  <c r="AE21" i="40" s="1"/>
  <c r="AD40" i="37"/>
  <c r="AD40" i="40" s="1"/>
  <c r="AF40" s="1"/>
  <c r="AD398" i="37"/>
  <c r="AD398" i="40" s="1"/>
  <c r="AE171" i="37"/>
  <c r="AE171" i="40" s="1"/>
  <c r="AE177" i="37"/>
  <c r="AE177" i="40" s="1"/>
  <c r="AE104" i="37"/>
  <c r="AE104" i="40" s="1"/>
  <c r="AE113" i="37"/>
  <c r="AE113" i="40" s="1"/>
  <c r="AD351" i="37"/>
  <c r="AD351" i="40" s="1"/>
  <c r="AF351" s="1"/>
  <c r="AD354" i="37"/>
  <c r="AD354" i="40" s="1"/>
  <c r="AE88" i="37"/>
  <c r="AE88" i="40" s="1"/>
  <c r="AE74" i="37"/>
  <c r="AE74" i="40" s="1"/>
  <c r="AE408" i="37"/>
  <c r="AE408" i="40" s="1"/>
  <c r="AE409" i="37"/>
  <c r="AE409" i="40" s="1"/>
  <c r="AE478" i="37"/>
  <c r="AE478" i="40" s="1"/>
  <c r="AE197" i="37"/>
  <c r="AE197" i="40" s="1"/>
  <c r="AE190" i="37"/>
  <c r="AE190" i="40" s="1"/>
  <c r="AF190" s="1"/>
  <c r="AD132" i="37"/>
  <c r="AD132" i="40" s="1"/>
  <c r="AD163" i="37"/>
  <c r="AD163" i="40" s="1"/>
  <c r="AD161" i="37"/>
  <c r="AD161" i="40" s="1"/>
  <c r="AF161" s="1"/>
  <c r="AD382" i="37"/>
  <c r="AD382" i="40" s="1"/>
  <c r="AD264" i="37"/>
  <c r="AD264" i="40" s="1"/>
  <c r="AD269" i="37"/>
  <c r="AD269" i="40" s="1"/>
  <c r="AD472" i="37"/>
  <c r="AD472" i="40" s="1"/>
  <c r="AD21" i="37"/>
  <c r="AD21" i="40" s="1"/>
  <c r="AF21" s="1"/>
  <c r="AE47" i="37"/>
  <c r="AE47" i="40" s="1"/>
  <c r="AE54" i="37"/>
  <c r="AE54" i="40" s="1"/>
  <c r="AD68" i="37"/>
  <c r="AD68" i="40" s="1"/>
  <c r="AE339" i="37"/>
  <c r="AE339" i="40" s="1"/>
  <c r="AE337" i="37"/>
  <c r="AE337" i="40" s="1"/>
  <c r="AD481" i="37"/>
  <c r="AD481" i="40" s="1"/>
  <c r="AE115" i="37"/>
  <c r="AE115" i="40" s="1"/>
  <c r="AE122" i="37"/>
  <c r="AE122" i="40" s="1"/>
  <c r="AE152" i="37"/>
  <c r="AE152" i="40" s="1"/>
  <c r="AD89" i="37"/>
  <c r="AD89" i="40" s="1"/>
  <c r="AD86" i="37"/>
  <c r="AD86" i="40" s="1"/>
  <c r="AD370" i="37"/>
  <c r="AD370" i="40" s="1"/>
  <c r="AD216" i="37"/>
  <c r="AD216" i="40" s="1"/>
  <c r="AF216" s="1"/>
  <c r="AD222" i="37"/>
  <c r="AD222" i="40" s="1"/>
  <c r="AF222" s="1"/>
  <c r="AE277" i="37"/>
  <c r="AE277" i="40" s="1"/>
  <c r="AD15" i="37"/>
  <c r="AD15" i="40" s="1"/>
  <c r="AF15" s="1"/>
  <c r="AD14" i="37"/>
  <c r="AD14" i="40" s="1"/>
  <c r="AE60" i="37"/>
  <c r="AE60" i="40" s="1"/>
  <c r="AE475" i="37"/>
  <c r="AE475" i="40" s="1"/>
  <c r="AE473" i="37"/>
  <c r="AE473" i="40" s="1"/>
  <c r="AE27" i="37"/>
  <c r="AE27" i="40" s="1"/>
  <c r="AF27" s="1"/>
  <c r="AE37" i="37"/>
  <c r="AE37" i="40" s="1"/>
  <c r="AF37" s="1"/>
  <c r="AD48" i="37"/>
  <c r="AE183"/>
  <c r="AE183" i="40" s="1"/>
  <c r="AF183" s="1"/>
  <c r="AE186" i="37"/>
  <c r="AE186" i="40" s="1"/>
  <c r="AE108" i="37"/>
  <c r="AE108" i="40" s="1"/>
  <c r="AE110" i="37"/>
  <c r="AE110" i="40" s="1"/>
  <c r="AF110" s="1"/>
  <c r="AD344" i="37"/>
  <c r="AD344" i="40" s="1"/>
  <c r="AD338" i="37"/>
  <c r="AD338" i="40" s="1"/>
  <c r="AF338" s="1"/>
  <c r="AE84" i="37"/>
  <c r="AE84" i="40" s="1"/>
  <c r="AE419" i="37"/>
  <c r="AE419" i="40" s="1"/>
  <c r="AE405" i="37"/>
  <c r="AE405" i="40" s="1"/>
  <c r="AE489" i="37"/>
  <c r="AE489" i="40" s="1"/>
  <c r="AE195" i="37"/>
  <c r="AE195" i="40" s="1"/>
  <c r="AE201" i="37"/>
  <c r="AE201" i="40" s="1"/>
  <c r="AD116" i="37"/>
  <c r="AD116" i="40" s="1"/>
  <c r="AF116" s="1"/>
  <c r="AD167" i="37"/>
  <c r="AD167" i="40" s="1"/>
  <c r="AF167" s="1"/>
  <c r="AD158" i="37"/>
  <c r="AD158" i="40" s="1"/>
  <c r="AF158" s="1"/>
  <c r="AD381" i="37"/>
  <c r="AD381" i="40" s="1"/>
  <c r="AF381" s="1"/>
  <c r="AD263" i="37"/>
  <c r="AD263" i="40" s="1"/>
  <c r="AD262" i="37"/>
  <c r="AD262" i="40" s="1"/>
  <c r="AD475" i="37"/>
  <c r="AD475" i="40" s="1"/>
  <c r="AF475" s="1"/>
  <c r="AD28" i="37"/>
  <c r="AD28" i="40" s="1"/>
  <c r="AF28" s="1"/>
  <c r="AE16" i="37"/>
  <c r="AE16" i="40" s="1"/>
  <c r="AE371" i="37"/>
  <c r="AE371" i="40" s="1"/>
  <c r="AE44" i="37"/>
  <c r="AE44" i="40" s="1"/>
  <c r="AD69" i="37"/>
  <c r="AD69" i="40" s="1"/>
  <c r="AE352" i="37"/>
  <c r="AE352" i="40" s="1"/>
  <c r="AE338" i="37"/>
  <c r="AE338" i="40" s="1"/>
  <c r="AD488" i="37"/>
  <c r="AD488" i="40" s="1"/>
  <c r="AD477" i="37"/>
  <c r="AD477" i="40" s="1"/>
  <c r="AE128" i="37"/>
  <c r="AE128" i="40" s="1"/>
  <c r="AE126" i="37"/>
  <c r="AE126" i="40" s="1"/>
  <c r="AE161" i="37"/>
  <c r="AE161" i="40" s="1"/>
  <c r="AD77" i="37"/>
  <c r="AD77" i="40" s="1"/>
  <c r="AD90" i="37"/>
  <c r="AD90" i="40" s="1"/>
  <c r="AD369" i="37"/>
  <c r="AD369" i="40" s="1"/>
  <c r="AD220" i="37"/>
  <c r="AD220" i="40" s="1"/>
  <c r="AF220" s="1"/>
  <c r="AD218" i="37"/>
  <c r="AD218" i="40" s="1"/>
  <c r="AF218" s="1"/>
  <c r="AE273" i="37"/>
  <c r="AE273" i="40" s="1"/>
  <c r="AE73" i="37"/>
  <c r="AE73" i="40" s="1"/>
  <c r="AE463" i="37"/>
  <c r="AE463" i="40" s="1"/>
  <c r="AE461" i="37"/>
  <c r="AE461" i="40" s="1"/>
  <c r="AE31" i="37"/>
  <c r="AE31" i="40" s="1"/>
  <c r="AF31" s="1"/>
  <c r="AE30" i="37"/>
  <c r="AE30" i="40" s="1"/>
  <c r="AD395" i="37"/>
  <c r="AD395" i="40" s="1"/>
  <c r="AE179" i="37"/>
  <c r="AE179" i="40" s="1"/>
  <c r="AE182" i="37"/>
  <c r="AE182" i="40" s="1"/>
  <c r="AE96" i="37"/>
  <c r="AE96" i="40" s="1"/>
  <c r="AE106" i="37"/>
  <c r="AE106" i="40" s="1"/>
  <c r="AD348" i="37"/>
  <c r="AD348" i="40" s="1"/>
  <c r="AD337" i="37"/>
  <c r="AD337" i="40" s="1"/>
  <c r="AF337" s="1"/>
  <c r="AE80" i="37"/>
  <c r="AE80" i="40" s="1"/>
  <c r="AE415" i="37"/>
  <c r="AE415" i="40" s="1"/>
  <c r="AE401" i="37"/>
  <c r="AE401" i="40" s="1"/>
  <c r="AE479" i="37"/>
  <c r="AE479" i="40" s="1"/>
  <c r="AE493" i="37"/>
  <c r="AE493" i="40" s="1"/>
  <c r="AE204" i="37"/>
  <c r="AE204" i="40" s="1"/>
  <c r="AF204" s="1"/>
  <c r="AE206" i="37"/>
  <c r="AE206" i="40" s="1"/>
  <c r="AD125" i="37"/>
  <c r="AD125" i="40" s="1"/>
  <c r="AF125" s="1"/>
  <c r="AD155" i="37"/>
  <c r="AD155" i="40" s="1"/>
  <c r="AD166" i="37"/>
  <c r="AD166" i="40" s="1"/>
  <c r="AD388" i="37"/>
  <c r="AD388" i="40" s="1"/>
  <c r="AD265" i="37"/>
  <c r="AD265" i="40" s="1"/>
  <c r="AD266" i="37"/>
  <c r="AD266" i="40" s="1"/>
  <c r="AF266" s="1"/>
  <c r="AD458" i="37"/>
  <c r="AD458" i="40" s="1"/>
  <c r="AF458" s="1"/>
  <c r="AD33" i="37"/>
  <c r="AD33" i="40" s="1"/>
  <c r="AE380" i="37"/>
  <c r="AE380" i="40" s="1"/>
  <c r="AE353" i="37"/>
  <c r="AE353" i="40" s="1"/>
  <c r="AE132" i="37"/>
  <c r="AE132" i="40" s="1"/>
  <c r="AE118" i="37"/>
  <c r="AE118" i="40" s="1"/>
  <c r="AE157" i="37"/>
  <c r="AE157" i="40" s="1"/>
  <c r="AD85" i="37"/>
  <c r="AD85" i="40" s="1"/>
  <c r="AF85" s="1"/>
  <c r="AD366" i="37"/>
  <c r="AD366" i="40" s="1"/>
  <c r="AF366" s="1"/>
  <c r="AD211" i="37"/>
  <c r="AD211" i="40" s="1"/>
  <c r="AD210" i="37"/>
  <c r="AD210" i="40" s="1"/>
  <c r="AE269" i="37"/>
  <c r="AE269" i="40" s="1"/>
  <c r="AD12" i="37"/>
  <c r="AE71"/>
  <c r="AE71" i="40" s="1"/>
  <c r="AE65" i="37"/>
  <c r="AE65" i="40" s="1"/>
  <c r="AF65" s="1"/>
  <c r="AE468" i="37"/>
  <c r="AE468" i="40" s="1"/>
  <c r="AE465" i="37"/>
  <c r="AE465" i="40" s="1"/>
  <c r="AE23" i="37"/>
  <c r="AE23" i="40" s="1"/>
  <c r="AE34" i="37"/>
  <c r="AE34" i="40" s="1"/>
  <c r="AD47" i="37"/>
  <c r="AD47" i="40" s="1"/>
  <c r="AF47" s="1"/>
  <c r="AD38" i="37"/>
  <c r="AD38" i="40" s="1"/>
  <c r="AF38" s="1"/>
  <c r="AD399" i="37"/>
  <c r="AD399" i="40" s="1"/>
  <c r="AF399" s="1"/>
  <c r="AE181" i="37"/>
  <c r="AE181" i="40" s="1"/>
  <c r="AE178" i="37"/>
  <c r="AE178" i="40" s="1"/>
  <c r="AE100" i="37"/>
  <c r="AE100" i="40" s="1"/>
  <c r="AD352" i="37"/>
  <c r="AD352" i="40" s="1"/>
  <c r="AD342" i="37"/>
  <c r="AD342" i="40" s="1"/>
  <c r="AF342" s="1"/>
  <c r="AE81" i="37"/>
  <c r="AE81" i="40" s="1"/>
  <c r="AE411" i="37"/>
  <c r="AE411" i="40" s="1"/>
  <c r="AE487" i="37"/>
  <c r="AE487" i="40" s="1"/>
  <c r="AE485" i="37"/>
  <c r="AE485" i="40" s="1"/>
  <c r="AE191" i="37"/>
  <c r="AE191" i="40" s="1"/>
  <c r="AD131" i="37"/>
  <c r="AD131" i="40" s="1"/>
  <c r="AD128" i="37"/>
  <c r="AD128" i="40" s="1"/>
  <c r="AD157" i="37"/>
  <c r="AD157" i="40" s="1"/>
  <c r="AF157" s="1"/>
  <c r="AD170" i="37"/>
  <c r="AD170" i="40" s="1"/>
  <c r="AD384" i="37"/>
  <c r="AD384" i="40" s="1"/>
  <c r="AF384" s="1"/>
  <c r="AD268" i="37"/>
  <c r="AD268" i="40" s="1"/>
  <c r="AF268" s="1"/>
  <c r="AD277" i="37"/>
  <c r="AD277" i="40" s="1"/>
  <c r="AD461" i="37"/>
  <c r="AD461" i="40" s="1"/>
  <c r="AF461" s="1"/>
  <c r="AD36" i="37"/>
  <c r="AD36" i="40" s="1"/>
  <c r="AE40" i="37"/>
  <c r="AE40" i="40" s="1"/>
  <c r="AE395" i="37"/>
  <c r="AE395" i="40" s="1"/>
  <c r="AD65" i="37"/>
  <c r="AD65" i="40" s="1"/>
  <c r="AE348" i="37"/>
  <c r="AE348" i="40" s="1"/>
  <c r="AE8" i="37"/>
  <c r="AE8" i="40" s="1"/>
  <c r="AE379" i="37"/>
  <c r="AE379" i="40" s="1"/>
  <c r="AE377" i="37"/>
  <c r="AE377" i="40" s="1"/>
  <c r="AD185" i="37"/>
  <c r="AD185" i="40" s="1"/>
  <c r="AD178" i="37"/>
  <c r="AD178" i="40" s="1"/>
  <c r="AE212" i="37"/>
  <c r="AE212" i="40" s="1"/>
  <c r="AE218" i="37"/>
  <c r="AE218" i="40" s="1"/>
  <c r="AE49" i="37"/>
  <c r="AE49" i="40" s="1"/>
  <c r="AE391" i="37"/>
  <c r="AE391" i="40" s="1"/>
  <c r="AD72" i="37"/>
  <c r="AD72" i="40" s="1"/>
  <c r="AE344" i="37"/>
  <c r="AE344" i="40" s="1"/>
  <c r="AD476" i="37"/>
  <c r="AD476" i="40" s="1"/>
  <c r="AE121" i="37"/>
  <c r="AE121" i="40" s="1"/>
  <c r="AE114" i="37"/>
  <c r="AE114" i="40" s="1"/>
  <c r="AE168" i="37"/>
  <c r="AE168" i="40" s="1"/>
  <c r="AD92" i="37"/>
  <c r="AD92" i="40" s="1"/>
  <c r="AF92" s="1"/>
  <c r="AD373" i="37"/>
  <c r="AD373" i="40" s="1"/>
  <c r="AD212" i="37"/>
  <c r="AD212" i="40" s="1"/>
  <c r="AD226" i="37"/>
  <c r="AD226" i="40" s="1"/>
  <c r="AF226" s="1"/>
  <c r="AE265" i="37"/>
  <c r="AE265" i="40" s="1"/>
  <c r="AF265" s="1"/>
  <c r="AD17" i="37"/>
  <c r="AD17" i="40" s="1"/>
  <c r="AF17" s="1"/>
  <c r="AE67" i="37"/>
  <c r="AE67" i="40" s="1"/>
  <c r="AF67" s="1"/>
  <c r="AE70" i="37"/>
  <c r="AE70" i="40" s="1"/>
  <c r="AE472" i="37"/>
  <c r="AE472" i="40" s="1"/>
  <c r="AE474" i="37"/>
  <c r="AE474" i="40" s="1"/>
  <c r="AE33" i="37"/>
  <c r="AE33" i="40" s="1"/>
  <c r="AF33" s="1"/>
  <c r="AE26" i="37"/>
  <c r="AE26" i="40" s="1"/>
  <c r="AD43" i="37"/>
  <c r="AD43" i="40" s="1"/>
  <c r="AD49" i="37"/>
  <c r="AD49" i="40" s="1"/>
  <c r="AD392" i="37"/>
  <c r="AD392" i="40" s="1"/>
  <c r="AF392" s="1"/>
  <c r="AE187" i="37"/>
  <c r="AE187" i="40" s="1"/>
  <c r="AE174" i="37"/>
  <c r="AE174" i="40" s="1"/>
  <c r="AE101" i="37"/>
  <c r="AE101" i="40" s="1"/>
  <c r="AD339" i="37"/>
  <c r="AE76"/>
  <c r="AE76" i="40" s="1"/>
  <c r="AE407" i="37"/>
  <c r="AE407" i="40" s="1"/>
  <c r="AE491" i="37"/>
  <c r="AE491" i="40" s="1"/>
  <c r="AE481" i="37"/>
  <c r="AE481" i="40" s="1"/>
  <c r="AE200" i="37"/>
  <c r="AE200" i="40" s="1"/>
  <c r="AD119" i="37"/>
  <c r="AD126"/>
  <c r="AD126" i="40" s="1"/>
  <c r="AD164" i="37"/>
  <c r="AD164" i="40" s="1"/>
  <c r="AF164" s="1"/>
  <c r="AD154" i="37"/>
  <c r="AD154" i="40" s="1"/>
  <c r="AF154" s="1"/>
  <c r="AD379" i="37"/>
  <c r="AD379" i="40" s="1"/>
  <c r="AF379" s="1"/>
  <c r="AD272" i="37"/>
  <c r="AD272" i="40" s="1"/>
  <c r="AF272" s="1"/>
  <c r="AD465" i="37"/>
  <c r="AD465" i="40" s="1"/>
  <c r="AF465" s="1"/>
  <c r="AD24" i="37"/>
  <c r="AD24" i="40" s="1"/>
  <c r="AE388" i="37"/>
  <c r="AE388" i="40" s="1"/>
  <c r="AE45" i="37"/>
  <c r="AE45" i="40" s="1"/>
  <c r="AE400" i="37"/>
  <c r="AE400" i="40" s="1"/>
  <c r="AD61" i="37"/>
  <c r="AD61" i="40" s="1"/>
  <c r="AE340" i="37"/>
  <c r="AE340" i="40" s="1"/>
  <c r="AD480" i="37"/>
  <c r="AD480" i="40" s="1"/>
  <c r="AE124" i="37"/>
  <c r="AE124" i="40" s="1"/>
  <c r="AE167" i="37"/>
  <c r="AE167" i="40" s="1"/>
  <c r="AE169" i="37"/>
  <c r="AE169" i="40" s="1"/>
  <c r="AD374" i="37"/>
  <c r="AD374" i="40" s="1"/>
  <c r="AD224" i="37"/>
  <c r="AD224" i="40" s="1"/>
  <c r="AF224" s="1"/>
  <c r="AE275" i="37"/>
  <c r="AE275" i="40" s="1"/>
  <c r="AE278" i="37"/>
  <c r="AE278" i="40" s="1"/>
  <c r="AE63" i="37"/>
  <c r="AE63" i="40" s="1"/>
  <c r="AE66" i="37"/>
  <c r="AE66" i="40" s="1"/>
  <c r="AE464" i="37"/>
  <c r="AE464" i="40" s="1"/>
  <c r="AE29" i="37"/>
  <c r="AE29" i="40" s="1"/>
  <c r="AF29" s="1"/>
  <c r="AE22" i="37"/>
  <c r="AE22" i="40" s="1"/>
  <c r="AD400" i="37"/>
  <c r="AE188"/>
  <c r="AE188" i="40" s="1"/>
  <c r="AF188" s="1"/>
  <c r="AE189" i="37"/>
  <c r="AE189" i="40" s="1"/>
  <c r="AE97" i="37"/>
  <c r="AE97" i="40" s="1"/>
  <c r="AD343" i="37"/>
  <c r="AD343" i="40" s="1"/>
  <c r="AF343" s="1"/>
  <c r="AE91" i="37"/>
  <c r="AE91" i="40" s="1"/>
  <c r="AE93" i="37"/>
  <c r="AE93" i="40" s="1"/>
  <c r="AE418" i="37"/>
  <c r="AE418" i="40" s="1"/>
  <c r="AE480" i="37"/>
  <c r="AE480" i="40" s="1"/>
  <c r="AE477" i="37"/>
  <c r="AE477" i="40" s="1"/>
  <c r="AE196" i="37"/>
  <c r="AE196" i="40" s="1"/>
  <c r="AD115" i="37"/>
  <c r="AD115" i="40" s="1"/>
  <c r="AF115" s="1"/>
  <c r="AD122" i="37"/>
  <c r="AD165"/>
  <c r="AD165" i="40" s="1"/>
  <c r="AD162" i="37"/>
  <c r="AD162" i="40" s="1"/>
  <c r="AD383" i="37"/>
  <c r="AD383" i="40" s="1"/>
  <c r="AF383" s="1"/>
  <c r="AD271" i="37"/>
  <c r="AD271" i="40" s="1"/>
  <c r="AD467" i="37"/>
  <c r="AD467" i="40" s="1"/>
  <c r="AF467" s="1"/>
  <c r="AD469" i="37"/>
  <c r="AD469" i="40" s="1"/>
  <c r="AF469" s="1"/>
  <c r="AD25" i="37"/>
  <c r="AD25" i="40" s="1"/>
  <c r="O2" i="37"/>
  <c r="P2"/>
  <c r="Q2"/>
  <c r="I2"/>
  <c r="J2"/>
  <c r="K2"/>
  <c r="L2"/>
  <c r="M2"/>
  <c r="N2"/>
  <c r="G2"/>
  <c r="AE43"/>
  <c r="AE43" i="40" s="1"/>
  <c r="AE396" i="37"/>
  <c r="AE396" i="40" s="1"/>
  <c r="AD73" i="37"/>
  <c r="AD73" i="40" s="1"/>
  <c r="AE349" i="37"/>
  <c r="AE349" i="40" s="1"/>
  <c r="AD492" i="37"/>
  <c r="AD492" i="40" s="1"/>
  <c r="AE120" i="37"/>
  <c r="AE120" i="40" s="1"/>
  <c r="AE163" i="37"/>
  <c r="AE163" i="40" s="1"/>
  <c r="AE154" i="37"/>
  <c r="AE154" i="40" s="1"/>
  <c r="AD76" i="37"/>
  <c r="AD76" i="40" s="1"/>
  <c r="AF76" s="1"/>
  <c r="AD377" i="37"/>
  <c r="AD377" i="40" s="1"/>
  <c r="AD221" i="37"/>
  <c r="AD221" i="40" s="1"/>
  <c r="AE263" i="37"/>
  <c r="AE263" i="40" s="1"/>
  <c r="AE274" i="37"/>
  <c r="AE274" i="40" s="1"/>
  <c r="AE59" i="37"/>
  <c r="AE59" i="40" s="1"/>
  <c r="AE62" i="37"/>
  <c r="AE62" i="40" s="1"/>
  <c r="AE460" i="37"/>
  <c r="AE460" i="40" s="1"/>
  <c r="AE32" i="37"/>
  <c r="AE32" i="40" s="1"/>
  <c r="AD396" i="37"/>
  <c r="AD396" i="40" s="1"/>
  <c r="AF396" s="1"/>
  <c r="AE184" i="37"/>
  <c r="AE184" i="40" s="1"/>
  <c r="AE109" i="37"/>
  <c r="AE109" i="40" s="1"/>
  <c r="AD349" i="37"/>
  <c r="AD349" i="40" s="1"/>
  <c r="AE87" i="37"/>
  <c r="AE87" i="40" s="1"/>
  <c r="AE89" i="37"/>
  <c r="AE89" i="40" s="1"/>
  <c r="AE410" i="37"/>
  <c r="AE410" i="40" s="1"/>
  <c r="AE488" i="37"/>
  <c r="AE488" i="40" s="1"/>
  <c r="AE490" i="37"/>
  <c r="AE490" i="40" s="1"/>
  <c r="AE192" i="37"/>
  <c r="AE192" i="40" s="1"/>
  <c r="AD127" i="37"/>
  <c r="AD127" i="40" s="1"/>
  <c r="AF127" s="1"/>
  <c r="AD118" i="37"/>
  <c r="AD118" i="40" s="1"/>
  <c r="AF118" s="1"/>
  <c r="AD169" i="37"/>
  <c r="AD169" i="40" s="1"/>
  <c r="AD387" i="37"/>
  <c r="AD387" i="40" s="1"/>
  <c r="AF387" s="1"/>
  <c r="AD276" i="37"/>
  <c r="AD276" i="40" s="1"/>
  <c r="AD459" i="37"/>
  <c r="AD459" i="40" s="1"/>
  <c r="AF459" s="1"/>
  <c r="AD466" i="37"/>
  <c r="AD466" i="40" s="1"/>
  <c r="AF466" s="1"/>
  <c r="AD27" i="37"/>
  <c r="AD27" i="40" s="1"/>
  <c r="AD29" i="37"/>
  <c r="AD29" i="40" s="1"/>
  <c r="AE41" i="37"/>
  <c r="AE41" i="40" s="1"/>
  <c r="AE385" i="37"/>
  <c r="AE385" i="40" s="1"/>
  <c r="AE210" i="37"/>
  <c r="AE210" i="40" s="1"/>
  <c r="AE56" i="37"/>
  <c r="AE56" i="40" s="1"/>
  <c r="AE392" i="37"/>
  <c r="AE392" i="40" s="1"/>
  <c r="AD59" i="37"/>
  <c r="AD59" i="40" s="1"/>
  <c r="AD66" i="37"/>
  <c r="AD66" i="40" s="1"/>
  <c r="AE354" i="37"/>
  <c r="AE354" i="40" s="1"/>
  <c r="AD493" i="37"/>
  <c r="AD493" i="40" s="1"/>
  <c r="AE133" i="37"/>
  <c r="AE133" i="40" s="1"/>
  <c r="AE155" i="37"/>
  <c r="AE155" i="40" s="1"/>
  <c r="AE165" i="37"/>
  <c r="AE165" i="40" s="1"/>
  <c r="AD75" i="37"/>
  <c r="AD75" i="40" s="1"/>
  <c r="AD80" i="37"/>
  <c r="AD80" i="40" s="1"/>
  <c r="AF80" s="1"/>
  <c r="AD375" i="37"/>
  <c r="AD375" i="40" s="1"/>
  <c r="AF375" s="1"/>
  <c r="AD223" i="37"/>
  <c r="AD223" i="40" s="1"/>
  <c r="AF223" s="1"/>
  <c r="AE271" i="37"/>
  <c r="AE271" i="40" s="1"/>
  <c r="AF271" s="1"/>
  <c r="AE262" i="37"/>
  <c r="AE262" i="40" s="1"/>
  <c r="AE69" i="37"/>
  <c r="AE69" i="40" s="1"/>
  <c r="AE58" i="37"/>
  <c r="AE58" i="40" s="1"/>
  <c r="AE471" i="37"/>
  <c r="AE471" i="40" s="1"/>
  <c r="AE36" i="37"/>
  <c r="AE36" i="40" s="1"/>
  <c r="AD42" i="37"/>
  <c r="AD42" i="40" s="1"/>
  <c r="AD391" i="37"/>
  <c r="AD391" i="40" s="1"/>
  <c r="AF391" s="1"/>
  <c r="AE173" i="37"/>
  <c r="AE173" i="40" s="1"/>
  <c r="AE95" i="37"/>
  <c r="AE95" i="40" s="1"/>
  <c r="AE105" i="37"/>
  <c r="AE105" i="40" s="1"/>
  <c r="AD341" i="37"/>
  <c r="AD341" i="40" s="1"/>
  <c r="AE83" i="37"/>
  <c r="AE83" i="40" s="1"/>
  <c r="AE77" i="37"/>
  <c r="AE77" i="40" s="1"/>
  <c r="AE403" i="37"/>
  <c r="AE403" i="40" s="1"/>
  <c r="AE414" i="37"/>
  <c r="AE414" i="40" s="1"/>
  <c r="AE476" i="37"/>
  <c r="AE476" i="40" s="1"/>
  <c r="AE486" i="37"/>
  <c r="AE486" i="40" s="1"/>
  <c r="AE193" i="37"/>
  <c r="AE193" i="40" s="1"/>
  <c r="AD123" i="37"/>
  <c r="AD123" i="40" s="1"/>
  <c r="AD130" i="37"/>
  <c r="AD130" i="40" s="1"/>
  <c r="AF130" s="1"/>
  <c r="AD168" i="37"/>
  <c r="AD168" i="40" s="1"/>
  <c r="AF168" s="1"/>
  <c r="AD380" i="37"/>
  <c r="AD380" i="40" s="1"/>
  <c r="AD275" i="37"/>
  <c r="AD463"/>
  <c r="AD463" i="40" s="1"/>
  <c r="AF463" s="1"/>
  <c r="AD462" i="37"/>
  <c r="AD462" i="40" s="1"/>
  <c r="AD35" i="37"/>
  <c r="AD35" i="40" s="1"/>
  <c r="AD26" i="37"/>
  <c r="AD26" i="40" s="1"/>
  <c r="B3" i="35" a="1"/>
  <c r="B3" s="1"/>
  <c r="A3" i="51" s="1"/>
  <c r="B2" i="35" a="1"/>
  <c r="B2" s="1"/>
  <c r="A2" i="51" s="1"/>
  <c r="A33" i="24"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1" i="26" a="1"/>
  <c r="A31" s="1"/>
  <c r="A32" a="1"/>
  <c r="A32" s="1"/>
  <c r="A2" a="1"/>
  <c r="A2" s="1"/>
  <c r="A33" a="1"/>
  <c r="A33" s="1"/>
  <c r="A34" a="1"/>
  <c r="A34" s="1"/>
  <c r="A35" a="1"/>
  <c r="A35" s="1"/>
  <c r="A3" a="1"/>
  <c r="A3" s="1"/>
  <c r="A36" a="1"/>
  <c r="A36" s="1"/>
  <c r="A37" a="1"/>
  <c r="A37" s="1"/>
  <c r="A5" a="1"/>
  <c r="A5" s="1"/>
  <c r="A4" a="1"/>
  <c r="A4" s="1"/>
  <c r="A7" a="1"/>
  <c r="A7" s="1"/>
  <c r="A8" a="1"/>
  <c r="A8" s="1"/>
  <c r="A38" a="1"/>
  <c r="A38" s="1"/>
  <c r="A6" a="1"/>
  <c r="A6" s="1"/>
  <c r="A39" a="1"/>
  <c r="A39" s="1"/>
  <c r="A10" a="1"/>
  <c r="A10" s="1"/>
  <c r="A40" a="1"/>
  <c r="A40" s="1"/>
  <c r="A9" a="1"/>
  <c r="A9" s="1"/>
  <c r="A12" a="1"/>
  <c r="A12" s="1"/>
  <c r="A13" a="1"/>
  <c r="A13" s="1"/>
  <c r="A41" a="1"/>
  <c r="A41" s="1"/>
  <c r="A11" a="1"/>
  <c r="A11" s="1"/>
  <c r="A15" a="1"/>
  <c r="A15" s="1"/>
  <c r="A16" a="1"/>
  <c r="A16" s="1"/>
  <c r="A42" a="1"/>
  <c r="A42" s="1"/>
  <c r="A14" a="1"/>
  <c r="A14" s="1"/>
  <c r="A17" a="1"/>
  <c r="A17" s="1"/>
  <c r="A18" a="1"/>
  <c r="A18" s="1"/>
  <c r="A19" a="1"/>
  <c r="A19" s="1"/>
  <c r="A43" a="1"/>
  <c r="A43" s="1"/>
  <c r="A45" a="1"/>
  <c r="A45" s="1"/>
  <c r="A20" a="1"/>
  <c r="A20" s="1"/>
  <c r="A46" a="1"/>
  <c r="A46" s="1"/>
  <c r="A44" a="1"/>
  <c r="A44" s="1"/>
  <c r="A22" a="1"/>
  <c r="A22" s="1"/>
  <c r="A23" a="1"/>
  <c r="A23" s="1"/>
  <c r="A24" a="1"/>
  <c r="A24" s="1"/>
  <c r="A21" a="1"/>
  <c r="A21" s="1"/>
  <c r="A47" a="1"/>
  <c r="A47" s="1"/>
  <c r="A26" a="1"/>
  <c r="A26" s="1"/>
  <c r="A27" a="1"/>
  <c r="A27" s="1"/>
  <c r="A25" a="1"/>
  <c r="A25" s="1"/>
  <c r="A48" a="1"/>
  <c r="A48" s="1"/>
  <c r="A29" a="1"/>
  <c r="A29" s="1"/>
  <c r="A49" a="1"/>
  <c r="A49" s="1"/>
  <c r="A28" a="1"/>
  <c r="A28" s="1"/>
  <c r="A29" i="21" a="1"/>
  <c r="A29" s="1"/>
  <c r="A32" a="1"/>
  <c r="A32" s="1"/>
  <c r="A7" a="1"/>
  <c r="A7" s="1"/>
  <c r="A35" a="1"/>
  <c r="A35" s="1"/>
  <c r="A12" a="1"/>
  <c r="A12" s="1"/>
  <c r="A15" a="1"/>
  <c r="A15" s="1"/>
  <c r="A17" a="1"/>
  <c r="A17" s="1"/>
  <c r="A41" a="1"/>
  <c r="A41" s="1"/>
  <c r="A61" a="1"/>
  <c r="A61" s="1"/>
  <c r="A43" a="1"/>
  <c r="A43" s="1"/>
  <c r="A44" a="1"/>
  <c r="A44" s="1"/>
  <c r="A27" a="1"/>
  <c r="A27" s="1"/>
  <c r="A30" a="1"/>
  <c r="A30" s="1"/>
  <c r="A33" a="1"/>
  <c r="A33" s="1"/>
  <c r="A8" a="1"/>
  <c r="A8" s="1"/>
  <c r="A10" a="1"/>
  <c r="A10" s="1"/>
  <c r="A13" a="1"/>
  <c r="A13" s="1"/>
  <c r="A16" a="1"/>
  <c r="A16" s="1"/>
  <c r="A18" a="1"/>
  <c r="A18" s="1"/>
  <c r="A20" a="1"/>
  <c r="A20" s="1"/>
  <c r="A64" a="1"/>
  <c r="A64" s="1"/>
  <c r="A22" a="1"/>
  <c r="A22" s="1"/>
  <c r="A25" a="1"/>
  <c r="A25" s="1"/>
  <c r="A28" a="1"/>
  <c r="A28" s="1"/>
  <c r="A31" a="1"/>
  <c r="A31" s="1"/>
  <c r="A5" a="1"/>
  <c r="A5" s="1"/>
  <c r="A34" a="1"/>
  <c r="A34" s="1"/>
  <c r="A36" a="1"/>
  <c r="A36" s="1"/>
  <c r="A37" a="1"/>
  <c r="A37" s="1"/>
  <c r="A38" a="1"/>
  <c r="A38" s="1"/>
  <c r="A19" a="1"/>
  <c r="A19" s="1"/>
  <c r="A42" a="1"/>
  <c r="A42" s="1"/>
  <c r="A67" a="1"/>
  <c r="A67" s="1"/>
  <c r="A23" a="1"/>
  <c r="A23" s="1"/>
  <c r="A45" a="1"/>
  <c r="A45" s="1"/>
  <c r="A2" a="1"/>
  <c r="A2" s="1"/>
  <c r="A3" a="1"/>
  <c r="A3" s="1"/>
  <c r="A4" a="1"/>
  <c r="A4" s="1"/>
  <c r="A6" a="1"/>
  <c r="A6" s="1"/>
  <c r="A9" a="1"/>
  <c r="A9" s="1"/>
  <c r="A11" a="1"/>
  <c r="A11" s="1"/>
  <c r="A14" a="1"/>
  <c r="A14" s="1"/>
  <c r="A39" a="1"/>
  <c r="A39" s="1"/>
  <c r="A40" a="1"/>
  <c r="A40" s="1"/>
  <c r="A58" a="1"/>
  <c r="A58" s="1"/>
  <c r="A21" a="1"/>
  <c r="A21" s="1"/>
  <c r="A24" a="1"/>
  <c r="A24" s="1"/>
  <c r="A111" a="1"/>
  <c r="A111" s="1"/>
  <c r="A114" a="1"/>
  <c r="A114" s="1"/>
  <c r="A117" a="1"/>
  <c r="A117" s="1"/>
  <c r="A92" a="1"/>
  <c r="A92" s="1"/>
  <c r="A120" a="1"/>
  <c r="A120" s="1"/>
  <c r="A97" a="1"/>
  <c r="A97" s="1"/>
  <c r="A100" a="1"/>
  <c r="A100" s="1"/>
  <c r="A102" a="1"/>
  <c r="A102" s="1"/>
  <c r="A126" a="1"/>
  <c r="A126" s="1"/>
  <c r="A62" a="1"/>
  <c r="A62" s="1"/>
  <c r="A128" a="1"/>
  <c r="A128" s="1"/>
  <c r="A129" a="1"/>
  <c r="A129" s="1"/>
  <c r="A112" a="1"/>
  <c r="A112" s="1"/>
  <c r="A115" a="1"/>
  <c r="A115" s="1"/>
  <c r="A118" a="1"/>
  <c r="A118" s="1"/>
  <c r="A93" a="1"/>
  <c r="A93" s="1"/>
  <c r="A95" a="1"/>
  <c r="A95" s="1"/>
  <c r="A98" a="1"/>
  <c r="A98" s="1"/>
  <c r="A101" a="1"/>
  <c r="A101" s="1"/>
  <c r="A103" a="1"/>
  <c r="A103" s="1"/>
  <c r="A105" a="1"/>
  <c r="A105" s="1"/>
  <c r="A65" a="1"/>
  <c r="A65" s="1"/>
  <c r="A107" a="1"/>
  <c r="A107" s="1"/>
  <c r="A110" a="1"/>
  <c r="A110" s="1"/>
  <c r="A113" a="1"/>
  <c r="A113" s="1"/>
  <c r="A116" a="1"/>
  <c r="A116" s="1"/>
  <c r="A90" a="1"/>
  <c r="A90" s="1"/>
  <c r="A119" a="1"/>
  <c r="A119" s="1"/>
  <c r="A121" a="1"/>
  <c r="A121" s="1"/>
  <c r="A122" a="1"/>
  <c r="A122" s="1"/>
  <c r="A123" a="1"/>
  <c r="A123" s="1"/>
  <c r="A104" a="1"/>
  <c r="A104" s="1"/>
  <c r="A127" a="1"/>
  <c r="A127" s="1"/>
  <c r="A68" a="1"/>
  <c r="A68" s="1"/>
  <c r="A108" a="1"/>
  <c r="A108" s="1"/>
  <c r="A130" a="1"/>
  <c r="A130" s="1"/>
  <c r="A87" a="1"/>
  <c r="A87" s="1"/>
  <c r="A88" a="1"/>
  <c r="A88" s="1"/>
  <c r="A89" a="1"/>
  <c r="A89" s="1"/>
  <c r="A91" a="1"/>
  <c r="A91" s="1"/>
  <c r="A94" a="1"/>
  <c r="A94" s="1"/>
  <c r="A96" a="1"/>
  <c r="A96" s="1"/>
  <c r="A99" a="1"/>
  <c r="A99" s="1"/>
  <c r="A124" a="1"/>
  <c r="A124" s="1"/>
  <c r="A125" a="1"/>
  <c r="A125" s="1"/>
  <c r="A59" a="1"/>
  <c r="A59" s="1"/>
  <c r="A106" a="1"/>
  <c r="A106" s="1"/>
  <c r="A109" a="1"/>
  <c r="A109" s="1"/>
  <c r="A72" a="1"/>
  <c r="A72" s="1"/>
  <c r="A75" a="1"/>
  <c r="A75" s="1"/>
  <c r="A78" a="1"/>
  <c r="A78" s="1"/>
  <c r="A132" a="1"/>
  <c r="A132" s="1"/>
  <c r="A81" a="1"/>
  <c r="A81" s="1"/>
  <c r="A53" a="1"/>
  <c r="A53" s="1"/>
  <c r="A135" a="1"/>
  <c r="A135" s="1"/>
  <c r="A55" a="1"/>
  <c r="A55" s="1"/>
  <c r="A144" a="1"/>
  <c r="A144" s="1"/>
  <c r="A63" a="1"/>
  <c r="A63" s="1"/>
  <c r="A145" a="1"/>
  <c r="A145" s="1"/>
  <c r="A85" a="1"/>
  <c r="A85" s="1"/>
  <c r="A73" a="1"/>
  <c r="A73" s="1"/>
  <c r="A76" a="1"/>
  <c r="A76" s="1"/>
  <c r="A79" a="1"/>
  <c r="A79" s="1"/>
  <c r="A133" a="1"/>
  <c r="A133" s="1"/>
  <c r="A51" a="1"/>
  <c r="A51" s="1"/>
  <c r="A54" a="1"/>
  <c r="A54" s="1"/>
  <c r="A136" a="1"/>
  <c r="A136" s="1"/>
  <c r="A56" a="1"/>
  <c r="A56" s="1"/>
  <c r="A137" a="1"/>
  <c r="A137" s="1"/>
  <c r="A66" a="1"/>
  <c r="A66" s="1"/>
  <c r="A139" a="1"/>
  <c r="A139" s="1"/>
  <c r="A71" a="1"/>
  <c r="A71" s="1"/>
  <c r="A74" a="1"/>
  <c r="A74" s="1"/>
  <c r="A77" a="1"/>
  <c r="A77" s="1"/>
  <c r="A49" a="1"/>
  <c r="A49" s="1"/>
  <c r="A80" a="1"/>
  <c r="A80" s="1"/>
  <c r="A82" a="1"/>
  <c r="A82" s="1"/>
  <c r="A141" a="1"/>
  <c r="A141" s="1"/>
  <c r="A142" a="1"/>
  <c r="A142" s="1"/>
  <c r="A57" a="1"/>
  <c r="A57" s="1"/>
  <c r="A84" a="1"/>
  <c r="A84" s="1"/>
  <c r="A69" a="1"/>
  <c r="A69" s="1"/>
  <c r="A140" a="1"/>
  <c r="A140" s="1"/>
  <c r="A86" a="1"/>
  <c r="A86" s="1"/>
  <c r="A46" a="1"/>
  <c r="A46" s="1"/>
  <c r="A47" a="1"/>
  <c r="A47" s="1"/>
  <c r="A48" a="1"/>
  <c r="A48" s="1"/>
  <c r="A131" a="1"/>
  <c r="A131" s="1"/>
  <c r="A50" a="1"/>
  <c r="A50" s="1"/>
  <c r="A52" a="1"/>
  <c r="A52" s="1"/>
  <c r="A134" a="1"/>
  <c r="A134" s="1"/>
  <c r="A83" a="1"/>
  <c r="A83" s="1"/>
  <c r="A143" a="1"/>
  <c r="A143" s="1"/>
  <c r="A60" a="1"/>
  <c r="A60" s="1"/>
  <c r="A138" a="1"/>
  <c r="A138" s="1"/>
  <c r="A70" a="1"/>
  <c r="A70" s="1"/>
  <c r="A69" i="30" a="1"/>
  <c r="A69" s="1"/>
  <c r="A72" a="1"/>
  <c r="A72" s="1"/>
  <c r="A47" a="1"/>
  <c r="A47" s="1"/>
  <c r="A75" a="1"/>
  <c r="A75" s="1"/>
  <c r="A52" a="1"/>
  <c r="A52" s="1"/>
  <c r="A55" a="1"/>
  <c r="A55" s="1"/>
  <c r="A57" a="1"/>
  <c r="A57" s="1"/>
  <c r="A81" a="1"/>
  <c r="A81" s="1"/>
  <c r="A91" a="1"/>
  <c r="A91" s="1"/>
  <c r="A83" a="1"/>
  <c r="A83" s="1"/>
  <c r="A84" a="1"/>
  <c r="A84" s="1"/>
  <c r="A67" a="1"/>
  <c r="A67" s="1"/>
  <c r="A70" a="1"/>
  <c r="A70" s="1"/>
  <c r="A73" a="1"/>
  <c r="A73" s="1"/>
  <c r="A48" a="1"/>
  <c r="A48" s="1"/>
  <c r="A50" a="1"/>
  <c r="A50" s="1"/>
  <c r="A53" a="1"/>
  <c r="A53" s="1"/>
  <c r="A56" a="1"/>
  <c r="A56" s="1"/>
  <c r="A58" a="1"/>
  <c r="A58" s="1"/>
  <c r="A60" a="1"/>
  <c r="A60" s="1"/>
  <c r="A93" a="1"/>
  <c r="A93" s="1"/>
  <c r="A62" a="1"/>
  <c r="A62" s="1"/>
  <c r="A65" a="1"/>
  <c r="A65" s="1"/>
  <c r="A68" a="1"/>
  <c r="A68" s="1"/>
  <c r="A71" a="1"/>
  <c r="A71" s="1"/>
  <c r="A45" a="1"/>
  <c r="A45" s="1"/>
  <c r="A74" a="1"/>
  <c r="A74" s="1"/>
  <c r="A76" a="1"/>
  <c r="A76" s="1"/>
  <c r="A77" a="1"/>
  <c r="A77" s="1"/>
  <c r="A78" a="1"/>
  <c r="A78" s="1"/>
  <c r="A59" a="1"/>
  <c r="A59" s="1"/>
  <c r="A82" a="1"/>
  <c r="A82" s="1"/>
  <c r="A95" a="1"/>
  <c r="A95" s="1"/>
  <c r="A63" a="1"/>
  <c r="A63" s="1"/>
  <c r="A85" a="1"/>
  <c r="A85" s="1"/>
  <c r="A42" a="1"/>
  <c r="A42" s="1"/>
  <c r="A43" a="1"/>
  <c r="A43" s="1"/>
  <c r="A44" a="1"/>
  <c r="A44" s="1"/>
  <c r="A46" a="1"/>
  <c r="A46" s="1"/>
  <c r="A49" a="1"/>
  <c r="A49" s="1"/>
  <c r="A51" a="1"/>
  <c r="A51" s="1"/>
  <c r="A54" a="1"/>
  <c r="A54" s="1"/>
  <c r="A79" a="1"/>
  <c r="A79" s="1"/>
  <c r="A80" a="1"/>
  <c r="A80" s="1"/>
  <c r="A89" a="1"/>
  <c r="A89" s="1"/>
  <c r="A61" a="1"/>
  <c r="A61" s="1"/>
  <c r="A64" a="1"/>
  <c r="A64" s="1"/>
  <c r="A23" a="1"/>
  <c r="A23" s="1"/>
  <c r="A24" a="1"/>
  <c r="A24" s="1"/>
  <c r="A25" a="1"/>
  <c r="A25" s="1"/>
  <c r="A2" a="1"/>
  <c r="A2" s="1"/>
  <c r="A27" a="1"/>
  <c r="A27" s="1"/>
  <c r="A28" a="1"/>
  <c r="A28" s="1"/>
  <c r="A3" a="1"/>
  <c r="A3" s="1"/>
  <c r="A29" a="1"/>
  <c r="A29" s="1"/>
  <c r="A30" a="1"/>
  <c r="A30" s="1"/>
  <c r="A5" a="1"/>
  <c r="A5" s="1"/>
  <c r="A4" a="1"/>
  <c r="A4" s="1"/>
  <c r="A7" a="1"/>
  <c r="A7" s="1"/>
  <c r="A8" a="1"/>
  <c r="A8" s="1"/>
  <c r="A31" a="1"/>
  <c r="A31" s="1"/>
  <c r="A6" a="1"/>
  <c r="A6" s="1"/>
  <c r="A32" a="1"/>
  <c r="A32" s="1"/>
  <c r="A10" a="1"/>
  <c r="A10" s="1"/>
  <c r="A33" a="1"/>
  <c r="A33" s="1"/>
  <c r="A9" a="1"/>
  <c r="A9" s="1"/>
  <c r="A12" a="1"/>
  <c r="A12" s="1"/>
  <c r="A13" a="1"/>
  <c r="A13" s="1"/>
  <c r="A34" a="1"/>
  <c r="A34" s="1"/>
  <c r="A11" a="1"/>
  <c r="A11" s="1"/>
  <c r="A15" a="1"/>
  <c r="A15" s="1"/>
  <c r="A16" a="1"/>
  <c r="A16" s="1"/>
  <c r="A35" a="1"/>
  <c r="A35" s="1"/>
  <c r="A14" a="1"/>
  <c r="A14" s="1"/>
  <c r="A86" a="1"/>
  <c r="A86" s="1"/>
  <c r="A87" a="1"/>
  <c r="A87" s="1"/>
  <c r="A88" a="1"/>
  <c r="A88" s="1"/>
  <c r="A97" a="1"/>
  <c r="A97" s="1"/>
  <c r="A37" a="1"/>
  <c r="A37" s="1"/>
  <c r="A17" a="1"/>
  <c r="A17" s="1"/>
  <c r="A38" a="1"/>
  <c r="A38" s="1"/>
  <c r="A36" a="1"/>
  <c r="A36" s="1"/>
  <c r="A92" a="1"/>
  <c r="A92" s="1"/>
  <c r="A94" a="1"/>
  <c r="A94" s="1"/>
  <c r="A96" a="1"/>
  <c r="A96" s="1"/>
  <c r="A90" a="1"/>
  <c r="A90" s="1"/>
  <c r="A39" a="1"/>
  <c r="A39" s="1"/>
  <c r="A19" a="1"/>
  <c r="A19" s="1"/>
  <c r="A20" a="1"/>
  <c r="A20" s="1"/>
  <c r="A18" a="1"/>
  <c r="A18" s="1"/>
  <c r="A40" a="1"/>
  <c r="A40" s="1"/>
  <c r="A22" a="1"/>
  <c r="A22" s="1"/>
  <c r="A41" a="1"/>
  <c r="A41" s="1"/>
  <c r="A21" a="1"/>
  <c r="A21" s="1"/>
  <c r="A33" i="23"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3" i="20"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i="22"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9" i="25"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a="1"/>
  <c r="A33" s="1"/>
  <c r="A36" a="1"/>
  <c r="A36" s="1"/>
  <c r="A33" i="18"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7" i="25" a="1"/>
  <c r="A7" s="1"/>
  <c r="A30" i="22" a="1"/>
  <c r="A30" s="1"/>
  <c r="A30" i="23" a="1"/>
  <c r="A30" s="1"/>
  <c r="A66" i="30" a="1"/>
  <c r="A66" s="1"/>
  <c r="A26" i="21" a="1"/>
  <c r="A26" s="1"/>
  <c r="A30" i="26" a="1"/>
  <c r="A30" s="1"/>
  <c r="A30" i="24" a="1"/>
  <c r="A30" s="1"/>
  <c r="A2" i="34" a="1"/>
  <c r="A2" s="1"/>
  <c r="A4" a="1"/>
  <c r="A4" s="1"/>
  <c r="A6" a="1"/>
  <c r="A6" s="1"/>
  <c r="A5" a="1"/>
  <c r="A5" s="1"/>
  <c r="A7" a="1"/>
  <c r="A7" s="1"/>
  <c r="A9" a="1"/>
  <c r="A9" s="1"/>
  <c r="A8" a="1"/>
  <c r="A8" s="1"/>
  <c r="A10" a="1"/>
  <c r="A10" s="1"/>
  <c r="A15" a="1"/>
  <c r="A15" s="1"/>
  <c r="A14" a="1"/>
  <c r="A14" s="1"/>
  <c r="A16" a="1"/>
  <c r="A16" s="1"/>
  <c r="A24" a="1"/>
  <c r="A24" s="1"/>
  <c r="A23" a="1"/>
  <c r="A23" s="1"/>
  <c r="A25" a="1"/>
  <c r="A25" s="1"/>
  <c r="A30" a="1"/>
  <c r="A30" s="1"/>
  <c r="A29" a="1"/>
  <c r="A29" s="1"/>
  <c r="A31" a="1"/>
  <c r="A31" s="1"/>
  <c r="A39" a="1"/>
  <c r="A39" s="1"/>
  <c r="A38" a="1"/>
  <c r="A38" s="1"/>
  <c r="A40" a="1"/>
  <c r="A40" s="1"/>
  <c r="A126" a="1"/>
  <c r="A126" s="1"/>
  <c r="A125" a="1"/>
  <c r="A125" s="1"/>
  <c r="A127" a="1"/>
  <c r="A127" s="1"/>
  <c r="A129" a="1"/>
  <c r="A129" s="1"/>
  <c r="A128" a="1"/>
  <c r="A128" s="1"/>
  <c r="A130" a="1"/>
  <c r="A130" s="1"/>
  <c r="A60" a="1"/>
  <c r="A60" s="1"/>
  <c r="A59" a="1"/>
  <c r="A59" s="1"/>
  <c r="A61" a="1"/>
  <c r="A61" s="1"/>
  <c r="A72" a="1"/>
  <c r="A72" s="1"/>
  <c r="A71" a="1"/>
  <c r="A71" s="1"/>
  <c r="A73" a="1"/>
  <c r="A73" s="1"/>
  <c r="A81" a="1"/>
  <c r="A81" s="1"/>
  <c r="A80" a="1"/>
  <c r="A80" s="1"/>
  <c r="A82" a="1"/>
  <c r="A82" s="1"/>
  <c r="A87" a="1"/>
  <c r="A87" s="1"/>
  <c r="A86" a="1"/>
  <c r="A86" s="1"/>
  <c r="A88" a="1"/>
  <c r="A88" s="1"/>
  <c r="A96" a="1"/>
  <c r="A96" s="1"/>
  <c r="A95" a="1"/>
  <c r="A95" s="1"/>
  <c r="A97" a="1"/>
  <c r="A97" s="1"/>
  <c r="A105" a="1"/>
  <c r="A105" s="1"/>
  <c r="A104" a="1"/>
  <c r="A104" s="1"/>
  <c r="A106" a="1"/>
  <c r="A106" s="1"/>
  <c r="A18" a="1"/>
  <c r="A18" s="1"/>
  <c r="A17" a="1"/>
  <c r="A17" s="1"/>
  <c r="A19" a="1"/>
  <c r="A19" s="1"/>
  <c r="A114" a="1"/>
  <c r="A114" s="1"/>
  <c r="A113" a="1"/>
  <c r="A113" s="1"/>
  <c r="A115" a="1"/>
  <c r="A115" s="1"/>
  <c r="A33" a="1"/>
  <c r="A33" s="1"/>
  <c r="A32" a="1"/>
  <c r="A32" s="1"/>
  <c r="A34" a="1"/>
  <c r="A34" s="1"/>
  <c r="A42" a="1"/>
  <c r="A42" s="1"/>
  <c r="A41" a="1"/>
  <c r="A41" s="1"/>
  <c r="A43" a="1"/>
  <c r="A43" s="1"/>
  <c r="A48" a="1"/>
  <c r="A48" s="1"/>
  <c r="A47" a="1"/>
  <c r="A47" s="1"/>
  <c r="A49" a="1"/>
  <c r="A49" s="1"/>
  <c r="A132" a="1"/>
  <c r="A132" s="1"/>
  <c r="A131" a="1"/>
  <c r="A131" s="1"/>
  <c r="A133" a="1"/>
  <c r="A133" s="1"/>
  <c r="A63" a="1"/>
  <c r="A63" s="1"/>
  <c r="A62" a="1"/>
  <c r="A62" s="1"/>
  <c r="A64" a="1"/>
  <c r="A64" s="1"/>
  <c r="A138" a="1"/>
  <c r="A138" s="1"/>
  <c r="A137" a="1"/>
  <c r="A137" s="1"/>
  <c r="A139" a="1"/>
  <c r="A139" s="1"/>
  <c r="A141" a="1"/>
  <c r="A141" s="1"/>
  <c r="A140" a="1"/>
  <c r="A140" s="1"/>
  <c r="A142" a="1"/>
  <c r="A142" s="1"/>
  <c r="A90" a="1"/>
  <c r="A90" s="1"/>
  <c r="A89" a="1"/>
  <c r="A89" s="1"/>
  <c r="A91" a="1"/>
  <c r="A91" s="1"/>
  <c r="A99" a="1"/>
  <c r="A99" s="1"/>
  <c r="A98" a="1"/>
  <c r="A98" s="1"/>
  <c r="A100" a="1"/>
  <c r="A100" s="1"/>
  <c r="A108" a="1"/>
  <c r="A108" s="1"/>
  <c r="A107" a="1"/>
  <c r="A107" s="1"/>
  <c r="A109" a="1"/>
  <c r="A109" s="1"/>
  <c r="A21" a="1"/>
  <c r="A21" s="1"/>
  <c r="A20" a="1"/>
  <c r="A20" s="1"/>
  <c r="A22" a="1"/>
  <c r="A22" s="1"/>
  <c r="A27" a="1"/>
  <c r="A27" s="1"/>
  <c r="A26" a="1"/>
  <c r="A26" s="1"/>
  <c r="A28" a="1"/>
  <c r="A28" s="1"/>
  <c r="A36" a="1"/>
  <c r="A36" s="1"/>
  <c r="A35" a="1"/>
  <c r="A35" s="1"/>
  <c r="A37" a="1"/>
  <c r="A37" s="1"/>
  <c r="A45" a="1"/>
  <c r="A45" s="1"/>
  <c r="A44" a="1"/>
  <c r="A44" s="1"/>
  <c r="A46" a="1"/>
  <c r="A46" s="1"/>
  <c r="A51" a="1"/>
  <c r="A51" s="1"/>
  <c r="A50" a="1"/>
  <c r="A50" s="1"/>
  <c r="A52" a="1"/>
  <c r="A52" s="1"/>
  <c r="A57" a="1"/>
  <c r="A57" s="1"/>
  <c r="A56" a="1"/>
  <c r="A56" s="1"/>
  <c r="A58" a="1"/>
  <c r="A58" s="1"/>
  <c r="A66" a="1"/>
  <c r="A66" s="1"/>
  <c r="A65" a="1"/>
  <c r="A65" s="1"/>
  <c r="A67" a="1"/>
  <c r="A67" s="1"/>
  <c r="A75" a="1"/>
  <c r="A75" s="1"/>
  <c r="A74" a="1"/>
  <c r="A74" s="1"/>
  <c r="A76" a="1"/>
  <c r="A76" s="1"/>
  <c r="A84" a="1"/>
  <c r="A84" s="1"/>
  <c r="A83" a="1"/>
  <c r="A83" s="1"/>
  <c r="A85" a="1"/>
  <c r="A85" s="1"/>
  <c r="A93" a="1"/>
  <c r="A93" s="1"/>
  <c r="A92" a="1"/>
  <c r="A92" s="1"/>
  <c r="A94" a="1"/>
  <c r="A94" s="1"/>
  <c r="A102" a="1"/>
  <c r="A102" s="1"/>
  <c r="A101" a="1"/>
  <c r="A101" s="1"/>
  <c r="A103" a="1"/>
  <c r="A103" s="1"/>
  <c r="A12" a="1"/>
  <c r="A12" s="1"/>
  <c r="A11" a="1"/>
  <c r="A11" s="1"/>
  <c r="A13" a="1"/>
  <c r="A13" s="1"/>
  <c r="A111" a="1"/>
  <c r="A111" s="1"/>
  <c r="A110" a="1"/>
  <c r="A110" s="1"/>
  <c r="A112" a="1"/>
  <c r="A112" s="1"/>
  <c r="A117" a="1"/>
  <c r="A117" s="1"/>
  <c r="A116" a="1"/>
  <c r="A116" s="1"/>
  <c r="A118" a="1"/>
  <c r="A118" s="1"/>
  <c r="A120" a="1"/>
  <c r="A120" s="1"/>
  <c r="A119" a="1"/>
  <c r="A119" s="1"/>
  <c r="A121" a="1"/>
  <c r="A121" s="1"/>
  <c r="A123" a="1"/>
  <c r="A123" s="1"/>
  <c r="A122" a="1"/>
  <c r="A122" s="1"/>
  <c r="A124" a="1"/>
  <c r="A124" s="1"/>
  <c r="A54" a="1"/>
  <c r="A54" s="1"/>
  <c r="A53" a="1"/>
  <c r="A53" s="1"/>
  <c r="A55" a="1"/>
  <c r="A55" s="1"/>
  <c r="A135" a="1"/>
  <c r="A135" s="1"/>
  <c r="A134" a="1"/>
  <c r="A134" s="1"/>
  <c r="A136" a="1"/>
  <c r="A136" s="1"/>
  <c r="A69" a="1"/>
  <c r="A69" s="1"/>
  <c r="A68" a="1"/>
  <c r="A68" s="1"/>
  <c r="A70" a="1"/>
  <c r="A70" s="1"/>
  <c r="A78" a="1"/>
  <c r="A78" s="1"/>
  <c r="A77" a="1"/>
  <c r="A77" s="1"/>
  <c r="A79" a="1"/>
  <c r="A79" s="1"/>
  <c r="A144" a="1"/>
  <c r="A144" s="1"/>
  <c r="A143" a="1"/>
  <c r="A143" s="1"/>
  <c r="A145" a="1"/>
  <c r="A145" s="1"/>
  <c r="A33" i="27"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 i="34" a="1"/>
  <c r="A3" s="1"/>
  <c r="A30" i="27" a="1"/>
  <c r="A30" s="1"/>
  <c r="A47" i="28"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a="1"/>
  <c r="A33" s="1"/>
  <c r="A36" a="1"/>
  <c r="A36" s="1"/>
  <c r="A7" a="1"/>
  <c r="A7" s="1"/>
  <c r="A39" a="1"/>
  <c r="A39" s="1"/>
  <c r="A12" a="1"/>
  <c r="A12" s="1"/>
  <c r="A15" a="1"/>
  <c r="A15" s="1"/>
  <c r="A17" a="1"/>
  <c r="A17" s="1"/>
  <c r="A45" a="1"/>
  <c r="A45" s="1"/>
  <c r="A22" a="1"/>
  <c r="A22" s="1"/>
  <c r="A33" i="29"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2" a="1"/>
  <c r="A2" s="1"/>
  <c r="A3" a="1"/>
  <c r="A3" s="1"/>
  <c r="A4" a="1"/>
  <c r="A4" s="1"/>
  <c r="A6" a="1"/>
  <c r="A6" s="1"/>
  <c r="A9" a="1"/>
  <c r="A9" s="1"/>
  <c r="A11" a="1"/>
  <c r="A11" s="1"/>
  <c r="A14" a="1"/>
  <c r="A14" s="1"/>
  <c r="A43" a="1"/>
  <c r="A43" s="1"/>
  <c r="A44" a="1"/>
  <c r="A44" s="1"/>
  <c r="A21" a="1"/>
  <c r="A21" s="1"/>
  <c r="A25" a="1"/>
  <c r="A25" s="1"/>
  <c r="A28" a="1"/>
  <c r="A28" s="1"/>
  <c r="A30" a="1"/>
  <c r="A30" s="1"/>
  <c r="A33" i="33" a="1"/>
  <c r="A33" s="1"/>
  <c r="A36" a="1"/>
  <c r="A36" s="1"/>
  <c r="A7" a="1"/>
  <c r="A7" s="1"/>
  <c r="A39" a="1"/>
  <c r="A39" s="1"/>
  <c r="A12" a="1"/>
  <c r="A12" s="1"/>
  <c r="A15" a="1"/>
  <c r="A15" s="1"/>
  <c r="A17" a="1"/>
  <c r="A17" s="1"/>
  <c r="A45" a="1"/>
  <c r="A45" s="1"/>
  <c r="A22" a="1"/>
  <c r="A22" s="1"/>
  <c r="A47" a="1"/>
  <c r="A47" s="1"/>
  <c r="A48" a="1"/>
  <c r="A48" s="1"/>
  <c r="A31" a="1"/>
  <c r="A31" s="1"/>
  <c r="A34" a="1"/>
  <c r="A34" s="1"/>
  <c r="A37" a="1"/>
  <c r="A37" s="1"/>
  <c r="A8" a="1"/>
  <c r="A8" s="1"/>
  <c r="A10" a="1"/>
  <c r="A10" s="1"/>
  <c r="A13" a="1"/>
  <c r="A13" s="1"/>
  <c r="A16" a="1"/>
  <c r="A16" s="1"/>
  <c r="A18" a="1"/>
  <c r="A18" s="1"/>
  <c r="A20" a="1"/>
  <c r="A20" s="1"/>
  <c r="A23" a="1"/>
  <c r="A23" s="1"/>
  <c r="A26" a="1"/>
  <c r="A26" s="1"/>
  <c r="A29" a="1"/>
  <c r="A29" s="1"/>
  <c r="A32" a="1"/>
  <c r="A32" s="1"/>
  <c r="A35" a="1"/>
  <c r="A35" s="1"/>
  <c r="A5" a="1"/>
  <c r="A5" s="1"/>
  <c r="A38" a="1"/>
  <c r="A38" s="1"/>
  <c r="A40" a="1"/>
  <c r="A40" s="1"/>
  <c r="A41" a="1"/>
  <c r="A41" s="1"/>
  <c r="A42" a="1"/>
  <c r="A42" s="1"/>
  <c r="A19" a="1"/>
  <c r="A19" s="1"/>
  <c r="A46" a="1"/>
  <c r="A46" s="1"/>
  <c r="A24" a="1"/>
  <c r="A24" s="1"/>
  <c r="A27" a="1"/>
  <c r="A27" s="1"/>
  <c r="A49" a="1"/>
  <c r="A49" s="1"/>
  <c r="A3" a="1"/>
  <c r="A3" s="1"/>
  <c r="A4" a="1"/>
  <c r="A4" s="1"/>
  <c r="A6" a="1"/>
  <c r="A6" s="1"/>
  <c r="A9" a="1"/>
  <c r="A9" s="1"/>
  <c r="A11" a="1"/>
  <c r="A11" s="1"/>
  <c r="A14" a="1"/>
  <c r="A14" s="1"/>
  <c r="A43" a="1"/>
  <c r="A43" s="1"/>
  <c r="A44" a="1"/>
  <c r="A44" s="1"/>
  <c r="A21" a="1"/>
  <c r="A21" s="1"/>
  <c r="A25" a="1"/>
  <c r="A25" s="1"/>
  <c r="A28" a="1"/>
  <c r="A28" s="1"/>
  <c r="A30" a="1"/>
  <c r="A30" s="1"/>
  <c r="Z21" i="53" l="1"/>
  <c r="Y21"/>
  <c r="AB21"/>
  <c r="AE18" i="52"/>
  <c r="AI18"/>
  <c r="Z11" i="53"/>
  <c r="Y11"/>
  <c r="AB11"/>
  <c r="AE2" i="52"/>
  <c r="AO2" s="1"/>
  <c r="AI2"/>
  <c r="AD2"/>
  <c r="AH2"/>
  <c r="AD4"/>
  <c r="AH4"/>
  <c r="AE12"/>
  <c r="AI12"/>
  <c r="Z19" i="53"/>
  <c r="Y19"/>
  <c r="AB19"/>
  <c r="AF451" i="40"/>
  <c r="AF145"/>
  <c r="AK237" i="37"/>
  <c r="AH237" i="40"/>
  <c r="AK325" i="37"/>
  <c r="AH325" i="40"/>
  <c r="AI325" s="1"/>
  <c r="AK325" s="1"/>
  <c r="AK239" i="37"/>
  <c r="AH239" i="40"/>
  <c r="AK234" i="37"/>
  <c r="AH234" i="40"/>
  <c r="AI234" s="1"/>
  <c r="AK234" s="1"/>
  <c r="AK247" i="37"/>
  <c r="AH247" i="40"/>
  <c r="AK314" i="37"/>
  <c r="AH314" i="40"/>
  <c r="AK321" i="37"/>
  <c r="AH321" i="40"/>
  <c r="AO328" i="37"/>
  <c r="AE328" i="40"/>
  <c r="AN21" i="52"/>
  <c r="AC21" i="53"/>
  <c r="AK233" i="37"/>
  <c r="AH233" i="40"/>
  <c r="B39" i="44"/>
  <c r="AC436" i="40"/>
  <c r="AC21" i="52"/>
  <c r="AN20"/>
  <c r="AC20" i="53"/>
  <c r="AO140" i="37"/>
  <c r="AE140" i="40"/>
  <c r="AF140" s="1"/>
  <c r="AF48" i="37"/>
  <c r="AD48" i="40"/>
  <c r="AF48" s="1"/>
  <c r="AN22" i="52"/>
  <c r="AC22" i="53"/>
  <c r="AO254" i="37"/>
  <c r="G254" i="51" s="1"/>
  <c r="AE254" i="40"/>
  <c r="AN3" i="52"/>
  <c r="AC3" i="53"/>
  <c r="AE3" s="1"/>
  <c r="AN4" i="52"/>
  <c r="AC4" i="53"/>
  <c r="AK320" i="37"/>
  <c r="AH320" i="40"/>
  <c r="B42" i="44"/>
  <c r="AC484" i="40"/>
  <c r="AC24" i="52"/>
  <c r="B41" i="44"/>
  <c r="AC468" i="40"/>
  <c r="AC23" i="52"/>
  <c r="AO453" i="37"/>
  <c r="AD453" i="40"/>
  <c r="AF453" s="1"/>
  <c r="Y9" i="53"/>
  <c r="Z9"/>
  <c r="AB9"/>
  <c r="AE23" i="52"/>
  <c r="AI23"/>
  <c r="AD3"/>
  <c r="AH3"/>
  <c r="AH23"/>
  <c r="AJ23" s="1"/>
  <c r="AD23"/>
  <c r="AF23" s="1"/>
  <c r="AH11"/>
  <c r="AD11"/>
  <c r="AI13"/>
  <c r="AE13"/>
  <c r="AE17"/>
  <c r="AI17"/>
  <c r="Y4" i="53"/>
  <c r="Z4"/>
  <c r="AB4"/>
  <c r="Y18"/>
  <c r="Z18"/>
  <c r="AB18"/>
  <c r="AE24" i="52"/>
  <c r="AI24"/>
  <c r="AI16"/>
  <c r="AE16"/>
  <c r="Y20" i="53"/>
  <c r="Z20"/>
  <c r="AB20"/>
  <c r="Y10"/>
  <c r="Z10"/>
  <c r="AB10"/>
  <c r="AD6" i="52"/>
  <c r="AH6"/>
  <c r="AF493" i="40"/>
  <c r="AF349"/>
  <c r="AF492"/>
  <c r="AF196"/>
  <c r="AF43"/>
  <c r="AF476"/>
  <c r="AF36"/>
  <c r="AF131"/>
  <c r="AF481"/>
  <c r="AF82"/>
  <c r="AF159"/>
  <c r="AF61"/>
  <c r="AF54"/>
  <c r="AF3"/>
  <c r="AF205"/>
  <c r="AF482"/>
  <c r="AI56"/>
  <c r="AK56" s="1"/>
  <c r="AI70"/>
  <c r="AK70" s="1"/>
  <c r="AI75"/>
  <c r="AK75" s="1"/>
  <c r="AF193"/>
  <c r="AI343"/>
  <c r="AK343" s="1"/>
  <c r="AI464"/>
  <c r="AK464" s="1"/>
  <c r="AI81"/>
  <c r="AK81" s="1"/>
  <c r="AI465"/>
  <c r="AK465" s="1"/>
  <c r="AI392"/>
  <c r="AK392" s="1"/>
  <c r="AI265"/>
  <c r="AK265" s="1"/>
  <c r="AI368"/>
  <c r="AK368" s="1"/>
  <c r="AF109"/>
  <c r="AI159"/>
  <c r="AK159" s="1"/>
  <c r="AI214"/>
  <c r="AK214" s="1"/>
  <c r="AI74"/>
  <c r="AK74" s="1"/>
  <c r="AI184"/>
  <c r="AK184" s="1"/>
  <c r="AF108"/>
  <c r="AI85"/>
  <c r="AK85" s="1"/>
  <c r="AI132"/>
  <c r="AK132" s="1"/>
  <c r="AI96"/>
  <c r="AK96" s="1"/>
  <c r="AI419"/>
  <c r="AK419" s="1"/>
  <c r="AI204"/>
  <c r="AK204" s="1"/>
  <c r="AI211"/>
  <c r="AK211" s="1"/>
  <c r="AI45"/>
  <c r="AK45" s="1"/>
  <c r="AF253"/>
  <c r="AF435"/>
  <c r="AI38"/>
  <c r="AK38" s="1"/>
  <c r="AI422"/>
  <c r="AK422" s="1"/>
  <c r="AF449"/>
  <c r="AI245"/>
  <c r="AK245" s="1"/>
  <c r="AF494"/>
  <c r="AF320"/>
  <c r="AF425"/>
  <c r="AI355"/>
  <c r="AK355" s="1"/>
  <c r="AF313"/>
  <c r="AI239"/>
  <c r="AK239" s="1"/>
  <c r="AI320"/>
  <c r="AK320" s="1"/>
  <c r="AF441"/>
  <c r="AF462"/>
  <c r="AF169"/>
  <c r="AF59"/>
  <c r="AF63"/>
  <c r="AF480"/>
  <c r="AF49"/>
  <c r="AF178"/>
  <c r="AF128"/>
  <c r="AF352"/>
  <c r="AF211"/>
  <c r="AF206"/>
  <c r="AF348"/>
  <c r="AF77"/>
  <c r="AF472"/>
  <c r="AF368"/>
  <c r="AF64"/>
  <c r="AF153"/>
  <c r="AF274"/>
  <c r="AF5"/>
  <c r="AF124"/>
  <c r="AF79"/>
  <c r="AF44"/>
  <c r="AF10"/>
  <c r="AF483"/>
  <c r="AI420"/>
  <c r="AK420" s="1"/>
  <c r="AI50"/>
  <c r="AK50" s="1"/>
  <c r="AF415"/>
  <c r="AF411"/>
  <c r="AI349"/>
  <c r="AK349" s="1"/>
  <c r="AI154"/>
  <c r="AK154" s="1"/>
  <c r="AI193"/>
  <c r="AK193" s="1"/>
  <c r="AF106"/>
  <c r="AI29"/>
  <c r="AK29" s="1"/>
  <c r="AI374"/>
  <c r="AK374" s="1"/>
  <c r="AI209"/>
  <c r="AK209" s="1"/>
  <c r="AI67"/>
  <c r="AK67" s="1"/>
  <c r="AF405"/>
  <c r="AI405"/>
  <c r="AK405" s="1"/>
  <c r="AI21"/>
  <c r="AI351"/>
  <c r="AK351" s="1"/>
  <c r="AI35"/>
  <c r="AK35" s="1"/>
  <c r="AI109"/>
  <c r="AK109" s="1"/>
  <c r="AI187"/>
  <c r="AK187" s="1"/>
  <c r="AI270"/>
  <c r="AK270" s="1"/>
  <c r="AI153"/>
  <c r="AK153" s="1"/>
  <c r="AI22"/>
  <c r="AI372"/>
  <c r="AK372" s="1"/>
  <c r="AF402"/>
  <c r="AI31"/>
  <c r="AK31" s="1"/>
  <c r="AI65"/>
  <c r="AK65" s="1"/>
  <c r="AI206"/>
  <c r="AK206" s="1"/>
  <c r="AF420"/>
  <c r="AI348"/>
  <c r="AK348" s="1"/>
  <c r="AI477"/>
  <c r="AK477" s="1"/>
  <c r="AI337"/>
  <c r="AK337" s="1"/>
  <c r="AI95"/>
  <c r="AK95" s="1"/>
  <c r="AI100"/>
  <c r="AK100" s="1"/>
  <c r="AI347"/>
  <c r="AK347" s="1"/>
  <c r="AI80"/>
  <c r="AK80" s="1"/>
  <c r="AI375"/>
  <c r="AK375" s="1"/>
  <c r="AI450"/>
  <c r="AK450" s="1"/>
  <c r="AI292"/>
  <c r="AK292" s="1"/>
  <c r="AF245"/>
  <c r="AI9"/>
  <c r="AF257"/>
  <c r="AK241" i="37"/>
  <c r="AI441" i="40"/>
  <c r="AK441" s="1"/>
  <c r="AI496"/>
  <c r="AK496" s="1"/>
  <c r="AI149"/>
  <c r="AK149" s="1"/>
  <c r="AF292"/>
  <c r="AI361"/>
  <c r="AK361" s="1"/>
  <c r="AI334"/>
  <c r="AK334" s="1"/>
  <c r="AF329"/>
  <c r="AI358"/>
  <c r="AK358" s="1"/>
  <c r="AI313"/>
  <c r="AK313" s="1"/>
  <c r="AK242" i="37"/>
  <c r="AF443" i="40"/>
  <c r="AI329"/>
  <c r="AK329" s="1"/>
  <c r="AI287"/>
  <c r="AK287" s="1"/>
  <c r="AI311"/>
  <c r="AK311" s="1"/>
  <c r="AI241"/>
  <c r="AK241" s="1"/>
  <c r="AI438"/>
  <c r="AK438" s="1"/>
  <c r="AE21" i="52"/>
  <c r="AI21"/>
  <c r="Z8" i="53"/>
  <c r="Y8"/>
  <c r="AB8"/>
  <c r="AH9" i="52"/>
  <c r="AD9"/>
  <c r="AD14"/>
  <c r="AH14"/>
  <c r="Y15" i="53"/>
  <c r="Z15"/>
  <c r="AB15"/>
  <c r="AI20" i="52"/>
  <c r="AE20"/>
  <c r="Y6" i="53"/>
  <c r="Z6"/>
  <c r="AB6"/>
  <c r="AE21"/>
  <c r="AD4"/>
  <c r="AE4" s="1"/>
  <c r="U19"/>
  <c r="AD20"/>
  <c r="AE20" s="1"/>
  <c r="AF141" i="40"/>
  <c r="AK433" i="37"/>
  <c r="AG433" i="40"/>
  <c r="AI433" s="1"/>
  <c r="AK433" s="1"/>
  <c r="B21" i="44"/>
  <c r="AC25" i="40"/>
  <c r="AC3" i="52"/>
  <c r="AJ387" i="37"/>
  <c r="AG387" i="40"/>
  <c r="AJ383" i="37"/>
  <c r="AG383" i="40"/>
  <c r="AJ34" i="37"/>
  <c r="AG34" i="40"/>
  <c r="AI34" s="1"/>
  <c r="AK34" s="1"/>
  <c r="AK315" i="37"/>
  <c r="AH315" i="40"/>
  <c r="AI315" s="1"/>
  <c r="AK315" s="1"/>
  <c r="AO428" i="37"/>
  <c r="AE428" i="40"/>
  <c r="B26" i="44"/>
  <c r="AC139" i="40"/>
  <c r="AC8" i="52"/>
  <c r="B37" i="44"/>
  <c r="AC390" i="40"/>
  <c r="AC19" i="52"/>
  <c r="AN7"/>
  <c r="AC7" i="53"/>
  <c r="Y23"/>
  <c r="Z23"/>
  <c r="AB23"/>
  <c r="AD19" i="52"/>
  <c r="AH19"/>
  <c r="AD5"/>
  <c r="AH5"/>
  <c r="AD17"/>
  <c r="AH17"/>
  <c r="Z13" i="53"/>
  <c r="Y13"/>
  <c r="AB13"/>
  <c r="AH8" i="52"/>
  <c r="AD8"/>
  <c r="AD18"/>
  <c r="AH18"/>
  <c r="AJ18" s="1"/>
  <c r="AH24"/>
  <c r="AJ24" s="1"/>
  <c r="AD24"/>
  <c r="AI314" i="40"/>
  <c r="AK314" s="1"/>
  <c r="AI237"/>
  <c r="AK237" s="1"/>
  <c r="AF428"/>
  <c r="AF26"/>
  <c r="AF123"/>
  <c r="AF276"/>
  <c r="AF165"/>
  <c r="AF200"/>
  <c r="AF170"/>
  <c r="AF269"/>
  <c r="AF155"/>
  <c r="AF369"/>
  <c r="AF262"/>
  <c r="AF186"/>
  <c r="AF14"/>
  <c r="AF132"/>
  <c r="AF354"/>
  <c r="AF209"/>
  <c r="AF18"/>
  <c r="AF62"/>
  <c r="AF473"/>
  <c r="AF9"/>
  <c r="AF34"/>
  <c r="AF129"/>
  <c r="AF345"/>
  <c r="AF83"/>
  <c r="AF156"/>
  <c r="AF56"/>
  <c r="AF367"/>
  <c r="AF70"/>
  <c r="AF176"/>
  <c r="AF8"/>
  <c r="AF41"/>
  <c r="AF174"/>
  <c r="AF175"/>
  <c r="AI116"/>
  <c r="AK116" s="1"/>
  <c r="AF414"/>
  <c r="AI380"/>
  <c r="AK380" s="1"/>
  <c r="AI42"/>
  <c r="AK42" s="1"/>
  <c r="AI271"/>
  <c r="AK271" s="1"/>
  <c r="AF401"/>
  <c r="AI201"/>
  <c r="AK201" s="1"/>
  <c r="AF407"/>
  <c r="AI418"/>
  <c r="AK418" s="1"/>
  <c r="AI275"/>
  <c r="AK275" s="1"/>
  <c r="AI472"/>
  <c r="AK472" s="1"/>
  <c r="AI391"/>
  <c r="AK391" s="1"/>
  <c r="AI475"/>
  <c r="AK475" s="1"/>
  <c r="AI108"/>
  <c r="AK108" s="1"/>
  <c r="AI14"/>
  <c r="AI122"/>
  <c r="AK122" s="1"/>
  <c r="AI40"/>
  <c r="AK40" s="1"/>
  <c r="AI189"/>
  <c r="AK189" s="1"/>
  <c r="AI198"/>
  <c r="AK198" s="1"/>
  <c r="AF96"/>
  <c r="AI158"/>
  <c r="AK158" s="1"/>
  <c r="AI62"/>
  <c r="AK62" s="1"/>
  <c r="AF404"/>
  <c r="AI180"/>
  <c r="AK180" s="1"/>
  <c r="AI3"/>
  <c r="AI92"/>
  <c r="AK92" s="1"/>
  <c r="AI58"/>
  <c r="AK58" s="1"/>
  <c r="AF207"/>
  <c r="AI176"/>
  <c r="AK176" s="1"/>
  <c r="AF412"/>
  <c r="AI383"/>
  <c r="AK383" s="1"/>
  <c r="AI103"/>
  <c r="AK103" s="1"/>
  <c r="AI191"/>
  <c r="AK191" s="1"/>
  <c r="AI388"/>
  <c r="AK388" s="1"/>
  <c r="AF172"/>
  <c r="AF418"/>
  <c r="AI387"/>
  <c r="AK387" s="1"/>
  <c r="AF182"/>
  <c r="AI219"/>
  <c r="AK219" s="1"/>
  <c r="AI87"/>
  <c r="AK87" s="1"/>
  <c r="AI72"/>
  <c r="AK72" s="1"/>
  <c r="AI411"/>
  <c r="AK411" s="1"/>
  <c r="AI174"/>
  <c r="AK174" s="1"/>
  <c r="AF439"/>
  <c r="AI367"/>
  <c r="AK367" s="1"/>
  <c r="AF280"/>
  <c r="AI429"/>
  <c r="AK429" s="1"/>
  <c r="AF306"/>
  <c r="AF442"/>
  <c r="AI257"/>
  <c r="AK257" s="1"/>
  <c r="AF242"/>
  <c r="AI437"/>
  <c r="AK437" s="1"/>
  <c r="AF360"/>
  <c r="AF426"/>
  <c r="AI150"/>
  <c r="AK150" s="1"/>
  <c r="AF434"/>
  <c r="AF445"/>
  <c r="AI307"/>
  <c r="AK307" s="1"/>
  <c r="AI454"/>
  <c r="AK454" s="1"/>
  <c r="AI251"/>
  <c r="AK251" s="1"/>
  <c r="AI240"/>
  <c r="AK240" s="1"/>
  <c r="AF229"/>
  <c r="AF283"/>
  <c r="AF334"/>
  <c r="AF302"/>
  <c r="AI151"/>
  <c r="AK151" s="1"/>
  <c r="AF144"/>
  <c r="AI316"/>
  <c r="AK316" s="1"/>
  <c r="AI144"/>
  <c r="AK144" s="1"/>
  <c r="AF293"/>
  <c r="AI319"/>
  <c r="AK319" s="1"/>
  <c r="AF247"/>
  <c r="U15" i="53"/>
  <c r="U4"/>
  <c r="AF284" i="40"/>
  <c r="AD6" i="53"/>
  <c r="U20"/>
  <c r="AF232" i="37"/>
  <c r="AD232" i="40"/>
  <c r="AF232" s="1"/>
  <c r="AN23" i="52"/>
  <c r="AC23" i="53"/>
  <c r="B27" i="44"/>
  <c r="AC163" i="40"/>
  <c r="AC9" i="52"/>
  <c r="B25" i="44"/>
  <c r="AC115" i="40"/>
  <c r="AC7" i="52"/>
  <c r="B31" i="44"/>
  <c r="AC255" i="40"/>
  <c r="AC13" i="52"/>
  <c r="AK283" i="37"/>
  <c r="AM283" s="1"/>
  <c r="AH283" i="40"/>
  <c r="AI283" s="1"/>
  <c r="AK283" s="1"/>
  <c r="AH7" i="52"/>
  <c r="AD7"/>
  <c r="Y7" i="53"/>
  <c r="Z7"/>
  <c r="AB7"/>
  <c r="AD12" i="52"/>
  <c r="AH12"/>
  <c r="AH13"/>
  <c r="AD13"/>
  <c r="Y2" i="53"/>
  <c r="Z2"/>
  <c r="AB2"/>
  <c r="Y14"/>
  <c r="Z14"/>
  <c r="AB14"/>
  <c r="Z16"/>
  <c r="Y16"/>
  <c r="AB16"/>
  <c r="AF35" i="40"/>
  <c r="AI106"/>
  <c r="AK106" s="1"/>
  <c r="AI489"/>
  <c r="AK489" s="1"/>
  <c r="AI293"/>
  <c r="AK293" s="1"/>
  <c r="AI326"/>
  <c r="AK326" s="1"/>
  <c r="AF455"/>
  <c r="AF244"/>
  <c r="U23" i="53"/>
  <c r="AD15"/>
  <c r="AI253" i="40"/>
  <c r="AK253" s="1"/>
  <c r="U6" i="53"/>
  <c r="AK322" i="37"/>
  <c r="AK16" i="52" s="1"/>
  <c r="AH322" i="40"/>
  <c r="AI322" s="1"/>
  <c r="AK322" s="1"/>
  <c r="AK326" i="37"/>
  <c r="AM326" s="1"/>
  <c r="AH326" i="40"/>
  <c r="AN2" i="52"/>
  <c r="AC2" i="53"/>
  <c r="AF119" i="37"/>
  <c r="AD119" i="40"/>
  <c r="AF119" s="1"/>
  <c r="AF12" i="37"/>
  <c r="AD12" i="40"/>
  <c r="AF12" s="1"/>
  <c r="AF213" i="37"/>
  <c r="AD213" i="40"/>
  <c r="AF213" s="1"/>
  <c r="AJ414" i="37"/>
  <c r="AG414" i="40"/>
  <c r="AO440" i="37"/>
  <c r="AE440" i="40"/>
  <c r="AF440" s="1"/>
  <c r="AK147" i="37"/>
  <c r="AH147" i="40"/>
  <c r="AO432" i="37"/>
  <c r="G432" i="51" s="1"/>
  <c r="AE432" i="40"/>
  <c r="AF432" s="1"/>
  <c r="AN12" i="52"/>
  <c r="AC12" i="53"/>
  <c r="AO332" i="37"/>
  <c r="AE332" i="40"/>
  <c r="AN17" i="52"/>
  <c r="AC17" i="53"/>
  <c r="AE17" s="1"/>
  <c r="AN5" i="52"/>
  <c r="AC5" i="53"/>
  <c r="AN9" i="52"/>
  <c r="AC9" i="53"/>
  <c r="AE9" s="1"/>
  <c r="AN15" i="52"/>
  <c r="AC15" i="53"/>
  <c r="B24" i="44"/>
  <c r="AC91" i="40"/>
  <c r="AC6" i="52"/>
  <c r="B34" i="44"/>
  <c r="AC322" i="40"/>
  <c r="AC16" i="52"/>
  <c r="B38" i="44"/>
  <c r="AC414" i="40"/>
  <c r="AC20" i="52"/>
  <c r="AK427" i="37"/>
  <c r="AM427" s="1"/>
  <c r="AG427" i="40"/>
  <c r="AI427" s="1"/>
  <c r="AK427" s="1"/>
  <c r="Y12" i="53"/>
  <c r="Z12"/>
  <c r="AB12"/>
  <c r="AH21" i="52"/>
  <c r="AJ21" s="1"/>
  <c r="AD21"/>
  <c r="AD10"/>
  <c r="AH10"/>
  <c r="AE5"/>
  <c r="AI5"/>
  <c r="Y22" i="53"/>
  <c r="Z22"/>
  <c r="AB22"/>
  <c r="AE9" i="52"/>
  <c r="AI9"/>
  <c r="AE15"/>
  <c r="AI15"/>
  <c r="AD22"/>
  <c r="AH22"/>
  <c r="AE14"/>
  <c r="AI14"/>
  <c r="AM14" s="1"/>
  <c r="AI19"/>
  <c r="AE19"/>
  <c r="AF142" i="40"/>
  <c r="AF166"/>
  <c r="AF395"/>
  <c r="AF488"/>
  <c r="AF32"/>
  <c r="AI164"/>
  <c r="AK164" s="1"/>
  <c r="AI110"/>
  <c r="AK110" s="1"/>
  <c r="AI7"/>
  <c r="AI278"/>
  <c r="AK278" s="1"/>
  <c r="AI412"/>
  <c r="AK412" s="1"/>
  <c r="AF319"/>
  <c r="AI143"/>
  <c r="AK143" s="1"/>
  <c r="AI137"/>
  <c r="AK137" s="1"/>
  <c r="AI291"/>
  <c r="AK291" s="1"/>
  <c r="AF356"/>
  <c r="AI248"/>
  <c r="AK248" s="1"/>
  <c r="AI146"/>
  <c r="AK146" s="1"/>
  <c r="AF328"/>
  <c r="AF332"/>
  <c r="AE7" i="53"/>
  <c r="AD23"/>
  <c r="AE23" s="1"/>
  <c r="AI447" i="40"/>
  <c r="AK447" s="1"/>
  <c r="U2" i="53"/>
  <c r="U16"/>
  <c r="AF122" i="37"/>
  <c r="AD122" i="40"/>
  <c r="AF122" s="1"/>
  <c r="AK430" i="37"/>
  <c r="AH430" i="40"/>
  <c r="AI430" s="1"/>
  <c r="AK430" s="1"/>
  <c r="AJ401" i="37"/>
  <c r="AG401" i="40"/>
  <c r="AJ139" i="37"/>
  <c r="AG139" i="40"/>
  <c r="AI139" s="1"/>
  <c r="AK139" s="1"/>
  <c r="AO444" i="37"/>
  <c r="G444" i="51" s="1"/>
  <c r="AE444" i="40"/>
  <c r="AF444" s="1"/>
  <c r="AO431" i="37"/>
  <c r="AE431" i="40"/>
  <c r="AO290" i="37"/>
  <c r="AE290" i="40"/>
  <c r="AF290" s="1"/>
  <c r="AK300" i="37"/>
  <c r="AK15" i="52" s="1"/>
  <c r="AH300" i="40"/>
  <c r="AI300" s="1"/>
  <c r="AK300" s="1"/>
  <c r="AO318" i="37"/>
  <c r="G318" i="51" s="1"/>
  <c r="AE318" i="40"/>
  <c r="AJ467" i="37"/>
  <c r="AG467" i="40"/>
  <c r="AI467" s="1"/>
  <c r="AK467" s="1"/>
  <c r="AJ8" i="37"/>
  <c r="AG8" i="40"/>
  <c r="AI8" s="1"/>
  <c r="AK335" i="37"/>
  <c r="AH335" i="40"/>
  <c r="AI335" s="1"/>
  <c r="AK335" s="1"/>
  <c r="AK256" i="37"/>
  <c r="AH256" i="40"/>
  <c r="AK258" i="37"/>
  <c r="AH258" i="40"/>
  <c r="AI258" s="1"/>
  <c r="AK258" s="1"/>
  <c r="AK303" i="37"/>
  <c r="AH303" i="40"/>
  <c r="AI303" s="1"/>
  <c r="AK303" s="1"/>
  <c r="AK434" i="37"/>
  <c r="AH434" i="40"/>
  <c r="AI434" s="1"/>
  <c r="AK434" s="1"/>
  <c r="AO335" i="37"/>
  <c r="G335" i="51" s="1"/>
  <c r="AE335" i="40"/>
  <c r="AN8" i="52"/>
  <c r="AC8" i="53"/>
  <c r="AE8" s="1"/>
  <c r="AN13" i="52"/>
  <c r="AC13" i="53"/>
  <c r="AE13" s="1"/>
  <c r="AK148" i="37"/>
  <c r="AH148" i="40"/>
  <c r="AI148" s="1"/>
  <c r="AK148" s="1"/>
  <c r="AO255" i="37"/>
  <c r="G255" i="51" s="1"/>
  <c r="AE255" i="40"/>
  <c r="AF255" s="1"/>
  <c r="AK359" i="37"/>
  <c r="AH359" i="40"/>
  <c r="AI359" s="1"/>
  <c r="AK359" s="1"/>
  <c r="AN18" i="52"/>
  <c r="AC18" i="53"/>
  <c r="AE18" s="1"/>
  <c r="AN24" i="52"/>
  <c r="AC24" i="53"/>
  <c r="AE24" s="1"/>
  <c r="AF400" i="37"/>
  <c r="AD400" i="40"/>
  <c r="AF400" s="1"/>
  <c r="AF339" i="37"/>
  <c r="AD339" i="40"/>
  <c r="AF339" s="1"/>
  <c r="AJ462" i="37"/>
  <c r="AG462" i="40"/>
  <c r="AJ487" i="37"/>
  <c r="AG487" i="40"/>
  <c r="AI487" s="1"/>
  <c r="AK487" s="1"/>
  <c r="AO256" i="37"/>
  <c r="G256" i="51" s="1"/>
  <c r="AE256" i="40"/>
  <c r="AF256" s="1"/>
  <c r="AO291" i="37"/>
  <c r="AE291" i="40"/>
  <c r="AF291" s="1"/>
  <c r="AK318" i="37"/>
  <c r="AH318" i="40"/>
  <c r="AK243" i="37"/>
  <c r="AH243" i="40"/>
  <c r="AI243" s="1"/>
  <c r="AK243" s="1"/>
  <c r="AK255" i="37"/>
  <c r="AK13" i="52" s="1"/>
  <c r="AH255" i="40"/>
  <c r="AI255" s="1"/>
  <c r="AK255" s="1"/>
  <c r="AO234" i="37"/>
  <c r="AE234" i="40"/>
  <c r="AF234" s="1"/>
  <c r="AN14" i="52"/>
  <c r="AC14" i="53"/>
  <c r="AE14" s="1"/>
  <c r="AN6" i="52"/>
  <c r="AC6" i="53"/>
  <c r="AK249" i="37"/>
  <c r="AH249" i="40"/>
  <c r="AI249" s="1"/>
  <c r="AK249" s="1"/>
  <c r="AO427" i="37"/>
  <c r="AE427" i="40"/>
  <c r="AF427" s="1"/>
  <c r="AO447" i="37"/>
  <c r="AE447" i="40"/>
  <c r="AF447" s="1"/>
  <c r="AK443" i="37"/>
  <c r="AH443" i="40"/>
  <c r="AO437" i="37"/>
  <c r="G437" i="51" s="1"/>
  <c r="AE437" i="40"/>
  <c r="AF437" s="1"/>
  <c r="AO281" i="37"/>
  <c r="AE281" i="40"/>
  <c r="AF281" s="1"/>
  <c r="AK232" i="37"/>
  <c r="AK12" i="52" s="1"/>
  <c r="AH232" i="40"/>
  <c r="AI232" s="1"/>
  <c r="AK232" s="1"/>
  <c r="B32" i="44"/>
  <c r="AC278" i="40"/>
  <c r="AC14" i="52"/>
  <c r="B20" i="44"/>
  <c r="AC3" i="40"/>
  <c r="AC2" i="52"/>
  <c r="B35" i="44"/>
  <c r="AC342" i="40"/>
  <c r="AC17" i="52"/>
  <c r="B33" i="44"/>
  <c r="AC300" i="40"/>
  <c r="AC15" i="52"/>
  <c r="B23" i="44"/>
  <c r="AC70" i="40"/>
  <c r="AC5" i="52"/>
  <c r="B29" i="44"/>
  <c r="AC209" i="40"/>
  <c r="AC11" i="52"/>
  <c r="B22" i="44"/>
  <c r="AC47" i="40"/>
  <c r="AC4" i="52"/>
  <c r="B28" i="44"/>
  <c r="AC186" i="40"/>
  <c r="AC10" i="52"/>
  <c r="AI11"/>
  <c r="AE11"/>
  <c r="AI4"/>
  <c r="AE4"/>
  <c r="Z3" i="53"/>
  <c r="Y3"/>
  <c r="AB3"/>
  <c r="AE8" i="52"/>
  <c r="AI8"/>
  <c r="AF210" i="40"/>
  <c r="AF347"/>
  <c r="AI402"/>
  <c r="AK402" s="1"/>
  <c r="AF103"/>
  <c r="AI363"/>
  <c r="AK363" s="1"/>
  <c r="AF424"/>
  <c r="AF75"/>
  <c r="AF89"/>
  <c r="AF163"/>
  <c r="AF51"/>
  <c r="AI414"/>
  <c r="AK414" s="1"/>
  <c r="AI276"/>
  <c r="AK276" s="1"/>
  <c r="AI474"/>
  <c r="AK474" s="1"/>
  <c r="AI404"/>
  <c r="AK404" s="1"/>
  <c r="AI401"/>
  <c r="AK401" s="1"/>
  <c r="AI77"/>
  <c r="AK77" s="1"/>
  <c r="AF252"/>
  <c r="G247" i="51"/>
  <c r="AF377" i="40"/>
  <c r="AF374"/>
  <c r="AF126"/>
  <c r="AF373"/>
  <c r="AF388"/>
  <c r="AF477"/>
  <c r="AF86"/>
  <c r="AF68"/>
  <c r="AF398"/>
  <c r="AF471"/>
  <c r="AF22"/>
  <c r="AF74"/>
  <c r="AF45"/>
  <c r="AF376"/>
  <c r="AF177"/>
  <c r="AF53"/>
  <c r="AF39"/>
  <c r="AF111"/>
  <c r="AI112"/>
  <c r="AK112" s="1"/>
  <c r="AI463"/>
  <c r="AK463" s="1"/>
  <c r="AI13"/>
  <c r="AI459"/>
  <c r="AK459" s="1"/>
  <c r="AI54"/>
  <c r="AK54" s="1"/>
  <c r="AI33"/>
  <c r="AK33" s="1"/>
  <c r="AI344"/>
  <c r="AK344" s="1"/>
  <c r="AI6"/>
  <c r="AI221"/>
  <c r="AK221" s="1"/>
  <c r="AI471"/>
  <c r="AK471" s="1"/>
  <c r="AI94"/>
  <c r="AK94" s="1"/>
  <c r="AF195"/>
  <c r="AI408"/>
  <c r="AK408" s="1"/>
  <c r="AF99"/>
  <c r="AI43"/>
  <c r="AK43" s="1"/>
  <c r="AI384"/>
  <c r="AK384" s="1"/>
  <c r="AI84"/>
  <c r="AK84" s="1"/>
  <c r="AI178"/>
  <c r="AK178" s="1"/>
  <c r="AI290"/>
  <c r="AK290" s="1"/>
  <c r="AF312"/>
  <c r="AF446"/>
  <c r="AF241"/>
  <c r="AF311"/>
  <c r="AI294"/>
  <c r="AK294" s="1"/>
  <c r="AF250"/>
  <c r="AI425"/>
  <c r="AK425" s="1"/>
  <c r="AF456"/>
  <c r="AI332"/>
  <c r="AK332" s="1"/>
  <c r="AI310"/>
  <c r="AK310" s="1"/>
  <c r="AF300"/>
  <c r="AI286"/>
  <c r="AK286" s="1"/>
  <c r="AF380"/>
  <c r="AF42"/>
  <c r="AF66"/>
  <c r="AF192"/>
  <c r="AF221"/>
  <c r="AF73"/>
  <c r="AF212"/>
  <c r="AF72"/>
  <c r="AF273"/>
  <c r="AF344"/>
  <c r="AF370"/>
  <c r="AF382"/>
  <c r="AF20"/>
  <c r="AF194"/>
  <c r="AF336"/>
  <c r="AF371"/>
  <c r="AF487"/>
  <c r="AF386"/>
  <c r="AF393"/>
  <c r="AF225"/>
  <c r="AF94"/>
  <c r="AF4"/>
  <c r="AF173"/>
  <c r="AI346"/>
  <c r="AK346" s="1"/>
  <c r="AI79"/>
  <c r="AK79" s="1"/>
  <c r="AI486"/>
  <c r="AK486" s="1"/>
  <c r="AI203"/>
  <c r="AK203" s="1"/>
  <c r="AI490"/>
  <c r="AK490" s="1"/>
  <c r="AI396"/>
  <c r="AK396" s="1"/>
  <c r="AI469"/>
  <c r="AK469" s="1"/>
  <c r="AI63"/>
  <c r="AK63" s="1"/>
  <c r="AI49"/>
  <c r="AK49" s="1"/>
  <c r="AI407"/>
  <c r="AK407" s="1"/>
  <c r="AI212"/>
  <c r="AK212" s="1"/>
  <c r="AI338"/>
  <c r="AK338" s="1"/>
  <c r="AI177"/>
  <c r="AK177" s="1"/>
  <c r="AI93"/>
  <c r="AK93" s="1"/>
  <c r="AI64"/>
  <c r="AK64" s="1"/>
  <c r="AI53"/>
  <c r="AK53" s="1"/>
  <c r="AI274"/>
  <c r="AK274" s="1"/>
  <c r="AI20"/>
  <c r="AI194"/>
  <c r="AK194" s="1"/>
  <c r="AI336"/>
  <c r="AK336" s="1"/>
  <c r="AI462"/>
  <c r="AK462" s="1"/>
  <c r="AI410"/>
  <c r="AK410" s="1"/>
  <c r="AI133"/>
  <c r="AK133" s="1"/>
  <c r="AF179"/>
  <c r="AF101"/>
  <c r="AI39"/>
  <c r="AK39" s="1"/>
  <c r="AI223"/>
  <c r="AK223" s="1"/>
  <c r="AI99"/>
  <c r="AK99" s="1"/>
  <c r="AI125"/>
  <c r="AK125" s="1"/>
  <c r="AI399"/>
  <c r="AK399" s="1"/>
  <c r="AI68"/>
  <c r="AK68" s="1"/>
  <c r="AI52"/>
  <c r="AK52" s="1"/>
  <c r="AI376"/>
  <c r="AK376" s="1"/>
  <c r="AI10"/>
  <c r="AI86"/>
  <c r="AK86" s="1"/>
  <c r="AI197"/>
  <c r="AK197" s="1"/>
  <c r="AF260"/>
  <c r="AF248"/>
  <c r="AI295"/>
  <c r="AK295" s="1"/>
  <c r="AF496"/>
  <c r="AF495"/>
  <c r="AF289"/>
  <c r="AI306"/>
  <c r="AK306" s="1"/>
  <c r="AI440"/>
  <c r="AK440" s="1"/>
  <c r="AI453"/>
  <c r="AK453" s="1"/>
  <c r="AO236" i="37"/>
  <c r="G236" i="51" s="1"/>
  <c r="AI333" i="40"/>
  <c r="AK333" s="1"/>
  <c r="AF310"/>
  <c r="AF333"/>
  <c r="AO321" i="37"/>
  <c r="AI297" i="40"/>
  <c r="AK297" s="1"/>
  <c r="AI233"/>
  <c r="AK233" s="1"/>
  <c r="AI147"/>
  <c r="AK147" s="1"/>
  <c r="AF237"/>
  <c r="AI443"/>
  <c r="AK443" s="1"/>
  <c r="AF423"/>
  <c r="AF296"/>
  <c r="AI247"/>
  <c r="AK247" s="1"/>
  <c r="AI432"/>
  <c r="AK432" s="1"/>
  <c r="AE12" i="53"/>
  <c r="AI357" i="40"/>
  <c r="AK357" s="1"/>
  <c r="AD22" i="53"/>
  <c r="AE22" s="1"/>
  <c r="AD2"/>
  <c r="AE2" s="1"/>
  <c r="AD5"/>
  <c r="AE5" s="1"/>
  <c r="AD16"/>
  <c r="AF275" i="37"/>
  <c r="AD275" i="40"/>
  <c r="AJ27" i="37"/>
  <c r="AG27" i="40"/>
  <c r="AI27" s="1"/>
  <c r="AK27" s="1"/>
  <c r="AJ4" i="37"/>
  <c r="AG4" i="40"/>
  <c r="AI4" s="1"/>
  <c r="AJ25" i="37"/>
  <c r="AG25" i="40"/>
  <c r="AK327" i="37"/>
  <c r="AH327" i="40"/>
  <c r="AI327" s="1"/>
  <c r="AK327" s="1"/>
  <c r="AK424" i="37"/>
  <c r="AH424" i="40"/>
  <c r="AI424" s="1"/>
  <c r="AK424" s="1"/>
  <c r="AJ135" i="37"/>
  <c r="AG135" i="40"/>
  <c r="AI135" s="1"/>
  <c r="AK135" s="1"/>
  <c r="AK448" i="37"/>
  <c r="AH448" i="40"/>
  <c r="AO363" i="37"/>
  <c r="AE363" i="40"/>
  <c r="AF363" s="1"/>
  <c r="AO307" i="37"/>
  <c r="AE307" i="40"/>
  <c r="AF307" s="1"/>
  <c r="AO323" i="37"/>
  <c r="AE323" i="40"/>
  <c r="AF323" s="1"/>
  <c r="AN19" i="52"/>
  <c r="AC19" i="53"/>
  <c r="AE19" s="1"/>
  <c r="AK357" i="37"/>
  <c r="AH357" i="40"/>
  <c r="AN16" i="52"/>
  <c r="AC16" i="53"/>
  <c r="AN10" i="52"/>
  <c r="AC10" i="53"/>
  <c r="AE10" s="1"/>
  <c r="AN11" i="52"/>
  <c r="AC11" i="53"/>
  <c r="AE11" s="1"/>
  <c r="B36" i="44"/>
  <c r="AC366" i="40"/>
  <c r="AC18" i="52"/>
  <c r="B30" i="44"/>
  <c r="AC232" i="40"/>
  <c r="AC12" i="52"/>
  <c r="B40" i="44"/>
  <c r="AC452" i="40"/>
  <c r="AC22" i="52"/>
  <c r="Y17" i="53"/>
  <c r="Z17"/>
  <c r="AB17"/>
  <c r="AI7" i="52"/>
  <c r="AE7"/>
  <c r="AI3"/>
  <c r="AE3"/>
  <c r="AD20"/>
  <c r="AH20"/>
  <c r="AI22"/>
  <c r="AE22"/>
  <c r="AO22" s="1"/>
  <c r="AD16"/>
  <c r="AH16"/>
  <c r="AI10"/>
  <c r="AM10" s="1"/>
  <c r="AE10"/>
  <c r="AF10" s="1"/>
  <c r="Z5" i="53"/>
  <c r="Y5"/>
  <c r="AB5"/>
  <c r="AE6" i="52"/>
  <c r="AI6"/>
  <c r="AH15"/>
  <c r="AD15"/>
  <c r="AF263" i="40"/>
  <c r="AH2" i="37"/>
  <c r="AG2" i="40" s="1"/>
  <c r="AF275"/>
  <c r="AF264"/>
  <c r="AF93"/>
  <c r="AF215"/>
  <c r="AF160"/>
  <c r="AF219"/>
  <c r="AF55"/>
  <c r="AF203"/>
  <c r="AF105"/>
  <c r="AF409"/>
  <c r="AF406"/>
  <c r="AI115"/>
  <c r="AK115" s="1"/>
  <c r="AI169"/>
  <c r="AK169" s="1"/>
  <c r="AI216"/>
  <c r="AK216" s="1"/>
  <c r="AI82"/>
  <c r="AK82" s="1"/>
  <c r="AI25"/>
  <c r="AK25" s="1"/>
  <c r="AI102"/>
  <c r="AK102" s="1"/>
  <c r="AI179"/>
  <c r="AK179" s="1"/>
  <c r="AI273"/>
  <c r="AK273" s="1"/>
  <c r="AI339"/>
  <c r="AK339" s="1"/>
  <c r="AI461"/>
  <c r="AK461" s="1"/>
  <c r="AI491"/>
  <c r="AK491" s="1"/>
  <c r="AF238"/>
  <c r="AF303"/>
  <c r="AI330"/>
  <c r="AK330" s="1"/>
  <c r="G230" i="51"/>
  <c r="AI259" i="40"/>
  <c r="AK259" s="1"/>
  <c r="AI456"/>
  <c r="AK456" s="1"/>
  <c r="AI285"/>
  <c r="AK285" s="1"/>
  <c r="AI230"/>
  <c r="AK230" s="1"/>
  <c r="AI448"/>
  <c r="AK448" s="1"/>
  <c r="AF318"/>
  <c r="AI256"/>
  <c r="AK256" s="1"/>
  <c r="AF335"/>
  <c r="AI136"/>
  <c r="AK136" s="1"/>
  <c r="AF317"/>
  <c r="AI318"/>
  <c r="AK318" s="1"/>
  <c r="AI296"/>
  <c r="AK296" s="1"/>
  <c r="U22" i="53"/>
  <c r="AF431" i="40"/>
  <c r="U10" i="53"/>
  <c r="BD6" i="52"/>
  <c r="BD3"/>
  <c r="BE3" s="1"/>
  <c r="BD8"/>
  <c r="BE8" s="1"/>
  <c r="BD2"/>
  <c r="BE2" s="1"/>
  <c r="BD7"/>
  <c r="BE7" s="1"/>
  <c r="F508" i="40" a="1"/>
  <c r="F508" s="1"/>
  <c r="F506" a="1"/>
  <c r="F506" s="1"/>
  <c r="F505" a="1"/>
  <c r="F505" s="1"/>
  <c r="F510" a="1"/>
  <c r="F510" s="1"/>
  <c r="F513" a="1"/>
  <c r="F513" s="1"/>
  <c r="F521" a="1"/>
  <c r="F521" s="1"/>
  <c r="F519" a="1"/>
  <c r="F519" s="1"/>
  <c r="F516" a="1"/>
  <c r="F516" s="1"/>
  <c r="F520" a="1"/>
  <c r="F520" s="1"/>
  <c r="F509" a="1"/>
  <c r="F509" s="1"/>
  <c r="F503" a="1"/>
  <c r="F503" s="1"/>
  <c r="F507" a="1"/>
  <c r="F507" s="1"/>
  <c r="F517" a="1"/>
  <c r="F517" s="1"/>
  <c r="F514" a="1"/>
  <c r="F514" s="1"/>
  <c r="F515" a="1"/>
  <c r="F515" s="1"/>
  <c r="F511" a="1"/>
  <c r="F511" s="1"/>
  <c r="F512" a="1"/>
  <c r="F512" s="1"/>
  <c r="F518" a="1"/>
  <c r="F518" s="1"/>
  <c r="F533" a="1"/>
  <c r="F533" s="1"/>
  <c r="F532" a="1"/>
  <c r="F532" s="1"/>
  <c r="F577" a="1"/>
  <c r="F577" s="1"/>
  <c r="F579" a="1"/>
  <c r="F579" s="1"/>
  <c r="F568" a="1"/>
  <c r="F568" s="1"/>
  <c r="F572" a="1"/>
  <c r="F572" s="1"/>
  <c r="F554" a="1"/>
  <c r="F554" s="1"/>
  <c r="F537" a="1"/>
  <c r="F537" s="1"/>
  <c r="F562" a="1"/>
  <c r="F562" s="1"/>
  <c r="F548" a="1"/>
  <c r="F548" s="1"/>
  <c r="F546" a="1"/>
  <c r="F546" s="1"/>
  <c r="F559" a="1"/>
  <c r="F559" s="1"/>
  <c r="F570" a="1"/>
  <c r="F570" s="1"/>
  <c r="F535" a="1"/>
  <c r="F535" s="1"/>
  <c r="F556" a="1"/>
  <c r="F556" s="1"/>
  <c r="F522" a="1"/>
  <c r="F522" s="1"/>
  <c r="F575" a="1"/>
  <c r="F575" s="1"/>
  <c r="F542" a="1"/>
  <c r="F542" s="1"/>
  <c r="F574" a="1"/>
  <c r="F574" s="1"/>
  <c r="F558" a="1"/>
  <c r="F558" s="1"/>
  <c r="F560" a="1"/>
  <c r="F560" s="1"/>
  <c r="F569" a="1"/>
  <c r="F569" s="1"/>
  <c r="F530" a="1"/>
  <c r="F530" s="1"/>
  <c r="I530" s="1"/>
  <c r="F528" a="1"/>
  <c r="F528" s="1"/>
  <c r="F552" a="1"/>
  <c r="F552" s="1"/>
  <c r="I552" s="1"/>
  <c r="F523" a="1"/>
  <c r="F523" s="1"/>
  <c r="P523" s="1"/>
  <c r="F561" a="1"/>
  <c r="F561" s="1"/>
  <c r="P561" s="1"/>
  <c r="F563" a="1"/>
  <c r="F563" s="1"/>
  <c r="F553" a="1"/>
  <c r="F553" s="1"/>
  <c r="F306" i="51" a="1"/>
  <c r="F306" s="1"/>
  <c r="F305" a="1"/>
  <c r="F305" s="1"/>
  <c r="F320" a="1"/>
  <c r="F320" s="1"/>
  <c r="F300" a="1"/>
  <c r="F300" s="1"/>
  <c r="F318" a="1"/>
  <c r="F318" s="1"/>
  <c r="BC15" i="52"/>
  <c r="F303" i="51" a="1"/>
  <c r="F303" s="1"/>
  <c r="F301" a="1"/>
  <c r="F301" s="1"/>
  <c r="F299" a="1"/>
  <c r="F299" s="1"/>
  <c r="F315" a="1"/>
  <c r="F315" s="1"/>
  <c r="F311" a="1"/>
  <c r="F311" s="1"/>
  <c r="F313" a="1"/>
  <c r="F313" s="1"/>
  <c r="F309" a="1"/>
  <c r="F309" s="1"/>
  <c r="F314" a="1"/>
  <c r="F314" s="1"/>
  <c r="F308" a="1"/>
  <c r="F308" s="1"/>
  <c r="F304" a="1"/>
  <c r="F304" s="1"/>
  <c r="F319" a="1"/>
  <c r="F319" s="1"/>
  <c r="F312" a="1"/>
  <c r="F312" s="1"/>
  <c r="F307" a="1"/>
  <c r="F307" s="1"/>
  <c r="F302" a="1"/>
  <c r="F302" s="1"/>
  <c r="F316" a="1"/>
  <c r="F316" s="1"/>
  <c r="F317" a="1"/>
  <c r="F317" s="1"/>
  <c r="F310" a="1"/>
  <c r="F310" s="1"/>
  <c r="BC5" i="52"/>
  <c r="F78" i="51" a="1"/>
  <c r="F78" s="1"/>
  <c r="F82" a="1"/>
  <c r="F82" s="1"/>
  <c r="F84" a="1"/>
  <c r="F84" s="1"/>
  <c r="F76" a="1"/>
  <c r="F76" s="1"/>
  <c r="F81" a="1"/>
  <c r="F81" s="1"/>
  <c r="F71" a="1"/>
  <c r="F71" s="1"/>
  <c r="F70" a="1"/>
  <c r="F70" s="1"/>
  <c r="F88" a="1"/>
  <c r="F88" s="1"/>
  <c r="F89" a="1"/>
  <c r="F89" s="1"/>
  <c r="F79" a="1"/>
  <c r="F79" s="1"/>
  <c r="F83" a="1"/>
  <c r="F83" s="1"/>
  <c r="F86" a="1"/>
  <c r="F86" s="1"/>
  <c r="F80" a="1"/>
  <c r="F80" s="1"/>
  <c r="F85" a="1"/>
  <c r="F85" s="1"/>
  <c r="F73" a="1"/>
  <c r="F73" s="1"/>
  <c r="F87" a="1"/>
  <c r="F87" s="1"/>
  <c r="F75" a="1"/>
  <c r="F75" s="1"/>
  <c r="F74" a="1"/>
  <c r="F74" s="1"/>
  <c r="F69" a="1"/>
  <c r="F69" s="1"/>
  <c r="F77" a="1"/>
  <c r="F77" s="1"/>
  <c r="F72" a="1"/>
  <c r="F72" s="1"/>
  <c r="F131" a="1"/>
  <c r="F131" s="1"/>
  <c r="F136" a="1"/>
  <c r="F136" s="1"/>
  <c r="F125" a="1"/>
  <c r="F125" s="1"/>
  <c r="F126" a="1"/>
  <c r="F126" s="1"/>
  <c r="F128" a="1"/>
  <c r="F128" s="1"/>
  <c r="F117" a="1"/>
  <c r="F117" s="1"/>
  <c r="F115" a="1"/>
  <c r="F115" s="1"/>
  <c r="F130" a="1"/>
  <c r="F130" s="1"/>
  <c r="F122" a="1"/>
  <c r="F122" s="1"/>
  <c r="F135" a="1"/>
  <c r="F135" s="1"/>
  <c r="F114" a="1"/>
  <c r="F114" s="1"/>
  <c r="F123" a="1"/>
  <c r="F123" s="1"/>
  <c r="F119" a="1"/>
  <c r="F119" s="1"/>
  <c r="F132" a="1"/>
  <c r="F132" s="1"/>
  <c r="F129" a="1"/>
  <c r="F129" s="1"/>
  <c r="F124" a="1"/>
  <c r="F124" s="1"/>
  <c r="F137" a="1"/>
  <c r="F137" s="1"/>
  <c r="F120" a="1"/>
  <c r="F120" s="1"/>
  <c r="F116" a="1"/>
  <c r="F116" s="1"/>
  <c r="F118" a="1"/>
  <c r="F118" s="1"/>
  <c r="F127" a="1"/>
  <c r="F127" s="1"/>
  <c r="F134" a="1"/>
  <c r="F134" s="1"/>
  <c r="F121" a="1"/>
  <c r="F121" s="1"/>
  <c r="F133" a="1"/>
  <c r="F133" s="1"/>
  <c r="BC13" i="52"/>
  <c r="F261" i="51" a="1"/>
  <c r="F261" s="1"/>
  <c r="F275" a="1"/>
  <c r="F275" s="1"/>
  <c r="F266" a="1"/>
  <c r="F266" s="1"/>
  <c r="F256" a="1"/>
  <c r="F256" s="1"/>
  <c r="F265" a="1"/>
  <c r="F265" s="1"/>
  <c r="F255" a="1"/>
  <c r="F255" s="1"/>
  <c r="F267" a="1"/>
  <c r="F267" s="1"/>
  <c r="F273" a="1"/>
  <c r="F273" s="1"/>
  <c r="F264" a="1"/>
  <c r="F264" s="1"/>
  <c r="F263" a="1"/>
  <c r="F263" s="1"/>
  <c r="F269" a="1"/>
  <c r="F269" s="1"/>
  <c r="F276" a="1"/>
  <c r="F276" s="1"/>
  <c r="F254" a="1"/>
  <c r="F254" s="1"/>
  <c r="F270" a="1"/>
  <c r="F270" s="1"/>
  <c r="F260" a="1"/>
  <c r="F260" s="1"/>
  <c r="F268" a="1"/>
  <c r="F268" s="1"/>
  <c r="F274" a="1"/>
  <c r="F274" s="1"/>
  <c r="F258" a="1"/>
  <c r="F258" s="1"/>
  <c r="F272" a="1"/>
  <c r="F272" s="1"/>
  <c r="F259" a="1"/>
  <c r="F259" s="1"/>
  <c r="G259" s="1"/>
  <c r="F271" a="1"/>
  <c r="F271" s="1"/>
  <c r="F262" a="1"/>
  <c r="F262" s="1"/>
  <c r="F257" a="1"/>
  <c r="F257" s="1"/>
  <c r="F530" a="1"/>
  <c r="F530" s="1"/>
  <c r="G530" s="1"/>
  <c r="F534" a="1"/>
  <c r="F534" s="1"/>
  <c r="G534" s="1"/>
  <c r="F539" a="1"/>
  <c r="F539" s="1"/>
  <c r="G539" s="1"/>
  <c r="F544" a="1"/>
  <c r="F544" s="1"/>
  <c r="G544" s="1"/>
  <c r="F533" a="1"/>
  <c r="F533" s="1"/>
  <c r="G533" s="1"/>
  <c r="F540" a="1"/>
  <c r="F540" s="1"/>
  <c r="G540" s="1"/>
  <c r="F541" a="1"/>
  <c r="F541" s="1"/>
  <c r="G541" s="1"/>
  <c r="F526" a="1"/>
  <c r="F526" s="1"/>
  <c r="G526" s="1"/>
  <c r="F528" a="1"/>
  <c r="F528" s="1"/>
  <c r="G528" s="1"/>
  <c r="BC26" i="52"/>
  <c r="F542" i="51" a="1"/>
  <c r="F542" s="1"/>
  <c r="G542" s="1"/>
  <c r="F523" a="1"/>
  <c r="F523" s="1"/>
  <c r="G523" s="1"/>
  <c r="F524" a="1"/>
  <c r="F524" s="1"/>
  <c r="G524" s="1"/>
  <c r="F532" a="1"/>
  <c r="F532" s="1"/>
  <c r="G532" s="1"/>
  <c r="F543" a="1"/>
  <c r="F543" s="1"/>
  <c r="G543" s="1"/>
  <c r="F531" a="1"/>
  <c r="F531" s="1"/>
  <c r="G531" s="1"/>
  <c r="F538" a="1"/>
  <c r="F538" s="1"/>
  <c r="G538" s="1"/>
  <c r="F537" a="1"/>
  <c r="F537" s="1"/>
  <c r="G537" s="1"/>
  <c r="F545" a="1"/>
  <c r="F545" s="1"/>
  <c r="G545" s="1"/>
  <c r="F535" a="1"/>
  <c r="F535" s="1"/>
  <c r="G535" s="1"/>
  <c r="F527" a="1"/>
  <c r="F527" s="1"/>
  <c r="G527" s="1"/>
  <c r="F525" a="1"/>
  <c r="F525" s="1"/>
  <c r="G525" s="1"/>
  <c r="F529" a="1"/>
  <c r="F529" s="1"/>
  <c r="G529" s="1"/>
  <c r="F522" a="1"/>
  <c r="F522" s="1"/>
  <c r="G522" s="1"/>
  <c r="F536" a="1"/>
  <c r="F536" s="1"/>
  <c r="G536" s="1"/>
  <c r="F551" i="40" a="1"/>
  <c r="F551" s="1"/>
  <c r="F534" a="1"/>
  <c r="F534" s="1"/>
  <c r="F564" a="1"/>
  <c r="F564" s="1"/>
  <c r="F545" a="1"/>
  <c r="F545" s="1"/>
  <c r="F540" a="1"/>
  <c r="F540" s="1"/>
  <c r="F536" a="1"/>
  <c r="F536" s="1"/>
  <c r="N536" s="1"/>
  <c r="F544" a="1"/>
  <c r="F544" s="1"/>
  <c r="F434" i="51" a="1"/>
  <c r="F434" s="1"/>
  <c r="F433" a="1"/>
  <c r="F433" s="1"/>
  <c r="F425" a="1"/>
  <c r="F425" s="1"/>
  <c r="BC20" i="52"/>
  <c r="F413" i="51" a="1"/>
  <c r="F413" s="1"/>
  <c r="F427" a="1"/>
  <c r="F427" s="1"/>
  <c r="F414" a="1"/>
  <c r="F414" s="1"/>
  <c r="F415" a="1"/>
  <c r="F415" s="1"/>
  <c r="F416" a="1"/>
  <c r="F416" s="1"/>
  <c r="F435" a="1"/>
  <c r="F435" s="1"/>
  <c r="F422" a="1"/>
  <c r="F422" s="1"/>
  <c r="F428" a="1"/>
  <c r="F428" s="1"/>
  <c r="F430" a="1"/>
  <c r="F430" s="1"/>
  <c r="F429" a="1"/>
  <c r="F429" s="1"/>
  <c r="F420" a="1"/>
  <c r="F420" s="1"/>
  <c r="F431" a="1"/>
  <c r="F431" s="1"/>
  <c r="F419" a="1"/>
  <c r="F419" s="1"/>
  <c r="F421" a="1"/>
  <c r="F421" s="1"/>
  <c r="F424" a="1"/>
  <c r="F424" s="1"/>
  <c r="F417" a="1"/>
  <c r="F417" s="1"/>
  <c r="F432" a="1"/>
  <c r="F432" s="1"/>
  <c r="F426" a="1"/>
  <c r="F426" s="1"/>
  <c r="F423" a="1"/>
  <c r="F423" s="1"/>
  <c r="G423" s="1"/>
  <c r="F418" a="1"/>
  <c r="F418" s="1"/>
  <c r="BC28" i="52"/>
  <c r="F579" i="51" a="1"/>
  <c r="F579" s="1"/>
  <c r="G579" s="1"/>
  <c r="F576" a="1"/>
  <c r="F576" s="1"/>
  <c r="G576" s="1"/>
  <c r="F582" i="40" a="1"/>
  <c r="F582" s="1"/>
  <c r="F589" a="1"/>
  <c r="F589" s="1"/>
  <c r="F587" i="51" a="1"/>
  <c r="F587" s="1"/>
  <c r="G587" s="1"/>
  <c r="F584" a="1"/>
  <c r="F584" s="1"/>
  <c r="G584" s="1"/>
  <c r="F570" a="1"/>
  <c r="F570" s="1"/>
  <c r="G570" s="1"/>
  <c r="F587" i="40" a="1"/>
  <c r="F587" s="1"/>
  <c r="F571" i="51" a="1"/>
  <c r="F571" s="1"/>
  <c r="G571" s="1"/>
  <c r="F581" a="1"/>
  <c r="F581" s="1"/>
  <c r="G581" s="1"/>
  <c r="F588" a="1"/>
  <c r="F588" s="1"/>
  <c r="G588" s="1"/>
  <c r="F583" i="40" a="1"/>
  <c r="F583" s="1"/>
  <c r="F569" i="51" a="1"/>
  <c r="F569" s="1"/>
  <c r="G569" s="1"/>
  <c r="F572" a="1"/>
  <c r="F572" s="1"/>
  <c r="G572" s="1"/>
  <c r="F568" a="1"/>
  <c r="F568" s="1"/>
  <c r="G568" s="1"/>
  <c r="F585" i="40" a="1"/>
  <c r="F585" s="1"/>
  <c r="F574" i="51" a="1"/>
  <c r="F574" s="1"/>
  <c r="G574" s="1"/>
  <c r="F585" a="1"/>
  <c r="F585" s="1"/>
  <c r="G585" s="1"/>
  <c r="F586" a="1"/>
  <c r="F586" s="1"/>
  <c r="G586" s="1"/>
  <c r="F582" a="1"/>
  <c r="F582" s="1"/>
  <c r="G582" s="1"/>
  <c r="F584" i="40" a="1"/>
  <c r="F584" s="1"/>
  <c r="F578" i="51" a="1"/>
  <c r="F578" s="1"/>
  <c r="G578" s="1"/>
  <c r="F577" a="1"/>
  <c r="F577" s="1"/>
  <c r="G577" s="1"/>
  <c r="F575" a="1"/>
  <c r="F575" s="1"/>
  <c r="G575" s="1"/>
  <c r="F580" a="1"/>
  <c r="F580" s="1"/>
  <c r="G580" s="1"/>
  <c r="F581" i="40" a="1"/>
  <c r="F581" s="1"/>
  <c r="F583" i="51" a="1"/>
  <c r="F583" s="1"/>
  <c r="G583" s="1"/>
  <c r="F586" i="40" a="1"/>
  <c r="F586" s="1"/>
  <c r="F573" i="51" a="1"/>
  <c r="F573" s="1"/>
  <c r="G573" s="1"/>
  <c r="F580" i="40" a="1"/>
  <c r="F580" s="1"/>
  <c r="F589" i="51" a="1"/>
  <c r="F589" s="1"/>
  <c r="G589" s="1"/>
  <c r="F588" i="40" a="1"/>
  <c r="F588" s="1"/>
  <c r="F407" i="51" a="1"/>
  <c r="F407" s="1"/>
  <c r="F389" a="1"/>
  <c r="F389" s="1"/>
  <c r="F402" a="1"/>
  <c r="F402" s="1"/>
  <c r="F398" a="1"/>
  <c r="F398" s="1"/>
  <c r="F408" a="1"/>
  <c r="F408" s="1"/>
  <c r="F396" a="1"/>
  <c r="F396" s="1"/>
  <c r="F399" a="1"/>
  <c r="F399" s="1"/>
  <c r="F411" a="1"/>
  <c r="F411" s="1"/>
  <c r="BC19" i="52"/>
  <c r="F394" i="51" a="1"/>
  <c r="F394" s="1"/>
  <c r="F393" a="1"/>
  <c r="F393" s="1"/>
  <c r="F404" a="1"/>
  <c r="F404" s="1"/>
  <c r="F400" a="1"/>
  <c r="F400" s="1"/>
  <c r="F392" a="1"/>
  <c r="F392" s="1"/>
  <c r="F405" a="1"/>
  <c r="F405" s="1"/>
  <c r="F403" a="1"/>
  <c r="F403" s="1"/>
  <c r="F401" a="1"/>
  <c r="F401" s="1"/>
  <c r="F395" a="1"/>
  <c r="F395" s="1"/>
  <c r="F406" a="1"/>
  <c r="F406" s="1"/>
  <c r="F410" a="1"/>
  <c r="F410" s="1"/>
  <c r="F390" a="1"/>
  <c r="F390" s="1"/>
  <c r="F412" a="1"/>
  <c r="F412" s="1"/>
  <c r="F391" a="1"/>
  <c r="F391" s="1"/>
  <c r="F397" a="1"/>
  <c r="F397" s="1"/>
  <c r="F409" a="1"/>
  <c r="F409" s="1"/>
  <c r="F220" a="1"/>
  <c r="F220" s="1"/>
  <c r="F224" a="1"/>
  <c r="F224" s="1"/>
  <c r="F225" a="1"/>
  <c r="F225" s="1"/>
  <c r="F222" a="1"/>
  <c r="F222" s="1"/>
  <c r="F228" a="1"/>
  <c r="F228" s="1"/>
  <c r="F229" a="1"/>
  <c r="F229" s="1"/>
  <c r="F217" a="1"/>
  <c r="F217" s="1"/>
  <c r="F216" a="1"/>
  <c r="F216" s="1"/>
  <c r="F213" a="1"/>
  <c r="F213" s="1"/>
  <c r="F208" a="1"/>
  <c r="F208" s="1"/>
  <c r="F210" a="1"/>
  <c r="F210" s="1"/>
  <c r="F211" a="1"/>
  <c r="F211" s="1"/>
  <c r="F227" a="1"/>
  <c r="F227" s="1"/>
  <c r="F209" a="1"/>
  <c r="F209" s="1"/>
  <c r="F215" a="1"/>
  <c r="F215" s="1"/>
  <c r="F219" a="1"/>
  <c r="F219" s="1"/>
  <c r="F218" a="1"/>
  <c r="F218" s="1"/>
  <c r="F221" a="1"/>
  <c r="F221" s="1"/>
  <c r="BC11" i="52"/>
  <c r="F212" i="51" a="1"/>
  <c r="F212" s="1"/>
  <c r="F230" a="1"/>
  <c r="F230" s="1"/>
  <c r="F223" a="1"/>
  <c r="F223" s="1"/>
  <c r="F214" a="1"/>
  <c r="F214" s="1"/>
  <c r="F226" a="1"/>
  <c r="F226" s="1"/>
  <c r="F58" a="1"/>
  <c r="F58" s="1"/>
  <c r="F61" a="1"/>
  <c r="F61" s="1"/>
  <c r="F54" a="1"/>
  <c r="F54" s="1"/>
  <c r="F65" a="1"/>
  <c r="F65" s="1"/>
  <c r="F48" a="1"/>
  <c r="F48" s="1"/>
  <c r="F66" a="1"/>
  <c r="F66" s="1"/>
  <c r="F67" a="1"/>
  <c r="F67" s="1"/>
  <c r="F64" a="1"/>
  <c r="F64" s="1"/>
  <c r="F63" a="1"/>
  <c r="F63" s="1"/>
  <c r="BC4" i="52"/>
  <c r="F49" i="51" a="1"/>
  <c r="F49" s="1"/>
  <c r="F55" a="1"/>
  <c r="F55" s="1"/>
  <c r="F47" a="1"/>
  <c r="F47" s="1"/>
  <c r="F60" a="1"/>
  <c r="F60" s="1"/>
  <c r="F57" a="1"/>
  <c r="F57" s="1"/>
  <c r="F62" a="1"/>
  <c r="F62" s="1"/>
  <c r="F52" a="1"/>
  <c r="F52" s="1"/>
  <c r="F59" a="1"/>
  <c r="F59" s="1"/>
  <c r="F68" a="1"/>
  <c r="F68" s="1"/>
  <c r="F56" a="1"/>
  <c r="F56" s="1"/>
  <c r="F50" a="1"/>
  <c r="F50" s="1"/>
  <c r="F51" a="1"/>
  <c r="F51" s="1"/>
  <c r="F46" a="1"/>
  <c r="F46" s="1"/>
  <c r="F53" a="1"/>
  <c r="F53" s="1"/>
  <c r="F547" a="1"/>
  <c r="F547" s="1"/>
  <c r="G547" s="1"/>
  <c r="F566" a="1"/>
  <c r="F566" s="1"/>
  <c r="G566" s="1"/>
  <c r="BC27" i="52"/>
  <c r="F549" i="51" a="1"/>
  <c r="F549" s="1"/>
  <c r="G549" s="1"/>
  <c r="F548" a="1"/>
  <c r="F548" s="1"/>
  <c r="G548" s="1"/>
  <c r="F551" a="1"/>
  <c r="F551" s="1"/>
  <c r="G551" s="1"/>
  <c r="F550" a="1"/>
  <c r="F550" s="1"/>
  <c r="G550" s="1"/>
  <c r="F563" a="1"/>
  <c r="F563" s="1"/>
  <c r="G563" s="1"/>
  <c r="F558" a="1"/>
  <c r="F558" s="1"/>
  <c r="G558" s="1"/>
  <c r="F560" a="1"/>
  <c r="F560" s="1"/>
  <c r="G560" s="1"/>
  <c r="F555" a="1"/>
  <c r="F555" s="1"/>
  <c r="G555" s="1"/>
  <c r="F567" a="1"/>
  <c r="F567" s="1"/>
  <c r="G567" s="1"/>
  <c r="F565" a="1"/>
  <c r="F565" s="1"/>
  <c r="G565" s="1"/>
  <c r="F554" a="1"/>
  <c r="F554" s="1"/>
  <c r="G554" s="1"/>
  <c r="F552" a="1"/>
  <c r="F552" s="1"/>
  <c r="G552" s="1"/>
  <c r="F564" a="1"/>
  <c r="F564" s="1"/>
  <c r="G564" s="1"/>
  <c r="F546" a="1"/>
  <c r="F546" s="1"/>
  <c r="G546" s="1"/>
  <c r="F559" a="1"/>
  <c r="F559" s="1"/>
  <c r="G559" s="1"/>
  <c r="F557" a="1"/>
  <c r="F557" s="1"/>
  <c r="G557" s="1"/>
  <c r="F553" a="1"/>
  <c r="F553" s="1"/>
  <c r="G553" s="1"/>
  <c r="F556" a="1"/>
  <c r="F556" s="1"/>
  <c r="G556" s="1"/>
  <c r="F561" a="1"/>
  <c r="F561" s="1"/>
  <c r="G561" s="1"/>
  <c r="F562" a="1"/>
  <c r="F562" s="1"/>
  <c r="G562" s="1"/>
  <c r="F478" a="1"/>
  <c r="F478" s="1"/>
  <c r="F470" a="1"/>
  <c r="F470" s="1"/>
  <c r="F473" a="1"/>
  <c r="F473" s="1"/>
  <c r="F476" a="1"/>
  <c r="F476" s="1"/>
  <c r="F479" a="1"/>
  <c r="F479" s="1"/>
  <c r="F483" a="1"/>
  <c r="F483" s="1"/>
  <c r="F477" a="1"/>
  <c r="F477" s="1"/>
  <c r="BC23" i="52"/>
  <c r="F482" i="51" a="1"/>
  <c r="F482" s="1"/>
  <c r="F469" a="1"/>
  <c r="F469" s="1"/>
  <c r="F468" a="1"/>
  <c r="F468" s="1"/>
  <c r="F471" a="1"/>
  <c r="F471" s="1"/>
  <c r="F481" a="1"/>
  <c r="F481" s="1"/>
  <c r="F480" a="1"/>
  <c r="F480" s="1"/>
  <c r="F474" a="1"/>
  <c r="F474" s="1"/>
  <c r="F472" a="1"/>
  <c r="F472" s="1"/>
  <c r="F475" a="1"/>
  <c r="F475" s="1"/>
  <c r="F5" a="1"/>
  <c r="F5" s="1"/>
  <c r="F4" a="1"/>
  <c r="F4" s="1"/>
  <c r="F13" a="1"/>
  <c r="F13" s="1"/>
  <c r="F19" a="1"/>
  <c r="F19" s="1"/>
  <c r="F15" a="1"/>
  <c r="F15" s="1"/>
  <c r="F9" a="1"/>
  <c r="F9" s="1"/>
  <c r="F23" a="1"/>
  <c r="F23" s="1"/>
  <c r="F8" a="1"/>
  <c r="F8" s="1"/>
  <c r="F2" a="1"/>
  <c r="F2" s="1"/>
  <c r="F14" a="1"/>
  <c r="F14" s="1"/>
  <c r="F22" a="1"/>
  <c r="F22" s="1"/>
  <c r="F6" a="1"/>
  <c r="F6" s="1"/>
  <c r="F7" a="1"/>
  <c r="F7" s="1"/>
  <c r="F20" a="1"/>
  <c r="F20" s="1"/>
  <c r="F16" a="1"/>
  <c r="F16" s="1"/>
  <c r="F21" a="1"/>
  <c r="F21" s="1"/>
  <c r="F12" a="1"/>
  <c r="F12" s="1"/>
  <c r="F3" a="1"/>
  <c r="F3" s="1"/>
  <c r="F18" a="1"/>
  <c r="F18" s="1"/>
  <c r="F10" a="1"/>
  <c r="F10" s="1"/>
  <c r="F11" a="1"/>
  <c r="F11" s="1"/>
  <c r="F17" a="1"/>
  <c r="F17" s="1"/>
  <c r="F550" i="40" a="1"/>
  <c r="F550" s="1"/>
  <c r="F565" a="1"/>
  <c r="F565" s="1"/>
  <c r="J565" s="1"/>
  <c r="F526" a="1"/>
  <c r="F526" s="1"/>
  <c r="F524" a="1"/>
  <c r="F524" s="1"/>
  <c r="F529" a="1"/>
  <c r="F529" s="1"/>
  <c r="F576" a="1"/>
  <c r="F576" s="1"/>
  <c r="F566" a="1"/>
  <c r="F566" s="1"/>
  <c r="I566" s="1"/>
  <c r="F538" a="1"/>
  <c r="F538" s="1"/>
  <c r="F578" a="1"/>
  <c r="F578" s="1"/>
  <c r="F206" i="51" a="1"/>
  <c r="F206" s="1"/>
  <c r="F188" a="1"/>
  <c r="F188" s="1"/>
  <c r="F196" a="1"/>
  <c r="F196" s="1"/>
  <c r="F204" a="1"/>
  <c r="F204" s="1"/>
  <c r="F200" a="1"/>
  <c r="F200" s="1"/>
  <c r="F191" a="1"/>
  <c r="F191" s="1"/>
  <c r="BC10" i="52"/>
  <c r="F199" i="51" a="1"/>
  <c r="F199" s="1"/>
  <c r="F197" a="1"/>
  <c r="F197" s="1"/>
  <c r="F190" a="1"/>
  <c r="F190" s="1"/>
  <c r="F187" a="1"/>
  <c r="F187" s="1"/>
  <c r="F203" a="1"/>
  <c r="F203" s="1"/>
  <c r="F201" a="1"/>
  <c r="F201" s="1"/>
  <c r="F207" a="1"/>
  <c r="F207" s="1"/>
  <c r="F193" a="1"/>
  <c r="F193" s="1"/>
  <c r="F192" a="1"/>
  <c r="F192" s="1"/>
  <c r="F186" a="1"/>
  <c r="F186" s="1"/>
  <c r="F189" a="1"/>
  <c r="F189" s="1"/>
  <c r="F195" a="1"/>
  <c r="F195" s="1"/>
  <c r="F185" a="1"/>
  <c r="F185" s="1"/>
  <c r="F205" a="1"/>
  <c r="F205" s="1"/>
  <c r="F202" a="1"/>
  <c r="F202" s="1"/>
  <c r="F194" a="1"/>
  <c r="F194" s="1"/>
  <c r="F198" a="1"/>
  <c r="F198" s="1"/>
  <c r="F91" a="1"/>
  <c r="F91" s="1"/>
  <c r="F112" a="1"/>
  <c r="F112" s="1"/>
  <c r="F100" a="1"/>
  <c r="F100" s="1"/>
  <c r="F105" a="1"/>
  <c r="F105" s="1"/>
  <c r="F99" a="1"/>
  <c r="F99" s="1"/>
  <c r="F110" a="1"/>
  <c r="F110" s="1"/>
  <c r="F106" a="1"/>
  <c r="F106" s="1"/>
  <c r="F113" a="1"/>
  <c r="F113" s="1"/>
  <c r="F92" a="1"/>
  <c r="F92" s="1"/>
  <c r="F109" a="1"/>
  <c r="F109" s="1"/>
  <c r="F94" a="1"/>
  <c r="F94" s="1"/>
  <c r="F107" a="1"/>
  <c r="F107" s="1"/>
  <c r="F108" a="1"/>
  <c r="F108" s="1"/>
  <c r="F93" a="1"/>
  <c r="F93" s="1"/>
  <c r="F96" a="1"/>
  <c r="F96" s="1"/>
  <c r="F101" a="1"/>
  <c r="F101" s="1"/>
  <c r="F97" a="1"/>
  <c r="F97" s="1"/>
  <c r="F102" a="1"/>
  <c r="F102" s="1"/>
  <c r="F104" a="1"/>
  <c r="F104" s="1"/>
  <c r="F95" a="1"/>
  <c r="F95" s="1"/>
  <c r="F111" a="1"/>
  <c r="F111" s="1"/>
  <c r="F103" a="1"/>
  <c r="F103" s="1"/>
  <c r="F90" a="1"/>
  <c r="F90" s="1"/>
  <c r="F98" a="1"/>
  <c r="F98" s="1"/>
  <c r="F252" a="1"/>
  <c r="F252" s="1"/>
  <c r="F237" a="1"/>
  <c r="F237" s="1"/>
  <c r="F238" a="1"/>
  <c r="F238" s="1"/>
  <c r="F246" a="1"/>
  <c r="F246" s="1"/>
  <c r="F236" a="1"/>
  <c r="F236" s="1"/>
  <c r="F253" a="1"/>
  <c r="F253" s="1"/>
  <c r="F233" a="1"/>
  <c r="F233" s="1"/>
  <c r="F247" a="1"/>
  <c r="F247" s="1"/>
  <c r="F251" a="1"/>
  <c r="F251" s="1"/>
  <c r="F244" a="1"/>
  <c r="F244" s="1"/>
  <c r="F234" a="1"/>
  <c r="F234" s="1"/>
  <c r="F240" a="1"/>
  <c r="F240" s="1"/>
  <c r="F235" a="1"/>
  <c r="F235" s="1"/>
  <c r="F243" a="1"/>
  <c r="F243" s="1"/>
  <c r="F232" a="1"/>
  <c r="F232" s="1"/>
  <c r="F231" a="1"/>
  <c r="F231" s="1"/>
  <c r="F249" a="1"/>
  <c r="F249" s="1"/>
  <c r="F242" a="1"/>
  <c r="F242" s="1"/>
  <c r="F241" a="1"/>
  <c r="F241" s="1"/>
  <c r="F248" a="1"/>
  <c r="F248" s="1"/>
  <c r="F245" a="1"/>
  <c r="F245" s="1"/>
  <c r="BC12" i="52"/>
  <c r="F239" i="51" a="1"/>
  <c r="F239" s="1"/>
  <c r="F250" a="1"/>
  <c r="F250" s="1"/>
  <c r="F601" a="1"/>
  <c r="F601" s="1"/>
  <c r="G601" s="1"/>
  <c r="F603" a="1"/>
  <c r="F603" s="1"/>
  <c r="G603" s="1"/>
  <c r="F590" a="1"/>
  <c r="F590" s="1"/>
  <c r="G590" s="1"/>
  <c r="F591" i="40" a="1"/>
  <c r="F591" s="1"/>
  <c r="F594" a="1"/>
  <c r="F594" s="1"/>
  <c r="F594" i="51" a="1"/>
  <c r="F594" s="1"/>
  <c r="G594" s="1"/>
  <c r="F598" a="1"/>
  <c r="F598" s="1"/>
  <c r="G598" s="1"/>
  <c r="F602" a="1"/>
  <c r="F602" s="1"/>
  <c r="G602" s="1"/>
  <c r="F595" i="40" a="1"/>
  <c r="F595" s="1"/>
  <c r="F599" a="1"/>
  <c r="F599" s="1"/>
  <c r="F600" i="51" a="1"/>
  <c r="F600" s="1"/>
  <c r="G600" s="1"/>
  <c r="F592" a="1"/>
  <c r="F592" s="1"/>
  <c r="G592" s="1"/>
  <c r="F596" i="40" a="1"/>
  <c r="F596" s="1"/>
  <c r="F607" a="1"/>
  <c r="F607" s="1"/>
  <c r="F590" a="1"/>
  <c r="F590" s="1"/>
  <c r="F611" i="51" a="1"/>
  <c r="F611" s="1"/>
  <c r="G611" s="1"/>
  <c r="F609" i="40" a="1"/>
  <c r="F609" s="1"/>
  <c r="F609" i="51" a="1"/>
  <c r="F609" s="1"/>
  <c r="G609" s="1"/>
  <c r="F593" i="40" a="1"/>
  <c r="F593" s="1"/>
  <c r="F593" i="51" a="1"/>
  <c r="F593" s="1"/>
  <c r="G593" s="1"/>
  <c r="F608" a="1"/>
  <c r="F608" s="1"/>
  <c r="G608" s="1"/>
  <c r="F607" a="1"/>
  <c r="F607" s="1"/>
  <c r="G607" s="1"/>
  <c r="F598" i="40" a="1"/>
  <c r="F598" s="1"/>
  <c r="F604" a="1"/>
  <c r="F604" s="1"/>
  <c r="F596" i="51" a="1"/>
  <c r="F596" s="1"/>
  <c r="G596" s="1"/>
  <c r="F606" a="1"/>
  <c r="F606" s="1"/>
  <c r="G606" s="1"/>
  <c r="F591" a="1"/>
  <c r="F591" s="1"/>
  <c r="G591" s="1"/>
  <c r="F601" i="40" a="1"/>
  <c r="F601" s="1"/>
  <c r="F611" a="1"/>
  <c r="F611" s="1"/>
  <c r="F597" a="1"/>
  <c r="F597" s="1"/>
  <c r="F605" i="51" a="1"/>
  <c r="F605" s="1"/>
  <c r="G605" s="1"/>
  <c r="F606" i="40" a="1"/>
  <c r="F606" s="1"/>
  <c r="F610" a="1"/>
  <c r="F610" s="1"/>
  <c r="F603" a="1"/>
  <c r="F603" s="1"/>
  <c r="F608" a="1"/>
  <c r="F608" s="1"/>
  <c r="F595" i="51" a="1"/>
  <c r="F595" s="1"/>
  <c r="G595" s="1"/>
  <c r="F605" i="40" a="1"/>
  <c r="F605" s="1"/>
  <c r="BC29" i="52"/>
  <c r="F600" i="40" a="1"/>
  <c r="F600" s="1"/>
  <c r="F604" i="51" a="1"/>
  <c r="F604" s="1"/>
  <c r="G604" s="1"/>
  <c r="F610" a="1"/>
  <c r="F610" s="1"/>
  <c r="G610" s="1"/>
  <c r="F597" a="1"/>
  <c r="F597" s="1"/>
  <c r="G597" s="1"/>
  <c r="F599" a="1"/>
  <c r="F599" s="1"/>
  <c r="G599" s="1"/>
  <c r="F602" i="40" a="1"/>
  <c r="F602" s="1"/>
  <c r="F592" a="1"/>
  <c r="F592" s="1"/>
  <c r="F492" i="51" a="1"/>
  <c r="F492" s="1"/>
  <c r="BC24" i="52"/>
  <c r="F487" i="51" a="1"/>
  <c r="F487" s="1"/>
  <c r="F488" a="1"/>
  <c r="F488" s="1"/>
  <c r="F491" a="1"/>
  <c r="F491" s="1"/>
  <c r="F496" a="1"/>
  <c r="F496" s="1"/>
  <c r="F484" a="1"/>
  <c r="F484" s="1"/>
  <c r="F486" a="1"/>
  <c r="F486" s="1"/>
  <c r="F495" a="1"/>
  <c r="F495" s="1"/>
  <c r="F485" a="1"/>
  <c r="F485" s="1"/>
  <c r="F493" a="1"/>
  <c r="F493" s="1"/>
  <c r="F497" a="1"/>
  <c r="F497" s="1"/>
  <c r="F494" a="1"/>
  <c r="F494" s="1"/>
  <c r="F490" a="1"/>
  <c r="F490" s="1"/>
  <c r="F489" a="1"/>
  <c r="F489" s="1"/>
  <c r="F139" a="1"/>
  <c r="F139" s="1"/>
  <c r="F142" a="1"/>
  <c r="F142" s="1"/>
  <c r="F157" a="1"/>
  <c r="F157" s="1"/>
  <c r="F150" a="1"/>
  <c r="F150" s="1"/>
  <c r="F140" a="1"/>
  <c r="F140" s="1"/>
  <c r="F148" a="1"/>
  <c r="F148" s="1"/>
  <c r="F149" a="1"/>
  <c r="F149" s="1"/>
  <c r="F152" a="1"/>
  <c r="F152" s="1"/>
  <c r="F155" a="1"/>
  <c r="F155" s="1"/>
  <c r="F160" a="1"/>
  <c r="F160" s="1"/>
  <c r="F158" a="1"/>
  <c r="F158" s="1"/>
  <c r="F146" a="1"/>
  <c r="F146" s="1"/>
  <c r="F153" a="1"/>
  <c r="F153" s="1"/>
  <c r="F156" a="1"/>
  <c r="F156" s="1"/>
  <c r="F138" a="1"/>
  <c r="F138" s="1"/>
  <c r="F151" a="1"/>
  <c r="F151" s="1"/>
  <c r="F159" a="1"/>
  <c r="F159" s="1"/>
  <c r="F161" a="1"/>
  <c r="F161" s="1"/>
  <c r="F145" a="1"/>
  <c r="F145" s="1"/>
  <c r="F147" a="1"/>
  <c r="F147" s="1"/>
  <c r="F141" a="1"/>
  <c r="F141" s="1"/>
  <c r="F144" a="1"/>
  <c r="F144" s="1"/>
  <c r="F154" a="1"/>
  <c r="F154" s="1"/>
  <c r="F143" a="1"/>
  <c r="F143" s="1"/>
  <c r="F331" a="1"/>
  <c r="F331" s="1"/>
  <c r="F321" a="1"/>
  <c r="F321" s="1"/>
  <c r="F334" a="1"/>
  <c r="F334" s="1"/>
  <c r="F323" a="1"/>
  <c r="F323" s="1"/>
  <c r="F322" a="1"/>
  <c r="F322" s="1"/>
  <c r="G322" s="1"/>
  <c r="F329" a="1"/>
  <c r="F329" s="1"/>
  <c r="F330" a="1"/>
  <c r="F330" s="1"/>
  <c r="F333" a="1"/>
  <c r="F333" s="1"/>
  <c r="F339" a="1"/>
  <c r="F339" s="1"/>
  <c r="F328" a="1"/>
  <c r="F328" s="1"/>
  <c r="F325" a="1"/>
  <c r="F325" s="1"/>
  <c r="F337" a="1"/>
  <c r="F337" s="1"/>
  <c r="F336" a="1"/>
  <c r="F336" s="1"/>
  <c r="BC16" i="52"/>
  <c r="F326" i="51" a="1"/>
  <c r="F326" s="1"/>
  <c r="F332" a="1"/>
  <c r="F332" s="1"/>
  <c r="F338" a="1"/>
  <c r="F338" s="1"/>
  <c r="F335" a="1"/>
  <c r="F335" s="1"/>
  <c r="F324" a="1"/>
  <c r="F324" s="1"/>
  <c r="F340" a="1"/>
  <c r="F340" s="1"/>
  <c r="F327" a="1"/>
  <c r="F327" s="1"/>
  <c r="BC17" i="52"/>
  <c r="F363" i="51" a="1"/>
  <c r="F363" s="1"/>
  <c r="F342" a="1"/>
  <c r="F342" s="1"/>
  <c r="F364" a="1"/>
  <c r="F364" s="1"/>
  <c r="F344" a="1"/>
  <c r="F344" s="1"/>
  <c r="F351" a="1"/>
  <c r="F351" s="1"/>
  <c r="F356" a="1"/>
  <c r="F356" s="1"/>
  <c r="F343" a="1"/>
  <c r="F343" s="1"/>
  <c r="F358" a="1"/>
  <c r="F358" s="1"/>
  <c r="F350" a="1"/>
  <c r="F350" s="1"/>
  <c r="F352" a="1"/>
  <c r="F352" s="1"/>
  <c r="F348" a="1"/>
  <c r="F348" s="1"/>
  <c r="F362" a="1"/>
  <c r="F362" s="1"/>
  <c r="F354" a="1"/>
  <c r="F354" s="1"/>
  <c r="F347" a="1"/>
  <c r="F347" s="1"/>
  <c r="F349" a="1"/>
  <c r="F349" s="1"/>
  <c r="F361" a="1"/>
  <c r="F361" s="1"/>
  <c r="F357" a="1"/>
  <c r="F357" s="1"/>
  <c r="F360" a="1"/>
  <c r="F360" s="1"/>
  <c r="F341" a="1"/>
  <c r="F341" s="1"/>
  <c r="F353" a="1"/>
  <c r="F353" s="1"/>
  <c r="F345" a="1"/>
  <c r="F345" s="1"/>
  <c r="F346" a="1"/>
  <c r="F346" s="1"/>
  <c r="F355" a="1"/>
  <c r="F355" s="1"/>
  <c r="F359" a="1"/>
  <c r="F359" s="1"/>
  <c r="F555" i="40" a="1"/>
  <c r="F555" s="1"/>
  <c r="J555" s="1"/>
  <c r="F547" a="1"/>
  <c r="F547" s="1"/>
  <c r="F541" a="1"/>
  <c r="F541" s="1"/>
  <c r="F557" a="1"/>
  <c r="F557" s="1"/>
  <c r="F166" i="51" a="1"/>
  <c r="F166" s="1"/>
  <c r="F173" a="1"/>
  <c r="F173" s="1"/>
  <c r="F165" a="1"/>
  <c r="F165" s="1"/>
  <c r="F177" a="1"/>
  <c r="F177" s="1"/>
  <c r="F182" a="1"/>
  <c r="F182" s="1"/>
  <c r="F176" a="1"/>
  <c r="F176" s="1"/>
  <c r="F169" a="1"/>
  <c r="F169" s="1"/>
  <c r="F175" a="1"/>
  <c r="F175" s="1"/>
  <c r="F174" a="1"/>
  <c r="F174" s="1"/>
  <c r="BC9" i="52"/>
  <c r="F172" i="51" a="1"/>
  <c r="F172" s="1"/>
  <c r="F178" a="1"/>
  <c r="F178" s="1"/>
  <c r="F163" a="1"/>
  <c r="F163" s="1"/>
  <c r="F170" a="1"/>
  <c r="F170" s="1"/>
  <c r="F171" a="1"/>
  <c r="F171" s="1"/>
  <c r="F179" a="1"/>
  <c r="F179" s="1"/>
  <c r="F184" a="1"/>
  <c r="F184" s="1"/>
  <c r="F162" a="1"/>
  <c r="F162" s="1"/>
  <c r="F180" a="1"/>
  <c r="F180" s="1"/>
  <c r="F181" a="1"/>
  <c r="F181" s="1"/>
  <c r="F164" a="1"/>
  <c r="F164" s="1"/>
  <c r="F168" a="1"/>
  <c r="F168" s="1"/>
  <c r="F183" a="1"/>
  <c r="F183" s="1"/>
  <c r="F167" a="1"/>
  <c r="F167" s="1"/>
  <c r="BC22" i="52"/>
  <c r="F467" i="51" a="1"/>
  <c r="F467" s="1"/>
  <c r="F454" a="1"/>
  <c r="F454" s="1"/>
  <c r="F457" a="1"/>
  <c r="F457" s="1"/>
  <c r="F464" a="1"/>
  <c r="F464" s="1"/>
  <c r="F461" a="1"/>
  <c r="F461" s="1"/>
  <c r="F456" a="1"/>
  <c r="F456" s="1"/>
  <c r="F460" a="1"/>
  <c r="F460" s="1"/>
  <c r="F458" a="1"/>
  <c r="F458" s="1"/>
  <c r="F465" a="1"/>
  <c r="F465" s="1"/>
  <c r="F452" a="1"/>
  <c r="F452" s="1"/>
  <c r="F459" a="1"/>
  <c r="F459" s="1"/>
  <c r="F455" a="1"/>
  <c r="F455" s="1"/>
  <c r="G455" s="1"/>
  <c r="F463" a="1"/>
  <c r="F463" s="1"/>
  <c r="F462" a="1"/>
  <c r="F462" s="1"/>
  <c r="F466" a="1"/>
  <c r="F466" s="1"/>
  <c r="F453" a="1"/>
  <c r="F453" s="1"/>
  <c r="F439" a="1"/>
  <c r="F439" s="1"/>
  <c r="F440" a="1"/>
  <c r="F440" s="1"/>
  <c r="F449" a="1"/>
  <c r="F449" s="1"/>
  <c r="F438" a="1"/>
  <c r="F438" s="1"/>
  <c r="F443" a="1"/>
  <c r="F443" s="1"/>
  <c r="G443" s="1"/>
  <c r="F437" a="1"/>
  <c r="F437" s="1"/>
  <c r="F444" a="1"/>
  <c r="F444" s="1"/>
  <c r="F450" a="1"/>
  <c r="F450" s="1"/>
  <c r="F445" a="1"/>
  <c r="F445" s="1"/>
  <c r="F441" a="1"/>
  <c r="F441" s="1"/>
  <c r="F447" a="1"/>
  <c r="F447" s="1"/>
  <c r="BC21" i="52"/>
  <c r="F436" i="51" a="1"/>
  <c r="F436" s="1"/>
  <c r="F451" a="1"/>
  <c r="F451" s="1"/>
  <c r="G451" s="1"/>
  <c r="F446" a="1"/>
  <c r="F446" s="1"/>
  <c r="F442" a="1"/>
  <c r="F442" s="1"/>
  <c r="F448" a="1"/>
  <c r="F448" s="1"/>
  <c r="F377" a="1"/>
  <c r="F377" s="1"/>
  <c r="F367" a="1"/>
  <c r="F367" s="1"/>
  <c r="F387" a="1"/>
  <c r="F387" s="1"/>
  <c r="F370" a="1"/>
  <c r="F370" s="1"/>
  <c r="F365" a="1"/>
  <c r="F365" s="1"/>
  <c r="F381" a="1"/>
  <c r="F381" s="1"/>
  <c r="F366" a="1"/>
  <c r="F366" s="1"/>
  <c r="BC18" i="52"/>
  <c r="F369" i="51" a="1"/>
  <c r="F369" s="1"/>
  <c r="F368" a="1"/>
  <c r="F368" s="1"/>
  <c r="F380" a="1"/>
  <c r="F380" s="1"/>
  <c r="F382" a="1"/>
  <c r="F382" s="1"/>
  <c r="F374" a="1"/>
  <c r="F374" s="1"/>
  <c r="F376" a="1"/>
  <c r="F376" s="1"/>
  <c r="F378" a="1"/>
  <c r="F378" s="1"/>
  <c r="F384" a="1"/>
  <c r="F384" s="1"/>
  <c r="F379" a="1"/>
  <c r="F379" s="1"/>
  <c r="F386" a="1"/>
  <c r="F386" s="1"/>
  <c r="F383" a="1"/>
  <c r="F383" s="1"/>
  <c r="F371" a="1"/>
  <c r="F371" s="1"/>
  <c r="F372" a="1"/>
  <c r="F372" s="1"/>
  <c r="F388" a="1"/>
  <c r="F388" s="1"/>
  <c r="F373" a="1"/>
  <c r="F373" s="1"/>
  <c r="F385" a="1"/>
  <c r="F385" s="1"/>
  <c r="F375" a="1"/>
  <c r="F375" s="1"/>
  <c r="F531" i="40" a="1"/>
  <c r="F531" s="1"/>
  <c r="F527" a="1"/>
  <c r="F527" s="1"/>
  <c r="F543" a="1"/>
  <c r="F543" s="1"/>
  <c r="F567" a="1"/>
  <c r="F567" s="1"/>
  <c r="F525" a="1"/>
  <c r="F525" s="1"/>
  <c r="F571" a="1"/>
  <c r="F571" s="1"/>
  <c r="F298" i="51" a="1"/>
  <c r="F298" s="1"/>
  <c r="F297" a="1"/>
  <c r="F297" s="1"/>
  <c r="F287" a="1"/>
  <c r="F287" s="1"/>
  <c r="F291" a="1"/>
  <c r="F291" s="1"/>
  <c r="F282" a="1"/>
  <c r="F282" s="1"/>
  <c r="F278" a="1"/>
  <c r="F278" s="1"/>
  <c r="F283" a="1"/>
  <c r="F283" s="1"/>
  <c r="F289" a="1"/>
  <c r="F289" s="1"/>
  <c r="F295" a="1"/>
  <c r="F295" s="1"/>
  <c r="F277" a="1"/>
  <c r="F277" s="1"/>
  <c r="F290" a="1"/>
  <c r="F290" s="1"/>
  <c r="F285" a="1"/>
  <c r="F285" s="1"/>
  <c r="F288" a="1"/>
  <c r="F288" s="1"/>
  <c r="F281" a="1"/>
  <c r="F281" s="1"/>
  <c r="F293" a="1"/>
  <c r="F293" s="1"/>
  <c r="F292" a="1"/>
  <c r="F292" s="1"/>
  <c r="F279" a="1"/>
  <c r="F279" s="1"/>
  <c r="BC14" i="52"/>
  <c r="F280" i="51" a="1"/>
  <c r="F280" s="1"/>
  <c r="F286" a="1"/>
  <c r="F286" s="1"/>
  <c r="F294" a="1"/>
  <c r="F294" s="1"/>
  <c r="F284" a="1"/>
  <c r="F284" s="1"/>
  <c r="F296" a="1"/>
  <c r="F296" s="1"/>
  <c r="G296" s="1"/>
  <c r="F514" a="1"/>
  <c r="F514" s="1"/>
  <c r="G514" s="1"/>
  <c r="F499" a="1"/>
  <c r="F499" s="1"/>
  <c r="F521" a="1"/>
  <c r="F521" s="1"/>
  <c r="G521" s="1"/>
  <c r="F517" a="1"/>
  <c r="F517" s="1"/>
  <c r="G517" s="1"/>
  <c r="F512" a="1"/>
  <c r="F512" s="1"/>
  <c r="G512" s="1"/>
  <c r="F502" a="1"/>
  <c r="F502" s="1"/>
  <c r="F506" a="1"/>
  <c r="F506" s="1"/>
  <c r="G506" s="1"/>
  <c r="F500" a="1"/>
  <c r="F500" s="1"/>
  <c r="F520" a="1"/>
  <c r="F520" s="1"/>
  <c r="G520" s="1"/>
  <c r="F511" a="1"/>
  <c r="F511" s="1"/>
  <c r="G511" s="1"/>
  <c r="F508" a="1"/>
  <c r="F508" s="1"/>
  <c r="G508" s="1"/>
  <c r="F518" a="1"/>
  <c r="F518" s="1"/>
  <c r="G518" s="1"/>
  <c r="BC25" i="52"/>
  <c r="F507" i="51" a="1"/>
  <c r="F507" s="1"/>
  <c r="G507" s="1"/>
  <c r="F513" a="1"/>
  <c r="F513" s="1"/>
  <c r="G513" s="1"/>
  <c r="F519" a="1"/>
  <c r="F519" s="1"/>
  <c r="G519" s="1"/>
  <c r="F509" a="1"/>
  <c r="F509" s="1"/>
  <c r="G509" s="1"/>
  <c r="F501" a="1"/>
  <c r="F501" s="1"/>
  <c r="F504" a="1"/>
  <c r="F504" s="1"/>
  <c r="G504" s="1"/>
  <c r="F503" a="1"/>
  <c r="F503" s="1"/>
  <c r="G503" s="1"/>
  <c r="F498" a="1"/>
  <c r="F498" s="1"/>
  <c r="F505" a="1"/>
  <c r="F505" s="1"/>
  <c r="G505" s="1"/>
  <c r="F516" a="1"/>
  <c r="F516" s="1"/>
  <c r="G516" s="1"/>
  <c r="F515" a="1"/>
  <c r="F515" s="1"/>
  <c r="G515" s="1"/>
  <c r="F510" a="1"/>
  <c r="F510" s="1"/>
  <c r="G510" s="1"/>
  <c r="F27" a="1"/>
  <c r="F27" s="1"/>
  <c r="F33" a="1"/>
  <c r="F33" s="1"/>
  <c r="F35" a="1"/>
  <c r="F35" s="1"/>
  <c r="F32" a="1"/>
  <c r="F32" s="1"/>
  <c r="F29" a="1"/>
  <c r="F29" s="1"/>
  <c r="F39" a="1"/>
  <c r="F39" s="1"/>
  <c r="F25" a="1"/>
  <c r="F25" s="1"/>
  <c r="F26" a="1"/>
  <c r="F26" s="1"/>
  <c r="F38" a="1"/>
  <c r="F38" s="1"/>
  <c r="F34" a="1"/>
  <c r="F34" s="1"/>
  <c r="F40" a="1"/>
  <c r="F40" s="1"/>
  <c r="F41" a="1"/>
  <c r="F41" s="1"/>
  <c r="F28" a="1"/>
  <c r="F28" s="1"/>
  <c r="F44" a="1"/>
  <c r="F44" s="1"/>
  <c r="F45" a="1"/>
  <c r="F45" s="1"/>
  <c r="F37" a="1"/>
  <c r="F37" s="1"/>
  <c r="F42" a="1"/>
  <c r="F42" s="1"/>
  <c r="F30" a="1"/>
  <c r="F30" s="1"/>
  <c r="F24" a="1"/>
  <c r="F24" s="1"/>
  <c r="F36" a="1"/>
  <c r="F36" s="1"/>
  <c r="F31" a="1"/>
  <c r="F31" s="1"/>
  <c r="F43" a="1"/>
  <c r="F43" s="1"/>
  <c r="AP291" i="37"/>
  <c r="AP332"/>
  <c r="AF155"/>
  <c r="AF62"/>
  <c r="AF34"/>
  <c r="AJ191"/>
  <c r="AJ87"/>
  <c r="AJ174"/>
  <c r="AJ238"/>
  <c r="AF322"/>
  <c r="AF43"/>
  <c r="AF389"/>
  <c r="AF54"/>
  <c r="AF482"/>
  <c r="AJ343"/>
  <c r="AJ465"/>
  <c r="AJ159"/>
  <c r="AJ214"/>
  <c r="AJ74"/>
  <c r="AF108"/>
  <c r="AF253"/>
  <c r="AF285"/>
  <c r="AO441"/>
  <c r="G441" i="51" s="1"/>
  <c r="AF308" i="37"/>
  <c r="AF115"/>
  <c r="AF272"/>
  <c r="AF397"/>
  <c r="AO356"/>
  <c r="G356" i="51" s="1"/>
  <c r="AO305" i="37"/>
  <c r="G305" i="51" s="1"/>
  <c r="AJ231" i="37"/>
  <c r="AK240"/>
  <c r="AF252"/>
  <c r="AF319"/>
  <c r="AF235"/>
  <c r="AJ438"/>
  <c r="AP447"/>
  <c r="AF462"/>
  <c r="AF169"/>
  <c r="AF25"/>
  <c r="AF480"/>
  <c r="AF49"/>
  <c r="AF178"/>
  <c r="AF128"/>
  <c r="AF33"/>
  <c r="AF348"/>
  <c r="AF472"/>
  <c r="AF368"/>
  <c r="AF64"/>
  <c r="AF153"/>
  <c r="AF79"/>
  <c r="AF10"/>
  <c r="AF483"/>
  <c r="AJ213"/>
  <c r="AF415"/>
  <c r="AJ130"/>
  <c r="AF411"/>
  <c r="AJ118"/>
  <c r="AJ193"/>
  <c r="AJ196"/>
  <c r="AJ165"/>
  <c r="AJ351"/>
  <c r="AJ270"/>
  <c r="AJ372"/>
  <c r="AF420"/>
  <c r="AJ95"/>
  <c r="AJ347"/>
  <c r="AJ80"/>
  <c r="AF245"/>
  <c r="AF426"/>
  <c r="AF309"/>
  <c r="AF325"/>
  <c r="AF8"/>
  <c r="AJ128"/>
  <c r="AJ475"/>
  <c r="AJ14"/>
  <c r="AJ225"/>
  <c r="AJ176"/>
  <c r="AF418"/>
  <c r="AJ425"/>
  <c r="AJ332"/>
  <c r="AP322"/>
  <c r="AF310"/>
  <c r="AJ281"/>
  <c r="AK230"/>
  <c r="AF77"/>
  <c r="AJ349"/>
  <c r="AJ263"/>
  <c r="AJ397"/>
  <c r="AJ208"/>
  <c r="AJ450"/>
  <c r="AF118"/>
  <c r="AF36"/>
  <c r="AF458"/>
  <c r="AF82"/>
  <c r="AF53"/>
  <c r="AF217"/>
  <c r="AJ127"/>
  <c r="AJ173"/>
  <c r="AJ392"/>
  <c r="AJ476"/>
  <c r="AF208"/>
  <c r="AJ488"/>
  <c r="AF454"/>
  <c r="AJ421"/>
  <c r="AF286"/>
  <c r="AJ153"/>
  <c r="AJ348"/>
  <c r="AF287"/>
  <c r="AJ50"/>
  <c r="AJ188"/>
  <c r="AF402"/>
  <c r="AJ477"/>
  <c r="AF42"/>
  <c r="AF487"/>
  <c r="AF94"/>
  <c r="AJ124"/>
  <c r="AJ338"/>
  <c r="AJ133"/>
  <c r="AF179"/>
  <c r="AJ458"/>
  <c r="AJ171"/>
  <c r="AJ68"/>
  <c r="AF494"/>
  <c r="AF320"/>
  <c r="AJ313"/>
  <c r="AP259"/>
  <c r="AJ361"/>
  <c r="AF358"/>
  <c r="AF296"/>
  <c r="AF211"/>
  <c r="AF69"/>
  <c r="AF346"/>
  <c r="AJ22"/>
  <c r="AJ108"/>
  <c r="AF413"/>
  <c r="AJ292"/>
  <c r="AJ309"/>
  <c r="AJ246"/>
  <c r="AJ437"/>
  <c r="AF229"/>
  <c r="AF283"/>
  <c r="AJ286"/>
  <c r="AO237"/>
  <c r="G237" i="51" s="1"/>
  <c r="AF470" i="37"/>
  <c r="AF124"/>
  <c r="AF81"/>
  <c r="AF185"/>
  <c r="AF464"/>
  <c r="AJ156"/>
  <c r="AJ367"/>
  <c r="AF193"/>
  <c r="AJ122"/>
  <c r="AJ175"/>
  <c r="AJ472"/>
  <c r="AF187"/>
  <c r="AF183"/>
  <c r="AF190"/>
  <c r="AF136"/>
  <c r="AF250"/>
  <c r="AF240"/>
  <c r="AJ151"/>
  <c r="AP321"/>
  <c r="AF352"/>
  <c r="AJ385"/>
  <c r="AJ484"/>
  <c r="AJ81"/>
  <c r="AJ32"/>
  <c r="AF200"/>
  <c r="AJ3"/>
  <c r="AJ45"/>
  <c r="AJ47"/>
  <c r="AF391"/>
  <c r="AF223"/>
  <c r="AF467"/>
  <c r="AF154"/>
  <c r="AF266"/>
  <c r="AF338"/>
  <c r="AF30"/>
  <c r="AF350"/>
  <c r="AF52"/>
  <c r="AF219"/>
  <c r="AF479"/>
  <c r="AF474"/>
  <c r="AF16"/>
  <c r="AF484"/>
  <c r="AF39"/>
  <c r="AF202"/>
  <c r="AF105"/>
  <c r="AF98"/>
  <c r="AJ114"/>
  <c r="AJ88"/>
  <c r="AJ63"/>
  <c r="AJ115"/>
  <c r="AJ272"/>
  <c r="AJ49"/>
  <c r="AJ158"/>
  <c r="AJ216"/>
  <c r="AJ269"/>
  <c r="AJ473"/>
  <c r="AJ340"/>
  <c r="AJ394"/>
  <c r="AJ101"/>
  <c r="AJ33"/>
  <c r="AJ166"/>
  <c r="AJ12"/>
  <c r="AF151"/>
  <c r="AF457"/>
  <c r="AJ257"/>
  <c r="AJ494"/>
  <c r="AF138"/>
  <c r="AJ149"/>
  <c r="AJ229"/>
  <c r="AF292"/>
  <c r="AF142"/>
  <c r="AF381"/>
  <c r="AJ185"/>
  <c r="AJ24"/>
  <c r="AF405"/>
  <c r="AJ70"/>
  <c r="AF66"/>
  <c r="AF17"/>
  <c r="AJ21"/>
  <c r="AJ186"/>
  <c r="AF158"/>
  <c r="AF214"/>
  <c r="AF3"/>
  <c r="AJ341"/>
  <c r="AJ381"/>
  <c r="AJ212"/>
  <c r="AJ93"/>
  <c r="AJ245"/>
  <c r="AJ134"/>
  <c r="AJ227"/>
  <c r="AF269"/>
  <c r="AF212"/>
  <c r="AF130"/>
  <c r="AF395"/>
  <c r="AF89"/>
  <c r="AF163"/>
  <c r="AF91"/>
  <c r="AJ275"/>
  <c r="AJ276"/>
  <c r="AJ221"/>
  <c r="AJ271"/>
  <c r="AJ170"/>
  <c r="AJ164"/>
  <c r="AJ92"/>
  <c r="AJ161"/>
  <c r="AJ7"/>
  <c r="AJ406"/>
  <c r="AJ207"/>
  <c r="AJ77"/>
  <c r="AJ342"/>
  <c r="AJ306"/>
  <c r="AP281"/>
  <c r="AP455"/>
  <c r="AP453"/>
  <c r="AF301"/>
  <c r="AF492"/>
  <c r="AF481"/>
  <c r="AJ468"/>
  <c r="AJ446"/>
  <c r="AJ492"/>
  <c r="AF475"/>
  <c r="AF490"/>
  <c r="AJ474"/>
  <c r="AJ418"/>
  <c r="AJ479"/>
  <c r="AF495"/>
  <c r="AJ440"/>
  <c r="AJ427"/>
  <c r="AJ460"/>
  <c r="AJ429"/>
  <c r="AF456"/>
  <c r="AF455"/>
  <c r="AF167"/>
  <c r="AF160"/>
  <c r="AF194"/>
  <c r="AJ30"/>
  <c r="AF396"/>
  <c r="AF380"/>
  <c r="AF116"/>
  <c r="AF372"/>
  <c r="AF386"/>
  <c r="AF393"/>
  <c r="AF110"/>
  <c r="AF101"/>
  <c r="AF237"/>
  <c r="AF341"/>
  <c r="AF276"/>
  <c r="AF9"/>
  <c r="AF156"/>
  <c r="AF175"/>
  <c r="AF401"/>
  <c r="AJ61"/>
  <c r="AJ393"/>
  <c r="AF404"/>
  <c r="AF333"/>
  <c r="AF230"/>
  <c r="AF75"/>
  <c r="AF162"/>
  <c r="AF166"/>
  <c r="AF71"/>
  <c r="AJ404"/>
  <c r="AJ298"/>
  <c r="AF361"/>
  <c r="AF35"/>
  <c r="AJ291"/>
  <c r="AF274"/>
  <c r="AF5"/>
  <c r="AF37"/>
  <c r="AF44"/>
  <c r="AJ59"/>
  <c r="AF106"/>
  <c r="AJ374"/>
  <c r="AJ109"/>
  <c r="AF112"/>
  <c r="AF299"/>
  <c r="AJ117"/>
  <c r="AF29"/>
  <c r="AF264"/>
  <c r="AF93"/>
  <c r="AF215"/>
  <c r="AJ215"/>
  <c r="AJ160"/>
  <c r="AP307"/>
  <c r="AJ111"/>
  <c r="AF221"/>
  <c r="AF370"/>
  <c r="AF6"/>
  <c r="AF336"/>
  <c r="AF489"/>
  <c r="AF460"/>
  <c r="AJ79"/>
  <c r="AJ203"/>
  <c r="AJ264"/>
  <c r="AJ64"/>
  <c r="AJ410"/>
  <c r="AJ218"/>
  <c r="AJ195"/>
  <c r="AJ99"/>
  <c r="AJ395"/>
  <c r="AJ10"/>
  <c r="AJ482"/>
  <c r="AJ254"/>
  <c r="AP328"/>
  <c r="AJ280"/>
  <c r="AJ334"/>
  <c r="AJ230"/>
  <c r="AJ283"/>
  <c r="AF379"/>
  <c r="AF394"/>
  <c r="AF192"/>
  <c r="AJ26"/>
  <c r="AJ194"/>
  <c r="AJ222"/>
  <c r="AJ53"/>
  <c r="AJ483"/>
  <c r="AJ490"/>
  <c r="AJ399"/>
  <c r="AF184"/>
  <c r="AJ409"/>
  <c r="AJ433"/>
  <c r="AF374"/>
  <c r="AF373"/>
  <c r="AF398"/>
  <c r="AF67"/>
  <c r="AJ463"/>
  <c r="AJ426"/>
  <c r="AF236"/>
  <c r="AJ293"/>
  <c r="AF423"/>
  <c r="AJ279"/>
  <c r="AF493"/>
  <c r="AF131"/>
  <c r="AF159"/>
  <c r="AJ368"/>
  <c r="AF435"/>
  <c r="AF257"/>
  <c r="AJ452"/>
  <c r="AK136"/>
  <c r="AJ136"/>
  <c r="AJ251"/>
  <c r="AK56"/>
  <c r="AJ56"/>
  <c r="AK123"/>
  <c r="AJ123"/>
  <c r="AJ75"/>
  <c r="AJ29"/>
  <c r="AK113"/>
  <c r="AJ113"/>
  <c r="AJ36"/>
  <c r="AF109"/>
  <c r="AF188"/>
  <c r="AJ184"/>
  <c r="AJ85"/>
  <c r="AJ100"/>
  <c r="AJ419"/>
  <c r="AJ104"/>
  <c r="AJ107"/>
  <c r="AJ365"/>
  <c r="AJ38"/>
  <c r="AK252"/>
  <c r="AM252" s="1"/>
  <c r="AJ252"/>
  <c r="AF449"/>
  <c r="AK304"/>
  <c r="AJ304"/>
  <c r="AJ451"/>
  <c r="AK500"/>
  <c r="AM500" s="1"/>
  <c r="AJ500"/>
  <c r="AJ435"/>
  <c r="AJ363"/>
  <c r="AK499"/>
  <c r="AK25" i="52" s="1"/>
  <c r="AJ499" i="37"/>
  <c r="AK329"/>
  <c r="AJ329"/>
  <c r="AJ142"/>
  <c r="AK287"/>
  <c r="AM287" s="1"/>
  <c r="AJ287"/>
  <c r="AF302"/>
  <c r="AJ183"/>
  <c r="AJ98"/>
  <c r="AK454"/>
  <c r="AJ454"/>
  <c r="AK324"/>
  <c r="AM324" s="1"/>
  <c r="AJ324"/>
  <c r="AJ35"/>
  <c r="AK102"/>
  <c r="AJ102"/>
  <c r="AJ226"/>
  <c r="AJ268"/>
  <c r="AK82"/>
  <c r="AJ82"/>
  <c r="AJ120"/>
  <c r="AJ350"/>
  <c r="AJ478"/>
  <c r="AK179"/>
  <c r="AJ179"/>
  <c r="AJ204"/>
  <c r="AJ31"/>
  <c r="AJ461"/>
  <c r="AJ491"/>
  <c r="AJ5"/>
  <c r="AJ366"/>
  <c r="AK260"/>
  <c r="AM260" s="1"/>
  <c r="AJ260"/>
  <c r="AP363"/>
  <c r="AK253"/>
  <c r="AJ253"/>
  <c r="AJ138"/>
  <c r="AJ244"/>
  <c r="AJ441"/>
  <c r="AK447"/>
  <c r="AJ447"/>
  <c r="AJ436"/>
  <c r="AP296"/>
  <c r="AK235"/>
  <c r="AM235" s="1"/>
  <c r="AJ235"/>
  <c r="AK319"/>
  <c r="AJ319"/>
  <c r="AJ37"/>
  <c r="AK296"/>
  <c r="AJ296"/>
  <c r="AK375"/>
  <c r="AJ375"/>
  <c r="AJ200"/>
  <c r="AJ190"/>
  <c r="AK288"/>
  <c r="AJ288"/>
  <c r="AK311"/>
  <c r="AJ311"/>
  <c r="AK498"/>
  <c r="AJ498"/>
  <c r="AK297"/>
  <c r="AM297" s="1"/>
  <c r="AJ297"/>
  <c r="AJ187"/>
  <c r="AF247"/>
  <c r="AJ326"/>
  <c r="AJ232"/>
  <c r="AJ357"/>
  <c r="AJ321"/>
  <c r="AJ258"/>
  <c r="AJ240"/>
  <c r="AF441"/>
  <c r="AJ314"/>
  <c r="AJ423"/>
  <c r="AJ237"/>
  <c r="AJ325"/>
  <c r="AJ303"/>
  <c r="AJ255"/>
  <c r="AJ243"/>
  <c r="AF259"/>
  <c r="AF451"/>
  <c r="AJ434"/>
  <c r="AJ241"/>
  <c r="AJ234"/>
  <c r="AJ249"/>
  <c r="AJ335"/>
  <c r="AJ148"/>
  <c r="AJ346"/>
  <c r="AJ192"/>
  <c r="AJ466"/>
  <c r="AJ396"/>
  <c r="AJ417"/>
  <c r="AJ469"/>
  <c r="AJ379"/>
  <c r="AJ206"/>
  <c r="AJ157"/>
  <c r="AJ167"/>
  <c r="AK370"/>
  <c r="AJ370"/>
  <c r="AJ274"/>
  <c r="AJ416"/>
  <c r="AJ20"/>
  <c r="AJ336"/>
  <c r="AK371"/>
  <c r="AJ371"/>
  <c r="AJ369"/>
  <c r="AJ65"/>
  <c r="AJ69"/>
  <c r="AJ125"/>
  <c r="AJ220"/>
  <c r="AJ277"/>
  <c r="AJ52"/>
  <c r="AJ376"/>
  <c r="AJ46"/>
  <c r="AJ86"/>
  <c r="AJ289"/>
  <c r="AJ197"/>
  <c r="AJ308"/>
  <c r="AK140"/>
  <c r="AJ140"/>
  <c r="AJ356"/>
  <c r="AK432"/>
  <c r="AJ432"/>
  <c r="AK144"/>
  <c r="AM144" s="1"/>
  <c r="AJ144"/>
  <c r="AJ496"/>
  <c r="AP443"/>
  <c r="AK501"/>
  <c r="AJ501"/>
  <c r="AJ316"/>
  <c r="AJ23"/>
  <c r="AJ13"/>
  <c r="AJ459"/>
  <c r="AJ54"/>
  <c r="AJ154"/>
  <c r="AJ373"/>
  <c r="AJ116"/>
  <c r="AJ344"/>
  <c r="AJ89"/>
  <c r="AK382"/>
  <c r="AM382" s="1"/>
  <c r="AJ382"/>
  <c r="AJ6"/>
  <c r="AJ389"/>
  <c r="AJ471"/>
  <c r="AJ78"/>
  <c r="AJ198"/>
  <c r="AJ408"/>
  <c r="AJ266"/>
  <c r="AJ41"/>
  <c r="AJ90"/>
  <c r="AJ470"/>
  <c r="AJ43"/>
  <c r="AJ384"/>
  <c r="AJ11"/>
  <c r="AJ84"/>
  <c r="AJ178"/>
  <c r="AJ202"/>
  <c r="AJ362"/>
  <c r="AJ290"/>
  <c r="AJ431"/>
  <c r="AJ284"/>
  <c r="AP323"/>
  <c r="AJ497"/>
  <c r="AJ449"/>
  <c r="AJ330"/>
  <c r="AJ457"/>
  <c r="AJ428"/>
  <c r="AP230"/>
  <c r="AJ211"/>
  <c r="AK502"/>
  <c r="AJ502"/>
  <c r="AJ333"/>
  <c r="AJ355"/>
  <c r="AP423"/>
  <c r="AJ358"/>
  <c r="AP140"/>
  <c r="AJ300"/>
  <c r="AJ242"/>
  <c r="AJ239"/>
  <c r="AJ320"/>
  <c r="AJ322"/>
  <c r="AJ443"/>
  <c r="AJ424"/>
  <c r="AJ448"/>
  <c r="AJ256"/>
  <c r="AJ327"/>
  <c r="AJ359"/>
  <c r="AJ16"/>
  <c r="AK391"/>
  <c r="AJ391"/>
  <c r="AJ493"/>
  <c r="AJ39"/>
  <c r="AJ73"/>
  <c r="AJ407"/>
  <c r="AJ339"/>
  <c r="AJ398"/>
  <c r="AJ278"/>
  <c r="AJ91"/>
  <c r="AJ9"/>
  <c r="AJ172"/>
  <c r="AJ182"/>
  <c r="AJ55"/>
  <c r="AJ217"/>
  <c r="AJ439"/>
  <c r="AK146"/>
  <c r="AM146" s="1"/>
  <c r="AJ146"/>
  <c r="AP440"/>
  <c r="AP234"/>
  <c r="AF496"/>
  <c r="AP427"/>
  <c r="AJ453"/>
  <c r="AJ331"/>
  <c r="AJ380"/>
  <c r="AJ42"/>
  <c r="AJ377"/>
  <c r="AJ201"/>
  <c r="AJ51"/>
  <c r="AK126"/>
  <c r="AJ126"/>
  <c r="AJ163"/>
  <c r="AJ40"/>
  <c r="AJ403"/>
  <c r="AJ189"/>
  <c r="AJ267"/>
  <c r="AJ18"/>
  <c r="AJ62"/>
  <c r="AJ180"/>
  <c r="AJ58"/>
  <c r="AK386"/>
  <c r="AM386" s="1"/>
  <c r="AJ386"/>
  <c r="AJ103"/>
  <c r="AJ388"/>
  <c r="AJ181"/>
  <c r="AJ72"/>
  <c r="AJ152"/>
  <c r="AJ57"/>
  <c r="AJ301"/>
  <c r="AK141"/>
  <c r="AM141" s="1"/>
  <c r="AJ141"/>
  <c r="AP428"/>
  <c r="AJ261"/>
  <c r="AK145"/>
  <c r="AJ145"/>
  <c r="AK294"/>
  <c r="AM294" s="1"/>
  <c r="AJ294"/>
  <c r="AK248"/>
  <c r="AJ248"/>
  <c r="AJ495"/>
  <c r="AK360"/>
  <c r="AJ360"/>
  <c r="AJ328"/>
  <c r="AJ317"/>
  <c r="AJ364"/>
  <c r="AJ307"/>
  <c r="AJ250"/>
  <c r="AJ430"/>
  <c r="AJ233"/>
  <c r="AJ147"/>
  <c r="AJ228"/>
  <c r="AJ247"/>
  <c r="AJ400"/>
  <c r="AJ480"/>
  <c r="AJ199"/>
  <c r="AJ28"/>
  <c r="AJ121"/>
  <c r="AJ96"/>
  <c r="AJ412"/>
  <c r="AJ265"/>
  <c r="AJ17"/>
  <c r="AJ131"/>
  <c r="AJ83"/>
  <c r="AJ97"/>
  <c r="AK455"/>
  <c r="AJ455"/>
  <c r="AJ105"/>
  <c r="AK282"/>
  <c r="AJ282"/>
  <c r="AP451"/>
  <c r="AJ273"/>
  <c r="AJ390"/>
  <c r="AJ485"/>
  <c r="AJ415"/>
  <c r="AJ168"/>
  <c r="AJ44"/>
  <c r="AJ223"/>
  <c r="AJ66"/>
  <c r="AJ411"/>
  <c r="AJ169"/>
  <c r="AJ76"/>
  <c r="AK106"/>
  <c r="AM106" s="1"/>
  <c r="AJ106"/>
  <c r="AJ205"/>
  <c r="AJ162"/>
  <c r="AJ224"/>
  <c r="AJ119"/>
  <c r="AJ405"/>
  <c r="AJ262"/>
  <c r="AJ15"/>
  <c r="AJ132"/>
  <c r="AJ354"/>
  <c r="AJ209"/>
  <c r="AJ486"/>
  <c r="AJ71"/>
  <c r="AJ464"/>
  <c r="AJ378"/>
  <c r="AJ19"/>
  <c r="AJ60"/>
  <c r="AJ112"/>
  <c r="AJ353"/>
  <c r="AJ219"/>
  <c r="AJ402"/>
  <c r="AJ129"/>
  <c r="AJ94"/>
  <c r="AJ155"/>
  <c r="AJ489"/>
  <c r="AJ420"/>
  <c r="AJ413"/>
  <c r="AJ337"/>
  <c r="AJ48"/>
  <c r="AJ110"/>
  <c r="AJ352"/>
  <c r="AJ345"/>
  <c r="AJ67"/>
  <c r="AJ210"/>
  <c r="AJ481"/>
  <c r="AJ295"/>
  <c r="AJ422"/>
  <c r="AJ302"/>
  <c r="AK299"/>
  <c r="AM299" s="1"/>
  <c r="AJ299"/>
  <c r="AJ442"/>
  <c r="AJ177"/>
  <c r="AJ445"/>
  <c r="AJ143"/>
  <c r="AP431"/>
  <c r="AJ137"/>
  <c r="AJ323"/>
  <c r="AJ305"/>
  <c r="AK285"/>
  <c r="AJ285"/>
  <c r="AP290"/>
  <c r="AJ236"/>
  <c r="AK456"/>
  <c r="AM456" s="1"/>
  <c r="AJ456"/>
  <c r="AP247"/>
  <c r="AJ312"/>
  <c r="AJ259"/>
  <c r="AJ444"/>
  <c r="AJ310"/>
  <c r="AJ150"/>
  <c r="AJ315"/>
  <c r="AJ318"/>
  <c r="J506" i="40"/>
  <c r="O506"/>
  <c r="I506"/>
  <c r="N506"/>
  <c r="G506"/>
  <c r="N573"/>
  <c r="G573"/>
  <c r="Q573"/>
  <c r="K573"/>
  <c r="P573"/>
  <c r="J573"/>
  <c r="O573"/>
  <c r="I573"/>
  <c r="H573"/>
  <c r="L573"/>
  <c r="M573"/>
  <c r="H539"/>
  <c r="M539"/>
  <c r="O539"/>
  <c r="K539"/>
  <c r="G539"/>
  <c r="P539"/>
  <c r="Q539"/>
  <c r="I539"/>
  <c r="J539"/>
  <c r="N539"/>
  <c r="L539"/>
  <c r="K504"/>
  <c r="G504"/>
  <c r="I504"/>
  <c r="P504"/>
  <c r="L504"/>
  <c r="N504"/>
  <c r="J504"/>
  <c r="H504"/>
  <c r="O504"/>
  <c r="Q504"/>
  <c r="M504"/>
  <c r="G549"/>
  <c r="O549"/>
  <c r="K549"/>
  <c r="I549"/>
  <c r="L549"/>
  <c r="J549"/>
  <c r="P549"/>
  <c r="N549"/>
  <c r="Q549"/>
  <c r="H549"/>
  <c r="M549"/>
  <c r="AO500" i="37"/>
  <c r="G500" i="51" s="1"/>
  <c r="AF500" i="37"/>
  <c r="AF476"/>
  <c r="AO231"/>
  <c r="G231" i="51" s="1"/>
  <c r="AF231" i="37"/>
  <c r="AO498"/>
  <c r="AF498"/>
  <c r="AO284"/>
  <c r="G284" i="51" s="1"/>
  <c r="AF284" i="37"/>
  <c r="AF424"/>
  <c r="AO141"/>
  <c r="G141" i="51" s="1"/>
  <c r="AF141" i="37"/>
  <c r="AF334"/>
  <c r="AO293"/>
  <c r="G293" i="51" s="1"/>
  <c r="AF293" i="37"/>
  <c r="AO137"/>
  <c r="G137" i="51" s="1"/>
  <c r="AF137" i="37"/>
  <c r="AO145"/>
  <c r="G145" i="51" s="1"/>
  <c r="AF145" i="37"/>
  <c r="AO150"/>
  <c r="G150" i="51" s="1"/>
  <c r="AF150" i="37"/>
  <c r="AO463"/>
  <c r="G463" i="51" s="1"/>
  <c r="AF463" i="37"/>
  <c r="AO146"/>
  <c r="G146" i="51" s="1"/>
  <c r="AF146" i="37"/>
  <c r="AF478"/>
  <c r="AF270"/>
  <c r="AF199"/>
  <c r="AF100"/>
  <c r="AF23"/>
  <c r="AF486"/>
  <c r="AF205"/>
  <c r="AF324"/>
  <c r="AF61"/>
  <c r="AF85"/>
  <c r="AF120"/>
  <c r="AF445"/>
  <c r="AO499"/>
  <c r="G499" i="51" s="1"/>
  <c r="AF499" i="37"/>
  <c r="AF469"/>
  <c r="AF197"/>
  <c r="AF113"/>
  <c r="AO360"/>
  <c r="G360" i="51" s="1"/>
  <c r="AF360" i="37"/>
  <c r="AF434"/>
  <c r="AF222"/>
  <c r="AO366"/>
  <c r="G366" i="51" s="1"/>
  <c r="AF366" i="37"/>
  <c r="AF226"/>
  <c r="AF216"/>
  <c r="AF203"/>
  <c r="AF406"/>
  <c r="AO349"/>
  <c r="G349" i="51" s="1"/>
  <c r="AF349" i="37"/>
  <c r="AF13"/>
  <c r="AO149"/>
  <c r="AF149"/>
  <c r="AF127"/>
  <c r="AF461"/>
  <c r="AF409"/>
  <c r="AF234"/>
  <c r="AF307"/>
  <c r="AF447"/>
  <c r="AF291"/>
  <c r="AF437"/>
  <c r="AF431"/>
  <c r="AF140"/>
  <c r="AF444"/>
  <c r="AF332"/>
  <c r="AF428"/>
  <c r="AF328"/>
  <c r="AF443"/>
  <c r="AF453"/>
  <c r="AF419"/>
  <c r="AF238"/>
  <c r="AO365"/>
  <c r="G365" i="51" s="1"/>
  <c r="AF365" i="37"/>
  <c r="AF357"/>
  <c r="AF261"/>
  <c r="AO501"/>
  <c r="G501" i="51" s="1"/>
  <c r="AF501" i="37"/>
  <c r="AF375"/>
  <c r="AF27"/>
  <c r="AO73"/>
  <c r="G73" i="51" s="1"/>
  <c r="AF73" i="37"/>
  <c r="AF271"/>
  <c r="AO224"/>
  <c r="AF224"/>
  <c r="AF164"/>
  <c r="AF265"/>
  <c r="AO20"/>
  <c r="G20" i="51" s="1"/>
  <c r="AF20" i="37"/>
  <c r="AF371"/>
  <c r="AF121"/>
  <c r="AO225"/>
  <c r="G225" i="51" s="1"/>
  <c r="AF225" i="37"/>
  <c r="AF4"/>
  <c r="AF173"/>
  <c r="AF102"/>
  <c r="AF204"/>
  <c r="AO422"/>
  <c r="G422" i="51" s="1"/>
  <c r="AF422" i="37"/>
  <c r="AF260"/>
  <c r="AK356"/>
  <c r="AM356" s="1"/>
  <c r="AF452"/>
  <c r="AF248"/>
  <c r="AF425"/>
  <c r="AO330"/>
  <c r="AF330"/>
  <c r="AO147"/>
  <c r="G147" i="51" s="1"/>
  <c r="AF147" i="37"/>
  <c r="AF242"/>
  <c r="AO502"/>
  <c r="G502" i="51" s="1"/>
  <c r="AF502" i="37"/>
  <c r="AO168"/>
  <c r="G168" i="51" s="1"/>
  <c r="AF168" i="37"/>
  <c r="AO80"/>
  <c r="G80" i="51" s="1"/>
  <c r="AF80" i="37"/>
  <c r="AF59"/>
  <c r="AF466"/>
  <c r="AO377"/>
  <c r="G377" i="51" s="1"/>
  <c r="AF377" i="37"/>
  <c r="AF383"/>
  <c r="AF126"/>
  <c r="AF268"/>
  <c r="AF399"/>
  <c r="AF388"/>
  <c r="AF218"/>
  <c r="AF477"/>
  <c r="AF28"/>
  <c r="AO86"/>
  <c r="G86" i="51" s="1"/>
  <c r="AF86" i="37"/>
  <c r="AF68"/>
  <c r="AF161"/>
  <c r="AO7"/>
  <c r="G7" i="51" s="1"/>
  <c r="AF7" i="37"/>
  <c r="AF471"/>
  <c r="AF78"/>
  <c r="AF22"/>
  <c r="AF133"/>
  <c r="AF353"/>
  <c r="AF74"/>
  <c r="AF58"/>
  <c r="AF152"/>
  <c r="AF45"/>
  <c r="AF376"/>
  <c r="AF273"/>
  <c r="AF390"/>
  <c r="AF485"/>
  <c r="AF177"/>
  <c r="AF46"/>
  <c r="AF95"/>
  <c r="AF97"/>
  <c r="AF111"/>
  <c r="AF186"/>
  <c r="AF417"/>
  <c r="AF206"/>
  <c r="AF416"/>
  <c r="AF410"/>
  <c r="AF195"/>
  <c r="AF99"/>
  <c r="AF171"/>
  <c r="AF327"/>
  <c r="AF312"/>
  <c r="AF446"/>
  <c r="AO317"/>
  <c r="G317" i="51" s="1"/>
  <c r="AF317" i="37"/>
  <c r="AF241"/>
  <c r="AO244"/>
  <c r="G244" i="51" s="1"/>
  <c r="AF244" i="37"/>
  <c r="AK284"/>
  <c r="AF304"/>
  <c r="AO303"/>
  <c r="G303" i="51" s="1"/>
  <c r="AF303" i="37"/>
  <c r="AF143"/>
  <c r="AO148"/>
  <c r="G148" i="51" s="1"/>
  <c r="AF148" i="37"/>
  <c r="AF294"/>
  <c r="AF331"/>
  <c r="AF134"/>
  <c r="AF139"/>
  <c r="AO228"/>
  <c r="G228" i="51" s="1"/>
  <c r="AF228" i="37"/>
  <c r="AF329"/>
  <c r="AF321"/>
  <c r="AF440"/>
  <c r="AF323"/>
  <c r="AF256"/>
  <c r="AF290"/>
  <c r="AF335"/>
  <c r="AF427"/>
  <c r="AF104"/>
  <c r="AF107"/>
  <c r="AO421"/>
  <c r="G421" i="51" s="1"/>
  <c r="AF421" i="37"/>
  <c r="AF135"/>
  <c r="AO355"/>
  <c r="G355" i="51" s="1"/>
  <c r="AF355" i="37"/>
  <c r="AF144"/>
  <c r="AO316"/>
  <c r="G316" i="51" s="1"/>
  <c r="AF316" i="37"/>
  <c r="AO72"/>
  <c r="G72" i="51" s="1"/>
  <c r="AF72" i="37"/>
  <c r="AF277"/>
  <c r="AF344"/>
  <c r="AF382"/>
  <c r="AF459"/>
  <c r="AF76"/>
  <c r="AF92"/>
  <c r="AF384"/>
  <c r="AF38"/>
  <c r="AO220"/>
  <c r="G220" i="51" s="1"/>
  <c r="AF220" i="37"/>
  <c r="AF488"/>
  <c r="AF40"/>
  <c r="AF278"/>
  <c r="AF32"/>
  <c r="AF340"/>
  <c r="AF87"/>
  <c r="AF117"/>
  <c r="AF84"/>
  <c r="AF385"/>
  <c r="AF50"/>
  <c r="AF51"/>
  <c r="AF491"/>
  <c r="AF198"/>
  <c r="AF408"/>
  <c r="AK182"/>
  <c r="AM182" s="1"/>
  <c r="AF362"/>
  <c r="AF429"/>
  <c r="AF233"/>
  <c r="AO326"/>
  <c r="AF326"/>
  <c r="AO448"/>
  <c r="G448" i="51" s="1"/>
  <c r="AF448" i="37"/>
  <c r="AF497"/>
  <c r="AF289"/>
  <c r="AO315"/>
  <c r="G315" i="51" s="1"/>
  <c r="AF315" i="37"/>
  <c r="AF436"/>
  <c r="AO288"/>
  <c r="G288" i="51" s="1"/>
  <c r="AF288" i="37"/>
  <c r="AF364"/>
  <c r="AF255"/>
  <c r="AF281"/>
  <c r="AF363"/>
  <c r="AF254"/>
  <c r="AO26"/>
  <c r="G26" i="51" s="1"/>
  <c r="AF26" i="37"/>
  <c r="AF123"/>
  <c r="AF165"/>
  <c r="AF24"/>
  <c r="AF65"/>
  <c r="AF170"/>
  <c r="AO47"/>
  <c r="G47" i="51" s="1"/>
  <c r="AF47" i="37"/>
  <c r="AF369"/>
  <c r="AF262"/>
  <c r="AF14"/>
  <c r="AF132"/>
  <c r="AF354"/>
  <c r="AF209"/>
  <c r="AF267"/>
  <c r="AF18"/>
  <c r="AF473"/>
  <c r="AF129"/>
  <c r="AF345"/>
  <c r="AF83"/>
  <c r="AF57"/>
  <c r="AF56"/>
  <c r="AF367"/>
  <c r="AF70"/>
  <c r="AF176"/>
  <c r="AF41"/>
  <c r="AF174"/>
  <c r="AF414"/>
  <c r="AK380"/>
  <c r="AM380" s="1"/>
  <c r="AF407"/>
  <c r="AF96"/>
  <c r="AF207"/>
  <c r="AF412"/>
  <c r="AF172"/>
  <c r="AF182"/>
  <c r="AF439"/>
  <c r="AO295"/>
  <c r="G295" i="51" s="1"/>
  <c r="AF295" i="37"/>
  <c r="AO280"/>
  <c r="G280" i="51" s="1"/>
  <c r="AF280" i="37"/>
  <c r="AF246"/>
  <c r="AF306"/>
  <c r="AO442"/>
  <c r="G442" i="51" s="1"/>
  <c r="AF442" i="37"/>
  <c r="AO313"/>
  <c r="G313" i="51" s="1"/>
  <c r="AF313" i="37"/>
  <c r="AO279"/>
  <c r="G279" i="51" s="1"/>
  <c r="AF279" i="37"/>
  <c r="AF282"/>
  <c r="AF249"/>
  <c r="AF314"/>
  <c r="AO387"/>
  <c r="AF387"/>
  <c r="AF343"/>
  <c r="AF465"/>
  <c r="AF392"/>
  <c r="AF157"/>
  <c r="AF342"/>
  <c r="AF210"/>
  <c r="AF125"/>
  <c r="AF337"/>
  <c r="AF90"/>
  <c r="AF263"/>
  <c r="AF15"/>
  <c r="AF21"/>
  <c r="AF351"/>
  <c r="AF227"/>
  <c r="AF378"/>
  <c r="AF19"/>
  <c r="AF60"/>
  <c r="AF468"/>
  <c r="AF11"/>
  <c r="AF31"/>
  <c r="AF347"/>
  <c r="AF114"/>
  <c r="AF88"/>
  <c r="AF63"/>
  <c r="AF196"/>
  <c r="AF55"/>
  <c r="AF201"/>
  <c r="AF403"/>
  <c r="AF189"/>
  <c r="AF180"/>
  <c r="AF103"/>
  <c r="AF191"/>
  <c r="AF181"/>
  <c r="AF243"/>
  <c r="AF438"/>
  <c r="AF239"/>
  <c r="AF311"/>
  <c r="AF359"/>
  <c r="AO430"/>
  <c r="G430" i="51" s="1"/>
  <c r="AF430" i="37"/>
  <c r="AO450"/>
  <c r="G450" i="51" s="1"/>
  <c r="AF450" i="37"/>
  <c r="AF258"/>
  <c r="AF251"/>
  <c r="AF298"/>
  <c r="AO433"/>
  <c r="G433" i="51" s="1"/>
  <c r="AF433" i="37"/>
  <c r="AF300"/>
  <c r="AO297"/>
  <c r="G297" i="51" s="1"/>
  <c r="AF297" i="37"/>
  <c r="AF356"/>
  <c r="AF305"/>
  <c r="AF318"/>
  <c r="AF432"/>
  <c r="AK88"/>
  <c r="AM88" s="1"/>
  <c r="AO357"/>
  <c r="G357" i="51" s="1"/>
  <c r="AO306" i="37"/>
  <c r="AO90"/>
  <c r="G90" i="51" s="1"/>
  <c r="AO21" i="37"/>
  <c r="G21" i="51" s="1"/>
  <c r="AK273" i="37"/>
  <c r="AM273" s="1"/>
  <c r="AK415"/>
  <c r="AM415" s="1"/>
  <c r="AK44"/>
  <c r="AM44" s="1"/>
  <c r="AK66"/>
  <c r="AK224"/>
  <c r="AM224" s="1"/>
  <c r="AK219"/>
  <c r="AM219" s="1"/>
  <c r="AO243"/>
  <c r="G243" i="51" s="1"/>
  <c r="AO14" i="37"/>
  <c r="AK50"/>
  <c r="AM50" s="1"/>
  <c r="AK185"/>
  <c r="AK309"/>
  <c r="AM309" s="1"/>
  <c r="AO389"/>
  <c r="G389" i="51" s="1"/>
  <c r="AK341" i="37"/>
  <c r="AM341" s="1"/>
  <c r="AK63"/>
  <c r="AM63" s="1"/>
  <c r="AO464"/>
  <c r="AK401"/>
  <c r="AM401" s="1"/>
  <c r="AO253"/>
  <c r="G253" i="51" s="1"/>
  <c r="AO239" i="37"/>
  <c r="G239" i="51" s="1"/>
  <c r="AK79" i="37"/>
  <c r="AK143"/>
  <c r="AO153"/>
  <c r="G153" i="51" s="1"/>
  <c r="AK313" i="37"/>
  <c r="AM313" s="1"/>
  <c r="AO75"/>
  <c r="AO166"/>
  <c r="G166" i="51" s="1"/>
  <c r="AO3" i="37"/>
  <c r="AK194"/>
  <c r="AM194" s="1"/>
  <c r="AK175"/>
  <c r="AM175" s="1"/>
  <c r="AO334"/>
  <c r="G334" i="51" s="1"/>
  <c r="AK223" i="37"/>
  <c r="AM223" s="1"/>
  <c r="AO379"/>
  <c r="G379" i="51" s="1"/>
  <c r="AO481" i="37"/>
  <c r="G481" i="51" s="1"/>
  <c r="AK39" i="37"/>
  <c r="AM39" s="1"/>
  <c r="AO52"/>
  <c r="G52" i="51" s="1"/>
  <c r="AK166" i="37"/>
  <c r="AM166" s="1"/>
  <c r="AK81"/>
  <c r="AM81" s="1"/>
  <c r="AK28"/>
  <c r="AO35"/>
  <c r="G35" i="51" s="1"/>
  <c r="AO66" i="37"/>
  <c r="G66" i="51" s="1"/>
  <c r="AO400" i="37"/>
  <c r="G400" i="51" s="1"/>
  <c r="AO386" i="37"/>
  <c r="G386" i="51" s="1"/>
  <c r="AK496" i="37"/>
  <c r="AM496" s="1"/>
  <c r="AK291"/>
  <c r="AM291" s="1"/>
  <c r="AO351"/>
  <c r="G351" i="51" s="1"/>
  <c r="AO480" i="37"/>
  <c r="G480" i="51" s="1"/>
  <c r="AO373" i="37"/>
  <c r="G373" i="51" s="1"/>
  <c r="AO178" i="37"/>
  <c r="G178" i="51" s="1"/>
  <c r="AO352" i="37"/>
  <c r="G352" i="51" s="1"/>
  <c r="AO33" i="37"/>
  <c r="G33" i="51" s="1"/>
  <c r="AO477" i="37"/>
  <c r="G477" i="51" s="1"/>
  <c r="AK24" i="37"/>
  <c r="AM24" s="1"/>
  <c r="AO394"/>
  <c r="G394" i="51" s="1"/>
  <c r="AO92" i="37"/>
  <c r="G92" i="51" s="1"/>
  <c r="AK381" i="37"/>
  <c r="AM381" s="1"/>
  <c r="AO266"/>
  <c r="AK16"/>
  <c r="AM16" s="1"/>
  <c r="AK9"/>
  <c r="AM9" s="1"/>
  <c r="AO454"/>
  <c r="G454" i="51" s="1"/>
  <c r="AO233" i="37"/>
  <c r="G233" i="51" s="1"/>
  <c r="AO53" i="37"/>
  <c r="G53" i="51" s="1"/>
  <c r="AK156" i="37"/>
  <c r="AK104"/>
  <c r="AM104" s="1"/>
  <c r="AK45"/>
  <c r="AM45" s="1"/>
  <c r="AK317"/>
  <c r="AM317" s="1"/>
  <c r="AK409"/>
  <c r="AM409" s="1"/>
  <c r="AK364"/>
  <c r="AM364" s="1"/>
  <c r="AO276"/>
  <c r="G276" i="51" s="1"/>
  <c r="AK114" i="37"/>
  <c r="AK115"/>
  <c r="AK14"/>
  <c r="AM14" s="1"/>
  <c r="AK269"/>
  <c r="AM269" s="1"/>
  <c r="AO164"/>
  <c r="AO392"/>
  <c r="G392" i="51" s="1"/>
  <c r="AO277" i="37"/>
  <c r="G277" i="51" s="1"/>
  <c r="AO342" i="37"/>
  <c r="G342" i="51" s="1"/>
  <c r="AO110" i="37"/>
  <c r="G110" i="51" s="1"/>
  <c r="AO102" i="37"/>
  <c r="G102" i="51" s="1"/>
  <c r="AK124" i="37"/>
  <c r="AM124" s="1"/>
  <c r="AK302"/>
  <c r="AM302" s="1"/>
  <c r="AK421"/>
  <c r="AK494"/>
  <c r="AM494" s="1"/>
  <c r="AO289"/>
  <c r="G289" i="51" s="1"/>
  <c r="AO5" i="37"/>
  <c r="G5" i="51" s="1"/>
  <c r="AK385" i="37"/>
  <c r="AM385" s="1"/>
  <c r="AK362"/>
  <c r="AM362" s="1"/>
  <c r="AO312"/>
  <c r="G312" i="51" s="1"/>
  <c r="AK246" i="37"/>
  <c r="AM246" s="1"/>
  <c r="AK305"/>
  <c r="AM305" s="1"/>
  <c r="AO138"/>
  <c r="AO59"/>
  <c r="AO169"/>
  <c r="G169" i="51" s="1"/>
  <c r="AO396" i="37"/>
  <c r="G396" i="51" s="1"/>
  <c r="AO49" i="37"/>
  <c r="G49" i="51" s="1"/>
  <c r="AO268" i="37"/>
  <c r="G268" i="51" s="1"/>
  <c r="AO368" i="37"/>
  <c r="G368" i="51" s="1"/>
  <c r="AK484" i="37"/>
  <c r="AK108"/>
  <c r="AM108" s="1"/>
  <c r="AO241"/>
  <c r="AK245"/>
  <c r="AM245" s="1"/>
  <c r="AO287"/>
  <c r="G287" i="51" s="1"/>
  <c r="AK18" i="37"/>
  <c r="AM18" s="1"/>
  <c r="AO294"/>
  <c r="G294" i="51" s="1"/>
  <c r="AO263" i="37"/>
  <c r="G263" i="51" s="1"/>
  <c r="AO491" i="37"/>
  <c r="G491" i="51" s="1"/>
  <c r="AO192" i="37"/>
  <c r="G192" i="51" s="1"/>
  <c r="AK3" i="37"/>
  <c r="AK298"/>
  <c r="AM298" s="1"/>
  <c r="AO449"/>
  <c r="G449" i="51" s="1"/>
  <c r="AK451" i="37"/>
  <c r="AK280"/>
  <c r="AM280" s="1"/>
  <c r="AK259"/>
  <c r="AM259" s="1"/>
  <c r="AK151"/>
  <c r="AM151" s="1"/>
  <c r="AO122"/>
  <c r="G122" i="51" s="1"/>
  <c r="AO15" i="37"/>
  <c r="G15" i="51" s="1"/>
  <c r="AO347" i="37"/>
  <c r="G347" i="51" s="1"/>
  <c r="AK289" i="37"/>
  <c r="AM289" s="1"/>
  <c r="AK445"/>
  <c r="AM445" s="1"/>
  <c r="AO18"/>
  <c r="G18" i="51" s="1"/>
  <c r="AK216" i="37"/>
  <c r="AM216" s="1"/>
  <c r="AK135"/>
  <c r="AM135" s="1"/>
  <c r="AO344"/>
  <c r="G344" i="51" s="1"/>
  <c r="AK390" i="37"/>
  <c r="AO325"/>
  <c r="G325" i="51" s="1"/>
  <c r="AK462" i="37"/>
  <c r="AM462" s="1"/>
  <c r="AO452"/>
  <c r="G452" i="51" s="1"/>
  <c r="AO314" i="37"/>
  <c r="G314" i="51" s="1"/>
  <c r="AO130" i="37"/>
  <c r="G130" i="51" s="1"/>
  <c r="AO469" i="37"/>
  <c r="G469" i="51" s="1"/>
  <c r="AO131" i="37"/>
  <c r="G131" i="51" s="1"/>
  <c r="AO214" i="37"/>
  <c r="G214" i="51" s="1"/>
  <c r="AO217" i="37"/>
  <c r="G217" i="51" s="1"/>
  <c r="AK275" i="37"/>
  <c r="AK164"/>
  <c r="AM164" s="1"/>
  <c r="AK398"/>
  <c r="AM398" s="1"/>
  <c r="AK368"/>
  <c r="AM368" s="1"/>
  <c r="AK139"/>
  <c r="AO445"/>
  <c r="G445" i="51" s="1"/>
  <c r="AO143" i="37"/>
  <c r="G143" i="51" s="1"/>
  <c r="AO36" i="37"/>
  <c r="AO475"/>
  <c r="G475" i="51" s="1"/>
  <c r="AO87" i="37"/>
  <c r="G87" i="51" s="1"/>
  <c r="AK127" i="37"/>
  <c r="AM127" s="1"/>
  <c r="AK407"/>
  <c r="AM407" s="1"/>
  <c r="AK173"/>
  <c r="AK207"/>
  <c r="AM207" s="1"/>
  <c r="AK131"/>
  <c r="AM131" s="1"/>
  <c r="AK365"/>
  <c r="AM365" s="1"/>
  <c r="AO436"/>
  <c r="G436" i="51" s="1"/>
  <c r="AO310" i="37"/>
  <c r="G310" i="51" s="1"/>
  <c r="AO165" i="37"/>
  <c r="G165" i="51" s="1"/>
  <c r="AO226" i="37"/>
  <c r="G226" i="51" s="1"/>
  <c r="AO461" i="37"/>
  <c r="G461" i="51" s="1"/>
  <c r="AO262" i="37"/>
  <c r="G262" i="51" s="1"/>
  <c r="AO338" i="37"/>
  <c r="G338" i="51" s="1"/>
  <c r="AO132" i="37"/>
  <c r="G132" i="51" s="1"/>
  <c r="AO209" i="37"/>
  <c r="G209" i="51" s="1"/>
  <c r="AO270" i="37"/>
  <c r="G270" i="51" s="1"/>
  <c r="AO345" i="37"/>
  <c r="G345" i="51" s="1"/>
  <c r="AO57" i="37"/>
  <c r="G57" i="51" s="1"/>
  <c r="AO56" i="37"/>
  <c r="G56" i="51" s="1"/>
  <c r="AO176" i="37"/>
  <c r="G176" i="51" s="1"/>
  <c r="AO199" i="37"/>
  <c r="G199" i="51" s="1"/>
  <c r="AO174" i="37"/>
  <c r="G174" i="51" s="1"/>
  <c r="AO409" i="37"/>
  <c r="G409" i="51" s="1"/>
  <c r="AK42" i="37"/>
  <c r="AM42" s="1"/>
  <c r="AO401"/>
  <c r="G401" i="51" s="1"/>
  <c r="AO407" i="37"/>
  <c r="G407" i="51" s="1"/>
  <c r="AK51" i="37"/>
  <c r="AM51" s="1"/>
  <c r="AK128"/>
  <c r="AM128" s="1"/>
  <c r="AK475"/>
  <c r="AM475" s="1"/>
  <c r="AK340"/>
  <c r="AM340" s="1"/>
  <c r="AO96"/>
  <c r="G96" i="51" s="1"/>
  <c r="AK267" i="37"/>
  <c r="AM267" s="1"/>
  <c r="AK350"/>
  <c r="AM350" s="1"/>
  <c r="AK478"/>
  <c r="AM478" s="1"/>
  <c r="AO404"/>
  <c r="G404" i="51" s="1"/>
  <c r="AK101" i="37"/>
  <c r="AM101" s="1"/>
  <c r="AK33"/>
  <c r="AM33" s="1"/>
  <c r="AO172"/>
  <c r="G172" i="51" s="1"/>
  <c r="AO104" i="37"/>
  <c r="AK31"/>
  <c r="AM31" s="1"/>
  <c r="AK5"/>
  <c r="AM5" s="1"/>
  <c r="AO238"/>
  <c r="AO457"/>
  <c r="G457" i="51" s="1"/>
  <c r="AO285" i="37"/>
  <c r="AK425"/>
  <c r="AM425" s="1"/>
  <c r="AK312"/>
  <c r="AM312" s="1"/>
  <c r="AK310"/>
  <c r="AM310" s="1"/>
  <c r="AK334"/>
  <c r="AM334" s="1"/>
  <c r="AO115"/>
  <c r="G115" i="51" s="1"/>
  <c r="AK188" i="37"/>
  <c r="AM188" s="1"/>
  <c r="AO222"/>
  <c r="G222" i="51" s="1"/>
  <c r="AK437" i="37"/>
  <c r="AM437" s="1"/>
  <c r="AO350"/>
  <c r="AK35"/>
  <c r="AM35" s="1"/>
  <c r="AK226"/>
  <c r="AM226" s="1"/>
  <c r="AK103"/>
  <c r="AM103" s="1"/>
  <c r="AK440"/>
  <c r="AM440" s="1"/>
  <c r="AO252"/>
  <c r="G252" i="51" s="1"/>
  <c r="AO283" i="37"/>
  <c r="G283" i="51" s="1"/>
  <c r="AO227" i="37"/>
  <c r="G227" i="51" s="1"/>
  <c r="AK338" i="37"/>
  <c r="AM338" s="1"/>
  <c r="AO384"/>
  <c r="G384" i="51" s="1"/>
  <c r="AO40" i="37"/>
  <c r="AK29"/>
  <c r="AM29" s="1"/>
  <c r="AK7"/>
  <c r="AM7" s="1"/>
  <c r="AK100"/>
  <c r="AM100" s="1"/>
  <c r="AK107"/>
  <c r="AM107" s="1"/>
  <c r="AK399"/>
  <c r="AM399" s="1"/>
  <c r="AK485"/>
  <c r="AK212"/>
  <c r="AM212" s="1"/>
  <c r="AK405"/>
  <c r="AM405" s="1"/>
  <c r="AK167"/>
  <c r="AM167" s="1"/>
  <c r="AK220"/>
  <c r="AM220" s="1"/>
  <c r="AO261"/>
  <c r="G261" i="51" s="1"/>
  <c r="AK497" i="37"/>
  <c r="AM497" s="1"/>
  <c r="AO308"/>
  <c r="G308" i="51" s="1"/>
  <c r="AK236" i="37"/>
  <c r="AM236" s="1"/>
  <c r="AO134"/>
  <c r="G134" i="51" s="1"/>
  <c r="AO458" i="37"/>
  <c r="G458" i="51" s="1"/>
  <c r="AO486" i="37"/>
  <c r="G486" i="51" s="1"/>
  <c r="AK412" i="37"/>
  <c r="AM412" s="1"/>
  <c r="AO136"/>
  <c r="G136" i="51" s="1"/>
  <c r="AO48" i="37"/>
  <c r="G48" i="51" s="1"/>
  <c r="AO273" i="37"/>
  <c r="G273" i="51" s="1"/>
  <c r="AO46" i="37"/>
  <c r="G46" i="51" s="1"/>
  <c r="AK463" i="37"/>
  <c r="AM463" s="1"/>
  <c r="AK196"/>
  <c r="AM196" s="1"/>
  <c r="AK467"/>
  <c r="AM467" s="1"/>
  <c r="AK8"/>
  <c r="AM8" s="1"/>
  <c r="AK154"/>
  <c r="AM154" s="1"/>
  <c r="AK373"/>
  <c r="AM373" s="1"/>
  <c r="AK116"/>
  <c r="AM116" s="1"/>
  <c r="AK89"/>
  <c r="AM89" s="1"/>
  <c r="AK200"/>
  <c r="AM200" s="1"/>
  <c r="AK397"/>
  <c r="AM397" s="1"/>
  <c r="AK78"/>
  <c r="AM78" s="1"/>
  <c r="AK22"/>
  <c r="AM22" s="1"/>
  <c r="AK186"/>
  <c r="AK348"/>
  <c r="AM348" s="1"/>
  <c r="AK11"/>
  <c r="AM11" s="1"/>
  <c r="AK431"/>
  <c r="AM431" s="1"/>
  <c r="AO497"/>
  <c r="G497" i="51" s="1"/>
  <c r="AK229" i="37"/>
  <c r="AM229" s="1"/>
  <c r="AO292"/>
  <c r="G292" i="51" s="1"/>
  <c r="AO212" i="37"/>
  <c r="G212" i="51" s="1"/>
  <c r="AO23" i="37"/>
  <c r="G23" i="51" s="1"/>
  <c r="AK47" i="37"/>
  <c r="AO142"/>
  <c r="G142" i="51" s="1"/>
  <c r="AO476" i="37"/>
  <c r="G476" i="51" s="1"/>
  <c r="AO38" i="37"/>
  <c r="G38" i="51" s="1"/>
  <c r="AO89" i="37"/>
  <c r="AO269"/>
  <c r="AO340"/>
  <c r="G340" i="51" s="1"/>
  <c r="AO71" i="37"/>
  <c r="G71" i="51" s="1"/>
  <c r="AO385" i="37"/>
  <c r="G385" i="51" s="1"/>
  <c r="AO213" i="37"/>
  <c r="G213" i="51" s="1"/>
  <c r="AO490" i="37"/>
  <c r="AO13"/>
  <c r="G13" i="51" s="1"/>
  <c r="AO51" i="37"/>
  <c r="G51" i="51" s="1"/>
  <c r="AO482" i="37"/>
  <c r="G482" i="51" s="1"/>
  <c r="AK474" i="37"/>
  <c r="AM474" s="1"/>
  <c r="AK70"/>
  <c r="AK276"/>
  <c r="AM276" s="1"/>
  <c r="AK221"/>
  <c r="AM221" s="1"/>
  <c r="AO193"/>
  <c r="G193" i="51" s="1"/>
  <c r="AK271" i="37"/>
  <c r="AM271" s="1"/>
  <c r="AK343"/>
  <c r="AM343" s="1"/>
  <c r="AK392"/>
  <c r="AM392" s="1"/>
  <c r="AK36"/>
  <c r="AM36" s="1"/>
  <c r="AK406"/>
  <c r="AM406" s="1"/>
  <c r="AK121"/>
  <c r="AM121" s="1"/>
  <c r="AO200"/>
  <c r="G200" i="51" s="1"/>
  <c r="AK53" i="37"/>
  <c r="AM53" s="1"/>
  <c r="AK91"/>
  <c r="AO208"/>
  <c r="AK468"/>
  <c r="AK184"/>
  <c r="AM184" s="1"/>
  <c r="AK85"/>
  <c r="AM85" s="1"/>
  <c r="AK418"/>
  <c r="AM418" s="1"/>
  <c r="AK77"/>
  <c r="AM77" s="1"/>
  <c r="AK483"/>
  <c r="AM483" s="1"/>
  <c r="AK217"/>
  <c r="AM217" s="1"/>
  <c r="AK479"/>
  <c r="AM479" s="1"/>
  <c r="AK97"/>
  <c r="AM97" s="1"/>
  <c r="AK38"/>
  <c r="AM38" s="1"/>
  <c r="AO429"/>
  <c r="G429" i="51" s="1"/>
  <c r="AO257" i="37"/>
  <c r="G257" i="51" s="1"/>
  <c r="AK363" i="37"/>
  <c r="AM363" s="1"/>
  <c r="AK452"/>
  <c r="AK330"/>
  <c r="AM330" s="1"/>
  <c r="AK361"/>
  <c r="AM361" s="1"/>
  <c r="AK15"/>
  <c r="AM15" s="1"/>
  <c r="AK153"/>
  <c r="AM153" s="1"/>
  <c r="AO248"/>
  <c r="G248" i="51" s="1"/>
  <c r="AO118" i="37"/>
  <c r="AO82"/>
  <c r="G82" i="51" s="1"/>
  <c r="AO84" i="37"/>
  <c r="G84" i="51" s="1"/>
  <c r="AO197" i="37"/>
  <c r="G197" i="51" s="1"/>
  <c r="AO123" i="37"/>
  <c r="AO391"/>
  <c r="G391" i="51" s="1"/>
  <c r="AO29" i="37"/>
  <c r="G29" i="51" s="1"/>
  <c r="AO467" i="37"/>
  <c r="G467" i="51" s="1"/>
  <c r="AO85" i="37"/>
  <c r="G85" i="51" s="1"/>
  <c r="AO155" i="37"/>
  <c r="G155" i="51" s="1"/>
  <c r="AO369" i="37"/>
  <c r="G369" i="51" s="1"/>
  <c r="AO264" i="37"/>
  <c r="G264" i="51" s="1"/>
  <c r="AO120" i="37"/>
  <c r="G120" i="51" s="1"/>
  <c r="AO215" i="37"/>
  <c r="G215" i="51" s="1"/>
  <c r="AO62" i="37"/>
  <c r="G62" i="51" s="1"/>
  <c r="AO34" i="37"/>
  <c r="G34" i="51" s="1"/>
  <c r="AO367" i="37"/>
  <c r="G367" i="51" s="1"/>
  <c r="AO8" i="37"/>
  <c r="G8" i="51" s="1"/>
  <c r="AO202" i="37"/>
  <c r="G202" i="51" s="1"/>
  <c r="AK460" i="37"/>
  <c r="AM460" s="1"/>
  <c r="AO194"/>
  <c r="G194" i="51" s="1"/>
  <c r="AK49" i="37"/>
  <c r="AM49" s="1"/>
  <c r="AK268"/>
  <c r="AM268" s="1"/>
  <c r="AK40"/>
  <c r="AM40" s="1"/>
  <c r="AK403"/>
  <c r="AM403" s="1"/>
  <c r="AK160"/>
  <c r="AM160" s="1"/>
  <c r="AK225"/>
  <c r="AM225" s="1"/>
  <c r="AK176"/>
  <c r="AM176" s="1"/>
  <c r="AK191"/>
  <c r="AM191" s="1"/>
  <c r="AO418"/>
  <c r="G418" i="51" s="1"/>
  <c r="AO182" i="37"/>
  <c r="G182" i="51" s="1"/>
  <c r="AK87" i="37"/>
  <c r="AM87" s="1"/>
  <c r="AK174"/>
  <c r="AM174" s="1"/>
  <c r="AK12"/>
  <c r="AM12" s="1"/>
  <c r="AK429"/>
  <c r="AM429" s="1"/>
  <c r="AO246"/>
  <c r="G246" i="51" s="1"/>
  <c r="AK261" i="37"/>
  <c r="AM261" s="1"/>
  <c r="AO320"/>
  <c r="G320" i="51" s="1"/>
  <c r="AK251" i="37"/>
  <c r="AM251" s="1"/>
  <c r="AO139"/>
  <c r="G139" i="51" s="1"/>
  <c r="AK73" i="37"/>
  <c r="AM73" s="1"/>
  <c r="AK199"/>
  <c r="AM199" s="1"/>
  <c r="AO42"/>
  <c r="G42" i="51" s="1"/>
  <c r="AO221" i="37"/>
  <c r="AO271"/>
  <c r="G271" i="51" s="1"/>
  <c r="AO465" i="37"/>
  <c r="G465" i="51" s="1"/>
  <c r="AO125" i="37"/>
  <c r="G125" i="51" s="1"/>
  <c r="AO60" i="37"/>
  <c r="G60" i="51" s="1"/>
  <c r="AO121" i="37"/>
  <c r="G121" i="51" s="1"/>
  <c r="AO372" i="37"/>
  <c r="G372" i="51" s="1"/>
  <c r="AO114" i="37"/>
  <c r="G114" i="51" s="1"/>
  <c r="AO94" i="37"/>
  <c r="AK346"/>
  <c r="AM346" s="1"/>
  <c r="AK203"/>
  <c r="AM203" s="1"/>
  <c r="AK76"/>
  <c r="AM76" s="1"/>
  <c r="AK417"/>
  <c r="AM417" s="1"/>
  <c r="AK157"/>
  <c r="AM157" s="1"/>
  <c r="AK93"/>
  <c r="AM93" s="1"/>
  <c r="AK416"/>
  <c r="AM416" s="1"/>
  <c r="AK464"/>
  <c r="AM464" s="1"/>
  <c r="AK20"/>
  <c r="AM20" s="1"/>
  <c r="AK495"/>
  <c r="AM495" s="1"/>
  <c r="AO249"/>
  <c r="G249" i="51" s="1"/>
  <c r="AK355" i="37"/>
  <c r="AM355" s="1"/>
  <c r="A470"/>
  <c r="A470" i="40"/>
  <c r="F470" s="1" a="1"/>
  <c r="F470" s="1"/>
  <c r="O470" s="1"/>
  <c r="A434" i="37"/>
  <c r="A434" i="40"/>
  <c r="F434" s="1" a="1"/>
  <c r="F434" s="1"/>
  <c r="A374" i="37"/>
  <c r="A374" i="40"/>
  <c r="F374" s="1" a="1"/>
  <c r="F374" s="1"/>
  <c r="M374" s="1"/>
  <c r="A314" i="37"/>
  <c r="A314" i="40"/>
  <c r="F314" s="1" a="1"/>
  <c r="F314" s="1"/>
  <c r="A254" i="37"/>
  <c r="A254" i="40"/>
  <c r="F254" s="1" a="1"/>
  <c r="F254" s="1"/>
  <c r="A194" i="37"/>
  <c r="A194" i="40"/>
  <c r="F194" s="1" a="1"/>
  <c r="F194" s="1"/>
  <c r="N194" s="1"/>
  <c r="A146" i="37"/>
  <c r="A146" i="40"/>
  <c r="F146" s="1" a="1"/>
  <c r="F146" s="1"/>
  <c r="L146" s="1"/>
  <c r="A86" i="37"/>
  <c r="A86" i="40"/>
  <c r="F86" s="1" a="1"/>
  <c r="F86" s="1"/>
  <c r="A50" i="37"/>
  <c r="A50" i="40"/>
  <c r="F50" s="1" a="1"/>
  <c r="F50" s="1"/>
  <c r="J50" s="1"/>
  <c r="AO154" i="37"/>
  <c r="A481"/>
  <c r="A481" i="40"/>
  <c r="F481" s="1" a="1"/>
  <c r="F481" s="1"/>
  <c r="A421" i="37"/>
  <c r="A421" i="40"/>
  <c r="F421" s="1" a="1"/>
  <c r="F421" s="1"/>
  <c r="A373" i="37"/>
  <c r="A373" i="40"/>
  <c r="F373" s="1" a="1"/>
  <c r="F373" s="1"/>
  <c r="A301" i="37"/>
  <c r="A301" i="40"/>
  <c r="F301" s="1" a="1"/>
  <c r="F301" s="1"/>
  <c r="A241" i="37"/>
  <c r="A241" i="40"/>
  <c r="F241" s="1" a="1"/>
  <c r="F241" s="1"/>
  <c r="A181" i="37"/>
  <c r="A181" i="40"/>
  <c r="F181" s="1" a="1"/>
  <c r="F181" s="1"/>
  <c r="A133" i="37"/>
  <c r="A133" i="40"/>
  <c r="F133" s="1" a="1"/>
  <c r="F133" s="1"/>
  <c r="J133" s="1"/>
  <c r="A49" i="37"/>
  <c r="A49" i="40"/>
  <c r="F49" s="1" a="1"/>
  <c r="F49" s="1"/>
  <c r="AK411" i="37"/>
  <c r="A458"/>
  <c r="A458" i="40"/>
  <c r="F458" s="1" a="1"/>
  <c r="F458" s="1"/>
  <c r="A410" i="37"/>
  <c r="A410" i="40"/>
  <c r="F410" s="1" a="1"/>
  <c r="F410" s="1"/>
  <c r="P410" s="1"/>
  <c r="A362" i="37"/>
  <c r="A362" i="40"/>
  <c r="F362" s="1" a="1"/>
  <c r="F362" s="1"/>
  <c r="M362" s="1"/>
  <c r="A326" i="37"/>
  <c r="A326" i="40"/>
  <c r="F326" s="1" a="1"/>
  <c r="F326" s="1"/>
  <c r="G326" s="1"/>
  <c r="A266" i="37"/>
  <c r="A266" i="40"/>
  <c r="F266" s="1" a="1"/>
  <c r="F266" s="1"/>
  <c r="A230" i="37"/>
  <c r="A230" i="40"/>
  <c r="F230" s="1" a="1"/>
  <c r="F230" s="1"/>
  <c r="A182" i="37"/>
  <c r="A182" i="40"/>
  <c r="F182" s="1" a="1"/>
  <c r="F182" s="1"/>
  <c r="O182" s="1"/>
  <c r="A134" i="37"/>
  <c r="A134" i="40"/>
  <c r="F134" s="1" a="1"/>
  <c r="F134" s="1"/>
  <c r="A74" i="37"/>
  <c r="A74" i="40"/>
  <c r="F74" s="1" a="1"/>
  <c r="F74" s="1"/>
  <c r="A26" i="37"/>
  <c r="A26" i="40"/>
  <c r="F26" s="1" a="1"/>
  <c r="F26" s="1"/>
  <c r="AM114" i="37"/>
  <c r="AO207"/>
  <c r="G207" i="51" s="1"/>
  <c r="AM424" i="37"/>
  <c r="AM253"/>
  <c r="AM233"/>
  <c r="AM430"/>
  <c r="A457"/>
  <c r="A457" i="40"/>
  <c r="F457" s="1" a="1"/>
  <c r="F457" s="1"/>
  <c r="A397" i="37"/>
  <c r="A397" i="40"/>
  <c r="F397" s="1" a="1"/>
  <c r="F397" s="1"/>
  <c r="A361" i="37"/>
  <c r="A361" i="40"/>
  <c r="F361" s="1" a="1"/>
  <c r="F361" s="1"/>
  <c r="P361" s="1"/>
  <c r="A313" i="37"/>
  <c r="A313" i="40"/>
  <c r="F313" s="1" a="1"/>
  <c r="F313" s="1"/>
  <c r="A289" i="37"/>
  <c r="A289" i="40"/>
  <c r="F289" s="1" a="1"/>
  <c r="F289" s="1"/>
  <c r="A229" i="37"/>
  <c r="A229" i="40"/>
  <c r="F229" s="1" a="1"/>
  <c r="F229" s="1"/>
  <c r="A193" i="37"/>
  <c r="A193" i="40"/>
  <c r="F193" s="1" a="1"/>
  <c r="F193" s="1"/>
  <c r="A145" i="37"/>
  <c r="A145" i="40"/>
  <c r="F145" s="1" a="1"/>
  <c r="F145" s="1"/>
  <c r="A97" i="37"/>
  <c r="A97" i="40"/>
  <c r="F97" s="1" a="1"/>
  <c r="F97" s="1"/>
  <c r="H97" s="1"/>
  <c r="A73" i="37"/>
  <c r="A73" i="40"/>
  <c r="F73" s="1" a="1"/>
  <c r="F73" s="1"/>
  <c r="G73" s="1"/>
  <c r="A13" i="37"/>
  <c r="A13" i="40"/>
  <c r="F13" s="1" a="1"/>
  <c r="F13" s="1"/>
  <c r="I13" s="1"/>
  <c r="AM247" i="37"/>
  <c r="AM300"/>
  <c r="A446"/>
  <c r="A446" i="40"/>
  <c r="F446" s="1" a="1"/>
  <c r="F446" s="1"/>
  <c r="A386" i="37"/>
  <c r="A386" i="40"/>
  <c r="F386" s="1" a="1"/>
  <c r="F386" s="1"/>
  <c r="A338" i="37"/>
  <c r="A338" i="40"/>
  <c r="F338" s="1" a="1"/>
  <c r="F338" s="1"/>
  <c r="N338" s="1"/>
  <c r="A278" i="37"/>
  <c r="A278" i="40"/>
  <c r="F278" s="1" a="1"/>
  <c r="F278" s="1"/>
  <c r="A206" i="37"/>
  <c r="A206" i="40"/>
  <c r="F206" s="1" a="1"/>
  <c r="F206" s="1"/>
  <c r="A158" i="37"/>
  <c r="A158" i="40"/>
  <c r="F158" s="1" a="1"/>
  <c r="F158" s="1"/>
  <c r="K158" s="1"/>
  <c r="A98" i="37"/>
  <c r="A98" i="40"/>
  <c r="F98" s="1" a="1"/>
  <c r="F98" s="1"/>
  <c r="A62" i="37"/>
  <c r="A62" i="40"/>
  <c r="F62" s="1" a="1"/>
  <c r="F62" s="1"/>
  <c r="AO30" i="37"/>
  <c r="G30" i="51" s="1"/>
  <c r="A493" i="37"/>
  <c r="A493" i="40"/>
  <c r="F493" s="1" a="1"/>
  <c r="F493" s="1"/>
  <c r="L493" s="1"/>
  <c r="A445" i="37"/>
  <c r="A445" i="40"/>
  <c r="F445" s="1" a="1"/>
  <c r="F445" s="1"/>
  <c r="O445" s="1"/>
  <c r="A385" i="37"/>
  <c r="A385" i="40"/>
  <c r="F385" s="1" a="1"/>
  <c r="F385" s="1"/>
  <c r="A325" i="37"/>
  <c r="A325" i="40"/>
  <c r="F325" s="1" a="1"/>
  <c r="F325" s="1"/>
  <c r="A265" i="37"/>
  <c r="A265" i="40"/>
  <c r="F265" s="1" a="1"/>
  <c r="F265" s="1"/>
  <c r="K265" s="1"/>
  <c r="A205" i="37"/>
  <c r="A205" i="40"/>
  <c r="F205" s="1" a="1"/>
  <c r="F205" s="1"/>
  <c r="A157" i="37"/>
  <c r="A157" i="40"/>
  <c r="F157" s="1" a="1"/>
  <c r="F157" s="1"/>
  <c r="A85" i="37"/>
  <c r="A85" i="40"/>
  <c r="F85" s="1" a="1"/>
  <c r="F85" s="1"/>
  <c r="H85" s="1"/>
  <c r="A61" i="37"/>
  <c r="A61" i="40"/>
  <c r="F61" s="1" a="1"/>
  <c r="F61" s="1"/>
  <c r="J61" s="1"/>
  <c r="AM79" i="37"/>
  <c r="A494"/>
  <c r="A494" i="40"/>
  <c r="F494" s="1" a="1"/>
  <c r="F494" s="1"/>
  <c r="A398" i="37"/>
  <c r="A398" i="40"/>
  <c r="F398" s="1" a="1"/>
  <c r="F398" s="1"/>
  <c r="A302" i="37"/>
  <c r="A302" i="40"/>
  <c r="F302" s="1" a="1"/>
  <c r="F302" s="1"/>
  <c r="P302" s="1"/>
  <c r="A218" i="37"/>
  <c r="A218" i="40"/>
  <c r="F218" s="1" a="1"/>
  <c r="F218" s="1"/>
  <c r="A122" i="37"/>
  <c r="A122" i="40"/>
  <c r="F122" s="1" a="1"/>
  <c r="F122" s="1"/>
  <c r="A38" i="37"/>
  <c r="A38" i="40"/>
  <c r="F38" s="1" a="1"/>
  <c r="F38" s="1"/>
  <c r="A433" i="37"/>
  <c r="A433" i="40"/>
  <c r="F433" s="1" a="1"/>
  <c r="F433" s="1"/>
  <c r="A337" i="37"/>
  <c r="A337" i="40"/>
  <c r="F337" s="1" a="1"/>
  <c r="F337" s="1"/>
  <c r="A253" i="37"/>
  <c r="A253" i="40"/>
  <c r="F253" s="1" a="1"/>
  <c r="F253" s="1"/>
  <c r="A121" i="37"/>
  <c r="A121" i="40"/>
  <c r="F121" s="1" a="1"/>
  <c r="F121" s="1"/>
  <c r="A37" i="37"/>
  <c r="A37" i="40"/>
  <c r="F37" s="1" a="1"/>
  <c r="F37" s="1"/>
  <c r="A482" i="37"/>
  <c r="A482" i="40"/>
  <c r="F482" s="1" a="1"/>
  <c r="F482" s="1"/>
  <c r="A422" i="37"/>
  <c r="A422" i="40"/>
  <c r="F422" s="1" a="1"/>
  <c r="F422" s="1"/>
  <c r="A350" i="37"/>
  <c r="A350" i="40"/>
  <c r="F350" s="1" a="1"/>
  <c r="F350" s="1"/>
  <c r="Q350" s="1"/>
  <c r="A290" i="37"/>
  <c r="A290" i="40"/>
  <c r="F290" s="1" a="1"/>
  <c r="F290" s="1"/>
  <c r="J290" s="1"/>
  <c r="A242" i="37"/>
  <c r="A242" i="40"/>
  <c r="F242" s="1" a="1"/>
  <c r="F242" s="1"/>
  <c r="I242" s="1"/>
  <c r="A170" i="37"/>
  <c r="A170" i="40"/>
  <c r="F170" s="1" a="1"/>
  <c r="F170" s="1"/>
  <c r="A110" i="37"/>
  <c r="A110" i="40"/>
  <c r="F110" s="1" a="1"/>
  <c r="F110" s="1"/>
  <c r="Q110" s="1"/>
  <c r="A14" i="37"/>
  <c r="A14" i="40"/>
  <c r="F14" s="1" a="1"/>
  <c r="F14" s="1"/>
  <c r="AO414" i="37"/>
  <c r="G414" i="51" s="1"/>
  <c r="A469" i="37"/>
  <c r="A469" i="40"/>
  <c r="F469" s="1" a="1"/>
  <c r="F469" s="1"/>
  <c r="O469" s="1"/>
  <c r="A409" i="37"/>
  <c r="A409" i="40"/>
  <c r="F409" s="1" a="1"/>
  <c r="F409" s="1"/>
  <c r="A349" i="37"/>
  <c r="A349" i="40"/>
  <c r="F349" s="1" a="1"/>
  <c r="F349" s="1"/>
  <c r="A277" i="37"/>
  <c r="A277" i="40"/>
  <c r="F277" s="1" a="1"/>
  <c r="F277" s="1"/>
  <c r="A217" i="37"/>
  <c r="A217" i="40"/>
  <c r="F217" s="1" a="1"/>
  <c r="F217" s="1"/>
  <c r="O217" s="1"/>
  <c r="A169" i="37"/>
  <c r="A169" i="40"/>
  <c r="F169" s="1" a="1"/>
  <c r="F169" s="1"/>
  <c r="A109" i="37"/>
  <c r="A109" i="40"/>
  <c r="F109" s="1" a="1"/>
  <c r="F109" s="1"/>
  <c r="A25" i="37"/>
  <c r="A25" i="40"/>
  <c r="F25" s="1" a="1"/>
  <c r="F25" s="1"/>
  <c r="L25" s="1"/>
  <c r="A475" i="37"/>
  <c r="A475" i="40"/>
  <c r="F475" s="1" a="1"/>
  <c r="F475" s="1"/>
  <c r="I475" s="1"/>
  <c r="A427" i="37"/>
  <c r="A427" i="40"/>
  <c r="F427" s="1" a="1"/>
  <c r="F427" s="1"/>
  <c r="A379" i="37"/>
  <c r="A379" i="40"/>
  <c r="F379" s="1" a="1"/>
  <c r="F379" s="1"/>
  <c r="P379" s="1"/>
  <c r="A343" i="37"/>
  <c r="A343" i="40"/>
  <c r="F343" s="1" a="1"/>
  <c r="F343" s="1"/>
  <c r="H343" s="1"/>
  <c r="A295" i="37"/>
  <c r="A295" i="40"/>
  <c r="F295" s="1" a="1"/>
  <c r="F295" s="1"/>
  <c r="L295" s="1"/>
  <c r="A247" i="37"/>
  <c r="A247" i="40"/>
  <c r="F247" s="1" a="1"/>
  <c r="F247" s="1"/>
  <c r="A199" i="37"/>
  <c r="A199" i="40"/>
  <c r="F199" s="1" a="1"/>
  <c r="F199" s="1"/>
  <c r="A163" i="37"/>
  <c r="A163" i="40"/>
  <c r="F163" s="1" a="1"/>
  <c r="F163" s="1"/>
  <c r="A115" i="37"/>
  <c r="A115" i="40"/>
  <c r="F115" s="1" a="1"/>
  <c r="F115" s="1"/>
  <c r="A79" i="37"/>
  <c r="A79" i="40"/>
  <c r="F79" s="1" a="1"/>
  <c r="F79" s="1"/>
  <c r="A31" i="37"/>
  <c r="A31" i="40"/>
  <c r="F31" s="1" a="1"/>
  <c r="F31" s="1"/>
  <c r="AM275" i="37"/>
  <c r="AK92"/>
  <c r="AO187"/>
  <c r="AM455"/>
  <c r="A487"/>
  <c r="A487" i="40"/>
  <c r="F487" s="1" a="1"/>
  <c r="F487" s="1"/>
  <c r="K487" s="1"/>
  <c r="A439" i="37"/>
  <c r="A439" i="40"/>
  <c r="F439" s="1" a="1"/>
  <c r="F439" s="1"/>
  <c r="G439" s="1"/>
  <c r="A391" i="37"/>
  <c r="A391" i="40"/>
  <c r="F391" s="1" a="1"/>
  <c r="F391" s="1"/>
  <c r="A355" i="37"/>
  <c r="A355" i="40"/>
  <c r="F355" s="1" a="1"/>
  <c r="F355" s="1"/>
  <c r="A307" i="37"/>
  <c r="A307" i="40"/>
  <c r="F307" s="1" a="1"/>
  <c r="F307" s="1"/>
  <c r="G307" s="1"/>
  <c r="A271" i="37"/>
  <c r="A271" i="40"/>
  <c r="F271" s="1" a="1"/>
  <c r="F271" s="1"/>
  <c r="N271" s="1"/>
  <c r="A223" i="37"/>
  <c r="A223" i="40"/>
  <c r="F223" s="1" a="1"/>
  <c r="F223" s="1"/>
  <c r="A187" i="37"/>
  <c r="A187" i="40"/>
  <c r="F187" s="1" a="1"/>
  <c r="F187" s="1"/>
  <c r="A139" i="37"/>
  <c r="A139" i="40"/>
  <c r="F139" s="1" a="1"/>
  <c r="F139" s="1"/>
  <c r="A91" i="37"/>
  <c r="A91" i="40"/>
  <c r="F91" s="1" a="1"/>
  <c r="F91" s="1"/>
  <c r="L91" s="1"/>
  <c r="A55" i="37"/>
  <c r="A55" i="40"/>
  <c r="F55" s="1" a="1"/>
  <c r="F55" s="1"/>
  <c r="N55" s="1"/>
  <c r="A7" i="37"/>
  <c r="A7" i="40"/>
  <c r="F7" s="1" a="1"/>
  <c r="F7" s="1"/>
  <c r="AO159" i="37"/>
  <c r="G159" i="51" s="1"/>
  <c r="A486" i="37"/>
  <c r="A486" i="40"/>
  <c r="F486" s="1" a="1"/>
  <c r="F486" s="1"/>
  <c r="A462" i="37"/>
  <c r="A462" i="40"/>
  <c r="F462" s="1" a="1"/>
  <c r="F462" s="1"/>
  <c r="L462" s="1"/>
  <c r="A438" i="37"/>
  <c r="A438" i="40"/>
  <c r="F438" s="1" a="1"/>
  <c r="F438" s="1"/>
  <c r="P438" s="1"/>
  <c r="AM451" i="37"/>
  <c r="A499"/>
  <c r="A499" i="40"/>
  <c r="F499" s="1" a="1"/>
  <c r="F499" s="1"/>
  <c r="J499" s="1"/>
  <c r="A463" i="37"/>
  <c r="A463" i="40"/>
  <c r="F463" s="1" a="1"/>
  <c r="F463" s="1"/>
  <c r="A451" i="37"/>
  <c r="A451" i="40"/>
  <c r="F451" s="1" a="1"/>
  <c r="F451" s="1"/>
  <c r="A415" i="37"/>
  <c r="A415" i="40"/>
  <c r="F415" s="1" a="1"/>
  <c r="F415" s="1"/>
  <c r="A403" i="37"/>
  <c r="A403" i="40"/>
  <c r="F403" s="1" a="1"/>
  <c r="F403" s="1"/>
  <c r="A367" i="37"/>
  <c r="A367" i="40"/>
  <c r="F367" s="1" a="1"/>
  <c r="F367" s="1"/>
  <c r="A331" i="37"/>
  <c r="A331" i="40"/>
  <c r="F331" s="1" a="1"/>
  <c r="F331" s="1"/>
  <c r="L331" s="1"/>
  <c r="A319" i="37"/>
  <c r="A319" i="40"/>
  <c r="F319" s="1" a="1"/>
  <c r="F319" s="1"/>
  <c r="A283" i="37"/>
  <c r="A283" i="40"/>
  <c r="F283" s="1" a="1"/>
  <c r="F283" s="1"/>
  <c r="J283" s="1"/>
  <c r="A259" i="37"/>
  <c r="A259" i="40"/>
  <c r="F259" s="1" a="1"/>
  <c r="F259" s="1"/>
  <c r="P259" s="1"/>
  <c r="A235" i="37"/>
  <c r="A235" i="40"/>
  <c r="F235" s="1" a="1"/>
  <c r="F235" s="1"/>
  <c r="A211" i="37"/>
  <c r="A211" i="40"/>
  <c r="F211" s="1" a="1"/>
  <c r="F211" s="1"/>
  <c r="A175" i="37"/>
  <c r="A175" i="40"/>
  <c r="F175" s="1" a="1"/>
  <c r="F175" s="1"/>
  <c r="H175" s="1"/>
  <c r="A151" i="37"/>
  <c r="A151" i="40"/>
  <c r="F151" s="1" a="1"/>
  <c r="F151" s="1"/>
  <c r="Q151" s="1"/>
  <c r="A127" i="37"/>
  <c r="A127" i="40"/>
  <c r="F127" s="1" a="1"/>
  <c r="F127" s="1"/>
  <c r="G127" s="1"/>
  <c r="A103" i="37"/>
  <c r="A103" i="40"/>
  <c r="F103" s="1" a="1"/>
  <c r="F103" s="1"/>
  <c r="A67" i="37"/>
  <c r="A67" i="40"/>
  <c r="F67" s="1" a="1"/>
  <c r="F67" s="1"/>
  <c r="L67" s="1"/>
  <c r="A43" i="37"/>
  <c r="A43" i="40"/>
  <c r="F43" s="1" a="1"/>
  <c r="F43" s="1"/>
  <c r="A19" i="37"/>
  <c r="A19" i="40"/>
  <c r="F19" s="1" a="1"/>
  <c r="F19" s="1"/>
  <c r="A498" i="37"/>
  <c r="A498" i="40"/>
  <c r="F498" s="1" a="1"/>
  <c r="F498" s="1"/>
  <c r="A474" i="37"/>
  <c r="A474" i="40"/>
  <c r="F474" s="1" a="1"/>
  <c r="F474" s="1"/>
  <c r="G474" s="1"/>
  <c r="A450" i="37"/>
  <c r="A450" i="40"/>
  <c r="F450" s="1" a="1"/>
  <c r="F450" s="1"/>
  <c r="A426" i="37"/>
  <c r="A426" i="40"/>
  <c r="F426" s="1" a="1"/>
  <c r="F426" s="1"/>
  <c r="A414" i="37"/>
  <c r="A414" i="40"/>
  <c r="F414" s="1" a="1"/>
  <c r="F414" s="1"/>
  <c r="A390" i="37"/>
  <c r="A390" i="40"/>
  <c r="F390" s="1" a="1"/>
  <c r="F390" s="1"/>
  <c r="P390" s="1"/>
  <c r="A354" i="37"/>
  <c r="A354" i="40"/>
  <c r="F354" s="1" a="1"/>
  <c r="F354" s="1"/>
  <c r="O354" s="1"/>
  <c r="A330" i="37"/>
  <c r="A330" i="40"/>
  <c r="F330" s="1" a="1"/>
  <c r="F330" s="1"/>
  <c r="A294" i="37"/>
  <c r="A294" i="40"/>
  <c r="F294" s="1" a="1"/>
  <c r="F294" s="1"/>
  <c r="G294" s="1"/>
  <c r="A258" i="37"/>
  <c r="A258" i="40"/>
  <c r="F258" s="1" a="1"/>
  <c r="F258" s="1"/>
  <c r="Q258" s="1"/>
  <c r="A234" i="37"/>
  <c r="A234" i="40"/>
  <c r="F234" s="1" a="1"/>
  <c r="F234" s="1"/>
  <c r="N234" s="1"/>
  <c r="A198" i="37"/>
  <c r="A198" i="40"/>
  <c r="F198" s="1" a="1"/>
  <c r="F198" s="1"/>
  <c r="J198" s="1"/>
  <c r="A162" i="37"/>
  <c r="A162" i="40"/>
  <c r="F162" s="1" a="1"/>
  <c r="F162" s="1"/>
  <c r="A138" i="37"/>
  <c r="A138" i="40"/>
  <c r="F138" s="1" a="1"/>
  <c r="F138" s="1"/>
  <c r="A102" i="37"/>
  <c r="A102" i="40"/>
  <c r="F102" s="1" a="1"/>
  <c r="F102" s="1"/>
  <c r="Q102" s="1"/>
  <c r="A78" i="37"/>
  <c r="A78" i="40"/>
  <c r="F78" s="1" a="1"/>
  <c r="F78" s="1"/>
  <c r="A42" i="37"/>
  <c r="A42" i="40"/>
  <c r="F42" s="1" a="1"/>
  <c r="F42" s="1"/>
  <c r="A6" i="37"/>
  <c r="A6" i="40"/>
  <c r="F6" s="1" a="1"/>
  <c r="F6" s="1"/>
  <c r="AI2" i="37"/>
  <c r="AO24"/>
  <c r="G24" i="51" s="1"/>
  <c r="AO65" i="37"/>
  <c r="G65" i="51" s="1"/>
  <c r="AO354" i="37"/>
  <c r="G354" i="51" s="1"/>
  <c r="AO160" i="37"/>
  <c r="G160" i="51" s="1"/>
  <c r="AO219" i="37"/>
  <c r="G219" i="51" s="1"/>
  <c r="AO156" i="37"/>
  <c r="G156" i="51" s="1"/>
  <c r="AO203" i="37"/>
  <c r="G203" i="51" s="1"/>
  <c r="AO98" i="37"/>
  <c r="G98" i="51" s="1"/>
  <c r="AK387" i="37"/>
  <c r="AK377"/>
  <c r="AM102"/>
  <c r="AK383"/>
  <c r="AM126"/>
  <c r="AM82"/>
  <c r="AK34"/>
  <c r="AK30"/>
  <c r="AK180"/>
  <c r="AM179"/>
  <c r="AO184"/>
  <c r="G184" i="51" s="1"/>
  <c r="AK461" i="37"/>
  <c r="AK152"/>
  <c r="AM315"/>
  <c r="AM327"/>
  <c r="AM448"/>
  <c r="AK257"/>
  <c r="AM239"/>
  <c r="AM296"/>
  <c r="AM232"/>
  <c r="AM320"/>
  <c r="AK358"/>
  <c r="A497"/>
  <c r="A497" i="40"/>
  <c r="F497" s="1" a="1"/>
  <c r="F497" s="1"/>
  <c r="M497" s="1"/>
  <c r="A485" i="37"/>
  <c r="A485" i="40"/>
  <c r="F485" s="1" a="1"/>
  <c r="F485" s="1"/>
  <c r="A473" i="37"/>
  <c r="A473" i="40"/>
  <c r="F473" s="1" a="1"/>
  <c r="F473" s="1"/>
  <c r="A461" i="37"/>
  <c r="A461" i="40"/>
  <c r="F461" s="1" a="1"/>
  <c r="F461" s="1"/>
  <c r="A449" i="37"/>
  <c r="A449" i="40"/>
  <c r="F449" s="1" a="1"/>
  <c r="F449" s="1"/>
  <c r="O449" s="1"/>
  <c r="A437" i="37"/>
  <c r="A437" i="40"/>
  <c r="F437" s="1" a="1"/>
  <c r="F437" s="1"/>
  <c r="A425" i="37"/>
  <c r="A425" i="40"/>
  <c r="F425" s="1" a="1"/>
  <c r="F425" s="1"/>
  <c r="A413" i="37"/>
  <c r="A413" i="40"/>
  <c r="F413" s="1" a="1"/>
  <c r="F413" s="1"/>
  <c r="A401" i="37"/>
  <c r="A401" i="40"/>
  <c r="F401" s="1" a="1"/>
  <c r="F401" s="1"/>
  <c r="H401" s="1"/>
  <c r="A389" i="37"/>
  <c r="A389" i="40"/>
  <c r="F389" s="1" a="1"/>
  <c r="F389" s="1"/>
  <c r="H389" s="1"/>
  <c r="A377" i="37"/>
  <c r="A377" i="40"/>
  <c r="F377" s="1" a="1"/>
  <c r="F377" s="1"/>
  <c r="A365" i="37"/>
  <c r="A365" i="40"/>
  <c r="F365" s="1" a="1"/>
  <c r="F365" s="1"/>
  <c r="A353" i="37"/>
  <c r="A353" i="40"/>
  <c r="F353" s="1" a="1"/>
  <c r="F353" s="1"/>
  <c r="N353" s="1"/>
  <c r="A341" i="37"/>
  <c r="A341" i="40"/>
  <c r="F341" s="1" a="1"/>
  <c r="F341" s="1"/>
  <c r="H341" s="1"/>
  <c r="A329" i="37"/>
  <c r="A329" i="40"/>
  <c r="F329" s="1" a="1"/>
  <c r="F329" s="1"/>
  <c r="A317" i="37"/>
  <c r="A317" i="40"/>
  <c r="F317" s="1" a="1"/>
  <c r="F317" s="1"/>
  <c r="A305" i="37"/>
  <c r="A305" i="40"/>
  <c r="F305" s="1" a="1"/>
  <c r="F305" s="1"/>
  <c r="P305" s="1"/>
  <c r="A293" i="37"/>
  <c r="A293" i="40"/>
  <c r="F293" s="1" a="1"/>
  <c r="F293" s="1"/>
  <c r="A281" i="37"/>
  <c r="A281" i="40"/>
  <c r="F281" s="1" a="1"/>
  <c r="F281" s="1"/>
  <c r="A269" i="37"/>
  <c r="A269" i="40"/>
  <c r="F269" s="1" a="1"/>
  <c r="F269" s="1"/>
  <c r="A257" i="37"/>
  <c r="A257" i="40"/>
  <c r="F257" s="1" a="1"/>
  <c r="F257" s="1"/>
  <c r="H257" s="1"/>
  <c r="A245" i="37"/>
  <c r="A245" i="40"/>
  <c r="F245" s="1" a="1"/>
  <c r="F245" s="1"/>
  <c r="A233" i="37"/>
  <c r="A233" i="40"/>
  <c r="F233" s="1" a="1"/>
  <c r="F233" s="1"/>
  <c r="A221" i="37"/>
  <c r="A221" i="40"/>
  <c r="F221" s="1" a="1"/>
  <c r="F221" s="1"/>
  <c r="A209" i="37"/>
  <c r="A209" i="40"/>
  <c r="F209" s="1" a="1"/>
  <c r="F209" s="1"/>
  <c r="J209" s="1"/>
  <c r="A197" i="37"/>
  <c r="A197" i="40"/>
  <c r="F197" s="1" a="1"/>
  <c r="F197" s="1"/>
  <c r="P197" s="1"/>
  <c r="A185" i="37"/>
  <c r="A185" i="40"/>
  <c r="F185" s="1" a="1"/>
  <c r="F185" s="1"/>
  <c r="A173" i="37"/>
  <c r="A173" i="40"/>
  <c r="F173" s="1" a="1"/>
  <c r="F173" s="1"/>
  <c r="A161" i="37"/>
  <c r="A161" i="40"/>
  <c r="F161" s="1" a="1"/>
  <c r="F161" s="1"/>
  <c r="P161" s="1"/>
  <c r="A149" i="37"/>
  <c r="A149" i="40"/>
  <c r="F149" s="1" a="1"/>
  <c r="F149" s="1"/>
  <c r="A137" i="37"/>
  <c r="A137" i="40"/>
  <c r="F137" s="1" a="1"/>
  <c r="F137" s="1"/>
  <c r="A125" i="37"/>
  <c r="A125" i="40"/>
  <c r="F125" s="1" a="1"/>
  <c r="F125" s="1"/>
  <c r="A113" i="37"/>
  <c r="A113" i="40"/>
  <c r="F113" s="1" a="1"/>
  <c r="F113" s="1"/>
  <c r="A101" i="37"/>
  <c r="A101" i="40"/>
  <c r="F101" s="1" a="1"/>
  <c r="F101" s="1"/>
  <c r="A89" i="37"/>
  <c r="A89" i="40"/>
  <c r="F89" s="1" a="1"/>
  <c r="F89" s="1"/>
  <c r="A77" i="37"/>
  <c r="A77" i="40"/>
  <c r="F77" s="1" a="1"/>
  <c r="F77" s="1"/>
  <c r="A65" i="37"/>
  <c r="A65" i="40"/>
  <c r="F65" s="1" a="1"/>
  <c r="F65" s="1"/>
  <c r="J65" s="1"/>
  <c r="A53" i="37"/>
  <c r="A53" i="40"/>
  <c r="F53" s="1" a="1"/>
  <c r="F53" s="1"/>
  <c r="A41" i="37"/>
  <c r="A41" i="40"/>
  <c r="F41" s="1" a="1"/>
  <c r="F41" s="1"/>
  <c r="A29" i="37"/>
  <c r="A29" i="40"/>
  <c r="F29" s="1" a="1"/>
  <c r="F29" s="1"/>
  <c r="A17" i="37"/>
  <c r="A17" i="40"/>
  <c r="F17" s="1" a="1"/>
  <c r="F17" s="1"/>
  <c r="H17" s="1"/>
  <c r="A5" i="37"/>
  <c r="A5" i="40"/>
  <c r="F5" s="1" a="1"/>
  <c r="F5" s="1"/>
  <c r="P5" s="1"/>
  <c r="AO27" i="37"/>
  <c r="G27" i="51" s="1"/>
  <c r="AO343" i="37"/>
  <c r="G343" i="51" s="1"/>
  <c r="AO339" i="37"/>
  <c r="G339" i="51" s="1"/>
  <c r="AO382" i="37"/>
  <c r="G382" i="51" s="1"/>
  <c r="AO6" i="37"/>
  <c r="G6" i="51" s="1"/>
  <c r="AO371" i="37"/>
  <c r="G371" i="51" s="1"/>
  <c r="AO31" i="37"/>
  <c r="G31" i="51" s="1"/>
  <c r="AO489" i="37"/>
  <c r="G489" i="51" s="1"/>
  <c r="AO88" i="37"/>
  <c r="G88" i="51" s="1"/>
  <c r="AO196" i="37"/>
  <c r="G196" i="51" s="1"/>
  <c r="AK192" i="37"/>
  <c r="AK168"/>
  <c r="AK169"/>
  <c r="AK396"/>
  <c r="AK162"/>
  <c r="AK119"/>
  <c r="AO403"/>
  <c r="G403" i="51" s="1"/>
  <c r="AM322" i="37"/>
  <c r="AM443"/>
  <c r="AM319"/>
  <c r="AM359"/>
  <c r="A378"/>
  <c r="A378" i="40"/>
  <c r="F378" s="1" a="1"/>
  <c r="F378" s="1"/>
  <c r="A318" i="37"/>
  <c r="A318" i="40"/>
  <c r="F318" s="1" a="1"/>
  <c r="F318" s="1"/>
  <c r="A282" i="37"/>
  <c r="A282" i="40"/>
  <c r="F282" s="1" a="1"/>
  <c r="F282" s="1"/>
  <c r="A222" i="37"/>
  <c r="A222" i="40"/>
  <c r="F222" s="1" a="1"/>
  <c r="F222" s="1"/>
  <c r="I222" s="1"/>
  <c r="A174" i="37"/>
  <c r="A174" i="40"/>
  <c r="F174" s="1" a="1"/>
  <c r="F174" s="1"/>
  <c r="O174" s="1"/>
  <c r="A126" i="37"/>
  <c r="A126" i="40"/>
  <c r="F126" s="1" a="1"/>
  <c r="F126" s="1"/>
  <c r="A66" i="37"/>
  <c r="A66" i="40"/>
  <c r="F66" s="1" a="1"/>
  <c r="F66" s="1"/>
  <c r="L66" s="1"/>
  <c r="A18" i="37"/>
  <c r="A18" i="40"/>
  <c r="F18" s="1" a="1"/>
  <c r="F18" s="1"/>
  <c r="A472" i="37"/>
  <c r="A472" i="40"/>
  <c r="F472" s="1" a="1"/>
  <c r="F472" s="1"/>
  <c r="A436" i="37"/>
  <c r="A436" i="40"/>
  <c r="F436" s="1" a="1"/>
  <c r="F436" s="1"/>
  <c r="A412" i="37"/>
  <c r="A412" i="40"/>
  <c r="F412" s="1" a="1"/>
  <c r="F412" s="1"/>
  <c r="M412" s="1"/>
  <c r="A376" i="37"/>
  <c r="A376" i="40"/>
  <c r="F376" s="1" a="1"/>
  <c r="F376" s="1"/>
  <c r="O376" s="1"/>
  <c r="A352" i="37"/>
  <c r="A352" i="40"/>
  <c r="F352" s="1" a="1"/>
  <c r="F352" s="1"/>
  <c r="N352" s="1"/>
  <c r="A328" i="37"/>
  <c r="A328" i="40"/>
  <c r="F328" s="1" a="1"/>
  <c r="F328" s="1"/>
  <c r="A316" i="37"/>
  <c r="A316" i="40"/>
  <c r="F316" s="1" a="1"/>
  <c r="F316" s="1"/>
  <c r="M316" s="1"/>
  <c r="A304" i="37"/>
  <c r="A304" i="40"/>
  <c r="F304" s="1" a="1"/>
  <c r="F304" s="1"/>
  <c r="M304" s="1"/>
  <c r="A292" i="37"/>
  <c r="A292" i="40"/>
  <c r="F292" s="1" a="1"/>
  <c r="F292" s="1"/>
  <c r="A280" i="37"/>
  <c r="A280" i="40"/>
  <c r="F280" s="1" a="1"/>
  <c r="F280" s="1"/>
  <c r="A268" i="37"/>
  <c r="A268" i="40"/>
  <c r="F268" s="1" a="1"/>
  <c r="F268" s="1"/>
  <c r="J268" s="1"/>
  <c r="A256" i="37"/>
  <c r="A256" i="40"/>
  <c r="F256" s="1" a="1"/>
  <c r="F256" s="1"/>
  <c r="A244" i="37"/>
  <c r="A244" i="40"/>
  <c r="F244" s="1" a="1"/>
  <c r="F244" s="1"/>
  <c r="N244" s="1"/>
  <c r="A232" i="37"/>
  <c r="A232" i="40"/>
  <c r="F232" s="1" a="1"/>
  <c r="F232" s="1"/>
  <c r="A220" i="37"/>
  <c r="A220" i="40"/>
  <c r="F220" s="1" a="1"/>
  <c r="F220" s="1"/>
  <c r="I220" s="1"/>
  <c r="A208" i="37"/>
  <c r="A208" i="40"/>
  <c r="F208" s="1" a="1"/>
  <c r="F208" s="1"/>
  <c r="H208" s="1"/>
  <c r="A196" i="37"/>
  <c r="A196" i="40"/>
  <c r="F196" s="1" a="1"/>
  <c r="F196" s="1"/>
  <c r="M196" s="1"/>
  <c r="A184" i="37"/>
  <c r="A184" i="40"/>
  <c r="F184" s="1" a="1"/>
  <c r="F184" s="1"/>
  <c r="A172" i="37"/>
  <c r="A172" i="40"/>
  <c r="F172" s="1" a="1"/>
  <c r="F172" s="1"/>
  <c r="J172" s="1"/>
  <c r="A160" i="37"/>
  <c r="A160" i="40"/>
  <c r="F160" s="1" a="1"/>
  <c r="F160" s="1"/>
  <c r="J160" s="1"/>
  <c r="A148" i="37"/>
  <c r="A148" i="40"/>
  <c r="F148" s="1" a="1"/>
  <c r="F148" s="1"/>
  <c r="N148" s="1"/>
  <c r="A136" i="37"/>
  <c r="A136" i="40"/>
  <c r="F136" s="1" a="1"/>
  <c r="F136" s="1"/>
  <c r="A124" i="37"/>
  <c r="A124" i="40"/>
  <c r="F124" s="1" a="1"/>
  <c r="F124" s="1"/>
  <c r="I124" s="1"/>
  <c r="A112" i="37"/>
  <c r="A112" i="40"/>
  <c r="F112" s="1" a="1"/>
  <c r="F112" s="1"/>
  <c r="A100" i="37"/>
  <c r="A100" i="40"/>
  <c r="F100" s="1" a="1"/>
  <c r="F100" s="1"/>
  <c r="A88" i="37"/>
  <c r="A88" i="40"/>
  <c r="F88" s="1" a="1"/>
  <c r="F88" s="1"/>
  <c r="A76" i="37"/>
  <c r="A76" i="40"/>
  <c r="F76" s="1" a="1"/>
  <c r="F76" s="1"/>
  <c r="G76" s="1"/>
  <c r="A64" i="37"/>
  <c r="A64" i="40"/>
  <c r="F64" s="1" a="1"/>
  <c r="F64" s="1"/>
  <c r="O64" s="1"/>
  <c r="A52" i="37"/>
  <c r="A52" i="40"/>
  <c r="F52" s="1" a="1"/>
  <c r="F52" s="1"/>
  <c r="A40" i="37"/>
  <c r="A40" i="40"/>
  <c r="F40" s="1" a="1"/>
  <c r="F40" s="1"/>
  <c r="A28" i="37"/>
  <c r="A28" i="40"/>
  <c r="F28" s="1" a="1"/>
  <c r="F28" s="1"/>
  <c r="Q28" s="1"/>
  <c r="A16" i="37"/>
  <c r="A16" i="40"/>
  <c r="F16" s="1" a="1"/>
  <c r="F16" s="1"/>
  <c r="G16" s="1"/>
  <c r="A4" i="37"/>
  <c r="A4" i="40"/>
  <c r="F4" s="1" a="1"/>
  <c r="F4" s="1"/>
  <c r="L4" s="1"/>
  <c r="AO466" i="37"/>
  <c r="G466" i="51" s="1"/>
  <c r="AO383" i="37"/>
  <c r="AO374"/>
  <c r="G374" i="51" s="1"/>
  <c r="AO272" i="37"/>
  <c r="G272" i="51" s="1"/>
  <c r="AO17" i="37"/>
  <c r="G17" i="51" s="1"/>
  <c r="AO77" i="37"/>
  <c r="G77" i="51" s="1"/>
  <c r="AO28" i="37"/>
  <c r="G28" i="51" s="1"/>
  <c r="AO161" i="37"/>
  <c r="G161" i="51" s="1"/>
  <c r="AO64" i="37"/>
  <c r="G64" i="51" s="1"/>
  <c r="AO397" i="37"/>
  <c r="G397" i="51" s="1"/>
  <c r="AO78" i="37"/>
  <c r="G78" i="51" s="1"/>
  <c r="AO133" i="37"/>
  <c r="G133" i="51" s="1"/>
  <c r="AO74" i="37"/>
  <c r="G74" i="51" s="1"/>
  <c r="AO470" i="37"/>
  <c r="G470" i="51" s="1"/>
  <c r="AO124" i="37"/>
  <c r="G124" i="51" s="1"/>
  <c r="AO390" i="37"/>
  <c r="G390" i="51" s="1"/>
  <c r="AO79" i="37"/>
  <c r="G79" i="51" s="1"/>
  <c r="AO177" i="37"/>
  <c r="G177" i="51" s="1"/>
  <c r="AO97" i="37"/>
  <c r="G97" i="51" s="1"/>
  <c r="AO81" i="37"/>
  <c r="G81" i="51" s="1"/>
  <c r="AO186" i="37"/>
  <c r="G186" i="51" s="1"/>
  <c r="AK213" i="37"/>
  <c r="AK130"/>
  <c r="AM375"/>
  <c r="AK118"/>
  <c r="AM256"/>
  <c r="AM357"/>
  <c r="AM148"/>
  <c r="AO319"/>
  <c r="G319" i="51" s="1"/>
  <c r="AM258" i="37"/>
  <c r="AM501"/>
  <c r="A402"/>
  <c r="A402" i="40"/>
  <c r="F402" s="1" a="1"/>
  <c r="F402" s="1"/>
  <c r="A366" i="37"/>
  <c r="A366" i="40"/>
  <c r="F366" s="1" a="1"/>
  <c r="F366" s="1"/>
  <c r="A342" i="37"/>
  <c r="A342" i="40"/>
  <c r="F342" s="1" a="1"/>
  <c r="F342" s="1"/>
  <c r="A306" i="37"/>
  <c r="A306" i="40"/>
  <c r="F306" s="1" a="1"/>
  <c r="F306" s="1"/>
  <c r="M306" s="1"/>
  <c r="A270" i="37"/>
  <c r="A270" i="40"/>
  <c r="F270" s="1" a="1"/>
  <c r="F270" s="1"/>
  <c r="P270" s="1"/>
  <c r="A246" i="37"/>
  <c r="A246" i="40"/>
  <c r="F246" s="1" a="1"/>
  <c r="F246" s="1"/>
  <c r="A210" i="37"/>
  <c r="A210" i="40"/>
  <c r="F210" s="1" a="1"/>
  <c r="F210" s="1"/>
  <c r="A186" i="37"/>
  <c r="A186" i="40"/>
  <c r="F186" s="1" a="1"/>
  <c r="F186" s="1"/>
  <c r="N186" s="1"/>
  <c r="A150" i="37"/>
  <c r="A150" i="40"/>
  <c r="F150" s="1" a="1"/>
  <c r="F150" s="1"/>
  <c r="O150" s="1"/>
  <c r="A114" i="37"/>
  <c r="A114" i="40"/>
  <c r="F114" s="1" a="1"/>
  <c r="F114" s="1"/>
  <c r="A90" i="37"/>
  <c r="A90" i="40"/>
  <c r="F90" s="1" a="1"/>
  <c r="F90" s="1"/>
  <c r="A54" i="37"/>
  <c r="A54" i="40"/>
  <c r="F54" s="1" a="1"/>
  <c r="F54" s="1"/>
  <c r="M54" s="1"/>
  <c r="A30" i="37"/>
  <c r="A30" i="40"/>
  <c r="F30" s="1" a="1"/>
  <c r="F30" s="1"/>
  <c r="A496" i="37"/>
  <c r="A496" i="40"/>
  <c r="F496" s="1" a="1"/>
  <c r="F496" s="1"/>
  <c r="A484" i="37"/>
  <c r="A484" i="40"/>
  <c r="F484" s="1" a="1"/>
  <c r="F484" s="1"/>
  <c r="A460" i="37"/>
  <c r="A460" i="40"/>
  <c r="F460" s="1" a="1"/>
  <c r="F460" s="1"/>
  <c r="I460" s="1"/>
  <c r="A448" i="37"/>
  <c r="A448" i="40"/>
  <c r="F448" s="1" a="1"/>
  <c r="F448" s="1"/>
  <c r="A424" i="37"/>
  <c r="A424" i="40"/>
  <c r="F424" s="1" a="1"/>
  <c r="F424" s="1"/>
  <c r="A400" i="37"/>
  <c r="A400" i="40"/>
  <c r="F400" s="1" a="1"/>
  <c r="F400" s="1"/>
  <c r="A388" i="37"/>
  <c r="A388" i="40"/>
  <c r="F388" s="1" a="1"/>
  <c r="F388" s="1"/>
  <c r="A364" i="37"/>
  <c r="A364" i="40"/>
  <c r="F364" s="1" a="1"/>
  <c r="F364" s="1"/>
  <c r="L364" s="1"/>
  <c r="A340" i="37"/>
  <c r="A340" i="40"/>
  <c r="F340" s="1" a="1"/>
  <c r="F340" s="1"/>
  <c r="A495" i="37"/>
  <c r="A495" i="40"/>
  <c r="F495" s="1" a="1"/>
  <c r="F495" s="1"/>
  <c r="A483" i="37"/>
  <c r="A483" i="40"/>
  <c r="F483" s="1" a="1"/>
  <c r="F483" s="1"/>
  <c r="O483" s="1"/>
  <c r="A471" i="37"/>
  <c r="A471" i="40"/>
  <c r="F471" s="1" a="1"/>
  <c r="F471" s="1"/>
  <c r="K471" s="1"/>
  <c r="A459" i="37"/>
  <c r="A459" i="40"/>
  <c r="F459" s="1" a="1"/>
  <c r="F459" s="1"/>
  <c r="A447" i="37"/>
  <c r="A447" i="40"/>
  <c r="F447" s="1" a="1"/>
  <c r="F447" s="1"/>
  <c r="A435" i="37"/>
  <c r="A435" i="40"/>
  <c r="F435" s="1" a="1"/>
  <c r="F435" s="1"/>
  <c r="P435" s="1"/>
  <c r="A423" i="37"/>
  <c r="A423" i="40"/>
  <c r="F423" s="1" a="1"/>
  <c r="F423" s="1"/>
  <c r="A411" i="37"/>
  <c r="A411" i="40"/>
  <c r="F411" s="1" a="1"/>
  <c r="F411" s="1"/>
  <c r="A399" i="37"/>
  <c r="A399" i="40"/>
  <c r="F399" s="1" a="1"/>
  <c r="F399" s="1"/>
  <c r="A387" i="37"/>
  <c r="A387" i="40"/>
  <c r="F387" s="1" a="1"/>
  <c r="F387" s="1"/>
  <c r="I387" s="1"/>
  <c r="A375" i="37"/>
  <c r="A375" i="40"/>
  <c r="F375" s="1" a="1"/>
  <c r="F375" s="1"/>
  <c r="A363" i="37"/>
  <c r="A363" i="40"/>
  <c r="F363" s="1" a="1"/>
  <c r="F363" s="1"/>
  <c r="A351" i="37"/>
  <c r="A351" i="40"/>
  <c r="F351" s="1" a="1"/>
  <c r="F351" s="1"/>
  <c r="A339" i="37"/>
  <c r="A339" i="40"/>
  <c r="F339" s="1" a="1"/>
  <c r="F339" s="1"/>
  <c r="A327" i="37"/>
  <c r="A327" i="40"/>
  <c r="F327" s="1" a="1"/>
  <c r="F327" s="1"/>
  <c r="L327" s="1"/>
  <c r="A315" i="37"/>
  <c r="A315" i="40"/>
  <c r="F315" s="1" a="1"/>
  <c r="F315" s="1"/>
  <c r="A303" i="37"/>
  <c r="A303" i="40"/>
  <c r="F303" s="1" a="1"/>
  <c r="F303" s="1"/>
  <c r="A291" i="37"/>
  <c r="A291" i="40"/>
  <c r="F291" s="1" a="1"/>
  <c r="F291" s="1"/>
  <c r="N291" s="1"/>
  <c r="A279" i="37"/>
  <c r="A279" i="40"/>
  <c r="F279" s="1" a="1"/>
  <c r="F279" s="1"/>
  <c r="K279" s="1"/>
  <c r="A267" i="37"/>
  <c r="A267" i="40"/>
  <c r="F267" s="1" a="1"/>
  <c r="F267" s="1"/>
  <c r="A255" i="37"/>
  <c r="A255" i="40"/>
  <c r="F255" s="1" a="1"/>
  <c r="F255" s="1"/>
  <c r="A243" i="37"/>
  <c r="A243" i="40"/>
  <c r="F243" s="1" a="1"/>
  <c r="F243" s="1"/>
  <c r="P243" s="1"/>
  <c r="A231" i="37"/>
  <c r="A231" i="40"/>
  <c r="F231" s="1" a="1"/>
  <c r="F231" s="1"/>
  <c r="A219" i="37"/>
  <c r="A219" i="40"/>
  <c r="F219" s="1" a="1"/>
  <c r="F219" s="1"/>
  <c r="A207" i="37"/>
  <c r="A207" i="40"/>
  <c r="F207" s="1" a="1"/>
  <c r="F207" s="1"/>
  <c r="A195" i="37"/>
  <c r="A195" i="40"/>
  <c r="F195" s="1" a="1"/>
  <c r="F195" s="1"/>
  <c r="A183" i="37"/>
  <c r="A183" i="40"/>
  <c r="F183" s="1" a="1"/>
  <c r="F183" s="1"/>
  <c r="A171" i="37"/>
  <c r="A171" i="40"/>
  <c r="F171" s="1" a="1"/>
  <c r="F171" s="1"/>
  <c r="A159" i="37"/>
  <c r="A159" i="40"/>
  <c r="F159" s="1" a="1"/>
  <c r="F159" s="1"/>
  <c r="A147" i="37"/>
  <c r="A147" i="40"/>
  <c r="F147" s="1" a="1"/>
  <c r="F147" s="1"/>
  <c r="Q147" s="1"/>
  <c r="A135" i="37"/>
  <c r="A135" i="40"/>
  <c r="F135" s="1" a="1"/>
  <c r="F135" s="1"/>
  <c r="A123" i="37"/>
  <c r="A123" i="40"/>
  <c r="F123" s="1" a="1"/>
  <c r="F123" s="1"/>
  <c r="A111" i="37"/>
  <c r="A111" i="40"/>
  <c r="F111" s="1" a="1"/>
  <c r="F111" s="1"/>
  <c r="A99" i="37"/>
  <c r="A99" i="40"/>
  <c r="F99" s="1" a="1"/>
  <c r="F99" s="1"/>
  <c r="G99" s="1"/>
  <c r="A87" i="37"/>
  <c r="A87" i="40"/>
  <c r="F87" s="1" a="1"/>
  <c r="F87" s="1"/>
  <c r="A75" i="37"/>
  <c r="A75" i="40"/>
  <c r="F75" s="1" a="1"/>
  <c r="F75" s="1"/>
  <c r="A63" i="37"/>
  <c r="A63" i="40"/>
  <c r="F63" s="1" a="1"/>
  <c r="F63" s="1"/>
  <c r="A51" i="37"/>
  <c r="A51" i="40"/>
  <c r="F51" s="1" a="1"/>
  <c r="F51" s="1"/>
  <c r="J51" s="1"/>
  <c r="A39" i="37"/>
  <c r="A39" i="40"/>
  <c r="F39" s="1" a="1"/>
  <c r="F39" s="1"/>
  <c r="A27" i="37"/>
  <c r="A27" i="40"/>
  <c r="F27" s="1" a="1"/>
  <c r="F27" s="1"/>
  <c r="A15" i="37"/>
  <c r="A15" i="40"/>
  <c r="F15" s="1" a="1"/>
  <c r="F15" s="1"/>
  <c r="A3" i="37"/>
  <c r="A3" i="40"/>
  <c r="F3" s="1" a="1"/>
  <c r="F3" s="1"/>
  <c r="K3" s="1"/>
  <c r="AO493" i="37"/>
  <c r="G493" i="51" s="1"/>
  <c r="AO459" i="37"/>
  <c r="G459" i="51" s="1"/>
  <c r="AO76" i="37"/>
  <c r="G76" i="51" s="1"/>
  <c r="AO162" i="37"/>
  <c r="G162" i="51" s="1"/>
  <c r="AO395" i="37"/>
  <c r="G395" i="51" s="1"/>
  <c r="AO163" i="37"/>
  <c r="AO91"/>
  <c r="G91" i="51" s="1"/>
  <c r="AO50" i="37"/>
  <c r="G50" i="51" s="1"/>
  <c r="AO205" i="37"/>
  <c r="G205" i="51" s="1"/>
  <c r="AM156" i="37"/>
  <c r="AK367"/>
  <c r="AK414"/>
  <c r="AK20" i="52" s="1"/>
  <c r="AM123" i="37"/>
  <c r="AM391"/>
  <c r="AK75"/>
  <c r="AM173"/>
  <c r="AK122"/>
  <c r="AK400"/>
  <c r="AK170"/>
  <c r="AK476"/>
  <c r="AM28"/>
  <c r="AK472"/>
  <c r="AO109"/>
  <c r="G109" i="51" s="1"/>
  <c r="AK96" i="37"/>
  <c r="AK117"/>
  <c r="AK278"/>
  <c r="AK14" i="52" s="1"/>
  <c r="AK404" i="37"/>
  <c r="AO183"/>
  <c r="G183" i="51" s="1"/>
  <c r="AK74" i="37"/>
  <c r="AO198"/>
  <c r="G198" i="51" s="1"/>
  <c r="AO408" i="37"/>
  <c r="G408" i="51" s="1"/>
  <c r="AO190" i="37"/>
  <c r="G190" i="51" s="1"/>
  <c r="AK172" i="37"/>
  <c r="AK55"/>
  <c r="AK488"/>
  <c r="AK490"/>
  <c r="AK342"/>
  <c r="AK17" i="52" s="1"/>
  <c r="AO362" i="37"/>
  <c r="G362" i="51" s="1"/>
  <c r="AM237" i="37"/>
  <c r="AM304"/>
  <c r="AK137"/>
  <c r="AK441"/>
  <c r="AM421"/>
  <c r="AM498"/>
  <c r="AM329"/>
  <c r="A492"/>
  <c r="A492" i="40"/>
  <c r="F492" s="1" a="1"/>
  <c r="F492" s="1"/>
  <c r="A444" i="37"/>
  <c r="A444" i="40"/>
  <c r="F444" s="1" a="1"/>
  <c r="F444" s="1"/>
  <c r="A420" i="37"/>
  <c r="A420" i="40"/>
  <c r="F420" s="1" a="1"/>
  <c r="F420" s="1"/>
  <c r="Q420" s="1"/>
  <c r="A408" i="37"/>
  <c r="A408" i="40"/>
  <c r="F408" s="1" a="1"/>
  <c r="F408" s="1"/>
  <c r="G408" s="1"/>
  <c r="A396" i="37"/>
  <c r="A396" i="40"/>
  <c r="F396" s="1" a="1"/>
  <c r="F396" s="1"/>
  <c r="P396" s="1"/>
  <c r="A384" i="37"/>
  <c r="A384" i="40"/>
  <c r="F384" s="1" a="1"/>
  <c r="F384" s="1"/>
  <c r="A372" i="37"/>
  <c r="A372" i="40"/>
  <c r="F372" s="1" a="1"/>
  <c r="F372" s="1"/>
  <c r="L372" s="1"/>
  <c r="A360" i="37"/>
  <c r="A360" i="40"/>
  <c r="F360" s="1" a="1"/>
  <c r="F360" s="1"/>
  <c r="G360" s="1"/>
  <c r="A348" i="37"/>
  <c r="A348" i="40"/>
  <c r="F348" s="1" a="1"/>
  <c r="F348" s="1"/>
  <c r="A336" i="37"/>
  <c r="A336" i="40"/>
  <c r="F336" s="1" a="1"/>
  <c r="F336" s="1"/>
  <c r="A324" i="37"/>
  <c r="A324" i="40"/>
  <c r="F324" s="1" a="1"/>
  <c r="F324" s="1"/>
  <c r="K324" s="1"/>
  <c r="A312" i="37"/>
  <c r="A312" i="40"/>
  <c r="F312" s="1" a="1"/>
  <c r="F312" s="1"/>
  <c r="L312" s="1"/>
  <c r="A300" i="37"/>
  <c r="A300" i="40"/>
  <c r="F300" s="1" a="1"/>
  <c r="F300" s="1"/>
  <c r="M300" s="1"/>
  <c r="A288" i="37"/>
  <c r="A288" i="40"/>
  <c r="F288" s="1" a="1"/>
  <c r="F288" s="1"/>
  <c r="A276" i="37"/>
  <c r="A276" i="40"/>
  <c r="F276" s="1" a="1"/>
  <c r="F276" s="1"/>
  <c r="N276" s="1"/>
  <c r="A264" i="37"/>
  <c r="A264" i="40"/>
  <c r="F264" s="1" a="1"/>
  <c r="F264" s="1"/>
  <c r="N264" s="1"/>
  <c r="A252" i="37"/>
  <c r="A252" i="40"/>
  <c r="F252" s="1" a="1"/>
  <c r="F252" s="1"/>
  <c r="P252" s="1"/>
  <c r="A240" i="37"/>
  <c r="A240" i="40"/>
  <c r="F240" s="1" a="1"/>
  <c r="F240" s="1"/>
  <c r="A228" i="37"/>
  <c r="A228" i="40"/>
  <c r="F228" s="1" a="1"/>
  <c r="F228" s="1"/>
  <c r="Q228" s="1"/>
  <c r="A216" i="37"/>
  <c r="A216" i="40"/>
  <c r="F216" s="1" a="1"/>
  <c r="F216" s="1"/>
  <c r="Q216" s="1"/>
  <c r="A204" i="37"/>
  <c r="A204" i="40"/>
  <c r="F204" s="1" a="1"/>
  <c r="F204" s="1"/>
  <c r="A192" i="37"/>
  <c r="A192" i="40"/>
  <c r="F192" s="1" a="1"/>
  <c r="F192" s="1"/>
  <c r="A180" i="37"/>
  <c r="A180" i="40"/>
  <c r="F180" s="1" a="1"/>
  <c r="F180" s="1"/>
  <c r="O180" s="1"/>
  <c r="A168" i="37"/>
  <c r="A168" i="40"/>
  <c r="F168" s="1" a="1"/>
  <c r="F168" s="1"/>
  <c r="N168" s="1"/>
  <c r="A156" i="37"/>
  <c r="A156" i="40"/>
  <c r="F156" s="1" a="1"/>
  <c r="F156" s="1"/>
  <c r="A144" i="37"/>
  <c r="A144" i="40"/>
  <c r="F144" s="1" a="1"/>
  <c r="F144" s="1"/>
  <c r="A132" i="37"/>
  <c r="A132" i="40"/>
  <c r="F132" s="1" a="1"/>
  <c r="F132" s="1"/>
  <c r="N132" s="1"/>
  <c r="A120" i="37"/>
  <c r="A120" i="40"/>
  <c r="F120" s="1" a="1"/>
  <c r="F120" s="1"/>
  <c r="G120" s="1"/>
  <c r="A108" i="37"/>
  <c r="A108" i="40"/>
  <c r="F108" s="1" a="1"/>
  <c r="F108" s="1"/>
  <c r="J108" s="1"/>
  <c r="A96" i="37"/>
  <c r="A96" i="40"/>
  <c r="F96" s="1" a="1"/>
  <c r="F96" s="1"/>
  <c r="A84" i="37"/>
  <c r="A84" i="40"/>
  <c r="F84" s="1" a="1"/>
  <c r="F84" s="1"/>
  <c r="P84" s="1"/>
  <c r="A72" i="37"/>
  <c r="A72" i="40"/>
  <c r="F72" s="1" a="1"/>
  <c r="F72" s="1"/>
  <c r="O72" s="1"/>
  <c r="A60" i="37"/>
  <c r="A60" i="40"/>
  <c r="F60" s="1" a="1"/>
  <c r="F60" s="1"/>
  <c r="G60" s="1"/>
  <c r="A48" i="37"/>
  <c r="A48" i="40"/>
  <c r="F48" s="1" a="1"/>
  <c r="F48" s="1"/>
  <c r="A36" i="37"/>
  <c r="A36" i="40"/>
  <c r="F36" s="1" a="1"/>
  <c r="F36" s="1"/>
  <c r="H36" s="1"/>
  <c r="A24" i="37"/>
  <c r="A24" i="40"/>
  <c r="F24" s="1" a="1"/>
  <c r="F24" s="1"/>
  <c r="M24" s="1"/>
  <c r="A12" i="37"/>
  <c r="A12" i="40"/>
  <c r="F12" s="1" a="1"/>
  <c r="F12" s="1"/>
  <c r="AO462" i="37"/>
  <c r="G462" i="51" s="1"/>
  <c r="AO126" i="37"/>
  <c r="G126" i="51" s="1"/>
  <c r="AO381" i="37"/>
  <c r="G381" i="51" s="1"/>
  <c r="AO68" i="37"/>
  <c r="G68" i="51" s="1"/>
  <c r="AO398" i="37"/>
  <c r="G398" i="51" s="1"/>
  <c r="AO471" i="37"/>
  <c r="G471" i="51" s="1"/>
  <c r="AO22" i="37"/>
  <c r="G22" i="51" s="1"/>
  <c r="AO152" i="37"/>
  <c r="G152" i="51" s="1"/>
  <c r="AO376" i="37"/>
  <c r="G376" i="51" s="1"/>
  <c r="AO37" i="37"/>
  <c r="G37" i="51" s="1"/>
  <c r="AO485" i="37"/>
  <c r="G485" i="51" s="1"/>
  <c r="AO67" i="37"/>
  <c r="G67" i="51" s="1"/>
  <c r="AO95" i="37"/>
  <c r="G95" i="51" s="1"/>
  <c r="AO111" i="37"/>
  <c r="G111" i="51" s="1"/>
  <c r="AO483" i="37"/>
  <c r="G483" i="51" s="1"/>
  <c r="AO415" i="37"/>
  <c r="G415" i="51" s="1"/>
  <c r="AO411" i="37"/>
  <c r="G411" i="51" s="1"/>
  <c r="AO106" i="37"/>
  <c r="G106" i="51" s="1"/>
  <c r="AM185" i="37"/>
  <c r="AO206"/>
  <c r="G206" i="51" s="1"/>
  <c r="AK263" i="37"/>
  <c r="AK344"/>
  <c r="AK351"/>
  <c r="AK6"/>
  <c r="AO112"/>
  <c r="G112" i="51" s="1"/>
  <c r="AO195" i="37"/>
  <c r="G195" i="51" s="1"/>
  <c r="AK266" i="37"/>
  <c r="AO413"/>
  <c r="G413" i="51" s="1"/>
  <c r="AK43" i="37"/>
  <c r="AM335"/>
  <c r="AO426"/>
  <c r="G426" i="51" s="1"/>
  <c r="AK142" i="37"/>
  <c r="AO144"/>
  <c r="G144" i="51" s="1"/>
  <c r="A456" i="37"/>
  <c r="A456" i="40"/>
  <c r="F456" s="1" a="1"/>
  <c r="F456" s="1"/>
  <c r="M456" s="1"/>
  <c r="A2" i="37"/>
  <c r="A2" i="40"/>
  <c r="F2" s="1" a="1"/>
  <c r="F2" s="1"/>
  <c r="K2" s="1"/>
  <c r="A479" i="37"/>
  <c r="A479" i="40"/>
  <c r="F479" s="1" a="1"/>
  <c r="F479" s="1"/>
  <c r="A455" i="37"/>
  <c r="A455" i="40"/>
  <c r="F455" s="1" a="1"/>
  <c r="F455" s="1"/>
  <c r="A431" i="37"/>
  <c r="A431" i="40"/>
  <c r="F431" s="1" a="1"/>
  <c r="F431" s="1"/>
  <c r="N431" s="1"/>
  <c r="A407" i="37"/>
  <c r="A407" i="40"/>
  <c r="F407" s="1" a="1"/>
  <c r="F407" s="1"/>
  <c r="A395" i="37"/>
  <c r="A395" i="40"/>
  <c r="F395" s="1" a="1"/>
  <c r="F395" s="1"/>
  <c r="A383" i="37"/>
  <c r="A383" i="40"/>
  <c r="F383" s="1" a="1"/>
  <c r="F383" s="1"/>
  <c r="A371" i="37"/>
  <c r="A371" i="40"/>
  <c r="F371" s="1" a="1"/>
  <c r="F371" s="1"/>
  <c r="A359" i="37"/>
  <c r="A359" i="40"/>
  <c r="F359" s="1" a="1"/>
  <c r="F359" s="1"/>
  <c r="M359" s="1"/>
  <c r="A347" i="37"/>
  <c r="A347" i="40"/>
  <c r="F347" s="1" a="1"/>
  <c r="F347" s="1"/>
  <c r="A335" i="37"/>
  <c r="A335" i="40"/>
  <c r="F335" s="1" a="1"/>
  <c r="F335" s="1"/>
  <c r="A323" i="37"/>
  <c r="A323" i="40"/>
  <c r="F323" s="1" a="1"/>
  <c r="F323" s="1"/>
  <c r="I323" s="1"/>
  <c r="A311" i="37"/>
  <c r="A311" i="40"/>
  <c r="F311" s="1" a="1"/>
  <c r="F311" s="1"/>
  <c r="L311" s="1"/>
  <c r="A299" i="37"/>
  <c r="A299" i="40"/>
  <c r="F299" s="1" a="1"/>
  <c r="F299" s="1"/>
  <c r="A287" i="37"/>
  <c r="A287" i="40"/>
  <c r="F287" s="1" a="1"/>
  <c r="F287" s="1"/>
  <c r="A275" i="37"/>
  <c r="A275" i="40"/>
  <c r="F275" s="1" a="1"/>
  <c r="F275" s="1"/>
  <c r="A263" i="37"/>
  <c r="A263" i="40"/>
  <c r="F263" s="1" a="1"/>
  <c r="F263" s="1"/>
  <c r="A251" i="37"/>
  <c r="A251" i="40"/>
  <c r="F251" s="1" a="1"/>
  <c r="F251" s="1"/>
  <c r="M251" s="1"/>
  <c r="A239" i="37"/>
  <c r="A239" i="40"/>
  <c r="F239" s="1" a="1"/>
  <c r="F239" s="1"/>
  <c r="A227" i="37"/>
  <c r="A227" i="40"/>
  <c r="F227" s="1" a="1"/>
  <c r="F227" s="1"/>
  <c r="A215" i="37"/>
  <c r="A215" i="40"/>
  <c r="F215" s="1" a="1"/>
  <c r="F215" s="1"/>
  <c r="A203" i="37"/>
  <c r="A203" i="40"/>
  <c r="F203" s="1" a="1"/>
  <c r="F203" s="1"/>
  <c r="A191" i="37"/>
  <c r="A191" i="40"/>
  <c r="F191" s="1" a="1"/>
  <c r="F191" s="1"/>
  <c r="A179" i="37"/>
  <c r="A179" i="40"/>
  <c r="F179" s="1" a="1"/>
  <c r="F179" s="1"/>
  <c r="A167" i="37"/>
  <c r="A167" i="40"/>
  <c r="F167" s="1" a="1"/>
  <c r="F167" s="1"/>
  <c r="A155" i="37"/>
  <c r="A155" i="40"/>
  <c r="F155" s="1" a="1"/>
  <c r="F155" s="1"/>
  <c r="A143" i="37"/>
  <c r="A143" i="40"/>
  <c r="F143" s="1" a="1"/>
  <c r="F143" s="1"/>
  <c r="A131" i="37"/>
  <c r="A131" i="40"/>
  <c r="F131" s="1" a="1"/>
  <c r="F131" s="1"/>
  <c r="Q131" s="1"/>
  <c r="A119" i="37"/>
  <c r="A119" i="40"/>
  <c r="F119" s="1" a="1"/>
  <c r="F119" s="1"/>
  <c r="A107" i="37"/>
  <c r="A107" i="40"/>
  <c r="F107" s="1" a="1"/>
  <c r="F107" s="1"/>
  <c r="A95" i="37"/>
  <c r="A95" i="40"/>
  <c r="F95" s="1" a="1"/>
  <c r="F95" s="1"/>
  <c r="A83" i="37"/>
  <c r="A83" i="40"/>
  <c r="F83" s="1" a="1"/>
  <c r="F83" s="1"/>
  <c r="A71" i="37"/>
  <c r="A71" i="40"/>
  <c r="F71" s="1" a="1"/>
  <c r="F71" s="1"/>
  <c r="Q71" s="1"/>
  <c r="A59" i="37"/>
  <c r="A59" i="40"/>
  <c r="F59" s="1" a="1"/>
  <c r="F59" s="1"/>
  <c r="M59" s="1"/>
  <c r="A47" i="37"/>
  <c r="A47" i="40"/>
  <c r="F47" s="1" a="1"/>
  <c r="F47" s="1"/>
  <c r="A35" i="37"/>
  <c r="A35" i="40"/>
  <c r="F35" s="1" a="1"/>
  <c r="F35" s="1"/>
  <c r="A23" i="37"/>
  <c r="A23" i="40"/>
  <c r="F23" s="1" a="1"/>
  <c r="F23" s="1"/>
  <c r="A11" i="37"/>
  <c r="A11" i="40"/>
  <c r="F11" s="1" a="1"/>
  <c r="F11" s="1"/>
  <c r="AO492" i="37"/>
  <c r="G492" i="51" s="1"/>
  <c r="AO119" i="37"/>
  <c r="G119" i="51" s="1"/>
  <c r="AO43" i="37"/>
  <c r="G43" i="51" s="1"/>
  <c r="AO185" i="37"/>
  <c r="G185" i="51" s="1"/>
  <c r="AO12" i="37"/>
  <c r="G12" i="51" s="1"/>
  <c r="AO488" i="37"/>
  <c r="G488" i="51" s="1"/>
  <c r="AO158" i="37"/>
  <c r="G158" i="51" s="1"/>
  <c r="AO278" i="37"/>
  <c r="G278" i="51" s="1"/>
  <c r="AO32" i="37"/>
  <c r="AO117"/>
  <c r="G117" i="51" s="1"/>
  <c r="AO54" i="37"/>
  <c r="G54" i="51" s="1"/>
  <c r="AM56" i="37"/>
  <c r="AK26"/>
  <c r="AK493"/>
  <c r="AM113"/>
  <c r="AK480"/>
  <c r="AK465"/>
  <c r="AK339"/>
  <c r="AK222"/>
  <c r="AK161"/>
  <c r="AK32"/>
  <c r="AO188"/>
  <c r="G188" i="51" s="1"/>
  <c r="AK159" i="37"/>
  <c r="AK214"/>
  <c r="AO108"/>
  <c r="G108" i="51" s="1"/>
  <c r="AK419" i="37"/>
  <c r="AK265"/>
  <c r="AK17"/>
  <c r="AK83"/>
  <c r="AK439"/>
  <c r="AO435"/>
  <c r="G435" i="51" s="1"/>
  <c r="AM325" i="37"/>
  <c r="AK105"/>
  <c r="AM234"/>
  <c r="AO304"/>
  <c r="G304" i="51" s="1"/>
  <c r="AM314" i="37"/>
  <c r="AM243"/>
  <c r="AO240"/>
  <c r="G240" i="51" s="1"/>
  <c r="AO298" i="37"/>
  <c r="G298" i="51" s="1"/>
  <c r="AM242" i="37"/>
  <c r="A480"/>
  <c r="A480" i="40"/>
  <c r="F480" s="1" a="1"/>
  <c r="F480" s="1"/>
  <c r="A432" i="37"/>
  <c r="A432" i="40"/>
  <c r="F432" s="1" a="1"/>
  <c r="F432" s="1"/>
  <c r="A491" i="37"/>
  <c r="A491" i="40"/>
  <c r="F491" s="1" a="1"/>
  <c r="F491" s="1"/>
  <c r="A467" i="37"/>
  <c r="A467" i="40"/>
  <c r="F467" s="1" a="1"/>
  <c r="F467" s="1"/>
  <c r="A443" i="37"/>
  <c r="A443" i="40"/>
  <c r="F443" s="1" a="1"/>
  <c r="F443" s="1"/>
  <c r="A419" i="37"/>
  <c r="A419" i="40"/>
  <c r="F419" s="1" a="1"/>
  <c r="F419" s="1"/>
  <c r="A502" i="37"/>
  <c r="A502" i="40"/>
  <c r="F502" s="1" a="1"/>
  <c r="F502" s="1"/>
  <c r="A490" i="37"/>
  <c r="A490" i="40"/>
  <c r="F490" s="1" a="1"/>
  <c r="F490" s="1"/>
  <c r="A478" i="37"/>
  <c r="A478" i="40"/>
  <c r="F478" s="1" a="1"/>
  <c r="F478" s="1"/>
  <c r="A466" i="37"/>
  <c r="A466" i="40"/>
  <c r="F466" s="1" a="1"/>
  <c r="F466" s="1"/>
  <c r="A454" i="37"/>
  <c r="A454" i="40"/>
  <c r="F454" s="1" a="1"/>
  <c r="F454" s="1"/>
  <c r="M454" s="1"/>
  <c r="A442" i="37"/>
  <c r="A442" i="40"/>
  <c r="F442" s="1" a="1"/>
  <c r="F442" s="1"/>
  <c r="A430" i="37"/>
  <c r="A430" i="40"/>
  <c r="F430" s="1" a="1"/>
  <c r="F430" s="1"/>
  <c r="A418" i="37"/>
  <c r="A418" i="40"/>
  <c r="F418" s="1" a="1"/>
  <c r="F418" s="1"/>
  <c r="A406" i="37"/>
  <c r="A406" i="40"/>
  <c r="F406" s="1" a="1"/>
  <c r="F406" s="1"/>
  <c r="A394" i="37"/>
  <c r="A394" i="40"/>
  <c r="F394" s="1" a="1"/>
  <c r="F394" s="1"/>
  <c r="A382" i="37"/>
  <c r="A382" i="40"/>
  <c r="F382" s="1" a="1"/>
  <c r="F382" s="1"/>
  <c r="A370" i="37"/>
  <c r="A370" i="40"/>
  <c r="F370" s="1" a="1"/>
  <c r="F370" s="1"/>
  <c r="A358" i="37"/>
  <c r="A358" i="40"/>
  <c r="F358" s="1" a="1"/>
  <c r="F358" s="1"/>
  <c r="A346" i="37"/>
  <c r="A346" i="40"/>
  <c r="F346" s="1" a="1"/>
  <c r="F346" s="1"/>
  <c r="A334" i="37"/>
  <c r="A334" i="40"/>
  <c r="F334" s="1" a="1"/>
  <c r="F334" s="1"/>
  <c r="A322" i="37"/>
  <c r="A322" i="40"/>
  <c r="F322" s="1" a="1"/>
  <c r="F322" s="1"/>
  <c r="A310" i="37"/>
  <c r="A310" i="40"/>
  <c r="F310" s="1" a="1"/>
  <c r="F310" s="1"/>
  <c r="A298" i="37"/>
  <c r="A298" i="40"/>
  <c r="F298" s="1" a="1"/>
  <c r="F298" s="1"/>
  <c r="A286" i="37"/>
  <c r="A286" i="40"/>
  <c r="F286" s="1" a="1"/>
  <c r="F286" s="1"/>
  <c r="A274" i="37"/>
  <c r="A274" i="40"/>
  <c r="F274" s="1" a="1"/>
  <c r="F274" s="1"/>
  <c r="A262" i="37"/>
  <c r="A262" i="40"/>
  <c r="F262" s="1" a="1"/>
  <c r="F262" s="1"/>
  <c r="A250" i="37"/>
  <c r="A250" i="40"/>
  <c r="F250" s="1" a="1"/>
  <c r="F250" s="1"/>
  <c r="A238" i="37"/>
  <c r="A238" i="40"/>
  <c r="F238" s="1" a="1"/>
  <c r="F238" s="1"/>
  <c r="A226" i="37"/>
  <c r="A226" i="40"/>
  <c r="F226" s="1" a="1"/>
  <c r="F226" s="1"/>
  <c r="A214" i="37"/>
  <c r="A214" i="40"/>
  <c r="F214" s="1" a="1"/>
  <c r="F214" s="1"/>
  <c r="A202" i="37"/>
  <c r="A202" i="40"/>
  <c r="F202" s="1" a="1"/>
  <c r="F202" s="1"/>
  <c r="A190" i="37"/>
  <c r="A190" i="40"/>
  <c r="F190" s="1" a="1"/>
  <c r="F190" s="1"/>
  <c r="A178" i="37"/>
  <c r="A178" i="40"/>
  <c r="F178" s="1" a="1"/>
  <c r="F178" s="1"/>
  <c r="A166" i="37"/>
  <c r="A166" i="40"/>
  <c r="F166" s="1" a="1"/>
  <c r="F166" s="1"/>
  <c r="A154" i="37"/>
  <c r="A154" i="40"/>
  <c r="F154" s="1" a="1"/>
  <c r="F154" s="1"/>
  <c r="A142" i="37"/>
  <c r="A142" i="40"/>
  <c r="F142" s="1" a="1"/>
  <c r="F142" s="1"/>
  <c r="A130" i="37"/>
  <c r="A130" i="40"/>
  <c r="F130" s="1" a="1"/>
  <c r="F130" s="1"/>
  <c r="A118" i="37"/>
  <c r="A118" i="40"/>
  <c r="F118" s="1" a="1"/>
  <c r="F118" s="1"/>
  <c r="A106" i="37"/>
  <c r="A106" i="40"/>
  <c r="F106" s="1" a="1"/>
  <c r="F106" s="1"/>
  <c r="A94" i="37"/>
  <c r="A94" i="40"/>
  <c r="F94" s="1" a="1"/>
  <c r="F94" s="1"/>
  <c r="A82" i="37"/>
  <c r="A82" i="40"/>
  <c r="F82" s="1" a="1"/>
  <c r="F82" s="1"/>
  <c r="A70" i="37"/>
  <c r="A70" i="40"/>
  <c r="F70" s="1" a="1"/>
  <c r="F70" s="1"/>
  <c r="A58" i="37"/>
  <c r="A58" i="40"/>
  <c r="F58" s="1" a="1"/>
  <c r="F58" s="1"/>
  <c r="A46" i="37"/>
  <c r="A46" i="40"/>
  <c r="F46" s="1" a="1"/>
  <c r="F46" s="1"/>
  <c r="A34" i="37"/>
  <c r="A34" i="40"/>
  <c r="F34" s="1" a="1"/>
  <c r="F34" s="1"/>
  <c r="A22" i="37"/>
  <c r="A22" i="40"/>
  <c r="F22" s="1" a="1"/>
  <c r="F22" s="1"/>
  <c r="A10" i="37"/>
  <c r="A10" i="40"/>
  <c r="F10" s="1" a="1"/>
  <c r="F10" s="1"/>
  <c r="AO275" i="37"/>
  <c r="G275" i="51" s="1"/>
  <c r="AO341" i="37"/>
  <c r="G341" i="51" s="1"/>
  <c r="AO223" i="37"/>
  <c r="G223" i="51" s="1"/>
  <c r="AO127" i="37"/>
  <c r="G127" i="51" s="1"/>
  <c r="AO61" i="37"/>
  <c r="G61" i="51" s="1"/>
  <c r="AO170" i="37"/>
  <c r="G170" i="51" s="1"/>
  <c r="AO167" i="37"/>
  <c r="G167" i="51" s="1"/>
  <c r="AO216" i="37"/>
  <c r="G216" i="51" s="1"/>
  <c r="AO93" i="37"/>
  <c r="G93" i="51" s="1"/>
  <c r="AO267" i="37"/>
  <c r="G267" i="51" s="1"/>
  <c r="AO478" i="37"/>
  <c r="G478" i="51" s="1"/>
  <c r="AO473" i="37"/>
  <c r="G473" i="51" s="1"/>
  <c r="AO9" i="37"/>
  <c r="G9" i="51" s="1"/>
  <c r="AO479" i="37"/>
  <c r="G479" i="51" s="1"/>
  <c r="AO129" i="37"/>
  <c r="G129" i="51" s="1"/>
  <c r="AO83" i="37"/>
  <c r="G83" i="51" s="1"/>
  <c r="AO474" i="37"/>
  <c r="G474" i="51" s="1"/>
  <c r="AO16" i="37"/>
  <c r="G16" i="51" s="1"/>
  <c r="AO70" i="37"/>
  <c r="G70" i="51" s="1"/>
  <c r="AO484" i="37"/>
  <c r="G484" i="51" s="1"/>
  <c r="AO39" i="37"/>
  <c r="G39" i="51" s="1"/>
  <c r="AO41" i="37"/>
  <c r="AO105"/>
  <c r="G105" i="51" s="1"/>
  <c r="AO175" i="37"/>
  <c r="G175" i="51" s="1"/>
  <c r="AO406" i="37"/>
  <c r="AK27"/>
  <c r="AK4"/>
  <c r="AK201"/>
  <c r="AO113"/>
  <c r="G113" i="51" s="1"/>
  <c r="AK61" i="37"/>
  <c r="AK25"/>
  <c r="AK3" i="52" s="1"/>
  <c r="AK272" i="37"/>
  <c r="AK158"/>
  <c r="AK163"/>
  <c r="AK9" i="52" s="1"/>
  <c r="AK189" i="37"/>
  <c r="AM321"/>
  <c r="AK328"/>
  <c r="AM438"/>
  <c r="AM249"/>
  <c r="A501"/>
  <c r="A501" i="40"/>
  <c r="F501" s="1" a="1"/>
  <c r="F501" s="1"/>
  <c r="A477" i="37"/>
  <c r="A477" i="40"/>
  <c r="F477" s="1" a="1"/>
  <c r="F477" s="1"/>
  <c r="A441" i="37"/>
  <c r="A441" i="40"/>
  <c r="F441" s="1" a="1"/>
  <c r="F441" s="1"/>
  <c r="A405" i="37"/>
  <c r="A405" i="40"/>
  <c r="F405" s="1" a="1"/>
  <c r="F405" s="1"/>
  <c r="A369" i="37"/>
  <c r="A369" i="40"/>
  <c r="F369" s="1" a="1"/>
  <c r="F369" s="1"/>
  <c r="A345" i="37"/>
  <c r="A345" i="40"/>
  <c r="F345" s="1" a="1"/>
  <c r="F345" s="1"/>
  <c r="A321" i="37"/>
  <c r="A321" i="40"/>
  <c r="F321" s="1" a="1"/>
  <c r="F321" s="1"/>
  <c r="A309" i="37"/>
  <c r="A309" i="40"/>
  <c r="F309" s="1" a="1"/>
  <c r="F309" s="1"/>
  <c r="A297" i="37"/>
  <c r="A297" i="40"/>
  <c r="F297" s="1" a="1"/>
  <c r="F297" s="1"/>
  <c r="A285" i="37"/>
  <c r="A285" i="40"/>
  <c r="F285" s="1" a="1"/>
  <c r="F285" s="1"/>
  <c r="A273" i="37"/>
  <c r="A273" i="40"/>
  <c r="F273" s="1" a="1"/>
  <c r="F273" s="1"/>
  <c r="L273" s="1"/>
  <c r="A261" i="37"/>
  <c r="A261" i="40"/>
  <c r="F261" s="1" a="1"/>
  <c r="F261" s="1"/>
  <c r="A249" i="37"/>
  <c r="A249" i="40"/>
  <c r="F249" s="1" a="1"/>
  <c r="F249" s="1"/>
  <c r="A237" i="37"/>
  <c r="A237" i="40"/>
  <c r="F237" s="1" a="1"/>
  <c r="F237" s="1"/>
  <c r="A225" i="37"/>
  <c r="A225" i="40"/>
  <c r="F225" s="1" a="1"/>
  <c r="F225" s="1"/>
  <c r="A213" i="37"/>
  <c r="A213" i="40"/>
  <c r="F213" s="1" a="1"/>
  <c r="F213" s="1"/>
  <c r="A201" i="37"/>
  <c r="A201" i="40"/>
  <c r="F201" s="1" a="1"/>
  <c r="F201" s="1"/>
  <c r="A189" i="37"/>
  <c r="A189" i="40"/>
  <c r="F189" s="1" a="1"/>
  <c r="F189" s="1"/>
  <c r="A177" i="37"/>
  <c r="A177" i="40"/>
  <c r="F177" s="1" a="1"/>
  <c r="F177" s="1"/>
  <c r="A165" i="37"/>
  <c r="A165" i="40"/>
  <c r="F165" s="1" a="1"/>
  <c r="F165" s="1"/>
  <c r="A153" i="37"/>
  <c r="A153" i="40"/>
  <c r="F153" s="1" a="1"/>
  <c r="F153" s="1"/>
  <c r="A141" i="37"/>
  <c r="A141" i="40"/>
  <c r="F141" s="1" a="1"/>
  <c r="F141" s="1"/>
  <c r="A129" i="37"/>
  <c r="A129" i="40"/>
  <c r="F129" s="1" a="1"/>
  <c r="F129" s="1"/>
  <c r="A117" i="37"/>
  <c r="A117" i="40"/>
  <c r="F117" s="1" a="1"/>
  <c r="F117" s="1"/>
  <c r="A105" i="37"/>
  <c r="A105" i="40"/>
  <c r="F105" s="1" a="1"/>
  <c r="F105" s="1"/>
  <c r="A93" i="37"/>
  <c r="A93" i="40"/>
  <c r="F93" s="1" a="1"/>
  <c r="F93" s="1"/>
  <c r="A81" i="37"/>
  <c r="A81" i="40"/>
  <c r="F81" s="1" a="1"/>
  <c r="F81" s="1"/>
  <c r="A69" i="37"/>
  <c r="A69" i="40"/>
  <c r="F69" s="1" a="1"/>
  <c r="F69" s="1"/>
  <c r="A57" i="37"/>
  <c r="A57" i="40"/>
  <c r="F57" s="1" a="1"/>
  <c r="F57" s="1"/>
  <c r="A45" i="37"/>
  <c r="A45" i="40"/>
  <c r="F45" s="1" a="1"/>
  <c r="F45" s="1"/>
  <c r="A33" i="37"/>
  <c r="A33" i="40"/>
  <c r="F33" s="1" a="1"/>
  <c r="F33" s="1"/>
  <c r="A21" i="37"/>
  <c r="A21" i="40"/>
  <c r="F21" s="1" a="1"/>
  <c r="F21" s="1"/>
  <c r="A9" i="37"/>
  <c r="A9" i="40"/>
  <c r="F9" s="1" a="1"/>
  <c r="F9" s="1"/>
  <c r="AO380" i="37"/>
  <c r="AO375"/>
  <c r="G375" i="51" s="1"/>
  <c r="AO157" i="37"/>
  <c r="G157" i="51" s="1"/>
  <c r="AO210" i="37"/>
  <c r="G210" i="51" s="1"/>
  <c r="AO265" i="37"/>
  <c r="G265" i="51" s="1"/>
  <c r="AO337" i="37"/>
  <c r="G337" i="51" s="1"/>
  <c r="AO116" i="37"/>
  <c r="G116" i="51" s="1"/>
  <c r="AO370" i="37"/>
  <c r="G370" i="51" s="1"/>
  <c r="AO378" i="37"/>
  <c r="G378" i="51" s="1"/>
  <c r="AO336" i="37"/>
  <c r="G336" i="51" s="1"/>
  <c r="AO19" i="37"/>
  <c r="G19" i="51" s="1"/>
  <c r="AO487" i="37"/>
  <c r="G487" i="51" s="1"/>
  <c r="AO468" i="37"/>
  <c r="G468" i="51" s="1"/>
  <c r="AO11" i="37"/>
  <c r="G11" i="51" s="1"/>
  <c r="AO393" i="37"/>
  <c r="G393" i="51" s="1"/>
  <c r="AO460" i="37"/>
  <c r="G460" i="51" s="1"/>
  <c r="AO63" i="37"/>
  <c r="G63" i="51" s="1"/>
  <c r="AO4" i="37"/>
  <c r="G4" i="51" s="1"/>
  <c r="AO55" i="37"/>
  <c r="G55" i="51" s="1"/>
  <c r="AO173" i="37"/>
  <c r="G173" i="51" s="1"/>
  <c r="AK37" i="37"/>
  <c r="AM485"/>
  <c r="AM66"/>
  <c r="AK466"/>
  <c r="AO201"/>
  <c r="G201" i="51" s="1"/>
  <c r="AK205" i="37"/>
  <c r="AK469"/>
  <c r="AK379"/>
  <c r="AM370"/>
  <c r="AK132"/>
  <c r="AK209"/>
  <c r="AK11" i="52" s="1"/>
  <c r="AK64" i="37"/>
  <c r="AM318"/>
  <c r="AK231"/>
  <c r="AK250"/>
  <c r="AM255"/>
  <c r="A468"/>
  <c r="A468" i="40"/>
  <c r="F468" s="1" a="1"/>
  <c r="F468" s="1"/>
  <c r="A489" i="37"/>
  <c r="A489" i="40"/>
  <c r="F489" s="1" a="1"/>
  <c r="F489" s="1"/>
  <c r="A465" i="37"/>
  <c r="A465" i="40"/>
  <c r="F465" s="1" a="1"/>
  <c r="F465" s="1"/>
  <c r="A453" i="37"/>
  <c r="A453" i="40"/>
  <c r="F453" s="1" a="1"/>
  <c r="F453" s="1"/>
  <c r="A429" i="37"/>
  <c r="A429" i="40"/>
  <c r="F429" s="1" a="1"/>
  <c r="F429" s="1"/>
  <c r="A417" i="37"/>
  <c r="A417" i="40"/>
  <c r="F417" s="1" a="1"/>
  <c r="F417" s="1"/>
  <c r="A393" i="37"/>
  <c r="A393" i="40"/>
  <c r="F393" s="1" a="1"/>
  <c r="F393" s="1"/>
  <c r="A381" i="37"/>
  <c r="A381" i="40"/>
  <c r="F381" s="1" a="1"/>
  <c r="F381" s="1"/>
  <c r="A357" i="37"/>
  <c r="A357" i="40"/>
  <c r="F357" s="1" a="1"/>
  <c r="F357" s="1"/>
  <c r="A333" i="37"/>
  <c r="A333" i="40"/>
  <c r="F333" s="1" a="1"/>
  <c r="F333" s="1"/>
  <c r="A500" i="37"/>
  <c r="A500" i="40"/>
  <c r="F500" s="1" a="1"/>
  <c r="F500" s="1"/>
  <c r="A488" i="37"/>
  <c r="A488" i="40"/>
  <c r="F488" s="1" a="1"/>
  <c r="F488" s="1"/>
  <c r="A476" i="37"/>
  <c r="A476" i="40"/>
  <c r="F476" s="1" a="1"/>
  <c r="F476" s="1"/>
  <c r="A464" i="37"/>
  <c r="A464" i="40"/>
  <c r="F464" s="1" a="1"/>
  <c r="F464" s="1"/>
  <c r="A452" i="37"/>
  <c r="A452" i="40"/>
  <c r="F452" s="1" a="1"/>
  <c r="F452" s="1"/>
  <c r="A440" i="37"/>
  <c r="A440" i="40"/>
  <c r="F440" s="1" a="1"/>
  <c r="F440" s="1"/>
  <c r="A428" i="37"/>
  <c r="A428" i="40"/>
  <c r="F428" s="1" a="1"/>
  <c r="F428" s="1"/>
  <c r="A416" i="37"/>
  <c r="A416" i="40"/>
  <c r="F416" s="1" a="1"/>
  <c r="F416" s="1"/>
  <c r="A404" i="37"/>
  <c r="A404" i="40"/>
  <c r="F404" s="1" a="1"/>
  <c r="F404" s="1"/>
  <c r="A392" i="37"/>
  <c r="A392" i="40"/>
  <c r="F392" s="1" a="1"/>
  <c r="F392" s="1"/>
  <c r="A380" i="37"/>
  <c r="A380" i="40"/>
  <c r="F380" s="1" a="1"/>
  <c r="F380" s="1"/>
  <c r="A368" i="37"/>
  <c r="A368" i="40"/>
  <c r="F368" s="1" a="1"/>
  <c r="F368" s="1"/>
  <c r="A356" i="37"/>
  <c r="A356" i="40"/>
  <c r="F356" s="1" a="1"/>
  <c r="F356" s="1"/>
  <c r="A344" i="37"/>
  <c r="A344" i="40"/>
  <c r="F344" s="1" a="1"/>
  <c r="F344" s="1"/>
  <c r="A332" i="37"/>
  <c r="A332" i="40"/>
  <c r="F332" s="1" a="1"/>
  <c r="F332" s="1"/>
  <c r="A320" i="37"/>
  <c r="A320" i="40"/>
  <c r="F320" s="1" a="1"/>
  <c r="F320" s="1"/>
  <c r="A308" i="37"/>
  <c r="A308" i="40"/>
  <c r="F308" s="1" a="1"/>
  <c r="F308" s="1"/>
  <c r="A296" i="37"/>
  <c r="A296" i="40"/>
  <c r="F296" s="1" a="1"/>
  <c r="F296" s="1"/>
  <c r="A284" i="37"/>
  <c r="A284" i="40"/>
  <c r="F284" s="1" a="1"/>
  <c r="F284" s="1"/>
  <c r="A272" i="37"/>
  <c r="A272" i="40"/>
  <c r="F272" s="1" a="1"/>
  <c r="F272" s="1"/>
  <c r="A260" i="37"/>
  <c r="A260" i="40"/>
  <c r="F260" s="1" a="1"/>
  <c r="F260" s="1"/>
  <c r="A248" i="37"/>
  <c r="A248" i="40"/>
  <c r="F248" s="1" a="1"/>
  <c r="F248" s="1"/>
  <c r="A236" i="37"/>
  <c r="A236" i="40"/>
  <c r="F236" s="1" a="1"/>
  <c r="F236" s="1"/>
  <c r="A224" i="37"/>
  <c r="A224" i="40"/>
  <c r="F224" s="1" a="1"/>
  <c r="F224" s="1"/>
  <c r="A212" i="37"/>
  <c r="A212" i="40"/>
  <c r="F212" s="1" a="1"/>
  <c r="F212" s="1"/>
  <c r="A200" i="37"/>
  <c r="A200" i="40"/>
  <c r="F200" s="1" a="1"/>
  <c r="F200" s="1"/>
  <c r="A188" i="37"/>
  <c r="A188" i="40"/>
  <c r="F188" s="1" a="1"/>
  <c r="F188" s="1"/>
  <c r="A176" i="37"/>
  <c r="A176" i="40"/>
  <c r="F176" s="1" a="1"/>
  <c r="F176" s="1"/>
  <c r="A164" i="37"/>
  <c r="A164" i="40"/>
  <c r="F164" s="1" a="1"/>
  <c r="F164" s="1"/>
  <c r="A152" i="37"/>
  <c r="A152" i="40"/>
  <c r="F152" s="1" a="1"/>
  <c r="F152" s="1"/>
  <c r="A140" i="37"/>
  <c r="A140" i="40"/>
  <c r="F140" s="1" a="1"/>
  <c r="F140" s="1"/>
  <c r="A128" i="37"/>
  <c r="A128" i="40"/>
  <c r="F128" s="1" a="1"/>
  <c r="F128" s="1"/>
  <c r="A116" i="37"/>
  <c r="A116" i="40"/>
  <c r="F116" s="1" a="1"/>
  <c r="F116" s="1"/>
  <c r="A104" i="37"/>
  <c r="A104" i="40"/>
  <c r="F104" s="1" a="1"/>
  <c r="F104" s="1"/>
  <c r="A92" i="37"/>
  <c r="A92" i="40"/>
  <c r="F92" s="1" a="1"/>
  <c r="F92" s="1"/>
  <c r="A80" i="37"/>
  <c r="A80" i="40"/>
  <c r="F80" s="1" a="1"/>
  <c r="F80" s="1"/>
  <c r="A68" i="37"/>
  <c r="A68" i="40"/>
  <c r="F68" s="1" a="1"/>
  <c r="F68" s="1"/>
  <c r="A56" i="37"/>
  <c r="A56" i="40"/>
  <c r="F56" s="1" a="1"/>
  <c r="F56" s="1"/>
  <c r="A44" i="37"/>
  <c r="A44" i="40"/>
  <c r="F44" s="1" a="1"/>
  <c r="F44" s="1"/>
  <c r="A32" i="37"/>
  <c r="A32" i="40"/>
  <c r="F32" s="1" a="1"/>
  <c r="F32" s="1"/>
  <c r="A20" i="37"/>
  <c r="A20" i="40"/>
  <c r="F20" s="1" a="1"/>
  <c r="F20" s="1"/>
  <c r="A8" i="37"/>
  <c r="A8" i="40"/>
  <c r="F8" s="1" a="1"/>
  <c r="F8" s="1"/>
  <c r="AO25" i="37"/>
  <c r="G25" i="51" s="1"/>
  <c r="AO128" i="37"/>
  <c r="G128" i="51" s="1"/>
  <c r="AO399" i="37"/>
  <c r="G399" i="51" s="1"/>
  <c r="AO211" i="37"/>
  <c r="G211" i="51" s="1"/>
  <c r="AO388" i="37"/>
  <c r="G388" i="51" s="1"/>
  <c r="AO348" i="37"/>
  <c r="G348" i="51" s="1"/>
  <c r="AO218" i="37"/>
  <c r="G218" i="51" s="1"/>
  <c r="AO69" i="37"/>
  <c r="G69" i="51" s="1"/>
  <c r="AO472" i="37"/>
  <c r="G472" i="51" s="1"/>
  <c r="AO274" i="37"/>
  <c r="G274" i="51" s="1"/>
  <c r="AO353" i="37"/>
  <c r="G353" i="51" s="1"/>
  <c r="AO58" i="37"/>
  <c r="G58" i="51" s="1"/>
  <c r="AO45" i="37"/>
  <c r="G45" i="51" s="1"/>
  <c r="AO346" i="37"/>
  <c r="G346" i="51" s="1"/>
  <c r="AO44" i="37"/>
  <c r="G44" i="51" s="1"/>
  <c r="AO10" i="37"/>
  <c r="G10" i="51" s="1"/>
  <c r="AK23" i="37"/>
  <c r="AK13"/>
  <c r="AK59"/>
  <c r="AK459"/>
  <c r="AK349"/>
  <c r="AK193"/>
  <c r="AO405"/>
  <c r="G405" i="51" s="1"/>
  <c r="AK227" i="37"/>
  <c r="AK187"/>
  <c r="AK389"/>
  <c r="AK208"/>
  <c r="AO402"/>
  <c r="G402" i="51" s="1"/>
  <c r="AO171" i="37"/>
  <c r="G171" i="51" s="1"/>
  <c r="AK90" i="37"/>
  <c r="AK470"/>
  <c r="AK95"/>
  <c r="AK80"/>
  <c r="AK202"/>
  <c r="AM288"/>
  <c r="AM454"/>
  <c r="AM311"/>
  <c r="AM303"/>
  <c r="AM284"/>
  <c r="AM147"/>
  <c r="AM434"/>
  <c r="AM248"/>
  <c r="AK453"/>
  <c r="AO331"/>
  <c r="G331" i="51" s="1"/>
  <c r="AM447" i="37"/>
  <c r="AK410"/>
  <c r="AO180"/>
  <c r="G180" i="51" s="1"/>
  <c r="AK133" i="37"/>
  <c r="AO179"/>
  <c r="G179" i="51" s="1"/>
  <c r="AK218" i="37"/>
  <c r="AK65"/>
  <c r="AK69"/>
  <c r="AO191"/>
  <c r="G191" i="51" s="1"/>
  <c r="AK99" i="37"/>
  <c r="AK420"/>
  <c r="AK395"/>
  <c r="AK68"/>
  <c r="AK277"/>
  <c r="AK345"/>
  <c r="AK46"/>
  <c r="AK481"/>
  <c r="AK482"/>
  <c r="AK308"/>
  <c r="AO494"/>
  <c r="G494" i="51" s="1"/>
  <c r="AK332" i="37"/>
  <c r="AO242"/>
  <c r="G242" i="51" s="1"/>
  <c r="AK331" i="37"/>
  <c r="AK211"/>
  <c r="AK333"/>
  <c r="AK286"/>
  <c r="AO235"/>
  <c r="G235" i="51" s="1"/>
  <c r="AK54" i="37"/>
  <c r="AO417"/>
  <c r="G417" i="51" s="1"/>
  <c r="AK165" i="37"/>
  <c r="AK374"/>
  <c r="AK21"/>
  <c r="AK109"/>
  <c r="AO416"/>
  <c r="G416" i="51" s="1"/>
  <c r="AK270" i="37"/>
  <c r="AK471"/>
  <c r="AO410"/>
  <c r="G410" i="51" s="1"/>
  <c r="AK183" i="37"/>
  <c r="AK372"/>
  <c r="AK198"/>
  <c r="AK408"/>
  <c r="AK190"/>
  <c r="AO99"/>
  <c r="G99" i="51" s="1"/>
  <c r="AO420" i="37"/>
  <c r="G420" i="51" s="1"/>
  <c r="AK41" i="37"/>
  <c r="AK477"/>
  <c r="AK384"/>
  <c r="AK347"/>
  <c r="AK178"/>
  <c r="AK450"/>
  <c r="AO245"/>
  <c r="G245" i="51" s="1"/>
  <c r="AK426" i="37"/>
  <c r="AO299"/>
  <c r="G299" i="51" s="1"/>
  <c r="AM143" i="37"/>
  <c r="AM145"/>
  <c r="AM241"/>
  <c r="AO282"/>
  <c r="G282" i="51" s="1"/>
  <c r="AO434" i="37"/>
  <c r="G434" i="51" s="1"/>
  <c r="AO309" i="37"/>
  <c r="G309" i="51" s="1"/>
  <c r="AO424" i="37"/>
  <c r="G424" i="51" s="1"/>
  <c r="AK150" i="37"/>
  <c r="AO286"/>
  <c r="AO301"/>
  <c r="G301" i="51" s="1"/>
  <c r="AK435" i="37"/>
  <c r="AM293"/>
  <c r="AO364"/>
  <c r="G364" i="51" s="1"/>
  <c r="AO229" i="37"/>
  <c r="G229" i="51" s="1"/>
  <c r="AK111" i="37"/>
  <c r="AO333"/>
  <c r="G333" i="51" s="1"/>
  <c r="AO358" i="37"/>
  <c r="G358" i="51" s="1"/>
  <c r="AM230" i="37"/>
  <c r="AK492"/>
  <c r="AK206"/>
  <c r="AK262"/>
  <c r="AK264"/>
  <c r="AK354"/>
  <c r="AK486"/>
  <c r="AK378"/>
  <c r="AK336"/>
  <c r="AK19"/>
  <c r="AK487"/>
  <c r="AK112"/>
  <c r="AK353"/>
  <c r="AK129"/>
  <c r="AO101"/>
  <c r="G101" i="51" s="1"/>
  <c r="AK94" i="37"/>
  <c r="AK369"/>
  <c r="AK195"/>
  <c r="AK458"/>
  <c r="AK489"/>
  <c r="AK413"/>
  <c r="AK125"/>
  <c r="AK48"/>
  <c r="AK352"/>
  <c r="AK376"/>
  <c r="AK210"/>
  <c r="AK86"/>
  <c r="AK295"/>
  <c r="AO438"/>
  <c r="AK422"/>
  <c r="AO260"/>
  <c r="G260" i="51" s="1"/>
  <c r="AO359" i="37"/>
  <c r="G359" i="51" s="1"/>
  <c r="AO496" i="37"/>
  <c r="G496" i="51" s="1"/>
  <c r="AK446" i="37"/>
  <c r="AK436"/>
  <c r="AK21" i="52" s="1"/>
  <c r="AO456" i="37"/>
  <c r="G456" i="51" s="1"/>
  <c r="AM502" i="37"/>
  <c r="AO329"/>
  <c r="G329" i="51" s="1"/>
  <c r="AK84" i="37"/>
  <c r="AK98"/>
  <c r="AO327"/>
  <c r="G327" i="51" s="1"/>
  <c r="AM136" i="37"/>
  <c r="AK292"/>
  <c r="AK290"/>
  <c r="AO446"/>
  <c r="G446" i="51" s="1"/>
  <c r="AK244" i="37"/>
  <c r="AO425"/>
  <c r="G425" i="51" s="1"/>
  <c r="AO135" i="37"/>
  <c r="G135" i="51" s="1"/>
  <c r="AK428" i="37"/>
  <c r="AK134"/>
  <c r="AK307"/>
  <c r="AO361"/>
  <c r="G361" i="51" s="1"/>
  <c r="AM279" i="37"/>
  <c r="AM282"/>
  <c r="AK281"/>
  <c r="AK473"/>
  <c r="AK393"/>
  <c r="AK120"/>
  <c r="AK215"/>
  <c r="AK62"/>
  <c r="AK394"/>
  <c r="AK58"/>
  <c r="AO412"/>
  <c r="G412" i="51" s="1"/>
  <c r="AO100" i="37"/>
  <c r="G100" i="51" s="1"/>
  <c r="AO419" i="37"/>
  <c r="G419" i="51" s="1"/>
  <c r="AK388" i="37"/>
  <c r="AK204"/>
  <c r="AK181"/>
  <c r="AO107"/>
  <c r="G107" i="51" s="1"/>
  <c r="AK72" i="37"/>
  <c r="AK491"/>
  <c r="AK57"/>
  <c r="AK366"/>
  <c r="AK18" i="52" s="1"/>
  <c r="AO439" i="37"/>
  <c r="G439" i="51" s="1"/>
  <c r="AK301" i="37"/>
  <c r="AO151"/>
  <c r="G151" i="51" s="1"/>
  <c r="AK138" i="37"/>
  <c r="AM360"/>
  <c r="AK238"/>
  <c r="AK306"/>
  <c r="AO258"/>
  <c r="G258" i="51" s="1"/>
  <c r="AK457" i="37"/>
  <c r="AO250"/>
  <c r="G250" i="51" s="1"/>
  <c r="AM433" i="37"/>
  <c r="AM240"/>
  <c r="AK444"/>
  <c r="AO300"/>
  <c r="G300" i="51" s="1"/>
  <c r="AO302" i="37"/>
  <c r="G302" i="51" s="1"/>
  <c r="AK316" i="37"/>
  <c r="AO189"/>
  <c r="G189" i="51" s="1"/>
  <c r="AK274" i="37"/>
  <c r="AK71"/>
  <c r="AM371"/>
  <c r="AK60"/>
  <c r="AK402"/>
  <c r="AO103"/>
  <c r="G103" i="51" s="1"/>
  <c r="AK155" i="37"/>
  <c r="AO204"/>
  <c r="G204" i="51" s="1"/>
  <c r="AO181" i="37"/>
  <c r="G181" i="51" s="1"/>
  <c r="AK171" i="37"/>
  <c r="AK337"/>
  <c r="AK110"/>
  <c r="AK52"/>
  <c r="AK67"/>
  <c r="AK10"/>
  <c r="AO232"/>
  <c r="G232" i="51" s="1"/>
  <c r="AK197" i="37"/>
  <c r="AO311"/>
  <c r="G311" i="51" s="1"/>
  <c r="AM140" i="37"/>
  <c r="AM432"/>
  <c r="AK442"/>
  <c r="AK254"/>
  <c r="AK177"/>
  <c r="AO495"/>
  <c r="G495" i="51" s="1"/>
  <c r="AO324" i="37"/>
  <c r="G324" i="51" s="1"/>
  <c r="AK323" i="37"/>
  <c r="AK449"/>
  <c r="AM285"/>
  <c r="AK149"/>
  <c r="AO251"/>
  <c r="G251" i="51" s="1"/>
  <c r="AM499" i="37"/>
  <c r="AE2"/>
  <c r="AE2" i="40" s="1"/>
  <c r="AD2" i="37"/>
  <c r="AD2" i="40" s="1"/>
  <c r="AF2" s="1"/>
  <c r="AF6" i="2"/>
  <c r="AE6"/>
  <c r="AD6"/>
  <c r="AB6"/>
  <c r="AA6"/>
  <c r="H6"/>
  <c r="AF8" i="52" l="1"/>
  <c r="AO8"/>
  <c r="AO5"/>
  <c r="AP5" s="1"/>
  <c r="AF5"/>
  <c r="AJ6"/>
  <c r="AM6"/>
  <c r="AP20"/>
  <c r="A14" i="53"/>
  <c r="A14" i="52"/>
  <c r="A13" i="53"/>
  <c r="A13" i="52"/>
  <c r="A24" i="53"/>
  <c r="A24" i="52"/>
  <c r="A17" i="53"/>
  <c r="A17" i="52"/>
  <c r="A19" i="53"/>
  <c r="A19" i="52"/>
  <c r="A25" i="53"/>
  <c r="A25" i="52"/>
  <c r="A8" i="53"/>
  <c r="A8" i="52"/>
  <c r="AM70" i="37"/>
  <c r="AK5" i="52"/>
  <c r="AM186" i="37"/>
  <c r="AK10" i="52"/>
  <c r="AF16"/>
  <c r="AO16"/>
  <c r="AJ5"/>
  <c r="AM5"/>
  <c r="AJ9"/>
  <c r="AM9"/>
  <c r="AJ11"/>
  <c r="AM11"/>
  <c r="G238" i="51"/>
  <c r="G266"/>
  <c r="G306"/>
  <c r="G498"/>
  <c r="AP255" i="37"/>
  <c r="BE6" i="52"/>
  <c r="G323" i="51"/>
  <c r="AF22" i="52"/>
  <c r="AF18"/>
  <c r="G428" i="51"/>
  <c r="AI31" i="52"/>
  <c r="A5" i="53"/>
  <c r="A5" i="52"/>
  <c r="AM47" i="37"/>
  <c r="AK4" i="52"/>
  <c r="AM139" i="37"/>
  <c r="AK8" i="52"/>
  <c r="AM484" i="37"/>
  <c r="AK24" i="52"/>
  <c r="AJ15"/>
  <c r="AM15"/>
  <c r="AJ16"/>
  <c r="AM16"/>
  <c r="AF12"/>
  <c r="AO12"/>
  <c r="AF17"/>
  <c r="AO17"/>
  <c r="AP17" s="1"/>
  <c r="AO9"/>
  <c r="AP9" s="1"/>
  <c r="AF9"/>
  <c r="AF11"/>
  <c r="AO11"/>
  <c r="G163" i="51"/>
  <c r="G118"/>
  <c r="G164"/>
  <c r="G75"/>
  <c r="G464"/>
  <c r="G224"/>
  <c r="AP444" i="37"/>
  <c r="AP335"/>
  <c r="G281" i="51"/>
  <c r="G427"/>
  <c r="G234"/>
  <c r="G291"/>
  <c r="AP8" i="52"/>
  <c r="G431" i="51"/>
  <c r="AJ22" i="52"/>
  <c r="AP12"/>
  <c r="AP2"/>
  <c r="AE15" i="53"/>
  <c r="AP3" i="52"/>
  <c r="G140" i="51"/>
  <c r="AF2" i="52"/>
  <c r="AF15"/>
  <c r="AO15"/>
  <c r="AJ12"/>
  <c r="AM12"/>
  <c r="AM17"/>
  <c r="AJ17"/>
  <c r="AF14"/>
  <c r="AO14"/>
  <c r="AP14" s="1"/>
  <c r="AM2"/>
  <c r="AJ2"/>
  <c r="AH31"/>
  <c r="G285" i="51"/>
  <c r="G138"/>
  <c r="G14"/>
  <c r="G326"/>
  <c r="G149"/>
  <c r="AP318" i="37"/>
  <c r="AP432"/>
  <c r="AP11" i="52"/>
  <c r="AO23"/>
  <c r="AP23" s="1"/>
  <c r="AO18"/>
  <c r="AP18" s="1"/>
  <c r="A16" i="53"/>
  <c r="A16" i="52"/>
  <c r="A2" i="53"/>
  <c r="A2" i="52"/>
  <c r="A10" i="53"/>
  <c r="A10" i="52"/>
  <c r="A15" i="53"/>
  <c r="A15" i="52"/>
  <c r="A9" i="53"/>
  <c r="A9" i="52"/>
  <c r="A3" i="53"/>
  <c r="A3" i="52"/>
  <c r="AM452" i="37"/>
  <c r="AK22" i="52"/>
  <c r="AM390" i="37"/>
  <c r="AK19" i="52"/>
  <c r="AM3" i="37"/>
  <c r="AK2" i="52"/>
  <c r="AJ13"/>
  <c r="AM13"/>
  <c r="AO24"/>
  <c r="AF24"/>
  <c r="AO4"/>
  <c r="AF4"/>
  <c r="G154" i="51"/>
  <c r="G490"/>
  <c r="G350"/>
  <c r="G241"/>
  <c r="G59"/>
  <c r="G3"/>
  <c r="AP441" i="37"/>
  <c r="AE16" i="53"/>
  <c r="G321" i="51"/>
  <c r="G447"/>
  <c r="G290"/>
  <c r="AP15" i="52"/>
  <c r="G332" i="51"/>
  <c r="G440"/>
  <c r="AE6" i="53"/>
  <c r="AJ14" i="52"/>
  <c r="AP4"/>
  <c r="AM18"/>
  <c r="A23" i="53"/>
  <c r="A23" i="52"/>
  <c r="A11" i="53"/>
  <c r="A11" i="52"/>
  <c r="AK2" i="37"/>
  <c r="AH2" i="40"/>
  <c r="AM91" i="37"/>
  <c r="AK6" i="52"/>
  <c r="AO20"/>
  <c r="AF20"/>
  <c r="AO21"/>
  <c r="AP21" s="1"/>
  <c r="AF21"/>
  <c r="AO13"/>
  <c r="AP13" s="1"/>
  <c r="AF13"/>
  <c r="AJ7"/>
  <c r="AM7"/>
  <c r="AF3"/>
  <c r="AO3"/>
  <c r="AJ4"/>
  <c r="AM4"/>
  <c r="G41" i="51"/>
  <c r="G94"/>
  <c r="G221"/>
  <c r="G36"/>
  <c r="AP437" i="37"/>
  <c r="AP236"/>
  <c r="G363" i="51"/>
  <c r="A6" i="53"/>
  <c r="A6" i="52"/>
  <c r="A4" i="53"/>
  <c r="A4" i="52"/>
  <c r="A12" i="53"/>
  <c r="A12" i="52"/>
  <c r="A21" i="53"/>
  <c r="A21" i="52"/>
  <c r="A7" i="53"/>
  <c r="A7" i="52"/>
  <c r="AJ20"/>
  <c r="AM20"/>
  <c r="AF7"/>
  <c r="AO7"/>
  <c r="AP7" s="1"/>
  <c r="AO19"/>
  <c r="AP19" s="1"/>
  <c r="AF19"/>
  <c r="AJ3"/>
  <c r="AM3"/>
  <c r="G438" i="51"/>
  <c r="G286"/>
  <c r="G406"/>
  <c r="G32"/>
  <c r="G123"/>
  <c r="G208"/>
  <c r="G89"/>
  <c r="G40"/>
  <c r="G104"/>
  <c r="AP237" i="37"/>
  <c r="AP254"/>
  <c r="AP305"/>
  <c r="AP24" i="52"/>
  <c r="AO10"/>
  <c r="AP10" s="1"/>
  <c r="G453" i="51"/>
  <c r="AP22" i="52"/>
  <c r="A22" i="53"/>
  <c r="A22" i="52"/>
  <c r="A18" i="53"/>
  <c r="A18" i="52"/>
  <c r="A20" i="53"/>
  <c r="A20" i="52"/>
  <c r="AM468" i="37"/>
  <c r="AK23" i="52"/>
  <c r="AM115" i="37"/>
  <c r="AK7" i="52"/>
  <c r="AJ8"/>
  <c r="AM8"/>
  <c r="AJ19"/>
  <c r="AM19"/>
  <c r="AF6"/>
  <c r="AO6"/>
  <c r="AP6" s="1"/>
  <c r="G380" i="51"/>
  <c r="G383"/>
  <c r="G187"/>
  <c r="G269"/>
  <c r="G387"/>
  <c r="G330"/>
  <c r="AP256" i="37"/>
  <c r="AP16" i="52"/>
  <c r="G307" i="51"/>
  <c r="AJ10" i="52"/>
  <c r="C32" i="53"/>
  <c r="G328" i="51"/>
  <c r="BE17" i="52"/>
  <c r="BD17"/>
  <c r="BD16"/>
  <c r="BE16" s="1"/>
  <c r="BD5"/>
  <c r="BE5" s="1"/>
  <c r="BD25"/>
  <c r="BE25" s="1"/>
  <c r="BD21"/>
  <c r="BE21" s="1"/>
  <c r="BD4"/>
  <c r="BE4" s="1"/>
  <c r="BD20"/>
  <c r="BE20" s="1"/>
  <c r="BD27"/>
  <c r="BE27" s="1"/>
  <c r="BE11"/>
  <c r="BD11"/>
  <c r="BD29"/>
  <c r="BE29" s="1"/>
  <c r="BD12"/>
  <c r="BE12" s="1"/>
  <c r="BD22"/>
  <c r="BE22" s="1"/>
  <c r="BD24"/>
  <c r="BE24" s="1"/>
  <c r="BD10"/>
  <c r="BE10" s="1"/>
  <c r="BD18"/>
  <c r="BE18" s="1"/>
  <c r="BD9"/>
  <c r="BE9" s="1"/>
  <c r="BE23"/>
  <c r="BD23"/>
  <c r="BD28"/>
  <c r="BE28" s="1"/>
  <c r="BD13"/>
  <c r="BE13" s="1"/>
  <c r="BE15"/>
  <c r="BD15"/>
  <c r="BD14"/>
  <c r="BE14" s="1"/>
  <c r="BD19"/>
  <c r="BE19" s="1"/>
  <c r="BD26"/>
  <c r="BE26" s="1"/>
  <c r="P508" i="40"/>
  <c r="G508"/>
  <c r="H508"/>
  <c r="K508"/>
  <c r="N508"/>
  <c r="O508"/>
  <c r="Q508"/>
  <c r="M508"/>
  <c r="J508"/>
  <c r="L508"/>
  <c r="I508"/>
  <c r="K505"/>
  <c r="J505"/>
  <c r="K506"/>
  <c r="L506"/>
  <c r="H506"/>
  <c r="P506"/>
  <c r="Q506"/>
  <c r="M506"/>
  <c r="Q505"/>
  <c r="O505"/>
  <c r="M505"/>
  <c r="N514"/>
  <c r="P510"/>
  <c r="P514"/>
  <c r="H505"/>
  <c r="N505"/>
  <c r="G505"/>
  <c r="P505"/>
  <c r="L505"/>
  <c r="I505"/>
  <c r="P521"/>
  <c r="I510"/>
  <c r="N510"/>
  <c r="H510"/>
  <c r="O510"/>
  <c r="O514"/>
  <c r="H521"/>
  <c r="I521"/>
  <c r="M521"/>
  <c r="M513"/>
  <c r="L521"/>
  <c r="L514"/>
  <c r="M514"/>
  <c r="J519"/>
  <c r="Q521"/>
  <c r="G514"/>
  <c r="K513"/>
  <c r="G521"/>
  <c r="J514"/>
  <c r="J521"/>
  <c r="G519"/>
  <c r="Q514"/>
  <c r="M515"/>
  <c r="N521"/>
  <c r="O513"/>
  <c r="O521"/>
  <c r="K514"/>
  <c r="H513"/>
  <c r="K521"/>
  <c r="I514"/>
  <c r="H514"/>
  <c r="Q513"/>
  <c r="Q510"/>
  <c r="I511"/>
  <c r="Q511"/>
  <c r="J513"/>
  <c r="K515"/>
  <c r="L510"/>
  <c r="P513"/>
  <c r="N513"/>
  <c r="G513"/>
  <c r="J510"/>
  <c r="G510"/>
  <c r="I513"/>
  <c r="L513"/>
  <c r="Q516"/>
  <c r="M510"/>
  <c r="K510"/>
  <c r="P519"/>
  <c r="I515"/>
  <c r="O516"/>
  <c r="Q519"/>
  <c r="G516"/>
  <c r="M516"/>
  <c r="I519"/>
  <c r="N515"/>
  <c r="H511"/>
  <c r="O515"/>
  <c r="K511"/>
  <c r="H516"/>
  <c r="N519"/>
  <c r="Q515"/>
  <c r="K516"/>
  <c r="H519"/>
  <c r="M519"/>
  <c r="G515"/>
  <c r="M511"/>
  <c r="J516"/>
  <c r="I516"/>
  <c r="P516"/>
  <c r="O519"/>
  <c r="K519"/>
  <c r="L515"/>
  <c r="H515"/>
  <c r="J511"/>
  <c r="L516"/>
  <c r="N516"/>
  <c r="L519"/>
  <c r="J515"/>
  <c r="P515"/>
  <c r="N507"/>
  <c r="K509"/>
  <c r="G518"/>
  <c r="L512"/>
  <c r="L520"/>
  <c r="J509"/>
  <c r="I520"/>
  <c r="G520"/>
  <c r="M520"/>
  <c r="Q532"/>
  <c r="J520"/>
  <c r="P520"/>
  <c r="O503"/>
  <c r="I503"/>
  <c r="K503"/>
  <c r="Q538"/>
  <c r="G503"/>
  <c r="L538"/>
  <c r="H509"/>
  <c r="P503"/>
  <c r="O509"/>
  <c r="K520"/>
  <c r="N520"/>
  <c r="O538"/>
  <c r="P518"/>
  <c r="P512"/>
  <c r="H520"/>
  <c r="J507"/>
  <c r="I512"/>
  <c r="Q520"/>
  <c r="H517"/>
  <c r="Q509"/>
  <c r="Q577"/>
  <c r="I538"/>
  <c r="M512"/>
  <c r="O520"/>
  <c r="H532"/>
  <c r="N532"/>
  <c r="Q503"/>
  <c r="G517"/>
  <c r="I509"/>
  <c r="L509"/>
  <c r="M507"/>
  <c r="J503"/>
  <c r="G577"/>
  <c r="L517"/>
  <c r="O517"/>
  <c r="J532"/>
  <c r="J538"/>
  <c r="P507"/>
  <c r="N538"/>
  <c r="G507"/>
  <c r="M503"/>
  <c r="Q517"/>
  <c r="M538"/>
  <c r="P509"/>
  <c r="N509"/>
  <c r="K507"/>
  <c r="L507"/>
  <c r="H503"/>
  <c r="J577"/>
  <c r="K517"/>
  <c r="K532"/>
  <c r="P532"/>
  <c r="K538"/>
  <c r="M509"/>
  <c r="Q507"/>
  <c r="H507"/>
  <c r="N503"/>
  <c r="O577"/>
  <c r="M517"/>
  <c r="I532"/>
  <c r="L532"/>
  <c r="G538"/>
  <c r="N533"/>
  <c r="J517"/>
  <c r="N517"/>
  <c r="I517"/>
  <c r="H538"/>
  <c r="G532"/>
  <c r="G509"/>
  <c r="O507"/>
  <c r="I507"/>
  <c r="L503"/>
  <c r="H577"/>
  <c r="P517"/>
  <c r="O532"/>
  <c r="M532"/>
  <c r="P538"/>
  <c r="I533"/>
  <c r="K512"/>
  <c r="K533"/>
  <c r="I518"/>
  <c r="H518"/>
  <c r="N511"/>
  <c r="P511"/>
  <c r="J512"/>
  <c r="L533"/>
  <c r="M518"/>
  <c r="Q518"/>
  <c r="L511"/>
  <c r="G512"/>
  <c r="J533"/>
  <c r="M533"/>
  <c r="J518"/>
  <c r="L518"/>
  <c r="G533"/>
  <c r="O511"/>
  <c r="H512"/>
  <c r="O512"/>
  <c r="H533"/>
  <c r="P533"/>
  <c r="K518"/>
  <c r="N518"/>
  <c r="G511"/>
  <c r="N512"/>
  <c r="Q512"/>
  <c r="O533"/>
  <c r="Q533"/>
  <c r="O518"/>
  <c r="P551"/>
  <c r="O559"/>
  <c r="N558"/>
  <c r="H579"/>
  <c r="N563"/>
  <c r="M559"/>
  <c r="P558"/>
  <c r="J559"/>
  <c r="N579"/>
  <c r="P579"/>
  <c r="H559"/>
  <c r="L579"/>
  <c r="I559"/>
  <c r="I579"/>
  <c r="Q558"/>
  <c r="K559"/>
  <c r="N559"/>
  <c r="Q579"/>
  <c r="M558"/>
  <c r="G559"/>
  <c r="M579"/>
  <c r="J579"/>
  <c r="Q559"/>
  <c r="Q563"/>
  <c r="K579"/>
  <c r="P559"/>
  <c r="J563"/>
  <c r="G579"/>
  <c r="O579"/>
  <c r="L559"/>
  <c r="L563"/>
  <c r="I568"/>
  <c r="N577"/>
  <c r="M577"/>
  <c r="Q546"/>
  <c r="I577"/>
  <c r="L577"/>
  <c r="K577"/>
  <c r="P577"/>
  <c r="J560"/>
  <c r="K570"/>
  <c r="Q568"/>
  <c r="P557"/>
  <c r="K557"/>
  <c r="L568"/>
  <c r="H568"/>
  <c r="L557"/>
  <c r="M560"/>
  <c r="O568"/>
  <c r="L529"/>
  <c r="P567"/>
  <c r="G17"/>
  <c r="N305"/>
  <c r="L571"/>
  <c r="J234"/>
  <c r="J362"/>
  <c r="M571"/>
  <c r="Q528"/>
  <c r="I537"/>
  <c r="M305"/>
  <c r="J161"/>
  <c r="H186"/>
  <c r="G545"/>
  <c r="I529"/>
  <c r="H540"/>
  <c r="O554"/>
  <c r="Q460"/>
  <c r="M65"/>
  <c r="J572"/>
  <c r="P571"/>
  <c r="Q554"/>
  <c r="K460"/>
  <c r="G186"/>
  <c r="L17"/>
  <c r="N449"/>
  <c r="Q257"/>
  <c r="I572"/>
  <c r="K554"/>
  <c r="Q562"/>
  <c r="O540"/>
  <c r="O91"/>
  <c r="M257"/>
  <c r="K572"/>
  <c r="P556"/>
  <c r="N554"/>
  <c r="K522"/>
  <c r="L271"/>
  <c r="P50"/>
  <c r="Q555"/>
  <c r="M572"/>
  <c r="O556"/>
  <c r="O537"/>
  <c r="H234"/>
  <c r="G522"/>
  <c r="M540"/>
  <c r="H545"/>
  <c r="J522"/>
  <c r="Q529"/>
  <c r="O567"/>
  <c r="H305"/>
  <c r="K353"/>
  <c r="M182"/>
  <c r="K493"/>
  <c r="I522"/>
  <c r="I61"/>
  <c r="H354"/>
  <c r="I3"/>
  <c r="M291"/>
  <c r="M234"/>
  <c r="J545"/>
  <c r="O528"/>
  <c r="N529"/>
  <c r="H530"/>
  <c r="Q543"/>
  <c r="G209"/>
  <c r="N354"/>
  <c r="N3"/>
  <c r="L182"/>
  <c r="Q54"/>
  <c r="P460"/>
  <c r="K24"/>
  <c r="G102"/>
  <c r="O460"/>
  <c r="P91"/>
  <c r="O65"/>
  <c r="K102"/>
  <c r="L555"/>
  <c r="K528"/>
  <c r="O529"/>
  <c r="N552"/>
  <c r="N555"/>
  <c r="Q572"/>
  <c r="N528"/>
  <c r="H529"/>
  <c r="H537"/>
  <c r="O216"/>
  <c r="M120"/>
  <c r="G562"/>
  <c r="G543"/>
  <c r="Q359"/>
  <c r="L72"/>
  <c r="N120"/>
  <c r="H572"/>
  <c r="J528"/>
  <c r="M522"/>
  <c r="H570"/>
  <c r="K540"/>
  <c r="M537"/>
  <c r="J568"/>
  <c r="P572"/>
  <c r="L572"/>
  <c r="H528"/>
  <c r="Q522"/>
  <c r="Q537"/>
  <c r="P568"/>
  <c r="G568"/>
  <c r="G85"/>
  <c r="H304"/>
  <c r="G264"/>
  <c r="P553"/>
  <c r="G572"/>
  <c r="P528"/>
  <c r="L522"/>
  <c r="N537"/>
  <c r="M568"/>
  <c r="K568"/>
  <c r="O572"/>
  <c r="N572"/>
  <c r="L528"/>
  <c r="P522"/>
  <c r="N568"/>
  <c r="H548"/>
  <c r="J548"/>
  <c r="G548"/>
  <c r="L548"/>
  <c r="L254"/>
  <c r="M254"/>
  <c r="K562"/>
  <c r="L545"/>
  <c r="M545"/>
  <c r="N545"/>
  <c r="P545"/>
  <c r="H556"/>
  <c r="K556"/>
  <c r="G556"/>
  <c r="Q556"/>
  <c r="J556"/>
  <c r="H575"/>
  <c r="I575"/>
  <c r="P575"/>
  <c r="L407"/>
  <c r="H407"/>
  <c r="L256"/>
  <c r="J256"/>
  <c r="H555"/>
  <c r="I555"/>
  <c r="O555"/>
  <c r="K555"/>
  <c r="G530"/>
  <c r="O530"/>
  <c r="P530"/>
  <c r="K530"/>
  <c r="J530"/>
  <c r="L530"/>
  <c r="M530"/>
  <c r="G554"/>
  <c r="P554"/>
  <c r="H554"/>
  <c r="M554"/>
  <c r="L160"/>
  <c r="N16"/>
  <c r="J360"/>
  <c r="G555"/>
  <c r="I545"/>
  <c r="I556"/>
  <c r="O562"/>
  <c r="J575"/>
  <c r="Q530"/>
  <c r="J554"/>
  <c r="Q160"/>
  <c r="O304"/>
  <c r="K16"/>
  <c r="M555"/>
  <c r="O545"/>
  <c r="N556"/>
  <c r="M536"/>
  <c r="K575"/>
  <c r="K552"/>
  <c r="N530"/>
  <c r="I554"/>
  <c r="H562"/>
  <c r="I562"/>
  <c r="M562"/>
  <c r="L562"/>
  <c r="P562"/>
  <c r="M168"/>
  <c r="I168"/>
  <c r="N312"/>
  <c r="O312"/>
  <c r="M376"/>
  <c r="P376"/>
  <c r="P555"/>
  <c r="Q545"/>
  <c r="I548"/>
  <c r="M556"/>
  <c r="K566"/>
  <c r="J562"/>
  <c r="N542"/>
  <c r="K536"/>
  <c r="Q536"/>
  <c r="L552"/>
  <c r="M552"/>
  <c r="L576"/>
  <c r="I576"/>
  <c r="L360"/>
  <c r="Q360"/>
  <c r="O222"/>
  <c r="Q222"/>
  <c r="H470"/>
  <c r="L470"/>
  <c r="O160"/>
  <c r="G222"/>
  <c r="K304"/>
  <c r="I16"/>
  <c r="I2"/>
  <c r="J312"/>
  <c r="M222"/>
  <c r="I304"/>
  <c r="G2"/>
  <c r="O547"/>
  <c r="K545"/>
  <c r="O548"/>
  <c r="L556"/>
  <c r="J536"/>
  <c r="O566"/>
  <c r="N562"/>
  <c r="Q552"/>
  <c r="L554"/>
  <c r="G528"/>
  <c r="H522"/>
  <c r="P529"/>
  <c r="Q540"/>
  <c r="L537"/>
  <c r="M528"/>
  <c r="N522"/>
  <c r="K529"/>
  <c r="G529"/>
  <c r="K537"/>
  <c r="G537"/>
  <c r="I528"/>
  <c r="O522"/>
  <c r="J529"/>
  <c r="M529"/>
  <c r="L540"/>
  <c r="P537"/>
  <c r="J537"/>
  <c r="G571"/>
  <c r="M525"/>
  <c r="Q525"/>
  <c r="I565"/>
  <c r="M565"/>
  <c r="I560"/>
  <c r="G560"/>
  <c r="P560"/>
  <c r="L560"/>
  <c r="K560"/>
  <c r="Q560"/>
  <c r="J550"/>
  <c r="K550"/>
  <c r="H560"/>
  <c r="L535"/>
  <c r="Q561"/>
  <c r="J561"/>
  <c r="I561"/>
  <c r="P3"/>
  <c r="Q3"/>
  <c r="K195"/>
  <c r="P195"/>
  <c r="O54"/>
  <c r="N54"/>
  <c r="P367"/>
  <c r="L367"/>
  <c r="H566"/>
  <c r="M566"/>
  <c r="N566"/>
  <c r="J566"/>
  <c r="L566"/>
  <c r="Q544"/>
  <c r="L569"/>
  <c r="O570"/>
  <c r="G570"/>
  <c r="I570"/>
  <c r="L570"/>
  <c r="Q570"/>
  <c r="M570"/>
  <c r="L565"/>
  <c r="K535"/>
  <c r="J578"/>
  <c r="I569"/>
  <c r="P550"/>
  <c r="P291"/>
  <c r="K291"/>
  <c r="L449"/>
  <c r="M449"/>
  <c r="N450"/>
  <c r="M450"/>
  <c r="L463"/>
  <c r="G463"/>
  <c r="P14"/>
  <c r="M14"/>
  <c r="N14"/>
  <c r="J570"/>
  <c r="P264"/>
  <c r="K264"/>
  <c r="M264"/>
  <c r="I112"/>
  <c r="P112"/>
  <c r="H112"/>
  <c r="M112"/>
  <c r="Q208"/>
  <c r="M208"/>
  <c r="N208"/>
  <c r="P304"/>
  <c r="L304"/>
  <c r="P18"/>
  <c r="H18"/>
  <c r="O18"/>
  <c r="I553"/>
  <c r="G561"/>
  <c r="I564"/>
  <c r="P547"/>
  <c r="O576"/>
  <c r="Q569"/>
  <c r="J569"/>
  <c r="AQ28" i="52"/>
  <c r="AY28" s="1"/>
  <c r="O569" i="40"/>
  <c r="P569"/>
  <c r="K569"/>
  <c r="N569"/>
  <c r="M569"/>
  <c r="P570"/>
  <c r="L564"/>
  <c r="N574"/>
  <c r="L574"/>
  <c r="J339"/>
  <c r="N339"/>
  <c r="H388"/>
  <c r="M388"/>
  <c r="P306"/>
  <c r="Q306"/>
  <c r="P290"/>
  <c r="H290"/>
  <c r="H569"/>
  <c r="H541"/>
  <c r="P541"/>
  <c r="K263"/>
  <c r="G263"/>
  <c r="Q24"/>
  <c r="J24"/>
  <c r="J216"/>
  <c r="K216"/>
  <c r="Q312"/>
  <c r="P312"/>
  <c r="M312"/>
  <c r="H408"/>
  <c r="L408"/>
  <c r="Q408"/>
  <c r="I64"/>
  <c r="P64"/>
  <c r="N256"/>
  <c r="P256"/>
  <c r="P222"/>
  <c r="N222"/>
  <c r="K222"/>
  <c r="L50"/>
  <c r="K50"/>
  <c r="M470"/>
  <c r="I470"/>
  <c r="L578"/>
  <c r="P566"/>
  <c r="Q574"/>
  <c r="P546"/>
  <c r="H535"/>
  <c r="J531"/>
  <c r="O531"/>
  <c r="O439"/>
  <c r="K450"/>
  <c r="L216"/>
  <c r="N160"/>
  <c r="Q290"/>
  <c r="K91"/>
  <c r="J99"/>
  <c r="M16"/>
  <c r="O168"/>
  <c r="K51"/>
  <c r="O497"/>
  <c r="P353"/>
  <c r="M18"/>
  <c r="P72"/>
  <c r="I265"/>
  <c r="J463"/>
  <c r="H376"/>
  <c r="N541"/>
  <c r="L553"/>
  <c r="O561"/>
  <c r="G578"/>
  <c r="Q566"/>
  <c r="P574"/>
  <c r="L546"/>
  <c r="N535"/>
  <c r="G525"/>
  <c r="H564"/>
  <c r="P564"/>
  <c r="O564"/>
  <c r="O535"/>
  <c r="J535"/>
  <c r="P535"/>
  <c r="Q535"/>
  <c r="I535"/>
  <c r="M535"/>
  <c r="J553"/>
  <c r="G553"/>
  <c r="K553"/>
  <c r="O553"/>
  <c r="N553"/>
  <c r="Q553"/>
  <c r="M553"/>
  <c r="G569"/>
  <c r="H567"/>
  <c r="K567"/>
  <c r="M567"/>
  <c r="J546"/>
  <c r="H546"/>
  <c r="I546"/>
  <c r="M546"/>
  <c r="O546"/>
  <c r="N546"/>
  <c r="G546"/>
  <c r="G387"/>
  <c r="K387"/>
  <c r="M113"/>
  <c r="I113"/>
  <c r="Q43"/>
  <c r="G43"/>
  <c r="L259"/>
  <c r="Q259"/>
  <c r="N560"/>
  <c r="N564"/>
  <c r="N550"/>
  <c r="G535"/>
  <c r="P527"/>
  <c r="J527"/>
  <c r="K290"/>
  <c r="G259"/>
  <c r="I151"/>
  <c r="I51"/>
  <c r="H497"/>
  <c r="O353"/>
  <c r="N439"/>
  <c r="Q61"/>
  <c r="Q91"/>
  <c r="Q99"/>
  <c r="Q435"/>
  <c r="O541"/>
  <c r="H553"/>
  <c r="O560"/>
  <c r="H561"/>
  <c r="N570"/>
  <c r="N578"/>
  <c r="G566"/>
  <c r="K546"/>
  <c r="L525"/>
  <c r="Q548"/>
  <c r="P548"/>
  <c r="N548"/>
  <c r="K548"/>
  <c r="M548"/>
  <c r="L542"/>
  <c r="Q542"/>
  <c r="K542"/>
  <c r="H542"/>
  <c r="Q26"/>
  <c r="N26"/>
  <c r="P67"/>
  <c r="I542"/>
  <c r="K523"/>
  <c r="J543"/>
  <c r="L543"/>
  <c r="O543"/>
  <c r="H543"/>
  <c r="M557"/>
  <c r="Q557"/>
  <c r="H557"/>
  <c r="J557"/>
  <c r="O557"/>
  <c r="N557"/>
  <c r="I557"/>
  <c r="J551"/>
  <c r="I551"/>
  <c r="K551"/>
  <c r="H551"/>
  <c r="G551"/>
  <c r="M551"/>
  <c r="O551"/>
  <c r="I563"/>
  <c r="H563"/>
  <c r="G563"/>
  <c r="P563"/>
  <c r="M563"/>
  <c r="I558"/>
  <c r="O558"/>
  <c r="K558"/>
  <c r="L558"/>
  <c r="G557"/>
  <c r="J558"/>
  <c r="P543"/>
  <c r="O563"/>
  <c r="G527"/>
  <c r="L527"/>
  <c r="O527"/>
  <c r="M527"/>
  <c r="K541"/>
  <c r="I541"/>
  <c r="Q541"/>
  <c r="M541"/>
  <c r="K561"/>
  <c r="L561"/>
  <c r="M561"/>
  <c r="N561"/>
  <c r="M574"/>
  <c r="H574"/>
  <c r="I574"/>
  <c r="G574"/>
  <c r="K574"/>
  <c r="O574"/>
  <c r="J574"/>
  <c r="O523"/>
  <c r="L523"/>
  <c r="I523"/>
  <c r="Q523"/>
  <c r="AQ26" i="52"/>
  <c r="AZ26" s="1"/>
  <c r="M523" i="40"/>
  <c r="H403"/>
  <c r="M403"/>
  <c r="N487"/>
  <c r="Q283"/>
  <c r="J541"/>
  <c r="I544"/>
  <c r="L551"/>
  <c r="H558"/>
  <c r="G542"/>
  <c r="G523"/>
  <c r="K543"/>
  <c r="Q527"/>
  <c r="K563"/>
  <c r="O544"/>
  <c r="P542"/>
  <c r="J523"/>
  <c r="L541"/>
  <c r="N551"/>
  <c r="J542"/>
  <c r="N523"/>
  <c r="M543"/>
  <c r="H527"/>
  <c r="O565"/>
  <c r="J544"/>
  <c r="L544"/>
  <c r="K544"/>
  <c r="G544"/>
  <c r="N544"/>
  <c r="P544"/>
  <c r="M544"/>
  <c r="G230"/>
  <c r="K230"/>
  <c r="H544"/>
  <c r="O542"/>
  <c r="G410"/>
  <c r="G541"/>
  <c r="Q551"/>
  <c r="G558"/>
  <c r="M542"/>
  <c r="H523"/>
  <c r="N543"/>
  <c r="I527"/>
  <c r="L567"/>
  <c r="N567"/>
  <c r="G567"/>
  <c r="J567"/>
  <c r="O536"/>
  <c r="I578"/>
  <c r="H550"/>
  <c r="Q550"/>
  <c r="L575"/>
  <c r="G575"/>
  <c r="P552"/>
  <c r="G552"/>
  <c r="G531"/>
  <c r="P536"/>
  <c r="P578"/>
  <c r="Q578"/>
  <c r="I550"/>
  <c r="O550"/>
  <c r="Q575"/>
  <c r="M575"/>
  <c r="O552"/>
  <c r="H531"/>
  <c r="J547"/>
  <c r="H536"/>
  <c r="G536"/>
  <c r="O578"/>
  <c r="K578"/>
  <c r="L550"/>
  <c r="M550"/>
  <c r="N575"/>
  <c r="J552"/>
  <c r="N531"/>
  <c r="I547"/>
  <c r="L536"/>
  <c r="I536"/>
  <c r="M578"/>
  <c r="H578"/>
  <c r="G550"/>
  <c r="O575"/>
  <c r="H552"/>
  <c r="L6"/>
  <c r="K6"/>
  <c r="N6"/>
  <c r="H390"/>
  <c r="N390"/>
  <c r="L390"/>
  <c r="P175"/>
  <c r="G175"/>
  <c r="Q175"/>
  <c r="L175"/>
  <c r="M139"/>
  <c r="N139"/>
  <c r="H139"/>
  <c r="O139"/>
  <c r="Q139"/>
  <c r="M350"/>
  <c r="I350"/>
  <c r="O350"/>
  <c r="O325"/>
  <c r="L325"/>
  <c r="Q325"/>
  <c r="G325"/>
  <c r="J325"/>
  <c r="K534"/>
  <c r="L534"/>
  <c r="J534"/>
  <c r="N534"/>
  <c r="P534"/>
  <c r="I534"/>
  <c r="Q534"/>
  <c r="M534"/>
  <c r="O534"/>
  <c r="H534"/>
  <c r="G534"/>
  <c r="P350"/>
  <c r="J26"/>
  <c r="I403"/>
  <c r="I67"/>
  <c r="G283"/>
  <c r="I390"/>
  <c r="L139"/>
  <c r="Q410"/>
  <c r="K175"/>
  <c r="M593"/>
  <c r="G593"/>
  <c r="Q593"/>
  <c r="K593"/>
  <c r="H593"/>
  <c r="J593"/>
  <c r="N593"/>
  <c r="L593"/>
  <c r="P593"/>
  <c r="I593"/>
  <c r="O593"/>
  <c r="K524"/>
  <c r="L524"/>
  <c r="H524"/>
  <c r="Q524"/>
  <c r="G524"/>
  <c r="J524"/>
  <c r="M524"/>
  <c r="O524"/>
  <c r="P524"/>
  <c r="J85"/>
  <c r="H350"/>
  <c r="G26"/>
  <c r="O67"/>
  <c r="K110"/>
  <c r="L283"/>
  <c r="J139"/>
  <c r="K325"/>
  <c r="G603"/>
  <c r="M603"/>
  <c r="I603"/>
  <c r="P603"/>
  <c r="L603"/>
  <c r="H603"/>
  <c r="K603"/>
  <c r="N603"/>
  <c r="O603"/>
  <c r="Q603"/>
  <c r="J603"/>
  <c r="Q599"/>
  <c r="I599"/>
  <c r="N599"/>
  <c r="P599"/>
  <c r="G599"/>
  <c r="O599"/>
  <c r="K599"/>
  <c r="J599"/>
  <c r="M599"/>
  <c r="L599"/>
  <c r="H599"/>
  <c r="I526"/>
  <c r="Q526"/>
  <c r="L526"/>
  <c r="N526"/>
  <c r="G526"/>
  <c r="H526"/>
  <c r="O526"/>
  <c r="K526"/>
  <c r="M526"/>
  <c r="K350"/>
  <c r="G28"/>
  <c r="J6"/>
  <c r="K139"/>
  <c r="O307"/>
  <c r="N325"/>
  <c r="J138"/>
  <c r="P138"/>
  <c r="G138"/>
  <c r="M283"/>
  <c r="O283"/>
  <c r="K283"/>
  <c r="H283"/>
  <c r="P283"/>
  <c r="I85"/>
  <c r="O85"/>
  <c r="P85"/>
  <c r="N85"/>
  <c r="J282"/>
  <c r="O282"/>
  <c r="Q85"/>
  <c r="J350"/>
  <c r="I138"/>
  <c r="I283"/>
  <c r="O6"/>
  <c r="I524"/>
  <c r="M258"/>
  <c r="L258"/>
  <c r="O258"/>
  <c r="O474"/>
  <c r="H474"/>
  <c r="N474"/>
  <c r="I474"/>
  <c r="L474"/>
  <c r="Q403"/>
  <c r="P403"/>
  <c r="G403"/>
  <c r="L403"/>
  <c r="N403"/>
  <c r="Q487"/>
  <c r="G487"/>
  <c r="M487"/>
  <c r="P487"/>
  <c r="H487"/>
  <c r="H26"/>
  <c r="I26"/>
  <c r="K26"/>
  <c r="O26"/>
  <c r="G581"/>
  <c r="Q581"/>
  <c r="P581"/>
  <c r="O581"/>
  <c r="I581"/>
  <c r="L581"/>
  <c r="K581"/>
  <c r="J581"/>
  <c r="M581"/>
  <c r="H581"/>
  <c r="N581"/>
  <c r="I608"/>
  <c r="J608"/>
  <c r="M608"/>
  <c r="P608"/>
  <c r="Q608"/>
  <c r="K608"/>
  <c r="N608"/>
  <c r="H608"/>
  <c r="G608"/>
  <c r="O608"/>
  <c r="L608"/>
  <c r="M276"/>
  <c r="M230"/>
  <c r="N524"/>
  <c r="M499"/>
  <c r="I499"/>
  <c r="L499"/>
  <c r="Q499"/>
  <c r="G499"/>
  <c r="G110"/>
  <c r="M110"/>
  <c r="O110"/>
  <c r="I110"/>
  <c r="L110"/>
  <c r="L410"/>
  <c r="H410"/>
  <c r="I410"/>
  <c r="N410"/>
  <c r="K410"/>
  <c r="O410"/>
  <c r="M85"/>
  <c r="L350"/>
  <c r="K138"/>
  <c r="M26"/>
  <c r="J487"/>
  <c r="P110"/>
  <c r="M474"/>
  <c r="G6"/>
  <c r="I139"/>
  <c r="H307"/>
  <c r="H325"/>
  <c r="L85"/>
  <c r="N350"/>
  <c r="N138"/>
  <c r="L26"/>
  <c r="K403"/>
  <c r="I487"/>
  <c r="N110"/>
  <c r="O499"/>
  <c r="J410"/>
  <c r="P325"/>
  <c r="G412"/>
  <c r="J526"/>
  <c r="N67"/>
  <c r="G67"/>
  <c r="K67"/>
  <c r="J67"/>
  <c r="K307"/>
  <c r="J307"/>
  <c r="M307"/>
  <c r="I307"/>
  <c r="L307"/>
  <c r="O230"/>
  <c r="H230"/>
  <c r="Q230"/>
  <c r="I230"/>
  <c r="N230"/>
  <c r="J230"/>
  <c r="H258"/>
  <c r="L487"/>
  <c r="L230"/>
  <c r="H110"/>
  <c r="P474"/>
  <c r="G139"/>
  <c r="P307"/>
  <c r="M325"/>
  <c r="K85"/>
  <c r="G350"/>
  <c r="I258"/>
  <c r="H138"/>
  <c r="P26"/>
  <c r="O403"/>
  <c r="P230"/>
  <c r="O487"/>
  <c r="J110"/>
  <c r="N499"/>
  <c r="J390"/>
  <c r="M410"/>
  <c r="N307"/>
  <c r="M175"/>
  <c r="P526"/>
  <c r="Q571"/>
  <c r="L531"/>
  <c r="M531"/>
  <c r="K531"/>
  <c r="Q531"/>
  <c r="P531"/>
  <c r="Q547"/>
  <c r="H547"/>
  <c r="AQ27" i="52"/>
  <c r="AY27" s="1"/>
  <c r="L547" i="40"/>
  <c r="K547"/>
  <c r="N547"/>
  <c r="J610"/>
  <c r="H610"/>
  <c r="Q610"/>
  <c r="I610"/>
  <c r="P610"/>
  <c r="O610"/>
  <c r="K610"/>
  <c r="G610"/>
  <c r="M610"/>
  <c r="L610"/>
  <c r="N610"/>
  <c r="H160"/>
  <c r="H24"/>
  <c r="J470"/>
  <c r="H16"/>
  <c r="P168"/>
  <c r="N112"/>
  <c r="Q64"/>
  <c r="K360"/>
  <c r="P120"/>
  <c r="G547"/>
  <c r="J576"/>
  <c r="K571"/>
  <c r="K525"/>
  <c r="I531"/>
  <c r="H584"/>
  <c r="N584"/>
  <c r="Q584"/>
  <c r="L584"/>
  <c r="O584"/>
  <c r="G584"/>
  <c r="P584"/>
  <c r="J584"/>
  <c r="M584"/>
  <c r="K584"/>
  <c r="I584"/>
  <c r="N540"/>
  <c r="P540"/>
  <c r="G540"/>
  <c r="J540"/>
  <c r="I540"/>
  <c r="K156"/>
  <c r="J156"/>
  <c r="O571"/>
  <c r="I571"/>
  <c r="J571"/>
  <c r="N571"/>
  <c r="H571"/>
  <c r="I216"/>
  <c r="H312"/>
  <c r="L112"/>
  <c r="P360"/>
  <c r="I72"/>
  <c r="I120"/>
  <c r="J525"/>
  <c r="H525"/>
  <c r="N525"/>
  <c r="I525"/>
  <c r="O525"/>
  <c r="P525"/>
  <c r="O592"/>
  <c r="G592"/>
  <c r="J592"/>
  <c r="K592"/>
  <c r="I592"/>
  <c r="N592"/>
  <c r="L592"/>
  <c r="P592"/>
  <c r="H592"/>
  <c r="Q592"/>
  <c r="M592"/>
  <c r="M605"/>
  <c r="P605"/>
  <c r="N605"/>
  <c r="G605"/>
  <c r="I605"/>
  <c r="H605"/>
  <c r="J605"/>
  <c r="Q605"/>
  <c r="K605"/>
  <c r="O605"/>
  <c r="L605"/>
  <c r="I611"/>
  <c r="H611"/>
  <c r="Q611"/>
  <c r="K611"/>
  <c r="P611"/>
  <c r="G611"/>
  <c r="M611"/>
  <c r="N611"/>
  <c r="L611"/>
  <c r="J611"/>
  <c r="O611"/>
  <c r="H596"/>
  <c r="M596"/>
  <c r="G596"/>
  <c r="L596"/>
  <c r="I596"/>
  <c r="O596"/>
  <c r="P596"/>
  <c r="N596"/>
  <c r="Q596"/>
  <c r="J596"/>
  <c r="K596"/>
  <c r="H594"/>
  <c r="O594"/>
  <c r="P594"/>
  <c r="G594"/>
  <c r="L594"/>
  <c r="Q594"/>
  <c r="J594"/>
  <c r="M594"/>
  <c r="N594"/>
  <c r="K594"/>
  <c r="I594"/>
  <c r="M576"/>
  <c r="G576"/>
  <c r="Q576"/>
  <c r="H576"/>
  <c r="P576"/>
  <c r="K576"/>
  <c r="N576"/>
  <c r="Q264"/>
  <c r="H264"/>
  <c r="K408"/>
  <c r="J408"/>
  <c r="L16"/>
  <c r="Q16"/>
  <c r="M64"/>
  <c r="J64"/>
  <c r="G208"/>
  <c r="L208"/>
  <c r="K256"/>
  <c r="M256"/>
  <c r="Q376"/>
  <c r="N376"/>
  <c r="I18"/>
  <c r="J18"/>
  <c r="G50"/>
  <c r="Q50"/>
  <c r="M547"/>
  <c r="L582"/>
  <c r="G582"/>
  <c r="I582"/>
  <c r="O582"/>
  <c r="H582"/>
  <c r="P582"/>
  <c r="M582"/>
  <c r="J582"/>
  <c r="K582"/>
  <c r="N582"/>
  <c r="Q582"/>
  <c r="Q564"/>
  <c r="K564"/>
  <c r="J564"/>
  <c r="G564"/>
  <c r="M564"/>
  <c r="H565"/>
  <c r="Q567"/>
  <c r="I567"/>
  <c r="I543"/>
  <c r="K527"/>
  <c r="N527"/>
  <c r="G602"/>
  <c r="I602"/>
  <c r="J602"/>
  <c r="N602"/>
  <c r="K602"/>
  <c r="P602"/>
  <c r="H602"/>
  <c r="Q602"/>
  <c r="O602"/>
  <c r="M602"/>
  <c r="L602"/>
  <c r="O601"/>
  <c r="H601"/>
  <c r="N601"/>
  <c r="Q601"/>
  <c r="J601"/>
  <c r="M601"/>
  <c r="L601"/>
  <c r="K601"/>
  <c r="P601"/>
  <c r="G601"/>
  <c r="I601"/>
  <c r="J591"/>
  <c r="AQ29" i="52"/>
  <c r="I591" i="40"/>
  <c r="P591"/>
  <c r="N591"/>
  <c r="L591"/>
  <c r="Q591"/>
  <c r="M591"/>
  <c r="K591"/>
  <c r="H591"/>
  <c r="G591"/>
  <c r="O591"/>
  <c r="J586"/>
  <c r="P586"/>
  <c r="L586"/>
  <c r="G586"/>
  <c r="K586"/>
  <c r="Q586"/>
  <c r="M586"/>
  <c r="I586"/>
  <c r="H586"/>
  <c r="O586"/>
  <c r="N586"/>
  <c r="H583"/>
  <c r="L583"/>
  <c r="I583"/>
  <c r="P583"/>
  <c r="Q583"/>
  <c r="M583"/>
  <c r="O583"/>
  <c r="G583"/>
  <c r="K583"/>
  <c r="N583"/>
  <c r="J583"/>
  <c r="H589"/>
  <c r="G589"/>
  <c r="I589"/>
  <c r="P589"/>
  <c r="J589"/>
  <c r="M589"/>
  <c r="Q589"/>
  <c r="K589"/>
  <c r="L589"/>
  <c r="O589"/>
  <c r="N589"/>
  <c r="K609"/>
  <c r="G609"/>
  <c r="O609"/>
  <c r="I609"/>
  <c r="Q609"/>
  <c r="H609"/>
  <c r="M609"/>
  <c r="P609"/>
  <c r="N609"/>
  <c r="L609"/>
  <c r="J609"/>
  <c r="L595"/>
  <c r="M595"/>
  <c r="N595"/>
  <c r="J595"/>
  <c r="G595"/>
  <c r="I595"/>
  <c r="K595"/>
  <c r="P595"/>
  <c r="Q595"/>
  <c r="O595"/>
  <c r="H595"/>
  <c r="P565"/>
  <c r="N565"/>
  <c r="I606"/>
  <c r="P606"/>
  <c r="M606"/>
  <c r="O606"/>
  <c r="L606"/>
  <c r="J606"/>
  <c r="H606"/>
  <c r="Q606"/>
  <c r="K606"/>
  <c r="G606"/>
  <c r="N606"/>
  <c r="I604"/>
  <c r="H604"/>
  <c r="K604"/>
  <c r="N604"/>
  <c r="J604"/>
  <c r="L604"/>
  <c r="G604"/>
  <c r="P604"/>
  <c r="O604"/>
  <c r="M604"/>
  <c r="Q604"/>
  <c r="Q588"/>
  <c r="G588"/>
  <c r="M588"/>
  <c r="K588"/>
  <c r="P588"/>
  <c r="I588"/>
  <c r="L588"/>
  <c r="J588"/>
  <c r="H588"/>
  <c r="O588"/>
  <c r="N588"/>
  <c r="N585"/>
  <c r="G585"/>
  <c r="I585"/>
  <c r="H585"/>
  <c r="Q585"/>
  <c r="P585"/>
  <c r="K585"/>
  <c r="J585"/>
  <c r="M585"/>
  <c r="O585"/>
  <c r="L585"/>
  <c r="P587"/>
  <c r="O587"/>
  <c r="L587"/>
  <c r="H587"/>
  <c r="K587"/>
  <c r="N587"/>
  <c r="Q587"/>
  <c r="J587"/>
  <c r="G587"/>
  <c r="M587"/>
  <c r="I587"/>
  <c r="Q565"/>
  <c r="K565"/>
  <c r="O600"/>
  <c r="J600"/>
  <c r="Q600"/>
  <c r="H600"/>
  <c r="K600"/>
  <c r="L600"/>
  <c r="I600"/>
  <c r="P600"/>
  <c r="M600"/>
  <c r="N600"/>
  <c r="G600"/>
  <c r="J598"/>
  <c r="O598"/>
  <c r="K598"/>
  <c r="H598"/>
  <c r="G598"/>
  <c r="Q598"/>
  <c r="P598"/>
  <c r="I598"/>
  <c r="L598"/>
  <c r="N598"/>
  <c r="M598"/>
  <c r="J590"/>
  <c r="P590"/>
  <c r="G590"/>
  <c r="K590"/>
  <c r="L590"/>
  <c r="Q590"/>
  <c r="M590"/>
  <c r="O590"/>
  <c r="N590"/>
  <c r="I590"/>
  <c r="H590"/>
  <c r="G565"/>
  <c r="N597"/>
  <c r="M597"/>
  <c r="P597"/>
  <c r="Q597"/>
  <c r="I597"/>
  <c r="O597"/>
  <c r="G597"/>
  <c r="H597"/>
  <c r="L597"/>
  <c r="J597"/>
  <c r="K597"/>
  <c r="Q607"/>
  <c r="K607"/>
  <c r="P607"/>
  <c r="L607"/>
  <c r="I607"/>
  <c r="M607"/>
  <c r="N607"/>
  <c r="O607"/>
  <c r="H607"/>
  <c r="G607"/>
  <c r="J607"/>
  <c r="H580"/>
  <c r="J580"/>
  <c r="K580"/>
  <c r="I580"/>
  <c r="M580"/>
  <c r="G580"/>
  <c r="O580"/>
  <c r="N580"/>
  <c r="Q580"/>
  <c r="P580"/>
  <c r="L580"/>
  <c r="P216"/>
  <c r="H216"/>
  <c r="M160"/>
  <c r="K312"/>
  <c r="P24"/>
  <c r="L222"/>
  <c r="J304"/>
  <c r="G304"/>
  <c r="Q470"/>
  <c r="G470"/>
  <c r="O16"/>
  <c r="G168"/>
  <c r="Q112"/>
  <c r="J112"/>
  <c r="G256"/>
  <c r="L64"/>
  <c r="K208"/>
  <c r="M360"/>
  <c r="O360"/>
  <c r="Q18"/>
  <c r="O408"/>
  <c r="O50"/>
  <c r="J72"/>
  <c r="K120"/>
  <c r="O264"/>
  <c r="K376"/>
  <c r="N216"/>
  <c r="G216"/>
  <c r="P160"/>
  <c r="I312"/>
  <c r="I24"/>
  <c r="J222"/>
  <c r="I407"/>
  <c r="Q304"/>
  <c r="N470"/>
  <c r="P470"/>
  <c r="J16"/>
  <c r="O112"/>
  <c r="G112"/>
  <c r="Q256"/>
  <c r="N64"/>
  <c r="K64"/>
  <c r="I208"/>
  <c r="H360"/>
  <c r="N360"/>
  <c r="N18"/>
  <c r="I408"/>
  <c r="N408"/>
  <c r="H50"/>
  <c r="Q72"/>
  <c r="J120"/>
  <c r="L264"/>
  <c r="J376"/>
  <c r="I376"/>
  <c r="J359"/>
  <c r="M216"/>
  <c r="Q254"/>
  <c r="G160"/>
  <c r="K160"/>
  <c r="G312"/>
  <c r="G24"/>
  <c r="H222"/>
  <c r="P407"/>
  <c r="N304"/>
  <c r="K470"/>
  <c r="P16"/>
  <c r="K112"/>
  <c r="H256"/>
  <c r="I256"/>
  <c r="H64"/>
  <c r="G64"/>
  <c r="P208"/>
  <c r="J208"/>
  <c r="I360"/>
  <c r="G18"/>
  <c r="K18"/>
  <c r="P408"/>
  <c r="N50"/>
  <c r="I50"/>
  <c r="H72"/>
  <c r="O120"/>
  <c r="H120"/>
  <c r="I264"/>
  <c r="L376"/>
  <c r="G376"/>
  <c r="I160"/>
  <c r="O256"/>
  <c r="O208"/>
  <c r="L18"/>
  <c r="M50"/>
  <c r="J2"/>
  <c r="M2"/>
  <c r="P2"/>
  <c r="N472"/>
  <c r="K472"/>
  <c r="N343"/>
  <c r="I343"/>
  <c r="Q343"/>
  <c r="G218"/>
  <c r="Q218"/>
  <c r="I229"/>
  <c r="O229"/>
  <c r="K434"/>
  <c r="M434"/>
  <c r="H147"/>
  <c r="P147"/>
  <c r="L147"/>
  <c r="M147"/>
  <c r="H387"/>
  <c r="J387"/>
  <c r="P387"/>
  <c r="Q387"/>
  <c r="G460"/>
  <c r="H460"/>
  <c r="N460"/>
  <c r="P17"/>
  <c r="Q17"/>
  <c r="N17"/>
  <c r="J17"/>
  <c r="M209"/>
  <c r="H209"/>
  <c r="L209"/>
  <c r="H449"/>
  <c r="J449"/>
  <c r="P234"/>
  <c r="Q234"/>
  <c r="I234"/>
  <c r="G234"/>
  <c r="O234"/>
  <c r="L151"/>
  <c r="N151"/>
  <c r="O151"/>
  <c r="J151"/>
  <c r="I271"/>
  <c r="J271"/>
  <c r="K271"/>
  <c r="M271"/>
  <c r="K61"/>
  <c r="G61"/>
  <c r="O61"/>
  <c r="I362"/>
  <c r="N362"/>
  <c r="P362"/>
  <c r="L362"/>
  <c r="P348"/>
  <c r="I348"/>
  <c r="M52"/>
  <c r="I52"/>
  <c r="N292"/>
  <c r="H292"/>
  <c r="I378"/>
  <c r="M378"/>
  <c r="K277"/>
  <c r="G277"/>
  <c r="Q386"/>
  <c r="N386"/>
  <c r="Q49"/>
  <c r="J49"/>
  <c r="M243"/>
  <c r="I243"/>
  <c r="O243"/>
  <c r="P483"/>
  <c r="J483"/>
  <c r="K483"/>
  <c r="M483"/>
  <c r="I306"/>
  <c r="J306"/>
  <c r="K306"/>
  <c r="N161"/>
  <c r="H161"/>
  <c r="K161"/>
  <c r="I401"/>
  <c r="Q401"/>
  <c r="G401"/>
  <c r="M401"/>
  <c r="I354"/>
  <c r="J354"/>
  <c r="K354"/>
  <c r="L354"/>
  <c r="H259"/>
  <c r="M259"/>
  <c r="K439"/>
  <c r="M439"/>
  <c r="H439"/>
  <c r="I182"/>
  <c r="J182"/>
  <c r="K182"/>
  <c r="P182"/>
  <c r="Q209"/>
  <c r="H61"/>
  <c r="G449"/>
  <c r="N493"/>
  <c r="K362"/>
  <c r="I472"/>
  <c r="I259"/>
  <c r="G434"/>
  <c r="O161"/>
  <c r="O339"/>
  <c r="K401"/>
  <c r="J243"/>
  <c r="M49"/>
  <c r="L388"/>
  <c r="M367"/>
  <c r="N12"/>
  <c r="K12"/>
  <c r="L12"/>
  <c r="Q204"/>
  <c r="O204"/>
  <c r="L492"/>
  <c r="H492"/>
  <c r="O337"/>
  <c r="N337"/>
  <c r="I337"/>
  <c r="O99"/>
  <c r="P99"/>
  <c r="H99"/>
  <c r="H291"/>
  <c r="Q291"/>
  <c r="I291"/>
  <c r="M435"/>
  <c r="O435"/>
  <c r="J435"/>
  <c r="L113"/>
  <c r="P113"/>
  <c r="G113"/>
  <c r="Q305"/>
  <c r="K305"/>
  <c r="G305"/>
  <c r="J497"/>
  <c r="K497"/>
  <c r="L497"/>
  <c r="I497"/>
  <c r="L43"/>
  <c r="N43"/>
  <c r="O43"/>
  <c r="I43"/>
  <c r="N463"/>
  <c r="M463"/>
  <c r="O463"/>
  <c r="I463"/>
  <c r="Q14"/>
  <c r="H14"/>
  <c r="K14"/>
  <c r="M265"/>
  <c r="H265"/>
  <c r="P265"/>
  <c r="Q265"/>
  <c r="L54"/>
  <c r="J277"/>
  <c r="P209"/>
  <c r="P61"/>
  <c r="H271"/>
  <c r="H362"/>
  <c r="K337"/>
  <c r="P151"/>
  <c r="N252"/>
  <c r="P43"/>
  <c r="K194"/>
  <c r="L401"/>
  <c r="N435"/>
  <c r="J147"/>
  <c r="K108"/>
  <c r="H462"/>
  <c r="L396"/>
  <c r="I396"/>
  <c r="P100"/>
  <c r="N100"/>
  <c r="K163"/>
  <c r="G163"/>
  <c r="P25"/>
  <c r="N25"/>
  <c r="I158"/>
  <c r="M158"/>
  <c r="L397"/>
  <c r="J397"/>
  <c r="M301"/>
  <c r="P301"/>
  <c r="N49"/>
  <c r="G51"/>
  <c r="L51"/>
  <c r="M51"/>
  <c r="H51"/>
  <c r="P51"/>
  <c r="O195"/>
  <c r="M195"/>
  <c r="N195"/>
  <c r="I195"/>
  <c r="P339"/>
  <c r="M339"/>
  <c r="J388"/>
  <c r="Q388"/>
  <c r="I388"/>
  <c r="K388"/>
  <c r="O186"/>
  <c r="I186"/>
  <c r="L186"/>
  <c r="J186"/>
  <c r="P186"/>
  <c r="G65"/>
  <c r="P65"/>
  <c r="Q65"/>
  <c r="I65"/>
  <c r="L65"/>
  <c r="N257"/>
  <c r="O257"/>
  <c r="L353"/>
  <c r="G353"/>
  <c r="H353"/>
  <c r="I353"/>
  <c r="M353"/>
  <c r="N102"/>
  <c r="H102"/>
  <c r="J102"/>
  <c r="O102"/>
  <c r="L102"/>
  <c r="Q450"/>
  <c r="L450"/>
  <c r="Q367"/>
  <c r="I367"/>
  <c r="J367"/>
  <c r="K367"/>
  <c r="H367"/>
  <c r="M91"/>
  <c r="J91"/>
  <c r="L290"/>
  <c r="M290"/>
  <c r="I493"/>
  <c r="Q493"/>
  <c r="H54"/>
  <c r="P439"/>
  <c r="H277"/>
  <c r="L244"/>
  <c r="J450"/>
  <c r="M493"/>
  <c r="G271"/>
  <c r="Q362"/>
  <c r="G354"/>
  <c r="H151"/>
  <c r="L387"/>
  <c r="Q195"/>
  <c r="Q186"/>
  <c r="Q51"/>
  <c r="L483"/>
  <c r="N497"/>
  <c r="J43"/>
  <c r="Q194"/>
  <c r="J401"/>
  <c r="P102"/>
  <c r="H435"/>
  <c r="G147"/>
  <c r="J265"/>
  <c r="P388"/>
  <c r="O17"/>
  <c r="N367"/>
  <c r="H12"/>
  <c r="M277"/>
  <c r="G244"/>
  <c r="N258"/>
  <c r="Q138"/>
  <c r="L158"/>
  <c r="L337"/>
  <c r="I300"/>
  <c r="J403"/>
  <c r="M67"/>
  <c r="N283"/>
  <c r="H499"/>
  <c r="J474"/>
  <c r="K474"/>
  <c r="O218"/>
  <c r="H156"/>
  <c r="M6"/>
  <c r="Q390"/>
  <c r="J163"/>
  <c r="G229"/>
  <c r="J343"/>
  <c r="G49"/>
  <c r="H386"/>
  <c r="O175"/>
  <c r="I175"/>
  <c r="O301"/>
  <c r="Q378"/>
  <c r="J258"/>
  <c r="O138"/>
  <c r="L434"/>
  <c r="K4"/>
  <c r="N218"/>
  <c r="H6"/>
  <c r="I6"/>
  <c r="M390"/>
  <c r="M252"/>
  <c r="H163"/>
  <c r="L194"/>
  <c r="I386"/>
  <c r="I397"/>
  <c r="P378"/>
  <c r="P258"/>
  <c r="K258"/>
  <c r="L138"/>
  <c r="I434"/>
  <c r="Q67"/>
  <c r="K100"/>
  <c r="Q474"/>
  <c r="M218"/>
  <c r="P6"/>
  <c r="K390"/>
  <c r="L252"/>
  <c r="H194"/>
  <c r="G386"/>
  <c r="J175"/>
  <c r="K462"/>
  <c r="J25"/>
  <c r="I12"/>
  <c r="G258"/>
  <c r="M138"/>
  <c r="N158"/>
  <c r="J492"/>
  <c r="H67"/>
  <c r="J100"/>
  <c r="K499"/>
  <c r="O390"/>
  <c r="P139"/>
  <c r="I73"/>
  <c r="Q307"/>
  <c r="I325"/>
  <c r="J396"/>
  <c r="M25"/>
  <c r="I361"/>
  <c r="P445"/>
  <c r="H244"/>
  <c r="Q292"/>
  <c r="P374"/>
  <c r="I156"/>
  <c r="N174"/>
  <c r="L352"/>
  <c r="I196"/>
  <c r="Q396"/>
  <c r="N301"/>
  <c r="Q52"/>
  <c r="G300"/>
  <c r="J4"/>
  <c r="G148"/>
  <c r="J352"/>
  <c r="O52"/>
  <c r="P158"/>
  <c r="H361"/>
  <c r="Q472"/>
  <c r="L300"/>
  <c r="L100"/>
  <c r="J218"/>
  <c r="J194"/>
  <c r="Q5"/>
  <c r="Q462"/>
  <c r="H397"/>
  <c r="H348"/>
  <c r="L52"/>
  <c r="J378"/>
  <c r="L389"/>
  <c r="I244"/>
  <c r="P292"/>
  <c r="P472"/>
  <c r="I218"/>
  <c r="Q13"/>
  <c r="N73"/>
  <c r="P174"/>
  <c r="P196"/>
  <c r="M108"/>
  <c r="O462"/>
  <c r="I301"/>
  <c r="P397"/>
  <c r="M348"/>
  <c r="M244"/>
  <c r="K292"/>
  <c r="H472"/>
  <c r="P300"/>
  <c r="I492"/>
  <c r="H4"/>
  <c r="H218"/>
  <c r="P242"/>
  <c r="J204"/>
  <c r="L148"/>
  <c r="P194"/>
  <c r="K73"/>
  <c r="H174"/>
  <c r="N229"/>
  <c r="O343"/>
  <c r="O352"/>
  <c r="O196"/>
  <c r="O108"/>
  <c r="I462"/>
  <c r="L301"/>
  <c r="O397"/>
  <c r="K348"/>
  <c r="K52"/>
  <c r="K244"/>
  <c r="I292"/>
  <c r="Q158"/>
  <c r="O300"/>
  <c r="N204"/>
  <c r="K229"/>
  <c r="M343"/>
  <c r="O386"/>
  <c r="N196"/>
  <c r="L108"/>
  <c r="M462"/>
  <c r="J301"/>
  <c r="N397"/>
  <c r="AQ18" i="52"/>
  <c r="Q162" i="40"/>
  <c r="J157"/>
  <c r="AQ4" i="52"/>
  <c r="H383" i="40"/>
  <c r="AQ21" i="52"/>
  <c r="M115" i="40"/>
  <c r="AQ7" i="52"/>
  <c r="H115" i="40"/>
  <c r="P115"/>
  <c r="J115"/>
  <c r="Q469"/>
  <c r="G494"/>
  <c r="H494"/>
  <c r="J494"/>
  <c r="M193"/>
  <c r="L193"/>
  <c r="H193"/>
  <c r="I374"/>
  <c r="H374"/>
  <c r="P88"/>
  <c r="Q375"/>
  <c r="Q448"/>
  <c r="P448"/>
  <c r="G402"/>
  <c r="N402"/>
  <c r="L402"/>
  <c r="O402"/>
  <c r="J402"/>
  <c r="K149"/>
  <c r="J149"/>
  <c r="O245"/>
  <c r="L245"/>
  <c r="I245"/>
  <c r="K245"/>
  <c r="N245"/>
  <c r="G437"/>
  <c r="J437"/>
  <c r="P437"/>
  <c r="G330"/>
  <c r="M330"/>
  <c r="P330"/>
  <c r="N330"/>
  <c r="O235"/>
  <c r="G235"/>
  <c r="J235"/>
  <c r="P235"/>
  <c r="M235"/>
  <c r="G451"/>
  <c r="Q451"/>
  <c r="J451"/>
  <c r="N451"/>
  <c r="K451"/>
  <c r="I391"/>
  <c r="J391"/>
  <c r="M391"/>
  <c r="G242"/>
  <c r="L242"/>
  <c r="H482"/>
  <c r="L482"/>
  <c r="O482"/>
  <c r="I482"/>
  <c r="I205"/>
  <c r="H205"/>
  <c r="N205"/>
  <c r="G205"/>
  <c r="Q205"/>
  <c r="Q445"/>
  <c r="G445"/>
  <c r="I445"/>
  <c r="P134"/>
  <c r="G134"/>
  <c r="N134"/>
  <c r="Q134"/>
  <c r="O134"/>
  <c r="L326"/>
  <c r="M326"/>
  <c r="J141"/>
  <c r="AQ20" i="52"/>
  <c r="M355" i="40"/>
  <c r="AQ12" i="52"/>
  <c r="Q232" i="40"/>
  <c r="Q475"/>
  <c r="N122"/>
  <c r="O122"/>
  <c r="K122"/>
  <c r="N13"/>
  <c r="O481"/>
  <c r="P481"/>
  <c r="Q481"/>
  <c r="G279"/>
  <c r="N279"/>
  <c r="Q471"/>
  <c r="G53"/>
  <c r="H53"/>
  <c r="J53"/>
  <c r="I293"/>
  <c r="K293"/>
  <c r="J293"/>
  <c r="N293"/>
  <c r="K485"/>
  <c r="L485"/>
  <c r="P485"/>
  <c r="H485"/>
  <c r="M485"/>
  <c r="N485"/>
  <c r="M426"/>
  <c r="N426"/>
  <c r="L426"/>
  <c r="Q426"/>
  <c r="O426"/>
  <c r="J223"/>
  <c r="Q223"/>
  <c r="K223"/>
  <c r="L223"/>
  <c r="H223"/>
  <c r="J389"/>
  <c r="O451"/>
  <c r="N183"/>
  <c r="K127"/>
  <c r="I122"/>
  <c r="L122"/>
  <c r="I331"/>
  <c r="M134"/>
  <c r="K448"/>
  <c r="L438"/>
  <c r="P223"/>
  <c r="O53"/>
  <c r="G149"/>
  <c r="G481"/>
  <c r="G482"/>
  <c r="I193"/>
  <c r="M48"/>
  <c r="I295"/>
  <c r="N295"/>
  <c r="G295"/>
  <c r="L253"/>
  <c r="G253"/>
  <c r="P253"/>
  <c r="K253"/>
  <c r="P338"/>
  <c r="K338"/>
  <c r="H241"/>
  <c r="M241"/>
  <c r="K241"/>
  <c r="N241"/>
  <c r="M423"/>
  <c r="H30"/>
  <c r="K30"/>
  <c r="M30"/>
  <c r="I30"/>
  <c r="N30"/>
  <c r="K101"/>
  <c r="P101"/>
  <c r="Q101"/>
  <c r="G101"/>
  <c r="M101"/>
  <c r="K341"/>
  <c r="G341"/>
  <c r="L78"/>
  <c r="J78"/>
  <c r="I78"/>
  <c r="O19"/>
  <c r="N19"/>
  <c r="P19"/>
  <c r="G19"/>
  <c r="G55"/>
  <c r="J122"/>
  <c r="K327"/>
  <c r="L55"/>
  <c r="K134"/>
  <c r="I448"/>
  <c r="Q78"/>
  <c r="N223"/>
  <c r="P53"/>
  <c r="L341"/>
  <c r="AQ22" i="52"/>
  <c r="I7" i="40"/>
  <c r="Q288"/>
  <c r="G40"/>
  <c r="I438"/>
  <c r="Q217"/>
  <c r="G217"/>
  <c r="K217"/>
  <c r="I217"/>
  <c r="O98"/>
  <c r="I98"/>
  <c r="K98"/>
  <c r="N98"/>
  <c r="G361"/>
  <c r="O361"/>
  <c r="I146"/>
  <c r="M146"/>
  <c r="I327"/>
  <c r="M364"/>
  <c r="J364"/>
  <c r="M270"/>
  <c r="L270"/>
  <c r="O270"/>
  <c r="G5"/>
  <c r="O5"/>
  <c r="O197"/>
  <c r="G197"/>
  <c r="L197"/>
  <c r="G389"/>
  <c r="I389"/>
  <c r="N389"/>
  <c r="G198"/>
  <c r="P198"/>
  <c r="K198"/>
  <c r="J127"/>
  <c r="N127"/>
  <c r="P127"/>
  <c r="M331"/>
  <c r="G331"/>
  <c r="P331"/>
  <c r="O331"/>
  <c r="Q149"/>
  <c r="Q30"/>
  <c r="J331"/>
  <c r="O438"/>
  <c r="M149"/>
  <c r="H198"/>
  <c r="H127"/>
  <c r="H293"/>
  <c r="I426"/>
  <c r="Q127"/>
  <c r="G293"/>
  <c r="G426"/>
  <c r="K19"/>
  <c r="M78"/>
  <c r="O374"/>
  <c r="N53"/>
  <c r="J341"/>
  <c r="H338"/>
  <c r="P469"/>
  <c r="L103"/>
  <c r="G391"/>
  <c r="AQ9" i="52"/>
  <c r="G12" i="40"/>
  <c r="J244"/>
  <c r="J158"/>
  <c r="M337"/>
  <c r="N300"/>
  <c r="Q434"/>
  <c r="G492"/>
  <c r="Q100"/>
  <c r="M60"/>
  <c r="N163"/>
  <c r="M194"/>
  <c r="Q73"/>
  <c r="J229"/>
  <c r="G343"/>
  <c r="P352"/>
  <c r="L386"/>
  <c r="N396"/>
  <c r="P462"/>
  <c r="G462"/>
  <c r="G301"/>
  <c r="G397"/>
  <c r="M397"/>
  <c r="I25"/>
  <c r="AQ2" i="52"/>
  <c r="P12" i="40"/>
  <c r="I450"/>
  <c r="K449"/>
  <c r="N99"/>
  <c r="O259"/>
  <c r="N492"/>
  <c r="N156"/>
  <c r="G483"/>
  <c r="H43"/>
  <c r="H65"/>
  <c r="P73"/>
  <c r="Q353"/>
  <c r="M229"/>
  <c r="J291"/>
  <c r="N243"/>
  <c r="M102"/>
  <c r="L435"/>
  <c r="I49"/>
  <c r="I352"/>
  <c r="J14"/>
  <c r="J386"/>
  <c r="P386"/>
  <c r="N265"/>
  <c r="L306"/>
  <c r="M396"/>
  <c r="K17"/>
  <c r="K463"/>
  <c r="H463"/>
  <c r="N462"/>
  <c r="Q397"/>
  <c r="G25"/>
  <c r="H25"/>
  <c r="H182"/>
  <c r="O367"/>
  <c r="O348"/>
  <c r="AQ5" i="52"/>
  <c r="I359" i="40"/>
  <c r="H2"/>
  <c r="L168"/>
  <c r="AQ15" i="52"/>
  <c r="AQ23"/>
  <c r="AQ6"/>
  <c r="G54" i="40"/>
  <c r="Q12"/>
  <c r="H378"/>
  <c r="L305"/>
  <c r="O244"/>
  <c r="P450"/>
  <c r="M460"/>
  <c r="Q449"/>
  <c r="P493"/>
  <c r="I91"/>
  <c r="L472"/>
  <c r="H337"/>
  <c r="N387"/>
  <c r="L161"/>
  <c r="H339"/>
  <c r="G4"/>
  <c r="L204"/>
  <c r="K60"/>
  <c r="I483"/>
  <c r="O163"/>
  <c r="G497"/>
  <c r="I194"/>
  <c r="O113"/>
  <c r="P54"/>
  <c r="J439"/>
  <c r="I277"/>
  <c r="M61"/>
  <c r="I449"/>
  <c r="G493"/>
  <c r="M472"/>
  <c r="K99"/>
  <c r="K259"/>
  <c r="Q337"/>
  <c r="K300"/>
  <c r="M387"/>
  <c r="G161"/>
  <c r="K339"/>
  <c r="L218"/>
  <c r="P60"/>
  <c r="Q148"/>
  <c r="I163"/>
  <c r="P497"/>
  <c r="G194"/>
  <c r="J73"/>
  <c r="H73"/>
  <c r="G257"/>
  <c r="P401"/>
  <c r="Q229"/>
  <c r="H229"/>
  <c r="L343"/>
  <c r="I435"/>
  <c r="Q113"/>
  <c r="O49"/>
  <c r="H49"/>
  <c r="G352"/>
  <c r="K147"/>
  <c r="L234"/>
  <c r="O14"/>
  <c r="I14"/>
  <c r="M386"/>
  <c r="G265"/>
  <c r="O388"/>
  <c r="G306"/>
  <c r="H306"/>
  <c r="I17"/>
  <c r="Q463"/>
  <c r="H301"/>
  <c r="Q25"/>
  <c r="G182"/>
  <c r="N348"/>
  <c r="AQ13" i="52"/>
  <c r="AQ24"/>
  <c r="AQ17"/>
  <c r="AQ19"/>
  <c r="AQ25"/>
  <c r="AQ8"/>
  <c r="AQ3"/>
  <c r="O378" i="40"/>
  <c r="Q277"/>
  <c r="G292"/>
  <c r="O472"/>
  <c r="H300"/>
  <c r="P492"/>
  <c r="I4"/>
  <c r="O156"/>
  <c r="K204"/>
  <c r="M163"/>
  <c r="L73"/>
  <c r="AQ10" i="52"/>
  <c r="AQ11"/>
  <c r="K54" i="40"/>
  <c r="L439"/>
  <c r="H52"/>
  <c r="N378"/>
  <c r="N277"/>
  <c r="P277"/>
  <c r="O209"/>
  <c r="L292"/>
  <c r="N61"/>
  <c r="G158"/>
  <c r="H493"/>
  <c r="N290"/>
  <c r="P271"/>
  <c r="N259"/>
  <c r="Q354"/>
  <c r="M151"/>
  <c r="P434"/>
  <c r="M161"/>
  <c r="Q492"/>
  <c r="L339"/>
  <c r="L195"/>
  <c r="O4"/>
  <c r="P218"/>
  <c r="H252"/>
  <c r="J3"/>
  <c r="P163"/>
  <c r="O73"/>
  <c r="J257"/>
  <c r="K49"/>
  <c r="I54"/>
  <c r="N52"/>
  <c r="L378"/>
  <c r="O277"/>
  <c r="J305"/>
  <c r="N209"/>
  <c r="O292"/>
  <c r="H450"/>
  <c r="L460"/>
  <c r="O493"/>
  <c r="I290"/>
  <c r="G91"/>
  <c r="O271"/>
  <c r="M99"/>
  <c r="G337"/>
  <c r="P354"/>
  <c r="K151"/>
  <c r="J434"/>
  <c r="O434"/>
  <c r="I161"/>
  <c r="O492"/>
  <c r="G339"/>
  <c r="J195"/>
  <c r="P4"/>
  <c r="G100"/>
  <c r="M186"/>
  <c r="Q156"/>
  <c r="O51"/>
  <c r="I252"/>
  <c r="H483"/>
  <c r="Q163"/>
  <c r="M43"/>
  <c r="K65"/>
  <c r="J174"/>
  <c r="J54"/>
  <c r="M12"/>
  <c r="Q439"/>
  <c r="I439"/>
  <c r="P52"/>
  <c r="G378"/>
  <c r="L277"/>
  <c r="O305"/>
  <c r="I305"/>
  <c r="I209"/>
  <c r="K209"/>
  <c r="P244"/>
  <c r="J292"/>
  <c r="O450"/>
  <c r="G450"/>
  <c r="L61"/>
  <c r="J460"/>
  <c r="P449"/>
  <c r="H158"/>
  <c r="O158"/>
  <c r="J493"/>
  <c r="O290"/>
  <c r="G290"/>
  <c r="N91"/>
  <c r="H91"/>
  <c r="Q271"/>
  <c r="O362"/>
  <c r="G362"/>
  <c r="G472"/>
  <c r="I99"/>
  <c r="L99"/>
  <c r="J259"/>
  <c r="J337"/>
  <c r="P337"/>
  <c r="M354"/>
  <c r="G151"/>
  <c r="J300"/>
  <c r="H434"/>
  <c r="N434"/>
  <c r="O387"/>
  <c r="Q161"/>
  <c r="K492"/>
  <c r="I339"/>
  <c r="Q339"/>
  <c r="H195"/>
  <c r="M4"/>
  <c r="I100"/>
  <c r="K186"/>
  <c r="K218"/>
  <c r="P156"/>
  <c r="N51"/>
  <c r="I204"/>
  <c r="H60"/>
  <c r="J252"/>
  <c r="N483"/>
  <c r="G3"/>
  <c r="P148"/>
  <c r="L163"/>
  <c r="Q497"/>
  <c r="K43"/>
  <c r="N65"/>
  <c r="O194"/>
  <c r="M73"/>
  <c r="G174"/>
  <c r="J353"/>
  <c r="O401"/>
  <c r="P229"/>
  <c r="L291"/>
  <c r="G291"/>
  <c r="P343"/>
  <c r="K343"/>
  <c r="Q243"/>
  <c r="I102"/>
  <c r="G435"/>
  <c r="N113"/>
  <c r="L49"/>
  <c r="P49"/>
  <c r="N147"/>
  <c r="I147"/>
  <c r="K234"/>
  <c r="L14"/>
  <c r="G14"/>
  <c r="K386"/>
  <c r="L265"/>
  <c r="O265"/>
  <c r="N388"/>
  <c r="Q196"/>
  <c r="N306"/>
  <c r="I108"/>
  <c r="M17"/>
  <c r="P463"/>
  <c r="J462"/>
  <c r="K301"/>
  <c r="Q301"/>
  <c r="K397"/>
  <c r="O25"/>
  <c r="N182"/>
  <c r="Q182"/>
  <c r="G367"/>
  <c r="AQ16" i="52"/>
  <c r="O466" i="40"/>
  <c r="P456"/>
  <c r="M36"/>
  <c r="Q84"/>
  <c r="G132"/>
  <c r="G228"/>
  <c r="L276"/>
  <c r="Q324"/>
  <c r="I420"/>
  <c r="L28"/>
  <c r="P76"/>
  <c r="O172"/>
  <c r="G220"/>
  <c r="H268"/>
  <c r="N412"/>
  <c r="I66"/>
  <c r="Q282"/>
  <c r="AQ14" i="52"/>
  <c r="AP258" i="37"/>
  <c r="AP282"/>
  <c r="AP218"/>
  <c r="AP55"/>
  <c r="AP68"/>
  <c r="AP395"/>
  <c r="AP133"/>
  <c r="AP339"/>
  <c r="AP467"/>
  <c r="AP71"/>
  <c r="AP136"/>
  <c r="AP226"/>
  <c r="AP130"/>
  <c r="AP379"/>
  <c r="AP147"/>
  <c r="AP498"/>
  <c r="AP324"/>
  <c r="AP181"/>
  <c r="AP250"/>
  <c r="AP456"/>
  <c r="AP364"/>
  <c r="AP309"/>
  <c r="AP245"/>
  <c r="AP99"/>
  <c r="AP235"/>
  <c r="AP472"/>
  <c r="AP25"/>
  <c r="AP468"/>
  <c r="AP265"/>
  <c r="AP41"/>
  <c r="AP479"/>
  <c r="AP170"/>
  <c r="AP240"/>
  <c r="AP188"/>
  <c r="AP488"/>
  <c r="AP111"/>
  <c r="AP471"/>
  <c r="AP362"/>
  <c r="AP198"/>
  <c r="AP91"/>
  <c r="AP470"/>
  <c r="AP77"/>
  <c r="AP6"/>
  <c r="AP98"/>
  <c r="AP372"/>
  <c r="AP8"/>
  <c r="AP155"/>
  <c r="AP82"/>
  <c r="AP200"/>
  <c r="AP213"/>
  <c r="AP142"/>
  <c r="AP273"/>
  <c r="AP308"/>
  <c r="AP227"/>
  <c r="AP285"/>
  <c r="AP176"/>
  <c r="AP262"/>
  <c r="AP445"/>
  <c r="AP131"/>
  <c r="AP344"/>
  <c r="AP122"/>
  <c r="AP192"/>
  <c r="AP138"/>
  <c r="AP392"/>
  <c r="AP33"/>
  <c r="AP386"/>
  <c r="AP166"/>
  <c r="AP14"/>
  <c r="AP21"/>
  <c r="AP26"/>
  <c r="AP326"/>
  <c r="AP316"/>
  <c r="AP148"/>
  <c r="AP501"/>
  <c r="AP149"/>
  <c r="AP146"/>
  <c r="AP137"/>
  <c r="AP284"/>
  <c r="AP495"/>
  <c r="AP232"/>
  <c r="AP204"/>
  <c r="AP189"/>
  <c r="AP439"/>
  <c r="AP434"/>
  <c r="AP416"/>
  <c r="AP180"/>
  <c r="AP10"/>
  <c r="AP69"/>
  <c r="AP173"/>
  <c r="AP487"/>
  <c r="AP210"/>
  <c r="AP113"/>
  <c r="AP39"/>
  <c r="AP9"/>
  <c r="AP61"/>
  <c r="AP12"/>
  <c r="AP413"/>
  <c r="AP95"/>
  <c r="AP398"/>
  <c r="AP163"/>
  <c r="AP319"/>
  <c r="AP186"/>
  <c r="AP74"/>
  <c r="AP17"/>
  <c r="AP382"/>
  <c r="AP203"/>
  <c r="AP30"/>
  <c r="AP121"/>
  <c r="AP367"/>
  <c r="AP85"/>
  <c r="AP118"/>
  <c r="AP257"/>
  <c r="AP385"/>
  <c r="AP48"/>
  <c r="AP283"/>
  <c r="AP222"/>
  <c r="AP457"/>
  <c r="AP404"/>
  <c r="AP56"/>
  <c r="AP461"/>
  <c r="AP469"/>
  <c r="AP491"/>
  <c r="AP164"/>
  <c r="AP352"/>
  <c r="AP400"/>
  <c r="AP481"/>
  <c r="AP75"/>
  <c r="AP464"/>
  <c r="AP243"/>
  <c r="AP90"/>
  <c r="AP279"/>
  <c r="AP280"/>
  <c r="AP47"/>
  <c r="AP7"/>
  <c r="AP225"/>
  <c r="AP224"/>
  <c r="AP366"/>
  <c r="AP405"/>
  <c r="AP19"/>
  <c r="AP473"/>
  <c r="AP206"/>
  <c r="AP272"/>
  <c r="AP60"/>
  <c r="AP429"/>
  <c r="AP261"/>
  <c r="AP238"/>
  <c r="AP263"/>
  <c r="AP178"/>
  <c r="AP297"/>
  <c r="AP499"/>
  <c r="AP251"/>
  <c r="AP327"/>
  <c r="AP301"/>
  <c r="AP171"/>
  <c r="AP336"/>
  <c r="AP478"/>
  <c r="AP54"/>
  <c r="AP381"/>
  <c r="AP374"/>
  <c r="AP196"/>
  <c r="AP182"/>
  <c r="AP29"/>
  <c r="AP115"/>
  <c r="AP165"/>
  <c r="AP18"/>
  <c r="AP312"/>
  <c r="AP35"/>
  <c r="AP313"/>
  <c r="AP355"/>
  <c r="AP300"/>
  <c r="AP359"/>
  <c r="AP201"/>
  <c r="AP380"/>
  <c r="AP341"/>
  <c r="AP119"/>
  <c r="AP106"/>
  <c r="AP397"/>
  <c r="AP403"/>
  <c r="AP187"/>
  <c r="AP465"/>
  <c r="AP215"/>
  <c r="AP269"/>
  <c r="AP486"/>
  <c r="AP310"/>
  <c r="AP452"/>
  <c r="AP430"/>
  <c r="AP387"/>
  <c r="AP330"/>
  <c r="AP425"/>
  <c r="AP260"/>
  <c r="AP101"/>
  <c r="AP333"/>
  <c r="AP286"/>
  <c r="AP242"/>
  <c r="AP58"/>
  <c r="AP211"/>
  <c r="AP460"/>
  <c r="AP370"/>
  <c r="AP406"/>
  <c r="AP474"/>
  <c r="AP93"/>
  <c r="AP275"/>
  <c r="AP108"/>
  <c r="AP32"/>
  <c r="AP492"/>
  <c r="AP411"/>
  <c r="AP376"/>
  <c r="AP462"/>
  <c r="AP459"/>
  <c r="AP79"/>
  <c r="AP64"/>
  <c r="AP466"/>
  <c r="AP489"/>
  <c r="AP184"/>
  <c r="AP354"/>
  <c r="AP271"/>
  <c r="AP194"/>
  <c r="AP120"/>
  <c r="AP123"/>
  <c r="AP208"/>
  <c r="AP51"/>
  <c r="AP89"/>
  <c r="AP458"/>
  <c r="AP40"/>
  <c r="AP104"/>
  <c r="AP96"/>
  <c r="AP409"/>
  <c r="AP209"/>
  <c r="AP436"/>
  <c r="AP475"/>
  <c r="AP449"/>
  <c r="AP287"/>
  <c r="AP396"/>
  <c r="AP110"/>
  <c r="AP53"/>
  <c r="AP394"/>
  <c r="AP351"/>
  <c r="AP433"/>
  <c r="AP442"/>
  <c r="AP86"/>
  <c r="AP168"/>
  <c r="AP20"/>
  <c r="AP360"/>
  <c r="AP141"/>
  <c r="AP419"/>
  <c r="AP44"/>
  <c r="AP484"/>
  <c r="AP67"/>
  <c r="AP81"/>
  <c r="AP139"/>
  <c r="AP34"/>
  <c r="AP23"/>
  <c r="AP57"/>
  <c r="AP266"/>
  <c r="AP306"/>
  <c r="AP315"/>
  <c r="AP317"/>
  <c r="AP293"/>
  <c r="AP302"/>
  <c r="AP135"/>
  <c r="AP191"/>
  <c r="AP346"/>
  <c r="AP4"/>
  <c r="AP70"/>
  <c r="AP43"/>
  <c r="AP195"/>
  <c r="AP485"/>
  <c r="AP78"/>
  <c r="AP219"/>
  <c r="AP125"/>
  <c r="AP62"/>
  <c r="AP340"/>
  <c r="AP401"/>
  <c r="AP314"/>
  <c r="AP294"/>
  <c r="AP153"/>
  <c r="AP295"/>
  <c r="AP80"/>
  <c r="AP349"/>
  <c r="AP358"/>
  <c r="AP331"/>
  <c r="AP388"/>
  <c r="AP63"/>
  <c r="AP267"/>
  <c r="AP117"/>
  <c r="AP112"/>
  <c r="AP126"/>
  <c r="AP76"/>
  <c r="AP383"/>
  <c r="AP27"/>
  <c r="AP320"/>
  <c r="AP391"/>
  <c r="AP292"/>
  <c r="AP270"/>
  <c r="AP102"/>
  <c r="AP480"/>
  <c r="AP389"/>
  <c r="AP365"/>
  <c r="AP150"/>
  <c r="AP107"/>
  <c r="AP329"/>
  <c r="AP299"/>
  <c r="AP410"/>
  <c r="AP417"/>
  <c r="AP353"/>
  <c r="AP399"/>
  <c r="AP393"/>
  <c r="AP116"/>
  <c r="AP175"/>
  <c r="AP83"/>
  <c r="AP216"/>
  <c r="AP278"/>
  <c r="AP426"/>
  <c r="AP415"/>
  <c r="AP152"/>
  <c r="AP190"/>
  <c r="AP205"/>
  <c r="AP493"/>
  <c r="AP390"/>
  <c r="AP161"/>
  <c r="AP31"/>
  <c r="AP65"/>
  <c r="AP414"/>
  <c r="AP94"/>
  <c r="AP221"/>
  <c r="AP246"/>
  <c r="AP264"/>
  <c r="AP197"/>
  <c r="AP13"/>
  <c r="AP38"/>
  <c r="AP497"/>
  <c r="AP134"/>
  <c r="AP384"/>
  <c r="AP172"/>
  <c r="AP174"/>
  <c r="AP132"/>
  <c r="AP36"/>
  <c r="AP217"/>
  <c r="AP325"/>
  <c r="AP347"/>
  <c r="AP169"/>
  <c r="AP5"/>
  <c r="AP342"/>
  <c r="AP276"/>
  <c r="AP233"/>
  <c r="AP239"/>
  <c r="AP448"/>
  <c r="AP72"/>
  <c r="AP421"/>
  <c r="AP145"/>
  <c r="AP157"/>
  <c r="AP127"/>
  <c r="AP185"/>
  <c r="AP183"/>
  <c r="AP156"/>
  <c r="AP159"/>
  <c r="AP248"/>
  <c r="AP252"/>
  <c r="AP407"/>
  <c r="AP368"/>
  <c r="AP66"/>
  <c r="AP450"/>
  <c r="AP228"/>
  <c r="AP463"/>
  <c r="AP356"/>
  <c r="AP103"/>
  <c r="AP100"/>
  <c r="AP496"/>
  <c r="AP348"/>
  <c r="AP375"/>
  <c r="AP223"/>
  <c r="AP304"/>
  <c r="AP162"/>
  <c r="AP97"/>
  <c r="AP343"/>
  <c r="AP249"/>
  <c r="AP212"/>
  <c r="AP345"/>
  <c r="AP268"/>
  <c r="AP373"/>
  <c r="AP357"/>
  <c r="AP303"/>
  <c r="AP422"/>
  <c r="AP412"/>
  <c r="AP402"/>
  <c r="AP45"/>
  <c r="AP378"/>
  <c r="AP16"/>
  <c r="AP144"/>
  <c r="AP37"/>
  <c r="AP177"/>
  <c r="AP88"/>
  <c r="AP160"/>
  <c r="AP418"/>
  <c r="AP482"/>
  <c r="AP87"/>
  <c r="AP49"/>
  <c r="AP92"/>
  <c r="AP334"/>
  <c r="AP220"/>
  <c r="AP73"/>
  <c r="AP231"/>
  <c r="AP311"/>
  <c r="AP151"/>
  <c r="AP361"/>
  <c r="AP446"/>
  <c r="AP438"/>
  <c r="AP229"/>
  <c r="AP424"/>
  <c r="AP420"/>
  <c r="AP494"/>
  <c r="AP179"/>
  <c r="AP274"/>
  <c r="AP128"/>
  <c r="AP11"/>
  <c r="AP337"/>
  <c r="AP105"/>
  <c r="AP129"/>
  <c r="AP167"/>
  <c r="AP298"/>
  <c r="AP435"/>
  <c r="AP158"/>
  <c r="AP483"/>
  <c r="AP22"/>
  <c r="AP408"/>
  <c r="AP109"/>
  <c r="AP50"/>
  <c r="AP124"/>
  <c r="AP28"/>
  <c r="AP371"/>
  <c r="AP24"/>
  <c r="AP207"/>
  <c r="AP154"/>
  <c r="AP114"/>
  <c r="AP42"/>
  <c r="AP202"/>
  <c r="AP369"/>
  <c r="AP84"/>
  <c r="AP193"/>
  <c r="AP490"/>
  <c r="AP476"/>
  <c r="AP46"/>
  <c r="AP350"/>
  <c r="AP199"/>
  <c r="AP338"/>
  <c r="AP143"/>
  <c r="AP214"/>
  <c r="AP15"/>
  <c r="AP241"/>
  <c r="AP59"/>
  <c r="AP289"/>
  <c r="AP277"/>
  <c r="AP454"/>
  <c r="AP477"/>
  <c r="AP52"/>
  <c r="AP3"/>
  <c r="AP253"/>
  <c r="AP288"/>
  <c r="AP244"/>
  <c r="AP377"/>
  <c r="AP502"/>
  <c r="AP500"/>
  <c r="O178" i="40"/>
  <c r="P370"/>
  <c r="M35"/>
  <c r="P227"/>
  <c r="P431"/>
  <c r="P247"/>
  <c r="H121"/>
  <c r="P268"/>
  <c r="M28"/>
  <c r="L431"/>
  <c r="N228"/>
  <c r="N180"/>
  <c r="N220"/>
  <c r="K76"/>
  <c r="H124"/>
  <c r="I132"/>
  <c r="J66"/>
  <c r="L412"/>
  <c r="Q412"/>
  <c r="N282"/>
  <c r="I282"/>
  <c r="G372"/>
  <c r="G356"/>
  <c r="I465"/>
  <c r="L189"/>
  <c r="G477"/>
  <c r="I89"/>
  <c r="M498"/>
  <c r="K415"/>
  <c r="Q170"/>
  <c r="K268"/>
  <c r="N420"/>
  <c r="N28"/>
  <c r="Q180"/>
  <c r="Q220"/>
  <c r="L324"/>
  <c r="M76"/>
  <c r="P412"/>
  <c r="Q372"/>
  <c r="Q190"/>
  <c r="M286"/>
  <c r="H430"/>
  <c r="K480"/>
  <c r="J240"/>
  <c r="G384"/>
  <c r="H475"/>
  <c r="Q494"/>
  <c r="I268"/>
  <c r="Q115"/>
  <c r="L279"/>
  <c r="P28"/>
  <c r="K295"/>
  <c r="G86"/>
  <c r="K316"/>
  <c r="I228"/>
  <c r="H180"/>
  <c r="L481"/>
  <c r="G338"/>
  <c r="H13"/>
  <c r="M253"/>
  <c r="P80"/>
  <c r="Q176"/>
  <c r="O368"/>
  <c r="L464"/>
  <c r="L417"/>
  <c r="G9"/>
  <c r="L201"/>
  <c r="G297"/>
  <c r="N501"/>
  <c r="I183"/>
  <c r="P327"/>
  <c r="G364"/>
  <c r="G150"/>
  <c r="O293"/>
  <c r="Q437"/>
  <c r="G78"/>
  <c r="H19"/>
  <c r="L235"/>
  <c r="L451"/>
  <c r="L134"/>
  <c r="M178"/>
  <c r="P217"/>
  <c r="Q268"/>
  <c r="K420"/>
  <c r="L420"/>
  <c r="G122"/>
  <c r="M293"/>
  <c r="I456"/>
  <c r="P389"/>
  <c r="O30"/>
  <c r="M288"/>
  <c r="O28"/>
  <c r="L98"/>
  <c r="G98"/>
  <c r="I134"/>
  <c r="Q19"/>
  <c r="L19"/>
  <c r="J295"/>
  <c r="N361"/>
  <c r="I451"/>
  <c r="K438"/>
  <c r="Q316"/>
  <c r="I316"/>
  <c r="K228"/>
  <c r="H228"/>
  <c r="O78"/>
  <c r="K78"/>
  <c r="N374"/>
  <c r="M180"/>
  <c r="G276"/>
  <c r="P220"/>
  <c r="K220"/>
  <c r="J168"/>
  <c r="H149"/>
  <c r="Q235"/>
  <c r="N235"/>
  <c r="J481"/>
  <c r="Q245"/>
  <c r="O494"/>
  <c r="O101"/>
  <c r="M150"/>
  <c r="J48"/>
  <c r="P13"/>
  <c r="N172"/>
  <c r="K402"/>
  <c r="J326"/>
  <c r="K482"/>
  <c r="O475"/>
  <c r="J330"/>
  <c r="Q55"/>
  <c r="O205"/>
  <c r="N193"/>
  <c r="J124"/>
  <c r="L132"/>
  <c r="J469"/>
  <c r="P364"/>
  <c r="M5"/>
  <c r="O241"/>
  <c r="O66"/>
  <c r="K66"/>
  <c r="N437"/>
  <c r="O412"/>
  <c r="K445"/>
  <c r="H372"/>
  <c r="O372"/>
  <c r="M58"/>
  <c r="G202"/>
  <c r="O250"/>
  <c r="Q442"/>
  <c r="L490"/>
  <c r="K467"/>
  <c r="K59"/>
  <c r="P107"/>
  <c r="J155"/>
  <c r="H203"/>
  <c r="N251"/>
  <c r="I347"/>
  <c r="P395"/>
  <c r="K479"/>
  <c r="O12"/>
  <c r="Q300"/>
  <c r="M492"/>
  <c r="Q4"/>
  <c r="G52"/>
  <c r="Q244"/>
  <c r="M292"/>
  <c r="J472"/>
  <c r="K378"/>
  <c r="K25"/>
  <c r="L229"/>
  <c r="I34"/>
  <c r="H274"/>
  <c r="P419"/>
  <c r="L179"/>
  <c r="N371"/>
  <c r="H84"/>
  <c r="N76"/>
  <c r="H409"/>
  <c r="L181"/>
  <c r="G212"/>
  <c r="L452"/>
  <c r="H45"/>
  <c r="I345"/>
  <c r="I233"/>
  <c r="L294"/>
  <c r="P420"/>
  <c r="I477"/>
  <c r="P180"/>
  <c r="J276"/>
  <c r="M220"/>
  <c r="H172"/>
  <c r="O94"/>
  <c r="G383"/>
  <c r="G436"/>
  <c r="L115"/>
  <c r="O338"/>
  <c r="N268"/>
  <c r="J420"/>
  <c r="Q122"/>
  <c r="P98"/>
  <c r="M438"/>
  <c r="G180"/>
  <c r="L220"/>
  <c r="G324"/>
  <c r="Q76"/>
  <c r="G172"/>
  <c r="G475"/>
  <c r="I84"/>
  <c r="O193"/>
  <c r="P124"/>
  <c r="P132"/>
  <c r="M469"/>
  <c r="P241"/>
  <c r="H66"/>
  <c r="M66"/>
  <c r="H412"/>
  <c r="G282"/>
  <c r="I372"/>
  <c r="P372"/>
  <c r="J128"/>
  <c r="H224"/>
  <c r="K416"/>
  <c r="M333"/>
  <c r="O489"/>
  <c r="P57"/>
  <c r="K153"/>
  <c r="J39"/>
  <c r="J197"/>
  <c r="M389"/>
  <c r="J426"/>
  <c r="I127"/>
  <c r="K331"/>
  <c r="O223"/>
  <c r="M127"/>
  <c r="L268"/>
  <c r="G268"/>
  <c r="I384"/>
  <c r="K115"/>
  <c r="P293"/>
  <c r="O389"/>
  <c r="Q389"/>
  <c r="K426"/>
  <c r="H331"/>
  <c r="H98"/>
  <c r="M19"/>
  <c r="J19"/>
  <c r="P295"/>
  <c r="L361"/>
  <c r="P451"/>
  <c r="H451"/>
  <c r="N316"/>
  <c r="H316"/>
  <c r="L228"/>
  <c r="H78"/>
  <c r="I231"/>
  <c r="I485"/>
  <c r="J485"/>
  <c r="K180"/>
  <c r="Q276"/>
  <c r="O220"/>
  <c r="M430"/>
  <c r="G223"/>
  <c r="K53"/>
  <c r="N149"/>
  <c r="K235"/>
  <c r="N286"/>
  <c r="J270"/>
  <c r="K481"/>
  <c r="N341"/>
  <c r="M494"/>
  <c r="Q242"/>
  <c r="I324"/>
  <c r="P324"/>
  <c r="J150"/>
  <c r="Q197"/>
  <c r="O76"/>
  <c r="K13"/>
  <c r="K172"/>
  <c r="I253"/>
  <c r="M475"/>
  <c r="H146"/>
  <c r="I330"/>
  <c r="M55"/>
  <c r="Q124"/>
  <c r="O124"/>
  <c r="Q391"/>
  <c r="P66"/>
  <c r="M437"/>
  <c r="P282"/>
  <c r="M372"/>
  <c r="N372"/>
  <c r="G44"/>
  <c r="O188"/>
  <c r="M332"/>
  <c r="P380"/>
  <c r="P476"/>
  <c r="K429"/>
  <c r="M468"/>
  <c r="N69"/>
  <c r="G117"/>
  <c r="G165"/>
  <c r="I261"/>
  <c r="Q405"/>
  <c r="O3"/>
  <c r="O147"/>
  <c r="G195"/>
  <c r="O291"/>
  <c r="K435"/>
  <c r="Q483"/>
  <c r="G388"/>
  <c r="O306"/>
  <c r="P257"/>
  <c r="N401"/>
  <c r="N82"/>
  <c r="L322"/>
  <c r="M466"/>
  <c r="J83"/>
  <c r="L323"/>
  <c r="G36"/>
  <c r="M38"/>
  <c r="N421"/>
  <c r="O420"/>
  <c r="N419"/>
  <c r="J316"/>
  <c r="J324"/>
  <c r="I116"/>
  <c r="J308"/>
  <c r="H500"/>
  <c r="N93"/>
  <c r="O285"/>
  <c r="I75"/>
  <c r="H162"/>
  <c r="Q103"/>
  <c r="P422"/>
  <c r="M46"/>
  <c r="G334"/>
  <c r="P478"/>
  <c r="P288"/>
  <c r="Q136"/>
  <c r="H318"/>
  <c r="H217"/>
  <c r="P122"/>
  <c r="M217"/>
  <c r="M420"/>
  <c r="O228"/>
  <c r="L374"/>
  <c r="K146"/>
  <c r="O32"/>
  <c r="J264"/>
  <c r="M408"/>
  <c r="I31"/>
  <c r="I379"/>
  <c r="I433"/>
  <c r="L302"/>
  <c r="P446"/>
  <c r="N97"/>
  <c r="O457"/>
  <c r="K133"/>
  <c r="K254"/>
  <c r="N130"/>
  <c r="J226"/>
  <c r="K418"/>
  <c r="I432"/>
  <c r="G131"/>
  <c r="I275"/>
  <c r="O456"/>
  <c r="J132"/>
  <c r="G169"/>
  <c r="O398"/>
  <c r="L314"/>
  <c r="N179"/>
  <c r="L180"/>
  <c r="K276"/>
  <c r="O36"/>
  <c r="I172"/>
  <c r="N84"/>
  <c r="L371"/>
  <c r="I68"/>
  <c r="I404"/>
  <c r="Q393"/>
  <c r="P141"/>
  <c r="K237"/>
  <c r="G171"/>
  <c r="M363"/>
  <c r="I340"/>
  <c r="J114"/>
  <c r="G185"/>
  <c r="N42"/>
  <c r="H414"/>
  <c r="P316"/>
  <c r="J228"/>
  <c r="L84"/>
  <c r="G124"/>
  <c r="N66"/>
  <c r="J412"/>
  <c r="L282"/>
  <c r="H282"/>
  <c r="N142"/>
  <c r="O382"/>
  <c r="Q443"/>
  <c r="P239"/>
  <c r="K335"/>
  <c r="Q336"/>
  <c r="Q40"/>
  <c r="L328"/>
  <c r="G469"/>
  <c r="J98"/>
  <c r="L241"/>
  <c r="I279"/>
  <c r="G471"/>
  <c r="P30"/>
  <c r="N217"/>
  <c r="O268"/>
  <c r="H420"/>
  <c r="G115"/>
  <c r="O115"/>
  <c r="H122"/>
  <c r="Q293"/>
  <c r="J456"/>
  <c r="G30"/>
  <c r="J28"/>
  <c r="K28"/>
  <c r="O431"/>
  <c r="Q98"/>
  <c r="O295"/>
  <c r="O448"/>
  <c r="O498"/>
  <c r="K361"/>
  <c r="H438"/>
  <c r="L316"/>
  <c r="G316"/>
  <c r="M228"/>
  <c r="K374"/>
  <c r="G374"/>
  <c r="J180"/>
  <c r="I276"/>
  <c r="P276"/>
  <c r="K36"/>
  <c r="J220"/>
  <c r="M126"/>
  <c r="Q168"/>
  <c r="I53"/>
  <c r="I149"/>
  <c r="I270"/>
  <c r="I481"/>
  <c r="P245"/>
  <c r="O341"/>
  <c r="K494"/>
  <c r="H324"/>
  <c r="O324"/>
  <c r="G153"/>
  <c r="L338"/>
  <c r="Q150"/>
  <c r="H197"/>
  <c r="L76"/>
  <c r="J76"/>
  <c r="J13"/>
  <c r="M172"/>
  <c r="L172"/>
  <c r="O253"/>
  <c r="I369"/>
  <c r="K475"/>
  <c r="P146"/>
  <c r="K84"/>
  <c r="G193"/>
  <c r="L124"/>
  <c r="N124"/>
  <c r="Q132"/>
  <c r="I469"/>
  <c r="K375"/>
  <c r="G66"/>
  <c r="I437"/>
  <c r="K412"/>
  <c r="M282"/>
  <c r="K372"/>
  <c r="M22"/>
  <c r="L70"/>
  <c r="G118"/>
  <c r="H166"/>
  <c r="H214"/>
  <c r="M262"/>
  <c r="L310"/>
  <c r="P358"/>
  <c r="Q406"/>
  <c r="O454"/>
  <c r="P502"/>
  <c r="K491"/>
  <c r="O23"/>
  <c r="J71"/>
  <c r="L119"/>
  <c r="M167"/>
  <c r="K215"/>
  <c r="M263"/>
  <c r="M311"/>
  <c r="P359"/>
  <c r="N407"/>
  <c r="L2"/>
  <c r="O24"/>
  <c r="K72"/>
  <c r="Q120"/>
  <c r="O127"/>
  <c r="J217"/>
  <c r="M268"/>
  <c r="G420"/>
  <c r="I115"/>
  <c r="N414"/>
  <c r="M122"/>
  <c r="L293"/>
  <c r="N456"/>
  <c r="K389"/>
  <c r="P426"/>
  <c r="H426"/>
  <c r="J30"/>
  <c r="H28"/>
  <c r="I28"/>
  <c r="H431"/>
  <c r="N331"/>
  <c r="M98"/>
  <c r="H134"/>
  <c r="I19"/>
  <c r="M295"/>
  <c r="L448"/>
  <c r="G74"/>
  <c r="M157"/>
  <c r="M361"/>
  <c r="N24"/>
  <c r="M451"/>
  <c r="N438"/>
  <c r="G438"/>
  <c r="O407"/>
  <c r="O316"/>
  <c r="P228"/>
  <c r="P78"/>
  <c r="Q263"/>
  <c r="G485"/>
  <c r="N311"/>
  <c r="J374"/>
  <c r="Q374"/>
  <c r="I180"/>
  <c r="H276"/>
  <c r="O276"/>
  <c r="L36"/>
  <c r="H220"/>
  <c r="K168"/>
  <c r="H168"/>
  <c r="I223"/>
  <c r="L53"/>
  <c r="P149"/>
  <c r="H235"/>
  <c r="G183"/>
  <c r="H270"/>
  <c r="H481"/>
  <c r="M245"/>
  <c r="Q341"/>
  <c r="N494"/>
  <c r="N2"/>
  <c r="J242"/>
  <c r="M324"/>
  <c r="N324"/>
  <c r="L101"/>
  <c r="M338"/>
  <c r="N150"/>
  <c r="M197"/>
  <c r="H76"/>
  <c r="I76"/>
  <c r="L13"/>
  <c r="P172"/>
  <c r="Q172"/>
  <c r="H253"/>
  <c r="P402"/>
  <c r="N326"/>
  <c r="J482"/>
  <c r="N475"/>
  <c r="O330"/>
  <c r="J84"/>
  <c r="O55"/>
  <c r="K205"/>
  <c r="P193"/>
  <c r="M72"/>
  <c r="K124"/>
  <c r="M124"/>
  <c r="H132"/>
  <c r="H469"/>
  <c r="J266"/>
  <c r="L120"/>
  <c r="I5"/>
  <c r="I241"/>
  <c r="N391"/>
  <c r="J375"/>
  <c r="Q66"/>
  <c r="L437"/>
  <c r="N187"/>
  <c r="I412"/>
  <c r="G105"/>
  <c r="K282"/>
  <c r="J372"/>
  <c r="J8"/>
  <c r="M56"/>
  <c r="N104"/>
  <c r="H152"/>
  <c r="P200"/>
  <c r="O248"/>
  <c r="I296"/>
  <c r="M344"/>
  <c r="L392"/>
  <c r="I440"/>
  <c r="N488"/>
  <c r="P453"/>
  <c r="Q33"/>
  <c r="O81"/>
  <c r="P129"/>
  <c r="I177"/>
  <c r="G225"/>
  <c r="K273"/>
  <c r="N321"/>
  <c r="K441"/>
  <c r="N15"/>
  <c r="J63"/>
  <c r="I111"/>
  <c r="K159"/>
  <c r="J399"/>
  <c r="M447"/>
  <c r="L400"/>
  <c r="K484"/>
  <c r="Q210"/>
  <c r="J342"/>
  <c r="J29"/>
  <c r="H173"/>
  <c r="Q221"/>
  <c r="G269"/>
  <c r="P317"/>
  <c r="I365"/>
  <c r="P461"/>
  <c r="Q6"/>
  <c r="G390"/>
  <c r="N175"/>
  <c r="P499"/>
  <c r="AL560" i="37"/>
  <c r="AL545"/>
  <c r="AL566"/>
  <c r="AL563"/>
  <c r="AL553"/>
  <c r="AL558"/>
  <c r="AL567"/>
  <c r="AL542"/>
  <c r="AL555"/>
  <c r="AL559"/>
  <c r="AL556"/>
  <c r="AL546"/>
  <c r="AL550"/>
  <c r="AL557"/>
  <c r="AL561"/>
  <c r="AL551"/>
  <c r="AL565"/>
  <c r="AL564"/>
  <c r="AL549"/>
  <c r="AL554"/>
  <c r="AL562"/>
  <c r="AL548"/>
  <c r="AL544"/>
  <c r="AL543"/>
  <c r="AL552"/>
  <c r="AL547"/>
  <c r="I488" i="40"/>
  <c r="L456"/>
  <c r="K359"/>
  <c r="G368"/>
  <c r="L24"/>
  <c r="J407"/>
  <c r="Q36"/>
  <c r="O2"/>
  <c r="Q2"/>
  <c r="L237"/>
  <c r="O84"/>
  <c r="N72"/>
  <c r="G72"/>
  <c r="K132"/>
  <c r="O179"/>
  <c r="Q262"/>
  <c r="L418"/>
  <c r="N370"/>
  <c r="G226"/>
  <c r="L215"/>
  <c r="H432"/>
  <c r="N382"/>
  <c r="I274"/>
  <c r="L82"/>
  <c r="K456"/>
  <c r="O501"/>
  <c r="H359"/>
  <c r="J431"/>
  <c r="I491"/>
  <c r="Q93"/>
  <c r="L465"/>
  <c r="M407"/>
  <c r="H345"/>
  <c r="K311"/>
  <c r="I36"/>
  <c r="M84"/>
  <c r="Q119"/>
  <c r="O371"/>
  <c r="P285"/>
  <c r="O214"/>
  <c r="Q224"/>
  <c r="J406"/>
  <c r="M441"/>
  <c r="Q22"/>
  <c r="O502"/>
  <c r="O70"/>
  <c r="O129"/>
  <c r="L275"/>
  <c r="Q356"/>
  <c r="K131"/>
  <c r="O59"/>
  <c r="J82"/>
  <c r="H456"/>
  <c r="L359"/>
  <c r="M356"/>
  <c r="O93"/>
  <c r="H419"/>
  <c r="H406"/>
  <c r="G407"/>
  <c r="O273"/>
  <c r="I321"/>
  <c r="P311"/>
  <c r="J36"/>
  <c r="M480"/>
  <c r="G395"/>
  <c r="Q167"/>
  <c r="G84"/>
  <c r="M132"/>
  <c r="M347"/>
  <c r="H131"/>
  <c r="K464"/>
  <c r="G214"/>
  <c r="I262"/>
  <c r="L441"/>
  <c r="I418"/>
  <c r="K477"/>
  <c r="Q201"/>
  <c r="K370"/>
  <c r="M322"/>
  <c r="I57"/>
  <c r="M119"/>
  <c r="L23"/>
  <c r="L432"/>
  <c r="K178"/>
  <c r="G46"/>
  <c r="I334"/>
  <c r="Q456"/>
  <c r="G179"/>
  <c r="O359"/>
  <c r="I190"/>
  <c r="G431"/>
  <c r="J466"/>
  <c r="L71"/>
  <c r="Q407"/>
  <c r="K407"/>
  <c r="Q68"/>
  <c r="I263"/>
  <c r="G443"/>
  <c r="H311"/>
  <c r="P36"/>
  <c r="L33"/>
  <c r="M358"/>
  <c r="G130"/>
  <c r="K310"/>
  <c r="P248"/>
  <c r="N274"/>
  <c r="N454"/>
  <c r="H177"/>
  <c r="H491"/>
  <c r="P71"/>
  <c r="H189"/>
  <c r="J263"/>
  <c r="I311"/>
  <c r="H107"/>
  <c r="Q453"/>
  <c r="P118"/>
  <c r="G166"/>
  <c r="P393"/>
  <c r="Q215"/>
  <c r="M34"/>
  <c r="K323"/>
  <c r="L225"/>
  <c r="L178"/>
  <c r="J131"/>
  <c r="L274"/>
  <c r="P334"/>
  <c r="K82"/>
  <c r="G359"/>
  <c r="N359"/>
  <c r="I356"/>
  <c r="P466"/>
  <c r="M93"/>
  <c r="I71"/>
  <c r="O189"/>
  <c r="L419"/>
  <c r="G406"/>
  <c r="P418"/>
  <c r="L141"/>
  <c r="L263"/>
  <c r="K94"/>
  <c r="K443"/>
  <c r="G370"/>
  <c r="J311"/>
  <c r="Q430"/>
  <c r="H480"/>
  <c r="N107"/>
  <c r="J322"/>
  <c r="Q395"/>
  <c r="N167"/>
  <c r="P392"/>
  <c r="P23"/>
  <c r="L500"/>
  <c r="L440"/>
  <c r="N34"/>
  <c r="H70"/>
  <c r="J275"/>
  <c r="Q310"/>
  <c r="H59"/>
  <c r="J334"/>
  <c r="H82"/>
  <c r="G454"/>
  <c r="P333"/>
  <c r="H190"/>
  <c r="K356"/>
  <c r="K466"/>
  <c r="K71"/>
  <c r="K224"/>
  <c r="O406"/>
  <c r="O418"/>
  <c r="N141"/>
  <c r="Q477"/>
  <c r="Q370"/>
  <c r="G22"/>
  <c r="M502"/>
  <c r="N432"/>
  <c r="H129"/>
  <c r="G178"/>
  <c r="O131"/>
  <c r="P274"/>
  <c r="P59"/>
  <c r="K488"/>
  <c r="O82"/>
  <c r="H454"/>
  <c r="K179"/>
  <c r="N177"/>
  <c r="J491"/>
  <c r="K214"/>
  <c r="P465"/>
  <c r="G262"/>
  <c r="G441"/>
  <c r="J68"/>
  <c r="H263"/>
  <c r="L345"/>
  <c r="G321"/>
  <c r="L370"/>
  <c r="O311"/>
  <c r="G489"/>
  <c r="K33"/>
  <c r="N118"/>
  <c r="N226"/>
  <c r="G237"/>
  <c r="J227"/>
  <c r="O119"/>
  <c r="I203"/>
  <c r="L347"/>
  <c r="I178"/>
  <c r="P131"/>
  <c r="Q274"/>
  <c r="O404"/>
  <c r="H501"/>
  <c r="J454"/>
  <c r="M179"/>
  <c r="K177"/>
  <c r="G466"/>
  <c r="P491"/>
  <c r="I93"/>
  <c r="O71"/>
  <c r="G308"/>
  <c r="I344"/>
  <c r="O262"/>
  <c r="G200"/>
  <c r="O419"/>
  <c r="H202"/>
  <c r="J441"/>
  <c r="G273"/>
  <c r="N263"/>
  <c r="P263"/>
  <c r="M321"/>
  <c r="G311"/>
  <c r="I480"/>
  <c r="G286"/>
  <c r="N297"/>
  <c r="O166"/>
  <c r="L3"/>
  <c r="H3"/>
  <c r="O215"/>
  <c r="G119"/>
  <c r="M23"/>
  <c r="H285"/>
  <c r="P225"/>
  <c r="Q344"/>
  <c r="L152"/>
  <c r="N178"/>
  <c r="L131"/>
  <c r="O274"/>
  <c r="Q59"/>
  <c r="K334"/>
  <c r="H488"/>
  <c r="I82"/>
  <c r="G456"/>
  <c r="P454"/>
  <c r="Q179"/>
  <c r="G177"/>
  <c r="Q431"/>
  <c r="M431"/>
  <c r="L356"/>
  <c r="N466"/>
  <c r="N491"/>
  <c r="G93"/>
  <c r="G296"/>
  <c r="N214"/>
  <c r="G71"/>
  <c r="N344"/>
  <c r="H465"/>
  <c r="Q189"/>
  <c r="K262"/>
  <c r="M419"/>
  <c r="O202"/>
  <c r="L406"/>
  <c r="Q273"/>
  <c r="N418"/>
  <c r="G141"/>
  <c r="O263"/>
  <c r="M477"/>
  <c r="J321"/>
  <c r="H370"/>
  <c r="Q311"/>
  <c r="N36"/>
  <c r="O430"/>
  <c r="N480"/>
  <c r="M33"/>
  <c r="Q107"/>
  <c r="P237"/>
  <c r="K502"/>
  <c r="M3"/>
  <c r="I23"/>
  <c r="K432"/>
  <c r="I285"/>
  <c r="K203"/>
  <c r="O132"/>
  <c r="P347"/>
  <c r="H323"/>
  <c r="J70"/>
  <c r="P275"/>
  <c r="I310"/>
  <c r="AJ2" i="37"/>
  <c r="J178" i="40"/>
  <c r="M131"/>
  <c r="G248"/>
  <c r="G274"/>
  <c r="M274"/>
  <c r="G59"/>
  <c r="P404"/>
  <c r="M82"/>
  <c r="P501"/>
  <c r="I454"/>
  <c r="N464"/>
  <c r="H179"/>
  <c r="K190"/>
  <c r="P177"/>
  <c r="I431"/>
  <c r="K431"/>
  <c r="J356"/>
  <c r="H466"/>
  <c r="M491"/>
  <c r="K93"/>
  <c r="M71"/>
  <c r="N71"/>
  <c r="O344"/>
  <c r="K465"/>
  <c r="L262"/>
  <c r="L200"/>
  <c r="G419"/>
  <c r="K419"/>
  <c r="Q441"/>
  <c r="J273"/>
  <c r="G418"/>
  <c r="I141"/>
  <c r="Q94"/>
  <c r="J477"/>
  <c r="J345"/>
  <c r="O370"/>
  <c r="K430"/>
  <c r="I286"/>
  <c r="H22"/>
  <c r="L453"/>
  <c r="I118"/>
  <c r="P322"/>
  <c r="L227"/>
  <c r="L167"/>
  <c r="M215"/>
  <c r="P119"/>
  <c r="M432"/>
  <c r="G34"/>
  <c r="N203"/>
  <c r="N129"/>
  <c r="H178"/>
  <c r="N131"/>
  <c r="I131"/>
  <c r="K274"/>
  <c r="J59"/>
  <c r="L488"/>
  <c r="P82"/>
  <c r="Q454"/>
  <c r="P179"/>
  <c r="M177"/>
  <c r="N356"/>
  <c r="Q466"/>
  <c r="L491"/>
  <c r="P93"/>
  <c r="P467"/>
  <c r="I214"/>
  <c r="Q83"/>
  <c r="H262"/>
  <c r="Q419"/>
  <c r="I406"/>
  <c r="N441"/>
  <c r="M32"/>
  <c r="N273"/>
  <c r="M418"/>
  <c r="M141"/>
  <c r="N345"/>
  <c r="M370"/>
  <c r="J286"/>
  <c r="L22"/>
  <c r="O118"/>
  <c r="N322"/>
  <c r="K226"/>
  <c r="O358"/>
  <c r="P500"/>
  <c r="Q34"/>
  <c r="M417"/>
  <c r="K212"/>
  <c r="Q275"/>
  <c r="P178"/>
  <c r="Q178"/>
  <c r="J274"/>
  <c r="L59"/>
  <c r="G488"/>
  <c r="Q82"/>
  <c r="K454"/>
  <c r="I179"/>
  <c r="H368"/>
  <c r="O356"/>
  <c r="I466"/>
  <c r="L466"/>
  <c r="G491"/>
  <c r="H71"/>
  <c r="I189"/>
  <c r="L107"/>
  <c r="I153"/>
  <c r="K166"/>
  <c r="H226"/>
  <c r="I237"/>
  <c r="N502"/>
  <c r="L358"/>
  <c r="H392"/>
  <c r="J119"/>
  <c r="P371"/>
  <c r="Q347"/>
  <c r="L142"/>
  <c r="J125"/>
  <c r="O125"/>
  <c r="K125"/>
  <c r="L289"/>
  <c r="Q289"/>
  <c r="G373"/>
  <c r="Q373"/>
  <c r="N32"/>
  <c r="K32"/>
  <c r="L224"/>
  <c r="M224"/>
  <c r="N224"/>
  <c r="I224"/>
  <c r="H272"/>
  <c r="K272"/>
  <c r="G272"/>
  <c r="P272"/>
  <c r="P320"/>
  <c r="J320"/>
  <c r="I368"/>
  <c r="Q368"/>
  <c r="J368"/>
  <c r="P368"/>
  <c r="M464"/>
  <c r="I464"/>
  <c r="J464"/>
  <c r="N333"/>
  <c r="Q333"/>
  <c r="L333"/>
  <c r="P489"/>
  <c r="Q489"/>
  <c r="N489"/>
  <c r="P9"/>
  <c r="K9"/>
  <c r="O105"/>
  <c r="L105"/>
  <c r="I201"/>
  <c r="J201"/>
  <c r="O201"/>
  <c r="G201"/>
  <c r="M249"/>
  <c r="H249"/>
  <c r="J297"/>
  <c r="O297"/>
  <c r="Q369"/>
  <c r="H369"/>
  <c r="J369"/>
  <c r="Q501"/>
  <c r="G501"/>
  <c r="I501"/>
  <c r="P46"/>
  <c r="N46"/>
  <c r="J46"/>
  <c r="G94"/>
  <c r="I94"/>
  <c r="P94"/>
  <c r="H94"/>
  <c r="P190"/>
  <c r="J190"/>
  <c r="L190"/>
  <c r="Q238"/>
  <c r="O238"/>
  <c r="J238"/>
  <c r="M334"/>
  <c r="O334"/>
  <c r="Q334"/>
  <c r="Q382"/>
  <c r="P382"/>
  <c r="J430"/>
  <c r="L430"/>
  <c r="I430"/>
  <c r="P430"/>
  <c r="J478"/>
  <c r="Q478"/>
  <c r="N478"/>
  <c r="O478"/>
  <c r="P443"/>
  <c r="L443"/>
  <c r="H443"/>
  <c r="I443"/>
  <c r="J443"/>
  <c r="Q480"/>
  <c r="G480"/>
  <c r="P480"/>
  <c r="J480"/>
  <c r="L480"/>
  <c r="L368"/>
  <c r="P224"/>
  <c r="K373"/>
  <c r="P416"/>
  <c r="H464"/>
  <c r="O190"/>
  <c r="P373"/>
  <c r="G31"/>
  <c r="H153"/>
  <c r="M57"/>
  <c r="K249"/>
  <c r="N416"/>
  <c r="I128"/>
  <c r="M87"/>
  <c r="Q87"/>
  <c r="O87"/>
  <c r="G464"/>
  <c r="H333"/>
  <c r="N190"/>
  <c r="L176"/>
  <c r="K201"/>
  <c r="O443"/>
  <c r="L489"/>
  <c r="M490"/>
  <c r="K57"/>
  <c r="G80"/>
  <c r="J142"/>
  <c r="N413"/>
  <c r="G413"/>
  <c r="G394"/>
  <c r="H394"/>
  <c r="H46"/>
  <c r="J333"/>
  <c r="K368"/>
  <c r="O224"/>
  <c r="O176"/>
  <c r="P201"/>
  <c r="M489"/>
  <c r="G320"/>
  <c r="I142"/>
  <c r="N417"/>
  <c r="K135"/>
  <c r="I135"/>
  <c r="H135"/>
  <c r="H231"/>
  <c r="L231"/>
  <c r="K231"/>
  <c r="Q231"/>
  <c r="N375"/>
  <c r="G375"/>
  <c r="L46"/>
  <c r="M501"/>
  <c r="G333"/>
  <c r="G133"/>
  <c r="I457"/>
  <c r="J94"/>
  <c r="N443"/>
  <c r="J489"/>
  <c r="H286"/>
  <c r="P238"/>
  <c r="Q80"/>
  <c r="I382"/>
  <c r="P142"/>
  <c r="J210"/>
  <c r="L478"/>
  <c r="I213"/>
  <c r="M213"/>
  <c r="G298"/>
  <c r="K298"/>
  <c r="M191"/>
  <c r="I191"/>
  <c r="O39"/>
  <c r="I39"/>
  <c r="P39"/>
  <c r="N334"/>
  <c r="K46"/>
  <c r="L334"/>
  <c r="K501"/>
  <c r="O464"/>
  <c r="M190"/>
  <c r="Q32"/>
  <c r="H176"/>
  <c r="N201"/>
  <c r="Q46"/>
  <c r="J317"/>
  <c r="J501"/>
  <c r="P279"/>
  <c r="I333"/>
  <c r="N368"/>
  <c r="G224"/>
  <c r="Q133"/>
  <c r="H32"/>
  <c r="I176"/>
  <c r="M94"/>
  <c r="H201"/>
  <c r="M443"/>
  <c r="I489"/>
  <c r="G430"/>
  <c r="H446"/>
  <c r="K286"/>
  <c r="Q97"/>
  <c r="M238"/>
  <c r="M80"/>
  <c r="O369"/>
  <c r="J382"/>
  <c r="H478"/>
  <c r="J423"/>
  <c r="G423"/>
  <c r="G448"/>
  <c r="M448"/>
  <c r="Q270"/>
  <c r="K270"/>
  <c r="M402"/>
  <c r="H402"/>
  <c r="N5"/>
  <c r="L5"/>
  <c r="M53"/>
  <c r="Q53"/>
  <c r="L149"/>
  <c r="O149"/>
  <c r="H245"/>
  <c r="J245"/>
  <c r="P341"/>
  <c r="M341"/>
  <c r="O485"/>
  <c r="Q485"/>
  <c r="Q438"/>
  <c r="J438"/>
  <c r="H295"/>
  <c r="Q295"/>
  <c r="N253"/>
  <c r="J253"/>
  <c r="M13"/>
  <c r="G13"/>
  <c r="Q193"/>
  <c r="K193"/>
  <c r="Q361"/>
  <c r="J361"/>
  <c r="M481"/>
  <c r="N481"/>
  <c r="N296"/>
  <c r="H296"/>
  <c r="J81"/>
  <c r="I81"/>
  <c r="H273"/>
  <c r="P273"/>
  <c r="L321"/>
  <c r="P321"/>
  <c r="P441"/>
  <c r="I441"/>
  <c r="O441"/>
  <c r="J22"/>
  <c r="K22"/>
  <c r="J118"/>
  <c r="H118"/>
  <c r="M214"/>
  <c r="Q214"/>
  <c r="J262"/>
  <c r="P262"/>
  <c r="K406"/>
  <c r="N406"/>
  <c r="J448"/>
  <c r="L471"/>
  <c r="H364"/>
  <c r="M488"/>
  <c r="L30"/>
  <c r="N288"/>
  <c r="P296"/>
  <c r="H448"/>
  <c r="I471"/>
  <c r="N152"/>
  <c r="N270"/>
  <c r="L150"/>
  <c r="N423"/>
  <c r="Q402"/>
  <c r="H5"/>
  <c r="K68"/>
  <c r="P68"/>
  <c r="J93"/>
  <c r="L93"/>
  <c r="K141"/>
  <c r="Q141"/>
  <c r="N477"/>
  <c r="L477"/>
  <c r="H130"/>
  <c r="I130"/>
  <c r="I322"/>
  <c r="G322"/>
  <c r="J370"/>
  <c r="I370"/>
  <c r="J418"/>
  <c r="Q418"/>
  <c r="I419"/>
  <c r="J419"/>
  <c r="O432"/>
  <c r="Q432"/>
  <c r="L425"/>
  <c r="G425"/>
  <c r="M145"/>
  <c r="J145"/>
  <c r="I15"/>
  <c r="P15"/>
  <c r="P63"/>
  <c r="Q63"/>
  <c r="H207"/>
  <c r="O207"/>
  <c r="M255"/>
  <c r="J255"/>
  <c r="L303"/>
  <c r="K303"/>
  <c r="O351"/>
  <c r="G351"/>
  <c r="J351"/>
  <c r="M495"/>
  <c r="K495"/>
  <c r="L90"/>
  <c r="J90"/>
  <c r="L29"/>
  <c r="N29"/>
  <c r="L77"/>
  <c r="I77"/>
  <c r="Q77"/>
  <c r="M173"/>
  <c r="J173"/>
  <c r="N173"/>
  <c r="O221"/>
  <c r="H221"/>
  <c r="G486"/>
  <c r="I486"/>
  <c r="Q486"/>
  <c r="H199"/>
  <c r="N199"/>
  <c r="L199"/>
  <c r="N109"/>
  <c r="M109"/>
  <c r="Q109"/>
  <c r="H349"/>
  <c r="I349"/>
  <c r="J37"/>
  <c r="N37"/>
  <c r="H433"/>
  <c r="J433"/>
  <c r="K433"/>
  <c r="G433"/>
  <c r="G206"/>
  <c r="M206"/>
  <c r="J206"/>
  <c r="K206"/>
  <c r="N63"/>
  <c r="K15"/>
  <c r="H288"/>
  <c r="M294"/>
  <c r="J221"/>
  <c r="M433"/>
  <c r="G468"/>
  <c r="P40"/>
  <c r="L442"/>
  <c r="N318"/>
  <c r="P349"/>
  <c r="I298"/>
  <c r="L309"/>
  <c r="I309"/>
  <c r="K309"/>
  <c r="G250"/>
  <c r="I250"/>
  <c r="G143"/>
  <c r="L143"/>
  <c r="K143"/>
  <c r="P287"/>
  <c r="K287"/>
  <c r="N287"/>
  <c r="O455"/>
  <c r="H455"/>
  <c r="Q144"/>
  <c r="M144"/>
  <c r="K184"/>
  <c r="N184"/>
  <c r="O184"/>
  <c r="M211"/>
  <c r="H211"/>
  <c r="L187"/>
  <c r="P187"/>
  <c r="Q187"/>
  <c r="N385"/>
  <c r="J385"/>
  <c r="H458"/>
  <c r="K458"/>
  <c r="L458"/>
  <c r="O400"/>
  <c r="O143"/>
  <c r="O314"/>
  <c r="O170"/>
  <c r="L42"/>
  <c r="M400"/>
  <c r="N143"/>
  <c r="M351"/>
  <c r="G109"/>
  <c r="K255"/>
  <c r="H422"/>
  <c r="K486"/>
  <c r="Q207"/>
  <c r="M269"/>
  <c r="M159"/>
  <c r="O490"/>
  <c r="O446"/>
  <c r="K447"/>
  <c r="M42"/>
  <c r="L8"/>
  <c r="I8"/>
  <c r="K8"/>
  <c r="G8"/>
  <c r="G424"/>
  <c r="P424"/>
  <c r="K380"/>
  <c r="N380"/>
  <c r="K21"/>
  <c r="J21"/>
  <c r="N106"/>
  <c r="P106"/>
  <c r="O346"/>
  <c r="I346"/>
  <c r="K346"/>
  <c r="P335"/>
  <c r="G335"/>
  <c r="N335"/>
  <c r="M192"/>
  <c r="L192"/>
  <c r="P192"/>
  <c r="P336"/>
  <c r="G336"/>
  <c r="M336"/>
  <c r="L88"/>
  <c r="O88"/>
  <c r="G88"/>
  <c r="I88"/>
  <c r="L232"/>
  <c r="M232"/>
  <c r="I232"/>
  <c r="N436"/>
  <c r="L436"/>
  <c r="I414"/>
  <c r="O414"/>
  <c r="Q319"/>
  <c r="K319"/>
  <c r="G319"/>
  <c r="P319"/>
  <c r="O7"/>
  <c r="L7"/>
  <c r="J7"/>
  <c r="K74"/>
  <c r="O74"/>
  <c r="H74"/>
  <c r="Q86"/>
  <c r="O86"/>
  <c r="L86"/>
  <c r="N202"/>
  <c r="L415"/>
  <c r="O317"/>
  <c r="P351"/>
  <c r="I467"/>
  <c r="P436"/>
  <c r="G255"/>
  <c r="I422"/>
  <c r="M335"/>
  <c r="K269"/>
  <c r="K191"/>
  <c r="N446"/>
  <c r="H69"/>
  <c r="O302"/>
  <c r="Q37"/>
  <c r="H447"/>
  <c r="L377"/>
  <c r="I377"/>
  <c r="H429"/>
  <c r="N429"/>
  <c r="O429"/>
  <c r="J429"/>
  <c r="N213"/>
  <c r="J213"/>
  <c r="P10"/>
  <c r="N10"/>
  <c r="G10"/>
  <c r="I154"/>
  <c r="G154"/>
  <c r="L47"/>
  <c r="P47"/>
  <c r="K47"/>
  <c r="J95"/>
  <c r="M95"/>
  <c r="Q239"/>
  <c r="N239"/>
  <c r="H239"/>
  <c r="P383"/>
  <c r="M383"/>
  <c r="L96"/>
  <c r="P96"/>
  <c r="G240"/>
  <c r="L240"/>
  <c r="Q240"/>
  <c r="L384"/>
  <c r="J384"/>
  <c r="H444"/>
  <c r="Q444"/>
  <c r="O136"/>
  <c r="M136"/>
  <c r="P136"/>
  <c r="I280"/>
  <c r="N280"/>
  <c r="J280"/>
  <c r="N126"/>
  <c r="G126"/>
  <c r="P126"/>
  <c r="J162"/>
  <c r="G162"/>
  <c r="H498"/>
  <c r="N498"/>
  <c r="L355"/>
  <c r="Q355"/>
  <c r="P157"/>
  <c r="O157"/>
  <c r="Q266"/>
  <c r="L266"/>
  <c r="I314"/>
  <c r="P314"/>
  <c r="K414"/>
  <c r="J436"/>
  <c r="N157"/>
  <c r="J486"/>
  <c r="J111"/>
  <c r="N328"/>
  <c r="J400"/>
  <c r="Q400"/>
  <c r="L162"/>
  <c r="L317"/>
  <c r="Q351"/>
  <c r="O294"/>
  <c r="G467"/>
  <c r="H255"/>
  <c r="M74"/>
  <c r="G422"/>
  <c r="I86"/>
  <c r="J191"/>
  <c r="K280"/>
  <c r="H413"/>
  <c r="Q69"/>
  <c r="P385"/>
  <c r="N302"/>
  <c r="H103"/>
  <c r="L495"/>
  <c r="J488"/>
  <c r="O177"/>
  <c r="P344"/>
  <c r="M273"/>
  <c r="H321"/>
  <c r="I453"/>
  <c r="J440"/>
  <c r="G56"/>
  <c r="O80"/>
  <c r="H80"/>
  <c r="Q128"/>
  <c r="O128"/>
  <c r="N272"/>
  <c r="Q272"/>
  <c r="M320"/>
  <c r="O320"/>
  <c r="L320"/>
  <c r="Q416"/>
  <c r="H416"/>
  <c r="I416"/>
  <c r="Q417"/>
  <c r="G417"/>
  <c r="K417"/>
  <c r="H9"/>
  <c r="L9"/>
  <c r="Q57"/>
  <c r="G57"/>
  <c r="N57"/>
  <c r="H57"/>
  <c r="I105"/>
  <c r="J105"/>
  <c r="Q153"/>
  <c r="M153"/>
  <c r="J153"/>
  <c r="O153"/>
  <c r="P249"/>
  <c r="J249"/>
  <c r="I249"/>
  <c r="L249"/>
  <c r="H297"/>
  <c r="L297"/>
  <c r="M369"/>
  <c r="P369"/>
  <c r="M142"/>
  <c r="Q142"/>
  <c r="L238"/>
  <c r="K238"/>
  <c r="H238"/>
  <c r="Q286"/>
  <c r="O286"/>
  <c r="M382"/>
  <c r="H382"/>
  <c r="L382"/>
  <c r="I478"/>
  <c r="G478"/>
  <c r="K478"/>
  <c r="M478"/>
  <c r="Q35"/>
  <c r="L35"/>
  <c r="N35"/>
  <c r="N275"/>
  <c r="O275"/>
  <c r="J323"/>
  <c r="M323"/>
  <c r="O381"/>
  <c r="N381"/>
  <c r="H381"/>
  <c r="I129"/>
  <c r="G129"/>
  <c r="L129"/>
  <c r="O225"/>
  <c r="N225"/>
  <c r="M225"/>
  <c r="O22"/>
  <c r="P22"/>
  <c r="G310"/>
  <c r="O310"/>
  <c r="J310"/>
  <c r="L502"/>
  <c r="I502"/>
  <c r="G502"/>
  <c r="H11"/>
  <c r="N11"/>
  <c r="J203"/>
  <c r="G203"/>
  <c r="O203"/>
  <c r="K299"/>
  <c r="M299"/>
  <c r="J395"/>
  <c r="K395"/>
  <c r="M395"/>
  <c r="O395"/>
  <c r="H108"/>
  <c r="P108"/>
  <c r="G108"/>
  <c r="N108"/>
  <c r="P204"/>
  <c r="G204"/>
  <c r="M204"/>
  <c r="G396"/>
  <c r="O396"/>
  <c r="H396"/>
  <c r="O100"/>
  <c r="M100"/>
  <c r="G196"/>
  <c r="K196"/>
  <c r="H196"/>
  <c r="J196"/>
  <c r="O198"/>
  <c r="L198"/>
  <c r="M198"/>
  <c r="N198"/>
  <c r="Q198"/>
  <c r="H55"/>
  <c r="K55"/>
  <c r="J55"/>
  <c r="P55"/>
  <c r="H391"/>
  <c r="P391"/>
  <c r="L391"/>
  <c r="K391"/>
  <c r="M482"/>
  <c r="N482"/>
  <c r="P482"/>
  <c r="M445"/>
  <c r="J445"/>
  <c r="H445"/>
  <c r="L445"/>
  <c r="P326"/>
  <c r="H326"/>
  <c r="Q326"/>
  <c r="K326"/>
  <c r="I326"/>
  <c r="J146"/>
  <c r="G146"/>
  <c r="Q146"/>
  <c r="O146"/>
  <c r="K81"/>
  <c r="P81"/>
  <c r="M81"/>
  <c r="P70"/>
  <c r="G70"/>
  <c r="M70"/>
  <c r="N166"/>
  <c r="L166"/>
  <c r="J166"/>
  <c r="G358"/>
  <c r="Q358"/>
  <c r="K358"/>
  <c r="G251"/>
  <c r="K251"/>
  <c r="J347"/>
  <c r="G347"/>
  <c r="N347"/>
  <c r="O60"/>
  <c r="L60"/>
  <c r="I60"/>
  <c r="Q60"/>
  <c r="N60"/>
  <c r="G156"/>
  <c r="L156"/>
  <c r="O252"/>
  <c r="G252"/>
  <c r="K252"/>
  <c r="Q252"/>
  <c r="Q348"/>
  <c r="G348"/>
  <c r="J348"/>
  <c r="M148"/>
  <c r="O148"/>
  <c r="K148"/>
  <c r="I148"/>
  <c r="H148"/>
  <c r="Q352"/>
  <c r="H352"/>
  <c r="M352"/>
  <c r="K352"/>
  <c r="K174"/>
  <c r="L174"/>
  <c r="M174"/>
  <c r="I174"/>
  <c r="K330"/>
  <c r="Q330"/>
  <c r="L330"/>
  <c r="K242"/>
  <c r="N242"/>
  <c r="H242"/>
  <c r="M242"/>
  <c r="M205"/>
  <c r="J205"/>
  <c r="L205"/>
  <c r="L127"/>
  <c r="J12"/>
  <c r="I46"/>
  <c r="O46"/>
  <c r="K248"/>
  <c r="I59"/>
  <c r="N59"/>
  <c r="H334"/>
  <c r="P488"/>
  <c r="K404"/>
  <c r="G82"/>
  <c r="J52"/>
  <c r="L501"/>
  <c r="L454"/>
  <c r="P464"/>
  <c r="O333"/>
  <c r="K333"/>
  <c r="G190"/>
  <c r="M368"/>
  <c r="Q177"/>
  <c r="P356"/>
  <c r="Q331"/>
  <c r="O491"/>
  <c r="Q491"/>
  <c r="H93"/>
  <c r="O296"/>
  <c r="J134"/>
  <c r="J214"/>
  <c r="P214"/>
  <c r="J224"/>
  <c r="K344"/>
  <c r="N262"/>
  <c r="Q200"/>
  <c r="M406"/>
  <c r="O133"/>
  <c r="H441"/>
  <c r="I273"/>
  <c r="H418"/>
  <c r="M68"/>
  <c r="H141"/>
  <c r="N78"/>
  <c r="L94"/>
  <c r="O477"/>
  <c r="P477"/>
  <c r="M201"/>
  <c r="Q321"/>
  <c r="K321"/>
  <c r="K489"/>
  <c r="N430"/>
  <c r="M223"/>
  <c r="O480"/>
  <c r="N4"/>
  <c r="I235"/>
  <c r="P286"/>
  <c r="L286"/>
  <c r="H100"/>
  <c r="N22"/>
  <c r="O152"/>
  <c r="M297"/>
  <c r="O453"/>
  <c r="L118"/>
  <c r="M156"/>
  <c r="O242"/>
  <c r="I166"/>
  <c r="H204"/>
  <c r="J57"/>
  <c r="J60"/>
  <c r="G227"/>
  <c r="L251"/>
  <c r="J148"/>
  <c r="H358"/>
  <c r="K80"/>
  <c r="I198"/>
  <c r="O326"/>
  <c r="Q482"/>
  <c r="L369"/>
  <c r="N146"/>
  <c r="H330"/>
  <c r="I55"/>
  <c r="Q174"/>
  <c r="P205"/>
  <c r="L416"/>
  <c r="M116"/>
  <c r="N479"/>
  <c r="K70"/>
  <c r="L196"/>
  <c r="O391"/>
  <c r="M9"/>
  <c r="K396"/>
  <c r="Q108"/>
  <c r="M310"/>
  <c r="N445"/>
  <c r="L348"/>
  <c r="J33"/>
  <c r="P33"/>
  <c r="M248"/>
  <c r="L177"/>
  <c r="J296"/>
  <c r="J344"/>
  <c r="M152"/>
  <c r="I381"/>
  <c r="M129"/>
  <c r="L212"/>
  <c r="O212"/>
  <c r="P260"/>
  <c r="H260"/>
  <c r="N500"/>
  <c r="J500"/>
  <c r="O237"/>
  <c r="J237"/>
  <c r="L285"/>
  <c r="Q285"/>
  <c r="L34"/>
  <c r="O34"/>
  <c r="J34"/>
  <c r="K34"/>
  <c r="O130"/>
  <c r="L130"/>
  <c r="P130"/>
  <c r="L226"/>
  <c r="M226"/>
  <c r="O322"/>
  <c r="Q322"/>
  <c r="H322"/>
  <c r="K322"/>
  <c r="G432"/>
  <c r="J432"/>
  <c r="P432"/>
  <c r="K23"/>
  <c r="Q23"/>
  <c r="H23"/>
  <c r="I119"/>
  <c r="N119"/>
  <c r="H119"/>
  <c r="K119"/>
  <c r="H167"/>
  <c r="P167"/>
  <c r="G167"/>
  <c r="N215"/>
  <c r="P215"/>
  <c r="I215"/>
  <c r="I27"/>
  <c r="O27"/>
  <c r="J27"/>
  <c r="H27"/>
  <c r="M27"/>
  <c r="G27"/>
  <c r="Q27"/>
  <c r="K219"/>
  <c r="G219"/>
  <c r="L219"/>
  <c r="H219"/>
  <c r="M219"/>
  <c r="Q219"/>
  <c r="O219"/>
  <c r="G411"/>
  <c r="I411"/>
  <c r="H411"/>
  <c r="Q411"/>
  <c r="L411"/>
  <c r="J411"/>
  <c r="K411"/>
  <c r="O411"/>
  <c r="J496"/>
  <c r="G496"/>
  <c r="K496"/>
  <c r="H496"/>
  <c r="O496"/>
  <c r="L496"/>
  <c r="I496"/>
  <c r="N496"/>
  <c r="Q496"/>
  <c r="L41"/>
  <c r="I41"/>
  <c r="O41"/>
  <c r="P41"/>
  <c r="G41"/>
  <c r="Q41"/>
  <c r="N41"/>
  <c r="P137"/>
  <c r="I137"/>
  <c r="N137"/>
  <c r="J137"/>
  <c r="H137"/>
  <c r="Q137"/>
  <c r="G137"/>
  <c r="L137"/>
  <c r="J329"/>
  <c r="L329"/>
  <c r="H329"/>
  <c r="M329"/>
  <c r="Q329"/>
  <c r="N329"/>
  <c r="P329"/>
  <c r="K329"/>
  <c r="G329"/>
  <c r="O79"/>
  <c r="P79"/>
  <c r="M79"/>
  <c r="G79"/>
  <c r="L79"/>
  <c r="Q79"/>
  <c r="I79"/>
  <c r="J79"/>
  <c r="H79"/>
  <c r="Q409"/>
  <c r="I409"/>
  <c r="G409"/>
  <c r="J409"/>
  <c r="P409"/>
  <c r="M409"/>
  <c r="N409"/>
  <c r="K409"/>
  <c r="L409"/>
  <c r="N62"/>
  <c r="Q62"/>
  <c r="P62"/>
  <c r="G62"/>
  <c r="H62"/>
  <c r="M62"/>
  <c r="K62"/>
  <c r="O62"/>
  <c r="L62"/>
  <c r="Q181"/>
  <c r="J181"/>
  <c r="O181"/>
  <c r="K181"/>
  <c r="N181"/>
  <c r="I181"/>
  <c r="H181"/>
  <c r="M181"/>
  <c r="Q425"/>
  <c r="O409"/>
  <c r="M424"/>
  <c r="O169"/>
  <c r="K425"/>
  <c r="H145"/>
  <c r="N79"/>
  <c r="O38"/>
  <c r="I62"/>
  <c r="K79"/>
  <c r="M123"/>
  <c r="Q123"/>
  <c r="H123"/>
  <c r="L123"/>
  <c r="J123"/>
  <c r="K123"/>
  <c r="P123"/>
  <c r="O123"/>
  <c r="I123"/>
  <c r="G123"/>
  <c r="N123"/>
  <c r="K315"/>
  <c r="J315"/>
  <c r="O315"/>
  <c r="Q315"/>
  <c r="G315"/>
  <c r="M315"/>
  <c r="N340"/>
  <c r="G340"/>
  <c r="L340"/>
  <c r="Q340"/>
  <c r="H340"/>
  <c r="M340"/>
  <c r="J340"/>
  <c r="O340"/>
  <c r="K340"/>
  <c r="P340"/>
  <c r="G366"/>
  <c r="L366"/>
  <c r="K366"/>
  <c r="J366"/>
  <c r="M366"/>
  <c r="O366"/>
  <c r="Q366"/>
  <c r="H366"/>
  <c r="I366"/>
  <c r="M233"/>
  <c r="O233"/>
  <c r="G233"/>
  <c r="J233"/>
  <c r="H233"/>
  <c r="K233"/>
  <c r="L233"/>
  <c r="P233"/>
  <c r="M473"/>
  <c r="O473"/>
  <c r="I473"/>
  <c r="H473"/>
  <c r="N473"/>
  <c r="K473"/>
  <c r="Q473"/>
  <c r="J473"/>
  <c r="L427"/>
  <c r="M427"/>
  <c r="G427"/>
  <c r="O427"/>
  <c r="Q427"/>
  <c r="I427"/>
  <c r="H427"/>
  <c r="K427"/>
  <c r="P427"/>
  <c r="I38"/>
  <c r="H38"/>
  <c r="N38"/>
  <c r="L38"/>
  <c r="J38"/>
  <c r="Q38"/>
  <c r="G38"/>
  <c r="P38"/>
  <c r="K38"/>
  <c r="N145"/>
  <c r="K145"/>
  <c r="P145"/>
  <c r="I145"/>
  <c r="G145"/>
  <c r="O145"/>
  <c r="L145"/>
  <c r="Q145"/>
  <c r="L284"/>
  <c r="H284"/>
  <c r="I284"/>
  <c r="J284"/>
  <c r="G428"/>
  <c r="M428"/>
  <c r="O428"/>
  <c r="N428"/>
  <c r="I428"/>
  <c r="Q428"/>
  <c r="K428"/>
  <c r="N233"/>
  <c r="P473"/>
  <c r="O421"/>
  <c r="I329"/>
  <c r="P121"/>
  <c r="I219"/>
  <c r="K137"/>
  <c r="M411"/>
  <c r="L473"/>
  <c r="P366"/>
  <c r="J427"/>
  <c r="P171"/>
  <c r="H171"/>
  <c r="J171"/>
  <c r="I171"/>
  <c r="Q171"/>
  <c r="M171"/>
  <c r="O171"/>
  <c r="L171"/>
  <c r="N171"/>
  <c r="P363"/>
  <c r="G363"/>
  <c r="I363"/>
  <c r="L363"/>
  <c r="Q363"/>
  <c r="N363"/>
  <c r="J363"/>
  <c r="H363"/>
  <c r="K363"/>
  <c r="I424"/>
  <c r="K424"/>
  <c r="J424"/>
  <c r="L424"/>
  <c r="H424"/>
  <c r="Q424"/>
  <c r="N424"/>
  <c r="G246"/>
  <c r="L246"/>
  <c r="J246"/>
  <c r="P246"/>
  <c r="M246"/>
  <c r="K246"/>
  <c r="H246"/>
  <c r="O246"/>
  <c r="I246"/>
  <c r="N281"/>
  <c r="L281"/>
  <c r="Q281"/>
  <c r="I281"/>
  <c r="G281"/>
  <c r="K281"/>
  <c r="H281"/>
  <c r="J281"/>
  <c r="O281"/>
  <c r="J425"/>
  <c r="O425"/>
  <c r="M425"/>
  <c r="P425"/>
  <c r="I425"/>
  <c r="H425"/>
  <c r="K169"/>
  <c r="L169"/>
  <c r="I169"/>
  <c r="N169"/>
  <c r="M169"/>
  <c r="Q169"/>
  <c r="H169"/>
  <c r="P398"/>
  <c r="M398"/>
  <c r="K398"/>
  <c r="N398"/>
  <c r="L398"/>
  <c r="H398"/>
  <c r="J398"/>
  <c r="G398"/>
  <c r="I398"/>
  <c r="K421"/>
  <c r="L421"/>
  <c r="P421"/>
  <c r="J421"/>
  <c r="G421"/>
  <c r="M421"/>
  <c r="I421"/>
  <c r="H421"/>
  <c r="P181"/>
  <c r="Q421"/>
  <c r="M236"/>
  <c r="P236"/>
  <c r="K236"/>
  <c r="L236"/>
  <c r="N219"/>
  <c r="N411"/>
  <c r="N427"/>
  <c r="P281"/>
  <c r="P219"/>
  <c r="J169"/>
  <c r="O137"/>
  <c r="P411"/>
  <c r="G473"/>
  <c r="M496"/>
  <c r="N366"/>
  <c r="O363"/>
  <c r="N246"/>
  <c r="N284"/>
  <c r="G75"/>
  <c r="P75"/>
  <c r="H75"/>
  <c r="O75"/>
  <c r="N75"/>
  <c r="M75"/>
  <c r="Q75"/>
  <c r="J75"/>
  <c r="L75"/>
  <c r="Q267"/>
  <c r="H267"/>
  <c r="I267"/>
  <c r="G267"/>
  <c r="J267"/>
  <c r="K267"/>
  <c r="M267"/>
  <c r="N267"/>
  <c r="L267"/>
  <c r="P267"/>
  <c r="O267"/>
  <c r="O459"/>
  <c r="K459"/>
  <c r="P459"/>
  <c r="M459"/>
  <c r="I459"/>
  <c r="J459"/>
  <c r="N459"/>
  <c r="G459"/>
  <c r="L459"/>
  <c r="Q459"/>
  <c r="K114"/>
  <c r="G114"/>
  <c r="L114"/>
  <c r="M114"/>
  <c r="Q114"/>
  <c r="I114"/>
  <c r="N114"/>
  <c r="H114"/>
  <c r="P114"/>
  <c r="L89"/>
  <c r="O89"/>
  <c r="Q89"/>
  <c r="P89"/>
  <c r="N89"/>
  <c r="G89"/>
  <c r="M89"/>
  <c r="H89"/>
  <c r="J89"/>
  <c r="K89"/>
  <c r="Q185"/>
  <c r="H185"/>
  <c r="N185"/>
  <c r="K185"/>
  <c r="L185"/>
  <c r="I185"/>
  <c r="J185"/>
  <c r="O185"/>
  <c r="P185"/>
  <c r="M185"/>
  <c r="J377"/>
  <c r="G377"/>
  <c r="M377"/>
  <c r="H377"/>
  <c r="O377"/>
  <c r="N377"/>
  <c r="P377"/>
  <c r="Q377"/>
  <c r="K377"/>
  <c r="O247"/>
  <c r="G247"/>
  <c r="J247"/>
  <c r="I247"/>
  <c r="M247"/>
  <c r="N247"/>
  <c r="L247"/>
  <c r="Q247"/>
  <c r="K247"/>
  <c r="L121"/>
  <c r="I121"/>
  <c r="Q121"/>
  <c r="K121"/>
  <c r="J121"/>
  <c r="G121"/>
  <c r="O121"/>
  <c r="N121"/>
  <c r="Q278"/>
  <c r="J278"/>
  <c r="P278"/>
  <c r="K278"/>
  <c r="G278"/>
  <c r="O278"/>
  <c r="N278"/>
  <c r="M278"/>
  <c r="L278"/>
  <c r="H278"/>
  <c r="I278"/>
  <c r="N313"/>
  <c r="O313"/>
  <c r="G313"/>
  <c r="K313"/>
  <c r="H313"/>
  <c r="M313"/>
  <c r="L313"/>
  <c r="I313"/>
  <c r="P313"/>
  <c r="Q313"/>
  <c r="Q233"/>
  <c r="K171"/>
  <c r="O329"/>
  <c r="H247"/>
  <c r="M281"/>
  <c r="J140"/>
  <c r="I140"/>
  <c r="H140"/>
  <c r="P140"/>
  <c r="Q140"/>
  <c r="M140"/>
  <c r="M137"/>
  <c r="G181"/>
  <c r="J313"/>
  <c r="I315"/>
  <c r="O424"/>
  <c r="M121"/>
  <c r="J219"/>
  <c r="P169"/>
  <c r="N425"/>
  <c r="P496"/>
  <c r="H459"/>
  <c r="K75"/>
  <c r="Q246"/>
  <c r="M284"/>
  <c r="J62"/>
  <c r="Q398"/>
  <c r="O114"/>
  <c r="H63"/>
  <c r="L63"/>
  <c r="L111"/>
  <c r="H111"/>
  <c r="M111"/>
  <c r="P111"/>
  <c r="N111"/>
  <c r="H159"/>
  <c r="I159"/>
  <c r="G159"/>
  <c r="N159"/>
  <c r="L159"/>
  <c r="M207"/>
  <c r="P207"/>
  <c r="I207"/>
  <c r="J207"/>
  <c r="H303"/>
  <c r="Q303"/>
  <c r="M303"/>
  <c r="P303"/>
  <c r="G303"/>
  <c r="N303"/>
  <c r="Q399"/>
  <c r="L399"/>
  <c r="H399"/>
  <c r="O399"/>
  <c r="I399"/>
  <c r="O447"/>
  <c r="G447"/>
  <c r="N447"/>
  <c r="L447"/>
  <c r="J447"/>
  <c r="H495"/>
  <c r="O495"/>
  <c r="Q495"/>
  <c r="G495"/>
  <c r="N495"/>
  <c r="P484"/>
  <c r="O484"/>
  <c r="H484"/>
  <c r="I484"/>
  <c r="M484"/>
  <c r="Q484"/>
  <c r="I90"/>
  <c r="P90"/>
  <c r="H90"/>
  <c r="K90"/>
  <c r="N90"/>
  <c r="O210"/>
  <c r="I210"/>
  <c r="G210"/>
  <c r="L210"/>
  <c r="H210"/>
  <c r="G342"/>
  <c r="H342"/>
  <c r="N342"/>
  <c r="K342"/>
  <c r="M342"/>
  <c r="I342"/>
  <c r="K29"/>
  <c r="G29"/>
  <c r="H29"/>
  <c r="O29"/>
  <c r="Q29"/>
  <c r="K77"/>
  <c r="O77"/>
  <c r="P77"/>
  <c r="J77"/>
  <c r="N77"/>
  <c r="M77"/>
  <c r="P125"/>
  <c r="L125"/>
  <c r="G125"/>
  <c r="N125"/>
  <c r="M125"/>
  <c r="G173"/>
  <c r="L173"/>
  <c r="L269"/>
  <c r="Q269"/>
  <c r="I269"/>
  <c r="N269"/>
  <c r="O365"/>
  <c r="K365"/>
  <c r="G365"/>
  <c r="M365"/>
  <c r="Q365"/>
  <c r="K413"/>
  <c r="I413"/>
  <c r="M413"/>
  <c r="J413"/>
  <c r="G461"/>
  <c r="M461"/>
  <c r="J461"/>
  <c r="N461"/>
  <c r="H461"/>
  <c r="N31"/>
  <c r="P31"/>
  <c r="Q31"/>
  <c r="H31"/>
  <c r="K31"/>
  <c r="J199"/>
  <c r="I199"/>
  <c r="M199"/>
  <c r="K199"/>
  <c r="G199"/>
  <c r="J379"/>
  <c r="O379"/>
  <c r="K379"/>
  <c r="Q379"/>
  <c r="M379"/>
  <c r="J349"/>
  <c r="M349"/>
  <c r="G349"/>
  <c r="Q349"/>
  <c r="G37"/>
  <c r="K37"/>
  <c r="M37"/>
  <c r="L37"/>
  <c r="G302"/>
  <c r="H302"/>
  <c r="Q302"/>
  <c r="I302"/>
  <c r="J302"/>
  <c r="O206"/>
  <c r="L206"/>
  <c r="I206"/>
  <c r="P206"/>
  <c r="I446"/>
  <c r="J446"/>
  <c r="Q446"/>
  <c r="O97"/>
  <c r="G97"/>
  <c r="I97"/>
  <c r="L97"/>
  <c r="O289"/>
  <c r="I289"/>
  <c r="H289"/>
  <c r="M289"/>
  <c r="P289"/>
  <c r="G289"/>
  <c r="M457"/>
  <c r="K457"/>
  <c r="N457"/>
  <c r="P457"/>
  <c r="J457"/>
  <c r="P133"/>
  <c r="I133"/>
  <c r="N133"/>
  <c r="O373"/>
  <c r="J373"/>
  <c r="L373"/>
  <c r="M373"/>
  <c r="N400"/>
  <c r="P400"/>
  <c r="H213"/>
  <c r="M63"/>
  <c r="I162"/>
  <c r="N162"/>
  <c r="O173"/>
  <c r="K240"/>
  <c r="K384"/>
  <c r="I143"/>
  <c r="Q317"/>
  <c r="H351"/>
  <c r="O15"/>
  <c r="M279"/>
  <c r="Q279"/>
  <c r="L429"/>
  <c r="Q88"/>
  <c r="P109"/>
  <c r="H467"/>
  <c r="M436"/>
  <c r="Q436"/>
  <c r="P221"/>
  <c r="P255"/>
  <c r="Q255"/>
  <c r="J74"/>
  <c r="L344"/>
  <c r="P498"/>
  <c r="J422"/>
  <c r="L433"/>
  <c r="G157"/>
  <c r="Q157"/>
  <c r="K86"/>
  <c r="H86"/>
  <c r="H486"/>
  <c r="M444"/>
  <c r="L133"/>
  <c r="P399"/>
  <c r="L207"/>
  <c r="G90"/>
  <c r="H457"/>
  <c r="O232"/>
  <c r="L136"/>
  <c r="I336"/>
  <c r="H125"/>
  <c r="O126"/>
  <c r="G446"/>
  <c r="K239"/>
  <c r="K97"/>
  <c r="H373"/>
  <c r="L461"/>
  <c r="I415"/>
  <c r="M31"/>
  <c r="L154"/>
  <c r="M280"/>
  <c r="O96"/>
  <c r="H365"/>
  <c r="L413"/>
  <c r="J442"/>
  <c r="I69"/>
  <c r="H77"/>
  <c r="H39"/>
  <c r="P199"/>
  <c r="K289"/>
  <c r="M29"/>
  <c r="J484"/>
  <c r="M302"/>
  <c r="M210"/>
  <c r="P346"/>
  <c r="P495"/>
  <c r="L349"/>
  <c r="L95"/>
  <c r="O37"/>
  <c r="I447"/>
  <c r="J468"/>
  <c r="N468"/>
  <c r="L165"/>
  <c r="K165"/>
  <c r="P165"/>
  <c r="M405"/>
  <c r="J405"/>
  <c r="L405"/>
  <c r="J106"/>
  <c r="H106"/>
  <c r="O106"/>
  <c r="K106"/>
  <c r="M106"/>
  <c r="Q250"/>
  <c r="J250"/>
  <c r="L250"/>
  <c r="K250"/>
  <c r="M250"/>
  <c r="I394"/>
  <c r="K394"/>
  <c r="P394"/>
  <c r="L394"/>
  <c r="M394"/>
  <c r="N394"/>
  <c r="J490"/>
  <c r="G490"/>
  <c r="Q490"/>
  <c r="N490"/>
  <c r="L191"/>
  <c r="P191"/>
  <c r="Q191"/>
  <c r="O191"/>
  <c r="O335"/>
  <c r="H335"/>
  <c r="H48"/>
  <c r="G48"/>
  <c r="L48"/>
  <c r="N48"/>
  <c r="Q48"/>
  <c r="L144"/>
  <c r="G144"/>
  <c r="N144"/>
  <c r="H144"/>
  <c r="K144"/>
  <c r="O288"/>
  <c r="J288"/>
  <c r="L40"/>
  <c r="M40"/>
  <c r="O40"/>
  <c r="J40"/>
  <c r="M184"/>
  <c r="J184"/>
  <c r="P184"/>
  <c r="L184"/>
  <c r="H184"/>
  <c r="O328"/>
  <c r="G328"/>
  <c r="M328"/>
  <c r="H328"/>
  <c r="J328"/>
  <c r="Q328"/>
  <c r="M318"/>
  <c r="I318"/>
  <c r="P318"/>
  <c r="J318"/>
  <c r="Q318"/>
  <c r="J294"/>
  <c r="P294"/>
  <c r="J211"/>
  <c r="I211"/>
  <c r="O211"/>
  <c r="G211"/>
  <c r="N211"/>
  <c r="K7"/>
  <c r="P7"/>
  <c r="M7"/>
  <c r="G7"/>
  <c r="N7"/>
  <c r="G170"/>
  <c r="L170"/>
  <c r="P170"/>
  <c r="N170"/>
  <c r="J170"/>
  <c r="M385"/>
  <c r="H385"/>
  <c r="K385"/>
  <c r="O385"/>
  <c r="N458"/>
  <c r="Q458"/>
  <c r="O458"/>
  <c r="J458"/>
  <c r="P458"/>
  <c r="M458"/>
  <c r="H400"/>
  <c r="L213"/>
  <c r="M143"/>
  <c r="L15"/>
  <c r="M429"/>
  <c r="K88"/>
  <c r="L109"/>
  <c r="I255"/>
  <c r="J498"/>
  <c r="Q422"/>
  <c r="Q335"/>
  <c r="P486"/>
  <c r="G355"/>
  <c r="K399"/>
  <c r="P269"/>
  <c r="J136"/>
  <c r="H379"/>
  <c r="O461"/>
  <c r="N40"/>
  <c r="P342"/>
  <c r="N365"/>
  <c r="J314"/>
  <c r="I184"/>
  <c r="P69"/>
  <c r="P328"/>
  <c r="O199"/>
  <c r="P87"/>
  <c r="K87"/>
  <c r="G87"/>
  <c r="N87"/>
  <c r="L87"/>
  <c r="N231"/>
  <c r="J231"/>
  <c r="M231"/>
  <c r="G231"/>
  <c r="N327"/>
  <c r="H327"/>
  <c r="J327"/>
  <c r="Q327"/>
  <c r="M327"/>
  <c r="G213"/>
  <c r="I63"/>
  <c r="I240"/>
  <c r="P384"/>
  <c r="H317"/>
  <c r="H15"/>
  <c r="Q429"/>
  <c r="I294"/>
  <c r="J109"/>
  <c r="N486"/>
  <c r="O90"/>
  <c r="O269"/>
  <c r="P159"/>
  <c r="J126"/>
  <c r="I490"/>
  <c r="O415"/>
  <c r="J383"/>
  <c r="H280"/>
  <c r="Q342"/>
  <c r="M314"/>
  <c r="K170"/>
  <c r="O394"/>
  <c r="I144"/>
  <c r="O135"/>
  <c r="J56"/>
  <c r="Q56"/>
  <c r="H200"/>
  <c r="K200"/>
  <c r="O200"/>
  <c r="N200"/>
  <c r="J200"/>
  <c r="N248"/>
  <c r="Q248"/>
  <c r="K392"/>
  <c r="Q392"/>
  <c r="Q440"/>
  <c r="H440"/>
  <c r="P440"/>
  <c r="O488"/>
  <c r="Q488"/>
  <c r="Q381"/>
  <c r="K381"/>
  <c r="M381"/>
  <c r="M453"/>
  <c r="J453"/>
  <c r="K453"/>
  <c r="K357"/>
  <c r="P357"/>
  <c r="P21"/>
  <c r="M21"/>
  <c r="H21"/>
  <c r="L21"/>
  <c r="Q117"/>
  <c r="K117"/>
  <c r="P117"/>
  <c r="N309"/>
  <c r="H309"/>
  <c r="J309"/>
  <c r="P309"/>
  <c r="H58"/>
  <c r="G58"/>
  <c r="K58"/>
  <c r="Q58"/>
  <c r="J202"/>
  <c r="Q202"/>
  <c r="K202"/>
  <c r="M202"/>
  <c r="I202"/>
  <c r="N346"/>
  <c r="G346"/>
  <c r="Q346"/>
  <c r="J346"/>
  <c r="M346"/>
  <c r="O287"/>
  <c r="Q287"/>
  <c r="G287"/>
  <c r="M287"/>
  <c r="H287"/>
  <c r="J287"/>
  <c r="P455"/>
  <c r="I455"/>
  <c r="K455"/>
  <c r="Q455"/>
  <c r="L455"/>
  <c r="J455"/>
  <c r="H192"/>
  <c r="G192"/>
  <c r="O192"/>
  <c r="N192"/>
  <c r="Q192"/>
  <c r="J232"/>
  <c r="K232"/>
  <c r="H232"/>
  <c r="P232"/>
  <c r="H42"/>
  <c r="I42"/>
  <c r="O42"/>
  <c r="K42"/>
  <c r="J42"/>
  <c r="P42"/>
  <c r="G414"/>
  <c r="L414"/>
  <c r="O319"/>
  <c r="L319"/>
  <c r="N319"/>
  <c r="J319"/>
  <c r="M319"/>
  <c r="H187"/>
  <c r="O187"/>
  <c r="G187"/>
  <c r="J187"/>
  <c r="I187"/>
  <c r="K187"/>
  <c r="O422"/>
  <c r="M422"/>
  <c r="I74"/>
  <c r="P74"/>
  <c r="O63"/>
  <c r="P162"/>
  <c r="N240"/>
  <c r="P143"/>
  <c r="K351"/>
  <c r="K288"/>
  <c r="Q467"/>
  <c r="L498"/>
  <c r="H157"/>
  <c r="J444"/>
  <c r="G207"/>
  <c r="J159"/>
  <c r="K126"/>
  <c r="G239"/>
  <c r="G405"/>
  <c r="Q383"/>
  <c r="I48"/>
  <c r="G111"/>
  <c r="I170"/>
  <c r="Q394"/>
  <c r="Q413"/>
  <c r="G77"/>
  <c r="Q211"/>
  <c r="H266"/>
  <c r="O103"/>
  <c r="L39"/>
  <c r="G39"/>
  <c r="Q39"/>
  <c r="N39"/>
  <c r="L183"/>
  <c r="J183"/>
  <c r="M183"/>
  <c r="K183"/>
  <c r="Q183"/>
  <c r="Q423"/>
  <c r="O423"/>
  <c r="I423"/>
  <c r="L423"/>
  <c r="P423"/>
  <c r="K423"/>
  <c r="O471"/>
  <c r="P471"/>
  <c r="J471"/>
  <c r="M471"/>
  <c r="I173"/>
  <c r="N317"/>
  <c r="N351"/>
  <c r="O279"/>
  <c r="I109"/>
  <c r="L467"/>
  <c r="I498"/>
  <c r="P433"/>
  <c r="L335"/>
  <c r="M86"/>
  <c r="N355"/>
  <c r="P202"/>
  <c r="K207"/>
  <c r="H250"/>
  <c r="H136"/>
  <c r="J192"/>
  <c r="P183"/>
  <c r="K461"/>
  <c r="N405"/>
  <c r="L31"/>
  <c r="P48"/>
  <c r="O111"/>
  <c r="P365"/>
  <c r="O327"/>
  <c r="H442"/>
  <c r="L318"/>
  <c r="K328"/>
  <c r="L106"/>
  <c r="P211"/>
  <c r="I266"/>
  <c r="G484"/>
  <c r="N455"/>
  <c r="G103"/>
  <c r="N206"/>
  <c r="K210"/>
  <c r="I495"/>
  <c r="H37"/>
  <c r="G458"/>
  <c r="P447"/>
  <c r="O303"/>
  <c r="K104"/>
  <c r="J104"/>
  <c r="L104"/>
  <c r="K296"/>
  <c r="Q296"/>
  <c r="I400"/>
  <c r="Q213"/>
  <c r="O213"/>
  <c r="G63"/>
  <c r="O162"/>
  <c r="I248"/>
  <c r="K173"/>
  <c r="O240"/>
  <c r="M384"/>
  <c r="O384"/>
  <c r="J143"/>
  <c r="M317"/>
  <c r="G317"/>
  <c r="P414"/>
  <c r="L351"/>
  <c r="G15"/>
  <c r="J279"/>
  <c r="L288"/>
  <c r="N294"/>
  <c r="H294"/>
  <c r="M88"/>
  <c r="O109"/>
  <c r="M296"/>
  <c r="O467"/>
  <c r="K436"/>
  <c r="K221"/>
  <c r="M221"/>
  <c r="N255"/>
  <c r="Q74"/>
  <c r="G344"/>
  <c r="G498"/>
  <c r="L422"/>
  <c r="N422"/>
  <c r="O433"/>
  <c r="L157"/>
  <c r="J335"/>
  <c r="J86"/>
  <c r="M486"/>
  <c r="M200"/>
  <c r="N471"/>
  <c r="M133"/>
  <c r="N399"/>
  <c r="N250"/>
  <c r="O231"/>
  <c r="M90"/>
  <c r="L457"/>
  <c r="J269"/>
  <c r="N232"/>
  <c r="O159"/>
  <c r="G191"/>
  <c r="I125"/>
  <c r="N379"/>
  <c r="H490"/>
  <c r="I192"/>
  <c r="M446"/>
  <c r="P97"/>
  <c r="H183"/>
  <c r="N373"/>
  <c r="I461"/>
  <c r="I165"/>
  <c r="I405"/>
  <c r="K40"/>
  <c r="J58"/>
  <c r="J31"/>
  <c r="K48"/>
  <c r="Q111"/>
  <c r="O342"/>
  <c r="L365"/>
  <c r="H423"/>
  <c r="G327"/>
  <c r="G184"/>
  <c r="H170"/>
  <c r="J394"/>
  <c r="I87"/>
  <c r="P413"/>
  <c r="O144"/>
  <c r="N440"/>
  <c r="G318"/>
  <c r="M39"/>
  <c r="I328"/>
  <c r="I106"/>
  <c r="J289"/>
  <c r="P29"/>
  <c r="L211"/>
  <c r="L287"/>
  <c r="N484"/>
  <c r="M455"/>
  <c r="H206"/>
  <c r="N210"/>
  <c r="H7"/>
  <c r="L346"/>
  <c r="N349"/>
  <c r="P37"/>
  <c r="Q42"/>
  <c r="J303"/>
  <c r="I429"/>
  <c r="G429"/>
  <c r="O69"/>
  <c r="L69"/>
  <c r="K69"/>
  <c r="K261"/>
  <c r="L261"/>
  <c r="J261"/>
  <c r="Q261"/>
  <c r="H10"/>
  <c r="M10"/>
  <c r="O10"/>
  <c r="K10"/>
  <c r="N154"/>
  <c r="H154"/>
  <c r="P154"/>
  <c r="J154"/>
  <c r="J298"/>
  <c r="Q298"/>
  <c r="H298"/>
  <c r="P442"/>
  <c r="K442"/>
  <c r="N442"/>
  <c r="G442"/>
  <c r="I442"/>
  <c r="O442"/>
  <c r="I47"/>
  <c r="Q47"/>
  <c r="J47"/>
  <c r="H47"/>
  <c r="G95"/>
  <c r="P95"/>
  <c r="Q95"/>
  <c r="I239"/>
  <c r="O239"/>
  <c r="M239"/>
  <c r="L239"/>
  <c r="L383"/>
  <c r="K383"/>
  <c r="I383"/>
  <c r="O383"/>
  <c r="H96"/>
  <c r="Q96"/>
  <c r="M96"/>
  <c r="K96"/>
  <c r="I96"/>
  <c r="J96"/>
  <c r="H240"/>
  <c r="P240"/>
  <c r="K336"/>
  <c r="N336"/>
  <c r="H336"/>
  <c r="L336"/>
  <c r="N444"/>
  <c r="P444"/>
  <c r="O444"/>
  <c r="L444"/>
  <c r="K444"/>
  <c r="N136"/>
  <c r="I136"/>
  <c r="G136"/>
  <c r="G280"/>
  <c r="L280"/>
  <c r="O280"/>
  <c r="Q280"/>
  <c r="P280"/>
  <c r="I126"/>
  <c r="L126"/>
  <c r="H126"/>
  <c r="K103"/>
  <c r="N103"/>
  <c r="P103"/>
  <c r="J103"/>
  <c r="I103"/>
  <c r="J415"/>
  <c r="G415"/>
  <c r="P415"/>
  <c r="H415"/>
  <c r="Q415"/>
  <c r="M415"/>
  <c r="I355"/>
  <c r="P355"/>
  <c r="J355"/>
  <c r="O355"/>
  <c r="H355"/>
  <c r="P266"/>
  <c r="O266"/>
  <c r="K266"/>
  <c r="M266"/>
  <c r="N266"/>
  <c r="K314"/>
  <c r="N314"/>
  <c r="H314"/>
  <c r="G314"/>
  <c r="P173"/>
  <c r="Q384"/>
  <c r="I317"/>
  <c r="J414"/>
  <c r="J15"/>
  <c r="K294"/>
  <c r="H109"/>
  <c r="M467"/>
  <c r="H436"/>
  <c r="G221"/>
  <c r="L74"/>
  <c r="N86"/>
  <c r="L202"/>
  <c r="H191"/>
  <c r="K490"/>
  <c r="K192"/>
  <c r="O31"/>
  <c r="I319"/>
  <c r="J144"/>
  <c r="O318"/>
  <c r="Q106"/>
  <c r="G455"/>
  <c r="P210"/>
  <c r="H346"/>
  <c r="J495"/>
  <c r="O349"/>
  <c r="M187"/>
  <c r="I37"/>
  <c r="I458"/>
  <c r="M298"/>
  <c r="Q447"/>
  <c r="I303"/>
  <c r="P135"/>
  <c r="G135"/>
  <c r="L135"/>
  <c r="M135"/>
  <c r="Q135"/>
  <c r="J135"/>
  <c r="P375"/>
  <c r="O375"/>
  <c r="I375"/>
  <c r="L375"/>
  <c r="H375"/>
  <c r="K400"/>
  <c r="K213"/>
  <c r="M162"/>
  <c r="Q143"/>
  <c r="Q414"/>
  <c r="M15"/>
  <c r="I288"/>
  <c r="H88"/>
  <c r="N467"/>
  <c r="O436"/>
  <c r="N221"/>
  <c r="O255"/>
  <c r="K498"/>
  <c r="K157"/>
  <c r="I444"/>
  <c r="G399"/>
  <c r="Q457"/>
  <c r="N191"/>
  <c r="O336"/>
  <c r="G379"/>
  <c r="L446"/>
  <c r="J97"/>
  <c r="N165"/>
  <c r="H40"/>
  <c r="Q21"/>
  <c r="N96"/>
  <c r="Q184"/>
  <c r="J87"/>
  <c r="N8"/>
  <c r="Q8"/>
  <c r="P8"/>
  <c r="G152"/>
  <c r="Q152"/>
  <c r="P152"/>
  <c r="G400"/>
  <c r="P213"/>
  <c r="K63"/>
  <c r="K162"/>
  <c r="H248"/>
  <c r="Q173"/>
  <c r="M240"/>
  <c r="H384"/>
  <c r="N384"/>
  <c r="H143"/>
  <c r="K317"/>
  <c r="M414"/>
  <c r="I351"/>
  <c r="Q15"/>
  <c r="H279"/>
  <c r="G288"/>
  <c r="P429"/>
  <c r="Q294"/>
  <c r="N88"/>
  <c r="J88"/>
  <c r="K109"/>
  <c r="L296"/>
  <c r="J467"/>
  <c r="I436"/>
  <c r="I221"/>
  <c r="L221"/>
  <c r="L255"/>
  <c r="N74"/>
  <c r="H344"/>
  <c r="Q498"/>
  <c r="K422"/>
  <c r="Q433"/>
  <c r="N433"/>
  <c r="I157"/>
  <c r="I335"/>
  <c r="P86"/>
  <c r="O486"/>
  <c r="L486"/>
  <c r="I200"/>
  <c r="H471"/>
  <c r="G444"/>
  <c r="K355"/>
  <c r="H133"/>
  <c r="M399"/>
  <c r="N207"/>
  <c r="P250"/>
  <c r="P231"/>
  <c r="Q90"/>
  <c r="G457"/>
  <c r="H269"/>
  <c r="G232"/>
  <c r="K136"/>
  <c r="Q159"/>
  <c r="J336"/>
  <c r="Q125"/>
  <c r="L379"/>
  <c r="Q126"/>
  <c r="P490"/>
  <c r="K446"/>
  <c r="J239"/>
  <c r="M97"/>
  <c r="O183"/>
  <c r="I373"/>
  <c r="Q461"/>
  <c r="M165"/>
  <c r="N415"/>
  <c r="I40"/>
  <c r="O58"/>
  <c r="N383"/>
  <c r="O309"/>
  <c r="M154"/>
  <c r="G96"/>
  <c r="O48"/>
  <c r="K111"/>
  <c r="L342"/>
  <c r="J365"/>
  <c r="Q314"/>
  <c r="H319"/>
  <c r="M170"/>
  <c r="H87"/>
  <c r="O413"/>
  <c r="M442"/>
  <c r="P144"/>
  <c r="N135"/>
  <c r="O440"/>
  <c r="K318"/>
  <c r="K39"/>
  <c r="Q199"/>
  <c r="G106"/>
  <c r="N289"/>
  <c r="I29"/>
  <c r="K211"/>
  <c r="I287"/>
  <c r="G385"/>
  <c r="G266"/>
  <c r="L484"/>
  <c r="K302"/>
  <c r="M103"/>
  <c r="O47"/>
  <c r="Q206"/>
  <c r="J10"/>
  <c r="Q7"/>
  <c r="M375"/>
  <c r="K349"/>
  <c r="O95"/>
  <c r="G42"/>
  <c r="I33"/>
  <c r="L81"/>
  <c r="Q364"/>
  <c r="K129"/>
  <c r="G128"/>
  <c r="N128"/>
  <c r="Q105"/>
  <c r="H105"/>
  <c r="K369"/>
  <c r="G369"/>
  <c r="O142"/>
  <c r="K142"/>
  <c r="G142"/>
  <c r="G238"/>
  <c r="N238"/>
  <c r="K382"/>
  <c r="G382"/>
  <c r="N364"/>
  <c r="O364"/>
  <c r="P150"/>
  <c r="K150"/>
  <c r="I101"/>
  <c r="N101"/>
  <c r="K197"/>
  <c r="N197"/>
  <c r="H437"/>
  <c r="O437"/>
  <c r="L475"/>
  <c r="P475"/>
  <c r="N469"/>
  <c r="L469"/>
  <c r="I494"/>
  <c r="P494"/>
  <c r="J338"/>
  <c r="I338"/>
  <c r="J241"/>
  <c r="G241"/>
  <c r="I70"/>
  <c r="N70"/>
  <c r="Q118"/>
  <c r="M118"/>
  <c r="M166"/>
  <c r="Q166"/>
  <c r="N310"/>
  <c r="P310"/>
  <c r="N358"/>
  <c r="J358"/>
  <c r="H502"/>
  <c r="J502"/>
  <c r="L217"/>
  <c r="M404"/>
  <c r="N115"/>
  <c r="Q464"/>
  <c r="J177"/>
  <c r="H356"/>
  <c r="L214"/>
  <c r="N448"/>
  <c r="P406"/>
  <c r="H68"/>
  <c r="O141"/>
  <c r="K176"/>
  <c r="N94"/>
  <c r="H477"/>
  <c r="O321"/>
  <c r="H489"/>
  <c r="I22"/>
  <c r="G270"/>
  <c r="G245"/>
  <c r="I341"/>
  <c r="L494"/>
  <c r="K118"/>
  <c r="H101"/>
  <c r="J101"/>
  <c r="Q338"/>
  <c r="P166"/>
  <c r="I238"/>
  <c r="O57"/>
  <c r="L57"/>
  <c r="I150"/>
  <c r="H150"/>
  <c r="Q502"/>
  <c r="I197"/>
  <c r="J251"/>
  <c r="G249"/>
  <c r="I358"/>
  <c r="O13"/>
  <c r="N80"/>
  <c r="Q253"/>
  <c r="I402"/>
  <c r="N369"/>
  <c r="J475"/>
  <c r="J193"/>
  <c r="O416"/>
  <c r="N285"/>
  <c r="Q203"/>
  <c r="K469"/>
  <c r="K364"/>
  <c r="K5"/>
  <c r="J5"/>
  <c r="H142"/>
  <c r="Q70"/>
  <c r="Q241"/>
  <c r="J129"/>
  <c r="K130"/>
  <c r="H225"/>
  <c r="M128"/>
  <c r="Q9"/>
  <c r="K437"/>
  <c r="I417"/>
  <c r="H310"/>
  <c r="G33"/>
  <c r="Q81"/>
  <c r="I364"/>
  <c r="Q129"/>
  <c r="G500"/>
  <c r="I500"/>
  <c r="H34"/>
  <c r="P34"/>
  <c r="AF2" i="37"/>
  <c r="AL42"/>
  <c r="AL143"/>
  <c r="AL89"/>
  <c r="AL136"/>
  <c r="AL445"/>
  <c r="AL440"/>
  <c r="AL433"/>
  <c r="AL50"/>
  <c r="AL533"/>
  <c r="AL536"/>
  <c r="AL541"/>
  <c r="AL513"/>
  <c r="AL508"/>
  <c r="AL540"/>
  <c r="AL517"/>
  <c r="AL528"/>
  <c r="AL537"/>
  <c r="AL520"/>
  <c r="AL529"/>
  <c r="AL507"/>
  <c r="AL531"/>
  <c r="AL518"/>
  <c r="AL519"/>
  <c r="AL526"/>
  <c r="AL525"/>
  <c r="AL505"/>
  <c r="AL506"/>
  <c r="AL512"/>
  <c r="AL511"/>
  <c r="AL510"/>
  <c r="AL515"/>
  <c r="AL524"/>
  <c r="AL516"/>
  <c r="AL521"/>
  <c r="AL527"/>
  <c r="AL503"/>
  <c r="AL538"/>
  <c r="AL523"/>
  <c r="AL534"/>
  <c r="AL504"/>
  <c r="AL514"/>
  <c r="AL509"/>
  <c r="AL539"/>
  <c r="AL530"/>
  <c r="AL522"/>
  <c r="AL535"/>
  <c r="AL532"/>
  <c r="AL434"/>
  <c r="AL268"/>
  <c r="AL15"/>
  <c r="Q20" i="40"/>
  <c r="M20"/>
  <c r="I20"/>
  <c r="O20"/>
  <c r="P20"/>
  <c r="L20"/>
  <c r="J20"/>
  <c r="G92"/>
  <c r="M92"/>
  <c r="N92"/>
  <c r="K92"/>
  <c r="O92"/>
  <c r="Q92"/>
  <c r="O164"/>
  <c r="G164"/>
  <c r="K164"/>
  <c r="I164"/>
  <c r="J164"/>
  <c r="L164"/>
  <c r="G236"/>
  <c r="I236"/>
  <c r="J236"/>
  <c r="N236"/>
  <c r="O236"/>
  <c r="Q236"/>
  <c r="K308"/>
  <c r="L308"/>
  <c r="M308"/>
  <c r="H308"/>
  <c r="Q308"/>
  <c r="J380"/>
  <c r="G380"/>
  <c r="O380"/>
  <c r="L380"/>
  <c r="M380"/>
  <c r="H380"/>
  <c r="Q380"/>
  <c r="H452"/>
  <c r="I452"/>
  <c r="J452"/>
  <c r="M452"/>
  <c r="N452"/>
  <c r="Q452"/>
  <c r="H357"/>
  <c r="I357"/>
  <c r="Q357"/>
  <c r="G357"/>
  <c r="J357"/>
  <c r="O357"/>
  <c r="M357"/>
  <c r="N357"/>
  <c r="G465"/>
  <c r="J465"/>
  <c r="N465"/>
  <c r="O465"/>
  <c r="M465"/>
  <c r="AM27" i="37"/>
  <c r="AL27"/>
  <c r="AL29"/>
  <c r="AL464"/>
  <c r="AM163"/>
  <c r="AL163"/>
  <c r="J254" i="40"/>
  <c r="P452"/>
  <c r="H117"/>
  <c r="N20"/>
  <c r="AM402" i="37"/>
  <c r="AL402"/>
  <c r="AM57"/>
  <c r="AL57"/>
  <c r="AM394"/>
  <c r="AL394"/>
  <c r="AM150"/>
  <c r="AL150"/>
  <c r="AL454"/>
  <c r="AL116"/>
  <c r="AL448"/>
  <c r="AM349"/>
  <c r="AL349"/>
  <c r="AM189"/>
  <c r="AL189"/>
  <c r="J92" i="40"/>
  <c r="M44"/>
  <c r="K44"/>
  <c r="O44"/>
  <c r="J44"/>
  <c r="N44"/>
  <c r="Q44"/>
  <c r="Q404"/>
  <c r="H404"/>
  <c r="J404"/>
  <c r="G404"/>
  <c r="L404"/>
  <c r="J45"/>
  <c r="Q45"/>
  <c r="I45"/>
  <c r="O45"/>
  <c r="N45"/>
  <c r="M45"/>
  <c r="L45"/>
  <c r="K45"/>
  <c r="G189"/>
  <c r="N189"/>
  <c r="P189"/>
  <c r="J189"/>
  <c r="K189"/>
  <c r="O345"/>
  <c r="K345"/>
  <c r="M345"/>
  <c r="Q345"/>
  <c r="G345"/>
  <c r="L116"/>
  <c r="P116"/>
  <c r="K116"/>
  <c r="J116"/>
  <c r="H116"/>
  <c r="G116"/>
  <c r="N116"/>
  <c r="O116"/>
  <c r="Q116"/>
  <c r="L476"/>
  <c r="O476"/>
  <c r="K476"/>
  <c r="G476"/>
  <c r="H476"/>
  <c r="N476"/>
  <c r="Q476"/>
  <c r="K393"/>
  <c r="N393"/>
  <c r="O393"/>
  <c r="J393"/>
  <c r="G393"/>
  <c r="H393"/>
  <c r="M393"/>
  <c r="I393"/>
  <c r="L393"/>
  <c r="O468"/>
  <c r="H468"/>
  <c r="Q468"/>
  <c r="P468"/>
  <c r="I468"/>
  <c r="K468"/>
  <c r="L468"/>
  <c r="P261"/>
  <c r="M261"/>
  <c r="O261"/>
  <c r="N261"/>
  <c r="G261"/>
  <c r="H261"/>
  <c r="I92"/>
  <c r="K83"/>
  <c r="Q465"/>
  <c r="G452"/>
  <c r="L44"/>
  <c r="Q299"/>
  <c r="J476"/>
  <c r="AM323" i="37"/>
  <c r="AL323"/>
  <c r="AM453"/>
  <c r="AL453"/>
  <c r="Q188" i="40"/>
  <c r="M188"/>
  <c r="I188"/>
  <c r="J188"/>
  <c r="L188"/>
  <c r="N188"/>
  <c r="G188"/>
  <c r="I117"/>
  <c r="M117"/>
  <c r="N117"/>
  <c r="O117"/>
  <c r="J117"/>
  <c r="L117"/>
  <c r="H92"/>
  <c r="L83"/>
  <c r="P308"/>
  <c r="O452"/>
  <c r="I44"/>
  <c r="H188"/>
  <c r="P164"/>
  <c r="I476"/>
  <c r="AM120" i="37"/>
  <c r="AL120"/>
  <c r="AM111"/>
  <c r="AL111"/>
  <c r="AM74"/>
  <c r="AL74"/>
  <c r="AM41"/>
  <c r="AL41"/>
  <c r="H20" i="40"/>
  <c r="K20"/>
  <c r="AM449" i="37"/>
  <c r="AL449"/>
  <c r="G260" i="40"/>
  <c r="N260"/>
  <c r="O260"/>
  <c r="K260"/>
  <c r="I260"/>
  <c r="Q260"/>
  <c r="L260"/>
  <c r="J260"/>
  <c r="M260"/>
  <c r="N308"/>
  <c r="K452"/>
  <c r="H44"/>
  <c r="K188"/>
  <c r="M164"/>
  <c r="M476"/>
  <c r="AM181" i="37"/>
  <c r="AL181"/>
  <c r="AL447"/>
  <c r="AM295"/>
  <c r="AL295"/>
  <c r="AM94"/>
  <c r="AL94"/>
  <c r="AM482"/>
  <c r="AL482"/>
  <c r="AM218"/>
  <c r="AL218"/>
  <c r="AM205"/>
  <c r="AL205"/>
  <c r="AM6"/>
  <c r="AL6"/>
  <c r="AM10"/>
  <c r="AL10"/>
  <c r="AM491"/>
  <c r="AL491"/>
  <c r="AL22"/>
  <c r="K332" i="40"/>
  <c r="J332"/>
  <c r="P332"/>
  <c r="Q332"/>
  <c r="I332"/>
  <c r="N332"/>
  <c r="O332"/>
  <c r="H332"/>
  <c r="G332"/>
  <c r="P92"/>
  <c r="H83"/>
  <c r="L92"/>
  <c r="I308"/>
  <c r="P44"/>
  <c r="P188"/>
  <c r="N164"/>
  <c r="L332"/>
  <c r="G45"/>
  <c r="AM86" i="37"/>
  <c r="AL86"/>
  <c r="AL141"/>
  <c r="AL139"/>
  <c r="AL113"/>
  <c r="AL107"/>
  <c r="AL114"/>
  <c r="AL128"/>
  <c r="AL135"/>
  <c r="AL91"/>
  <c r="AL93"/>
  <c r="AL102"/>
  <c r="AL131"/>
  <c r="AL101"/>
  <c r="AL148"/>
  <c r="AL108"/>
  <c r="AL126"/>
  <c r="AL121"/>
  <c r="AL97"/>
  <c r="AL123"/>
  <c r="AL115"/>
  <c r="AL124"/>
  <c r="AL140"/>
  <c r="AL100"/>
  <c r="AL87"/>
  <c r="AL151"/>
  <c r="AL147"/>
  <c r="AL127"/>
  <c r="AL144"/>
  <c r="AL145"/>
  <c r="AL153"/>
  <c r="AL154"/>
  <c r="AL106"/>
  <c r="AL104"/>
  <c r="AL88"/>
  <c r="AL146"/>
  <c r="AL103"/>
  <c r="I254" i="40"/>
  <c r="P254"/>
  <c r="H254"/>
  <c r="O254"/>
  <c r="N254"/>
  <c r="G254"/>
  <c r="H164"/>
  <c r="AM254" i="37"/>
  <c r="AL254"/>
  <c r="AM446"/>
  <c r="AL446"/>
  <c r="AM210"/>
  <c r="AL210"/>
  <c r="AM129"/>
  <c r="AL129"/>
  <c r="AM384"/>
  <c r="AL384"/>
  <c r="AM270"/>
  <c r="AL270"/>
  <c r="AL321"/>
  <c r="AL313"/>
  <c r="AL285"/>
  <c r="AL289"/>
  <c r="AL282"/>
  <c r="AL299"/>
  <c r="AL284"/>
  <c r="AL305"/>
  <c r="AL309"/>
  <c r="AL280"/>
  <c r="AL293"/>
  <c r="AL302"/>
  <c r="AL297"/>
  <c r="AL318"/>
  <c r="AL279"/>
  <c r="AM211"/>
  <c r="AL211"/>
  <c r="AL219"/>
  <c r="AM161"/>
  <c r="AL161"/>
  <c r="AL200"/>
  <c r="AL167"/>
  <c r="G11" i="40"/>
  <c r="K11"/>
  <c r="M11"/>
  <c r="J11"/>
  <c r="L11"/>
  <c r="Q11"/>
  <c r="P11"/>
  <c r="I11"/>
  <c r="M83"/>
  <c r="N83"/>
  <c r="O83"/>
  <c r="G83"/>
  <c r="I83"/>
  <c r="I227"/>
  <c r="Q227"/>
  <c r="M227"/>
  <c r="N227"/>
  <c r="H227"/>
  <c r="O227"/>
  <c r="H299"/>
  <c r="N299"/>
  <c r="G299"/>
  <c r="J299"/>
  <c r="L299"/>
  <c r="I299"/>
  <c r="O299"/>
  <c r="P299"/>
  <c r="J371"/>
  <c r="M371"/>
  <c r="K371"/>
  <c r="Q371"/>
  <c r="I371"/>
  <c r="G371"/>
  <c r="P479"/>
  <c r="G479"/>
  <c r="L479"/>
  <c r="H479"/>
  <c r="J479"/>
  <c r="I479"/>
  <c r="M479"/>
  <c r="O479"/>
  <c r="Q479"/>
  <c r="AL382" i="37"/>
  <c r="AM109"/>
  <c r="AL109"/>
  <c r="AM307"/>
  <c r="AL307"/>
  <c r="G20" i="40"/>
  <c r="AM58" i="37"/>
  <c r="AL58"/>
  <c r="AL338"/>
  <c r="AM46"/>
  <c r="AL46"/>
  <c r="AL53"/>
  <c r="AL70"/>
  <c r="AL44"/>
  <c r="AL77"/>
  <c r="AL82"/>
  <c r="AL76"/>
  <c r="AL56"/>
  <c r="AL45"/>
  <c r="AL51"/>
  <c r="AL63"/>
  <c r="AL73"/>
  <c r="AL79"/>
  <c r="AL49"/>
  <c r="AL47"/>
  <c r="AL78"/>
  <c r="AL85"/>
  <c r="AL66"/>
  <c r="AL81"/>
  <c r="I155" i="40"/>
  <c r="G155"/>
  <c r="M155"/>
  <c r="O155"/>
  <c r="Q155"/>
  <c r="P155"/>
  <c r="K155"/>
  <c r="N155"/>
  <c r="L155"/>
  <c r="H155"/>
  <c r="N404"/>
  <c r="P83"/>
  <c r="O308"/>
  <c r="M189"/>
  <c r="P345"/>
  <c r="I380"/>
  <c r="L357"/>
  <c r="K227"/>
  <c r="H236"/>
  <c r="Q164"/>
  <c r="O11"/>
  <c r="H371"/>
  <c r="P45"/>
  <c r="AM477" i="37"/>
  <c r="AL477"/>
  <c r="AL484"/>
  <c r="AL495"/>
  <c r="AL485"/>
  <c r="AL502"/>
  <c r="AL499"/>
  <c r="AM331"/>
  <c r="AL331"/>
  <c r="AL360"/>
  <c r="AL363"/>
  <c r="AL356"/>
  <c r="AL348"/>
  <c r="AL362"/>
  <c r="AL330"/>
  <c r="AL359"/>
  <c r="AM64"/>
  <c r="AL64"/>
  <c r="AM222"/>
  <c r="AL222"/>
  <c r="AL260"/>
  <c r="AL228"/>
  <c r="AL252"/>
  <c r="AL237"/>
  <c r="AL259"/>
  <c r="AL243"/>
  <c r="AL249"/>
  <c r="AL261"/>
  <c r="AL253"/>
  <c r="AL225"/>
  <c r="AL256"/>
  <c r="AL229"/>
  <c r="AL233"/>
  <c r="AL239"/>
  <c r="AL245"/>
  <c r="AL242"/>
  <c r="AL247"/>
  <c r="AL232"/>
  <c r="AL224"/>
  <c r="AL221"/>
  <c r="AL248"/>
  <c r="AL246"/>
  <c r="AL223"/>
  <c r="AL236"/>
  <c r="AL258"/>
  <c r="AL234"/>
  <c r="AL251"/>
  <c r="AL235"/>
  <c r="AL240"/>
  <c r="AL241"/>
  <c r="AL255"/>
  <c r="AL226"/>
  <c r="AL230"/>
  <c r="AM183"/>
  <c r="AL183"/>
  <c r="AM286"/>
  <c r="AL286"/>
  <c r="G32" i="40"/>
  <c r="L68"/>
  <c r="N56"/>
  <c r="I212"/>
  <c r="AM155" i="37"/>
  <c r="AL155"/>
  <c r="AL182"/>
  <c r="AL179"/>
  <c r="AL185"/>
  <c r="AL174"/>
  <c r="AL157"/>
  <c r="AL188"/>
  <c r="AL166"/>
  <c r="AL176"/>
  <c r="AL175"/>
  <c r="AL184"/>
  <c r="AL217"/>
  <c r="AL156"/>
  <c r="AL194"/>
  <c r="AL191"/>
  <c r="AL160"/>
  <c r="AL203"/>
  <c r="AL199"/>
  <c r="AL164"/>
  <c r="AL196"/>
  <c r="AL186"/>
  <c r="AL216"/>
  <c r="AL207"/>
  <c r="L248" i="40"/>
  <c r="J179"/>
  <c r="P32"/>
  <c r="N68"/>
  <c r="P176"/>
  <c r="L56"/>
  <c r="P128"/>
  <c r="AM308" i="37"/>
  <c r="AL308"/>
  <c r="AM65"/>
  <c r="AL65"/>
  <c r="AM227"/>
  <c r="AL227"/>
  <c r="M8" i="40"/>
  <c r="O8"/>
  <c r="H8"/>
  <c r="L80"/>
  <c r="I80"/>
  <c r="J80"/>
  <c r="J152"/>
  <c r="I152"/>
  <c r="K152"/>
  <c r="K440"/>
  <c r="G440"/>
  <c r="M440"/>
  <c r="N453"/>
  <c r="H453"/>
  <c r="G453"/>
  <c r="AM379" i="37"/>
  <c r="AL379"/>
  <c r="AM4"/>
  <c r="AL4"/>
  <c r="AL11"/>
  <c r="AL8"/>
  <c r="L58" i="40"/>
  <c r="P58"/>
  <c r="I58"/>
  <c r="N58"/>
  <c r="M130"/>
  <c r="Q130"/>
  <c r="J130"/>
  <c r="H104"/>
  <c r="G104"/>
  <c r="M104"/>
  <c r="Q104"/>
  <c r="N320"/>
  <c r="I320"/>
  <c r="K320"/>
  <c r="H320"/>
  <c r="O392"/>
  <c r="N392"/>
  <c r="I392"/>
  <c r="G392"/>
  <c r="P381"/>
  <c r="J381"/>
  <c r="L381"/>
  <c r="G381"/>
  <c r="AM132" i="37"/>
  <c r="AL132"/>
  <c r="AM158"/>
  <c r="AL158"/>
  <c r="I10" i="40"/>
  <c r="Q10"/>
  <c r="L10"/>
  <c r="Q154"/>
  <c r="K154"/>
  <c r="O154"/>
  <c r="I226"/>
  <c r="P226"/>
  <c r="Q226"/>
  <c r="O226"/>
  <c r="N298"/>
  <c r="O298"/>
  <c r="P298"/>
  <c r="L298"/>
  <c r="AM419" i="37"/>
  <c r="AL419"/>
  <c r="AL421"/>
  <c r="AL463"/>
  <c r="AL425"/>
  <c r="AL468"/>
  <c r="AL455"/>
  <c r="AL443"/>
  <c r="AL451"/>
  <c r="AL417"/>
  <c r="AL423"/>
  <c r="AL437"/>
  <c r="AL427"/>
  <c r="AL424"/>
  <c r="AL418"/>
  <c r="AL429"/>
  <c r="AL474"/>
  <c r="AL431"/>
  <c r="AL456"/>
  <c r="AL430"/>
  <c r="AL432"/>
  <c r="AL460"/>
  <c r="AL438"/>
  <c r="AL462"/>
  <c r="N23" i="40"/>
  <c r="G23"/>
  <c r="J23"/>
  <c r="K95"/>
  <c r="N95"/>
  <c r="H95"/>
  <c r="I95"/>
  <c r="I167"/>
  <c r="O167"/>
  <c r="K167"/>
  <c r="J167"/>
  <c r="AL173" i="37"/>
  <c r="AM110"/>
  <c r="AL110"/>
  <c r="AM71"/>
  <c r="AL71"/>
  <c r="AM457"/>
  <c r="AL457"/>
  <c r="AM72"/>
  <c r="AL72"/>
  <c r="AM62"/>
  <c r="AL62"/>
  <c r="AM134"/>
  <c r="AL134"/>
  <c r="AM202"/>
  <c r="AL202"/>
  <c r="AM59"/>
  <c r="AL59"/>
  <c r="J248" i="40"/>
  <c r="I32"/>
  <c r="G68"/>
  <c r="N176"/>
  <c r="I104"/>
  <c r="P284"/>
  <c r="M392"/>
  <c r="K140"/>
  <c r="H212"/>
  <c r="AL220" i="37"/>
  <c r="AM274"/>
  <c r="AL274"/>
  <c r="AM84"/>
  <c r="AL84"/>
  <c r="AM352"/>
  <c r="AL352"/>
  <c r="AM112"/>
  <c r="AL112"/>
  <c r="AM262"/>
  <c r="AL262"/>
  <c r="AM374"/>
  <c r="AL374"/>
  <c r="AM277"/>
  <c r="AL277"/>
  <c r="AM133"/>
  <c r="AL133"/>
  <c r="AM80"/>
  <c r="AL80"/>
  <c r="AM208"/>
  <c r="AL208"/>
  <c r="AM13"/>
  <c r="AL13"/>
  <c r="G69" i="40"/>
  <c r="M69"/>
  <c r="J69"/>
  <c r="K285"/>
  <c r="J285"/>
  <c r="M285"/>
  <c r="G285"/>
  <c r="P405"/>
  <c r="O405"/>
  <c r="K405"/>
  <c r="H405"/>
  <c r="AM266" i="37"/>
  <c r="AL266"/>
  <c r="AL287"/>
  <c r="AL298"/>
  <c r="AL273"/>
  <c r="AL325"/>
  <c r="AL314"/>
  <c r="AL312"/>
  <c r="AL303"/>
  <c r="AL324"/>
  <c r="AL288"/>
  <c r="AL276"/>
  <c r="AL291"/>
  <c r="AL311"/>
  <c r="AL294"/>
  <c r="AM117"/>
  <c r="AL117"/>
  <c r="H35" i="40"/>
  <c r="I35"/>
  <c r="G35"/>
  <c r="O35"/>
  <c r="J107"/>
  <c r="K107"/>
  <c r="M107"/>
  <c r="O107"/>
  <c r="O251"/>
  <c r="I251"/>
  <c r="Q251"/>
  <c r="P251"/>
  <c r="G323"/>
  <c r="P323"/>
  <c r="Q323"/>
  <c r="N323"/>
  <c r="I395"/>
  <c r="N395"/>
  <c r="H395"/>
  <c r="L395"/>
  <c r="N27"/>
  <c r="L27"/>
  <c r="K27"/>
  <c r="P27"/>
  <c r="G243"/>
  <c r="H243"/>
  <c r="K243"/>
  <c r="L243"/>
  <c r="P315"/>
  <c r="L315"/>
  <c r="H315"/>
  <c r="N315"/>
  <c r="AL5" i="37"/>
  <c r="AO2"/>
  <c r="G2" i="51" s="1"/>
  <c r="L32" i="40"/>
  <c r="O68"/>
  <c r="G176"/>
  <c r="I107"/>
  <c r="O104"/>
  <c r="O284"/>
  <c r="J392"/>
  <c r="G140"/>
  <c r="M212"/>
  <c r="K35"/>
  <c r="AM442" i="37"/>
  <c r="AL442"/>
  <c r="AM337"/>
  <c r="AL337"/>
  <c r="AM316"/>
  <c r="AL316"/>
  <c r="AM238"/>
  <c r="AL238"/>
  <c r="AM125"/>
  <c r="AL125"/>
  <c r="AM19"/>
  <c r="AL19"/>
  <c r="AM408"/>
  <c r="AL408"/>
  <c r="AM395"/>
  <c r="AL395"/>
  <c r="AL415"/>
  <c r="AL398"/>
  <c r="AL403"/>
  <c r="AL409"/>
  <c r="AL416"/>
  <c r="AL412"/>
  <c r="AL406"/>
  <c r="AL407"/>
  <c r="AL397"/>
  <c r="AM410"/>
  <c r="AL410"/>
  <c r="J9" i="40"/>
  <c r="O9"/>
  <c r="N9"/>
  <c r="I9"/>
  <c r="H81"/>
  <c r="G81"/>
  <c r="N81"/>
  <c r="L153"/>
  <c r="N153"/>
  <c r="P153"/>
  <c r="K225"/>
  <c r="J225"/>
  <c r="Q225"/>
  <c r="I225"/>
  <c r="I297"/>
  <c r="Q297"/>
  <c r="K297"/>
  <c r="P297"/>
  <c r="AL452" i="37"/>
  <c r="AM439"/>
  <c r="AL439"/>
  <c r="AM480"/>
  <c r="AL480"/>
  <c r="AM213"/>
  <c r="AL213"/>
  <c r="J32" i="40"/>
  <c r="P56"/>
  <c r="O56"/>
  <c r="I56"/>
  <c r="K56"/>
  <c r="L128"/>
  <c r="K128"/>
  <c r="H128"/>
  <c r="O272"/>
  <c r="J272"/>
  <c r="L272"/>
  <c r="I272"/>
  <c r="G416"/>
  <c r="M416"/>
  <c r="J416"/>
  <c r="O417"/>
  <c r="H417"/>
  <c r="J417"/>
  <c r="P417"/>
  <c r="AL405" i="37"/>
  <c r="AM25"/>
  <c r="AL25"/>
  <c r="AL35"/>
  <c r="AM162"/>
  <c r="AL162"/>
  <c r="I385" i="40"/>
  <c r="Q385"/>
  <c r="L385"/>
  <c r="M176"/>
  <c r="J35"/>
  <c r="AM388" i="37"/>
  <c r="AL388"/>
  <c r="AM473"/>
  <c r="AL473"/>
  <c r="AM420"/>
  <c r="AL420"/>
  <c r="AM470"/>
  <c r="AL470"/>
  <c r="J176" i="40"/>
  <c r="G107"/>
  <c r="P104"/>
  <c r="H251"/>
  <c r="Q320"/>
  <c r="O323"/>
  <c r="H56"/>
  <c r="P35"/>
  <c r="M272"/>
  <c r="AM244" i="37"/>
  <c r="AL244"/>
  <c r="AM422"/>
  <c r="AL422"/>
  <c r="AM489"/>
  <c r="AL489"/>
  <c r="AM378"/>
  <c r="AL378"/>
  <c r="AM492"/>
  <c r="AL492"/>
  <c r="AM435"/>
  <c r="AL435"/>
  <c r="AM372"/>
  <c r="AL372"/>
  <c r="N21" i="40"/>
  <c r="J27" i="41" s="1"/>
  <c r="I21" i="40"/>
  <c r="G21"/>
  <c r="C27" i="41" s="1"/>
  <c r="O21" i="40"/>
  <c r="K27" i="41" s="1"/>
  <c r="J165" i="40"/>
  <c r="Q165"/>
  <c r="H165"/>
  <c r="O165"/>
  <c r="M237"/>
  <c r="N237"/>
  <c r="H237"/>
  <c r="Q237"/>
  <c r="M309"/>
  <c r="G309"/>
  <c r="Q309"/>
  <c r="AL401" i="37"/>
  <c r="AM436"/>
  <c r="AL436"/>
  <c r="AM458"/>
  <c r="AL458"/>
  <c r="AM486"/>
  <c r="AL486"/>
  <c r="L140" i="40"/>
  <c r="N140"/>
  <c r="O140"/>
  <c r="J212"/>
  <c r="P212"/>
  <c r="N212"/>
  <c r="Q212"/>
  <c r="G284"/>
  <c r="K284"/>
  <c r="Q284"/>
  <c r="L428"/>
  <c r="J428"/>
  <c r="P428"/>
  <c r="H428"/>
  <c r="Q500"/>
  <c r="O500"/>
  <c r="K500"/>
  <c r="M500"/>
  <c r="AM250" i="37"/>
  <c r="AL250"/>
  <c r="AL212"/>
  <c r="AL334"/>
  <c r="AL399"/>
  <c r="L203" i="40"/>
  <c r="P203"/>
  <c r="M203"/>
  <c r="H275"/>
  <c r="G275"/>
  <c r="M275"/>
  <c r="K275"/>
  <c r="K347"/>
  <c r="H347"/>
  <c r="O347"/>
  <c r="AL467" i="37"/>
  <c r="AM197"/>
  <c r="AL197"/>
  <c r="AM301"/>
  <c r="AL301"/>
  <c r="AM290"/>
  <c r="AL290"/>
  <c r="AM195"/>
  <c r="AL195"/>
  <c r="AM354"/>
  <c r="AL354"/>
  <c r="AM178"/>
  <c r="AL178"/>
  <c r="AM333"/>
  <c r="AL333"/>
  <c r="AM69"/>
  <c r="AL69"/>
  <c r="AM187"/>
  <c r="AL187"/>
  <c r="O33" i="40"/>
  <c r="N33"/>
  <c r="H33"/>
  <c r="N105"/>
  <c r="K105"/>
  <c r="P105"/>
  <c r="M105"/>
  <c r="O249"/>
  <c r="Q249"/>
  <c r="N249"/>
  <c r="H41"/>
  <c r="M41"/>
  <c r="K41"/>
  <c r="J41"/>
  <c r="H113"/>
  <c r="K113"/>
  <c r="J113"/>
  <c r="H215"/>
  <c r="I257"/>
  <c r="N47"/>
  <c r="AM444" i="37"/>
  <c r="AL444"/>
  <c r="AM138"/>
  <c r="AL138"/>
  <c r="AM281"/>
  <c r="AL281"/>
  <c r="AM413"/>
  <c r="AL413"/>
  <c r="AM336"/>
  <c r="AL336"/>
  <c r="AM450"/>
  <c r="AL450"/>
  <c r="AM198"/>
  <c r="AL198"/>
  <c r="AM54"/>
  <c r="AL54"/>
  <c r="AM68"/>
  <c r="AL68"/>
  <c r="AM90"/>
  <c r="AL90"/>
  <c r="AL373"/>
  <c r="AM459"/>
  <c r="AL459"/>
  <c r="AM209"/>
  <c r="AL209"/>
  <c r="AM214"/>
  <c r="AL214"/>
  <c r="AM339"/>
  <c r="AL339"/>
  <c r="AM351"/>
  <c r="AL351"/>
  <c r="AM342"/>
  <c r="AL342"/>
  <c r="AM476"/>
  <c r="AL476"/>
  <c r="AL475"/>
  <c r="AL494"/>
  <c r="AL500"/>
  <c r="AL497"/>
  <c r="AL483"/>
  <c r="AL496"/>
  <c r="AL498"/>
  <c r="AL478"/>
  <c r="AL501"/>
  <c r="AM130"/>
  <c r="AL130"/>
  <c r="AL479"/>
  <c r="AM105"/>
  <c r="AL105"/>
  <c r="AM17"/>
  <c r="AL17"/>
  <c r="AM344"/>
  <c r="AL344"/>
  <c r="AM180"/>
  <c r="AL180"/>
  <c r="J215" i="40"/>
  <c r="L257"/>
  <c r="M47"/>
  <c r="AM67" i="37"/>
  <c r="AL67"/>
  <c r="AM60"/>
  <c r="AL60"/>
  <c r="AM389"/>
  <c r="AL389"/>
  <c r="AM23"/>
  <c r="AL23"/>
  <c r="AL36"/>
  <c r="AL40"/>
  <c r="AL38"/>
  <c r="AL24"/>
  <c r="AL33"/>
  <c r="AL31"/>
  <c r="AL7"/>
  <c r="AM137"/>
  <c r="AL137"/>
  <c r="AL9"/>
  <c r="AM2"/>
  <c r="AL2"/>
  <c r="AL3"/>
  <c r="AL14"/>
  <c r="AL18"/>
  <c r="AL12"/>
  <c r="AL20"/>
  <c r="AL16"/>
  <c r="AL364"/>
  <c r="AM414"/>
  <c r="AL414"/>
  <c r="AL386"/>
  <c r="AM306"/>
  <c r="AL306"/>
  <c r="AM215"/>
  <c r="AL215"/>
  <c r="AM428"/>
  <c r="AL428"/>
  <c r="AM98"/>
  <c r="AL98"/>
  <c r="AM376"/>
  <c r="AL376"/>
  <c r="AM353"/>
  <c r="AL353"/>
  <c r="AM426"/>
  <c r="AL426"/>
  <c r="AM21"/>
  <c r="AL21"/>
  <c r="AM332"/>
  <c r="AL332"/>
  <c r="AM481"/>
  <c r="AL481"/>
  <c r="AM231"/>
  <c r="AL231"/>
  <c r="AM37"/>
  <c r="AL37"/>
  <c r="AM272"/>
  <c r="AL272"/>
  <c r="AL381"/>
  <c r="AM26"/>
  <c r="AL26"/>
  <c r="AM172"/>
  <c r="AL172"/>
  <c r="AM367"/>
  <c r="AL367"/>
  <c r="AM472"/>
  <c r="AL472"/>
  <c r="G215" i="40"/>
  <c r="K257"/>
  <c r="G47"/>
  <c r="AM149" i="37"/>
  <c r="AL149"/>
  <c r="AM171"/>
  <c r="AL171"/>
  <c r="AM204"/>
  <c r="AL204"/>
  <c r="AM393"/>
  <c r="AL393"/>
  <c r="AM48"/>
  <c r="AL48"/>
  <c r="AM487"/>
  <c r="AL487"/>
  <c r="AM206"/>
  <c r="AL206"/>
  <c r="AM190"/>
  <c r="AL190"/>
  <c r="AM165"/>
  <c r="AL165"/>
  <c r="AM345"/>
  <c r="AL345"/>
  <c r="AM95"/>
  <c r="AL95"/>
  <c r="AM193"/>
  <c r="AL193"/>
  <c r="AM469"/>
  <c r="AL469"/>
  <c r="AM328"/>
  <c r="AL328"/>
  <c r="AL380"/>
  <c r="AL391"/>
  <c r="AL335"/>
  <c r="AL370"/>
  <c r="AL371"/>
  <c r="AL340"/>
  <c r="AL343"/>
  <c r="AL357"/>
  <c r="AL350"/>
  <c r="AL326"/>
  <c r="AL341"/>
  <c r="AL368"/>
  <c r="AL327"/>
  <c r="AL346"/>
  <c r="AL361"/>
  <c r="AL385"/>
  <c r="AL390"/>
  <c r="AL392"/>
  <c r="AL355"/>
  <c r="AL365"/>
  <c r="AL329"/>
  <c r="AL375"/>
  <c r="AM61"/>
  <c r="AL61"/>
  <c r="AL28"/>
  <c r="AL39"/>
  <c r="AM119"/>
  <c r="AL119"/>
  <c r="AM152"/>
  <c r="AL152"/>
  <c r="AM92"/>
  <c r="AL92"/>
  <c r="AM265"/>
  <c r="AL265"/>
  <c r="AL283"/>
  <c r="AM43"/>
  <c r="AL43"/>
  <c r="AM441"/>
  <c r="AL441"/>
  <c r="AM96"/>
  <c r="AL96"/>
  <c r="AM461"/>
  <c r="AL461"/>
  <c r="AM168"/>
  <c r="AL168"/>
  <c r="AM30"/>
  <c r="AL30"/>
  <c r="AL310"/>
  <c r="AM83"/>
  <c r="AL83"/>
  <c r="AM493"/>
  <c r="AL493"/>
  <c r="AM142"/>
  <c r="AL142"/>
  <c r="AL317"/>
  <c r="AL319"/>
  <c r="AM192"/>
  <c r="AL192"/>
  <c r="AL296"/>
  <c r="AM34"/>
  <c r="AL34"/>
  <c r="AM383"/>
  <c r="AL383"/>
  <c r="AM263"/>
  <c r="AL263"/>
  <c r="AM170"/>
  <c r="AL170"/>
  <c r="AL267"/>
  <c r="AM358"/>
  <c r="AL358"/>
  <c r="AL315"/>
  <c r="AL275"/>
  <c r="AM411"/>
  <c r="AL411"/>
  <c r="AM159"/>
  <c r="AL159"/>
  <c r="AM465"/>
  <c r="AL465"/>
  <c r="AL304"/>
  <c r="AM490"/>
  <c r="AL490"/>
  <c r="AL320"/>
  <c r="AM257"/>
  <c r="AL257"/>
  <c r="AM377"/>
  <c r="AL377"/>
  <c r="AL271"/>
  <c r="AL300"/>
  <c r="AM488"/>
  <c r="AL488"/>
  <c r="AM404"/>
  <c r="AL404"/>
  <c r="AM400"/>
  <c r="AL400"/>
  <c r="AM75"/>
  <c r="AL75"/>
  <c r="AM396"/>
  <c r="AL396"/>
  <c r="AM387"/>
  <c r="AL387"/>
  <c r="AL269"/>
  <c r="AM177"/>
  <c r="AL177"/>
  <c r="AM52"/>
  <c r="AL52"/>
  <c r="AM366"/>
  <c r="AL366"/>
  <c r="AM292"/>
  <c r="AL292"/>
  <c r="AM369"/>
  <c r="AL369"/>
  <c r="AM264"/>
  <c r="AL264"/>
  <c r="AM347"/>
  <c r="AL347"/>
  <c r="AM471"/>
  <c r="AL471"/>
  <c r="AM99"/>
  <c r="AL99"/>
  <c r="AM466"/>
  <c r="AL466"/>
  <c r="AM201"/>
  <c r="AL201"/>
  <c r="AM32"/>
  <c r="AL32"/>
  <c r="AM55"/>
  <c r="AL55"/>
  <c r="AM278"/>
  <c r="AL278"/>
  <c r="AM122"/>
  <c r="AL122"/>
  <c r="AM118"/>
  <c r="AL118"/>
  <c r="AL322"/>
  <c r="AM169"/>
  <c r="AL169"/>
  <c r="H3" i="2"/>
  <c r="H4"/>
  <c r="H5"/>
  <c r="H8"/>
  <c r="H9"/>
  <c r="H7"/>
  <c r="H11"/>
  <c r="H10"/>
  <c r="H13"/>
  <c r="H14"/>
  <c r="H12"/>
  <c r="H16"/>
  <c r="H17"/>
  <c r="H15"/>
  <c r="H18"/>
  <c r="H19"/>
  <c r="H20"/>
  <c r="H21"/>
  <c r="H23"/>
  <c r="H24"/>
  <c r="H25"/>
  <c r="H22"/>
  <c r="H27"/>
  <c r="H28"/>
  <c r="H26"/>
  <c r="H30"/>
  <c r="H29"/>
  <c r="G27" i="41" l="1"/>
  <c r="M27"/>
  <c r="F27"/>
  <c r="L27"/>
  <c r="I27"/>
  <c r="D27"/>
  <c r="AL27" s="1"/>
  <c r="E27"/>
  <c r="H27"/>
  <c r="C32" i="52"/>
  <c r="C33" s="1"/>
  <c r="AK26" i="41" s="1"/>
  <c r="AF568" i="40"/>
  <c r="AI568"/>
  <c r="AK568" s="1"/>
  <c r="AK14"/>
  <c r="AI522"/>
  <c r="AK522" s="1"/>
  <c r="AF28" i="53"/>
  <c r="AW26" i="52"/>
  <c r="AF546" i="40"/>
  <c r="AR26" i="52"/>
  <c r="AT28"/>
  <c r="BA26"/>
  <c r="AZ28"/>
  <c r="AF26" i="53"/>
  <c r="AV28" i="52"/>
  <c r="AF522" i="40"/>
  <c r="BA28" i="52"/>
  <c r="AW28"/>
  <c r="BA27"/>
  <c r="AU28"/>
  <c r="AS28"/>
  <c r="AR27"/>
  <c r="BB28"/>
  <c r="AX28"/>
  <c r="AT27"/>
  <c r="AI546" i="40"/>
  <c r="AK546" s="1"/>
  <c r="AF46"/>
  <c r="AR28" i="52"/>
  <c r="AZ27"/>
  <c r="AF27" i="53"/>
  <c r="AF498" i="40"/>
  <c r="AI590"/>
  <c r="AK590" s="1"/>
  <c r="AF231"/>
  <c r="AF277"/>
  <c r="AU26" i="52"/>
  <c r="AT26"/>
  <c r="BB26"/>
  <c r="AX26"/>
  <c r="H21" i="41"/>
  <c r="AS26" i="52"/>
  <c r="AY26"/>
  <c r="AV26"/>
  <c r="AK18" i="40"/>
  <c r="AK16"/>
  <c r="AK7"/>
  <c r="BB27" i="52"/>
  <c r="AI24" i="40"/>
  <c r="AK24" s="1"/>
  <c r="AW27" i="52"/>
  <c r="AI413" i="40"/>
  <c r="AK413" s="1"/>
  <c r="D21" i="41"/>
  <c r="AS27" i="52"/>
  <c r="BA29"/>
  <c r="AV29"/>
  <c r="AF29" i="53"/>
  <c r="BB29" i="52"/>
  <c r="AS29"/>
  <c r="AW29"/>
  <c r="AU29"/>
  <c r="AZ29"/>
  <c r="AY29"/>
  <c r="AR29"/>
  <c r="AX29"/>
  <c r="AT29"/>
  <c r="AU27"/>
  <c r="AX27"/>
  <c r="AF590" i="40"/>
  <c r="AK23"/>
  <c r="AV27" i="52"/>
  <c r="AF389" i="40"/>
  <c r="AI114"/>
  <c r="AK114" s="1"/>
  <c r="AF90"/>
  <c r="AF484"/>
  <c r="AF468"/>
  <c r="AI90"/>
  <c r="AK90" s="1"/>
  <c r="AK9"/>
  <c r="AF365"/>
  <c r="AF341"/>
  <c r="AF299"/>
  <c r="AK8"/>
  <c r="F3" i="41"/>
  <c r="AF24" i="40"/>
  <c r="AF162"/>
  <c r="AI138"/>
  <c r="AK138" s="1"/>
  <c r="AK10"/>
  <c r="AK19"/>
  <c r="AF69"/>
  <c r="AF254"/>
  <c r="E17" i="41"/>
  <c r="AF114" i="40"/>
  <c r="AK15"/>
  <c r="AI468"/>
  <c r="AK468" s="1"/>
  <c r="AI254"/>
  <c r="AK254" s="1"/>
  <c r="AK3"/>
  <c r="AK13"/>
  <c r="AK20"/>
  <c r="AI436"/>
  <c r="AK436" s="1"/>
  <c r="AI185"/>
  <c r="AK185" s="1"/>
  <c r="AI69"/>
  <c r="AK69" s="1"/>
  <c r="AF22" i="53"/>
  <c r="AW22" i="52"/>
  <c r="AV22"/>
  <c r="AU22"/>
  <c r="BB22"/>
  <c r="AT22"/>
  <c r="AY22"/>
  <c r="AX22"/>
  <c r="AS22"/>
  <c r="AR22"/>
  <c r="BA22"/>
  <c r="AZ22"/>
  <c r="AF12" i="53"/>
  <c r="AY12" i="52"/>
  <c r="AX12"/>
  <c r="AS12"/>
  <c r="AW12"/>
  <c r="BA12"/>
  <c r="AZ12"/>
  <c r="BB12"/>
  <c r="AV12"/>
  <c r="AU12"/>
  <c r="AT12"/>
  <c r="AR12"/>
  <c r="AF7" i="53"/>
  <c r="AV7" i="52"/>
  <c r="AU7"/>
  <c r="BB7"/>
  <c r="AT7"/>
  <c r="AR7"/>
  <c r="AX7"/>
  <c r="AS7"/>
  <c r="AW7"/>
  <c r="BA7"/>
  <c r="AZ7"/>
  <c r="AY7"/>
  <c r="AF14" i="53"/>
  <c r="AW14" i="52"/>
  <c r="AV14"/>
  <c r="AU14"/>
  <c r="AY14"/>
  <c r="AX14"/>
  <c r="AS14"/>
  <c r="BB14"/>
  <c r="BA14"/>
  <c r="AZ14"/>
  <c r="AT14"/>
  <c r="AR14"/>
  <c r="AF25" i="53"/>
  <c r="BB25" i="52"/>
  <c r="AT25"/>
  <c r="AR25"/>
  <c r="BA25"/>
  <c r="AZ25"/>
  <c r="AY25"/>
  <c r="AV25"/>
  <c r="AU25"/>
  <c r="AW25"/>
  <c r="AS25"/>
  <c r="AX25"/>
  <c r="AF24" i="53"/>
  <c r="AU24" i="52"/>
  <c r="BB24"/>
  <c r="AT24"/>
  <c r="AR24"/>
  <c r="BA24"/>
  <c r="AZ24"/>
  <c r="AW24"/>
  <c r="AV24"/>
  <c r="AX24"/>
  <c r="AY24"/>
  <c r="AS24"/>
  <c r="AK5" i="40"/>
  <c r="AF413"/>
  <c r="AI2"/>
  <c r="AK2" s="1"/>
  <c r="AF208"/>
  <c r="AK12"/>
  <c r="AF15" i="53"/>
  <c r="AV15" i="52"/>
  <c r="AU15"/>
  <c r="BB15"/>
  <c r="AT15"/>
  <c r="AR15"/>
  <c r="AX15"/>
  <c r="AS15"/>
  <c r="AW15"/>
  <c r="AZ15"/>
  <c r="AY15"/>
  <c r="BA15"/>
  <c r="AI208" i="40"/>
  <c r="AK208" s="1"/>
  <c r="AK17"/>
  <c r="AF9" i="53"/>
  <c r="BB9" i="52"/>
  <c r="AT9"/>
  <c r="AR9"/>
  <c r="BA9"/>
  <c r="AZ9"/>
  <c r="AV9"/>
  <c r="AU9"/>
  <c r="AY9"/>
  <c r="AX9"/>
  <c r="AW9"/>
  <c r="AS9"/>
  <c r="AK11" i="40"/>
  <c r="AF18" i="53"/>
  <c r="BA18" i="52"/>
  <c r="AZ18"/>
  <c r="AY18"/>
  <c r="AX18"/>
  <c r="AU18"/>
  <c r="BB18"/>
  <c r="AT18"/>
  <c r="AR18"/>
  <c r="AS18"/>
  <c r="AV18"/>
  <c r="AW18"/>
  <c r="AF5" i="53"/>
  <c r="AX5" i="52"/>
  <c r="AS5"/>
  <c r="AW5"/>
  <c r="AV5"/>
  <c r="AZ5"/>
  <c r="AY5"/>
  <c r="BA5"/>
  <c r="AR5"/>
  <c r="AU5"/>
  <c r="AT5"/>
  <c r="BB5"/>
  <c r="AI277" i="40"/>
  <c r="AK277" s="1"/>
  <c r="AF4" i="53"/>
  <c r="AY4" i="52"/>
  <c r="AX4"/>
  <c r="AS4"/>
  <c r="AW4"/>
  <c r="BA4"/>
  <c r="AZ4"/>
  <c r="AR4"/>
  <c r="BB4"/>
  <c r="AV4"/>
  <c r="AU4"/>
  <c r="AT4"/>
  <c r="AF10" i="53"/>
  <c r="BA10" i="52"/>
  <c r="AZ10"/>
  <c r="AY10"/>
  <c r="AU10"/>
  <c r="BB10"/>
  <c r="AT10"/>
  <c r="AR10"/>
  <c r="AW10"/>
  <c r="AV10"/>
  <c r="AX10"/>
  <c r="AS10"/>
  <c r="AF8" i="53"/>
  <c r="AU8" i="52"/>
  <c r="BB8"/>
  <c r="AT8"/>
  <c r="AR8"/>
  <c r="BA8"/>
  <c r="AW8"/>
  <c r="AV8"/>
  <c r="AS8"/>
  <c r="AY8"/>
  <c r="AZ8"/>
  <c r="AX8"/>
  <c r="AK6" i="40"/>
  <c r="AF6" i="53"/>
  <c r="AW6" i="52"/>
  <c r="AV6"/>
  <c r="AU6"/>
  <c r="AY6"/>
  <c r="AX6"/>
  <c r="AS6"/>
  <c r="AT6"/>
  <c r="AR6"/>
  <c r="BB6"/>
  <c r="BA6"/>
  <c r="AZ6"/>
  <c r="AK21" i="40"/>
  <c r="AI389"/>
  <c r="AK389" s="1"/>
  <c r="AF21" i="53"/>
  <c r="AX21" i="52"/>
  <c r="AS21"/>
  <c r="AW21"/>
  <c r="AV21"/>
  <c r="AU21"/>
  <c r="AZ21"/>
  <c r="AY21"/>
  <c r="AT21"/>
  <c r="AR21"/>
  <c r="BB21"/>
  <c r="BA21"/>
  <c r="AI162" i="40"/>
  <c r="AK162" s="1"/>
  <c r="AF19" i="53"/>
  <c r="AZ19" i="52"/>
  <c r="AY19"/>
  <c r="AX19"/>
  <c r="AS19"/>
  <c r="AW19"/>
  <c r="BB19"/>
  <c r="AT19"/>
  <c r="AR19"/>
  <c r="BA19"/>
  <c r="AV19"/>
  <c r="AU19"/>
  <c r="AI321" i="40"/>
  <c r="AK321" s="1"/>
  <c r="AI341"/>
  <c r="AK341" s="1"/>
  <c r="AI231"/>
  <c r="AK231" s="1"/>
  <c r="AF436"/>
  <c r="AF11" i="53"/>
  <c r="AZ11" i="52"/>
  <c r="AY11"/>
  <c r="AX11"/>
  <c r="AS11"/>
  <c r="BB11"/>
  <c r="AT11"/>
  <c r="AR11"/>
  <c r="BA11"/>
  <c r="AU11"/>
  <c r="AW11"/>
  <c r="AV11"/>
  <c r="AF3" i="53"/>
  <c r="AZ3" i="52"/>
  <c r="AY3"/>
  <c r="AX3"/>
  <c r="AS3"/>
  <c r="BB3"/>
  <c r="AT3"/>
  <c r="AR3"/>
  <c r="BA3"/>
  <c r="AV3"/>
  <c r="AU3"/>
  <c r="AW3"/>
  <c r="AI365" i="40"/>
  <c r="AK365" s="1"/>
  <c r="AK4"/>
  <c r="AK22"/>
  <c r="AI46"/>
  <c r="AK46" s="1"/>
  <c r="AF138"/>
  <c r="AF321"/>
  <c r="AF185"/>
  <c r="AF16" i="53"/>
  <c r="AU16" i="52"/>
  <c r="BB16"/>
  <c r="AT16"/>
  <c r="AR16"/>
  <c r="BA16"/>
  <c r="AW16"/>
  <c r="AV16"/>
  <c r="AZ16"/>
  <c r="AS16"/>
  <c r="AY16"/>
  <c r="AX16"/>
  <c r="AF17" i="53"/>
  <c r="BB17" i="52"/>
  <c r="AT17"/>
  <c r="AR17"/>
  <c r="BA17"/>
  <c r="AZ17"/>
  <c r="AV17"/>
  <c r="AU17"/>
  <c r="AX17"/>
  <c r="AW17"/>
  <c r="AS17"/>
  <c r="AY17"/>
  <c r="AI484" i="40"/>
  <c r="AK484" s="1"/>
  <c r="AF13" i="53"/>
  <c r="AX13" i="52"/>
  <c r="AS13"/>
  <c r="AW13"/>
  <c r="AV13"/>
  <c r="AZ13"/>
  <c r="AY13"/>
  <c r="BB13"/>
  <c r="BA13"/>
  <c r="AR13"/>
  <c r="AU13"/>
  <c r="AT13"/>
  <c r="AF23" i="53"/>
  <c r="AV23" i="52"/>
  <c r="AU23"/>
  <c r="BB23"/>
  <c r="AT23"/>
  <c r="AR23"/>
  <c r="BA23"/>
  <c r="AX23"/>
  <c r="AS23"/>
  <c r="AW23"/>
  <c r="AZ23"/>
  <c r="AY23"/>
  <c r="AI299" i="40"/>
  <c r="AK299" s="1"/>
  <c r="AF2" i="53"/>
  <c r="BA2" i="52"/>
  <c r="AZ2"/>
  <c r="AY2"/>
  <c r="AU2"/>
  <c r="BB2"/>
  <c r="AT2"/>
  <c r="AR2"/>
  <c r="AX2"/>
  <c r="AS2"/>
  <c r="AW2"/>
  <c r="AV2"/>
  <c r="AI452" i="40"/>
  <c r="AK452" s="1"/>
  <c r="AI498"/>
  <c r="AK498" s="1"/>
  <c r="AF20" i="53"/>
  <c r="AY20" i="52"/>
  <c r="AX20"/>
  <c r="AS20"/>
  <c r="AW20"/>
  <c r="AV20"/>
  <c r="BA20"/>
  <c r="AZ20"/>
  <c r="BB20"/>
  <c r="AU20"/>
  <c r="AT20"/>
  <c r="AR20"/>
  <c r="AP2" i="37"/>
  <c r="G14" i="41"/>
  <c r="I16"/>
  <c r="D10"/>
  <c r="E18"/>
  <c r="G5"/>
  <c r="G22"/>
  <c r="H19"/>
  <c r="I2"/>
  <c r="L14"/>
  <c r="I7"/>
  <c r="C7"/>
  <c r="I11"/>
  <c r="D11"/>
  <c r="D2"/>
  <c r="M18"/>
  <c r="E20"/>
  <c r="J5"/>
  <c r="M8"/>
  <c r="F12"/>
  <c r="G4"/>
  <c r="K2"/>
  <c r="M11"/>
  <c r="G3"/>
  <c r="R27" s="1" a="1"/>
  <c r="R27" s="1"/>
  <c r="H15"/>
  <c r="L15"/>
  <c r="M14"/>
  <c r="I14"/>
  <c r="K8"/>
  <c r="L21"/>
  <c r="J14"/>
  <c r="L19"/>
  <c r="K12"/>
  <c r="H18"/>
  <c r="M17"/>
  <c r="M16"/>
  <c r="I5"/>
  <c r="F18"/>
  <c r="I4"/>
  <c r="D13"/>
  <c r="G13"/>
  <c r="E6"/>
  <c r="C17"/>
  <c r="C20"/>
  <c r="J6"/>
  <c r="C18"/>
  <c r="F21"/>
  <c r="C5"/>
  <c r="D14"/>
  <c r="F7"/>
  <c r="J10"/>
  <c r="D8"/>
  <c r="K10"/>
  <c r="J12"/>
  <c r="H8"/>
  <c r="G21"/>
  <c r="M9"/>
  <c r="H9"/>
  <c r="E3"/>
  <c r="F16"/>
  <c r="L13"/>
  <c r="J20"/>
  <c r="M4"/>
  <c r="J7"/>
  <c r="E23"/>
  <c r="J13"/>
  <c r="E13"/>
  <c r="K7"/>
  <c r="I19"/>
  <c r="J17"/>
  <c r="C13"/>
  <c r="K14"/>
  <c r="F9"/>
  <c r="F20"/>
  <c r="K18"/>
  <c r="H11"/>
  <c r="H3"/>
  <c r="S27" s="1" a="1"/>
  <c r="S27" s="1"/>
  <c r="G8"/>
  <c r="G12"/>
  <c r="L4"/>
  <c r="H14"/>
  <c r="K16"/>
  <c r="H12"/>
  <c r="I15"/>
  <c r="D20"/>
  <c r="F2"/>
  <c r="F14"/>
  <c r="I21"/>
  <c r="C4"/>
  <c r="E10"/>
  <c r="G20"/>
  <c r="E15"/>
  <c r="F6"/>
  <c r="E2"/>
  <c r="H2"/>
  <c r="G9"/>
  <c r="J3"/>
  <c r="U27" s="1" a="1"/>
  <c r="U27" s="1"/>
  <c r="F8"/>
  <c r="J18"/>
  <c r="G6"/>
  <c r="F10"/>
  <c r="I18"/>
  <c r="H10"/>
  <c r="F17"/>
  <c r="L9"/>
  <c r="F5"/>
  <c r="D4"/>
  <c r="M12"/>
  <c r="K11"/>
  <c r="I12"/>
  <c r="M6"/>
  <c r="E4"/>
  <c r="D7"/>
  <c r="L8"/>
  <c r="J11"/>
  <c r="H5"/>
  <c r="C2"/>
  <c r="L17"/>
  <c r="K23"/>
  <c r="E12"/>
  <c r="L20"/>
  <c r="I17"/>
  <c r="C9"/>
  <c r="F15"/>
  <c r="E19"/>
  <c r="L5"/>
  <c r="C15"/>
  <c r="K3"/>
  <c r="V27" s="1" a="1"/>
  <c r="V27" s="1"/>
  <c r="G16"/>
  <c r="L6"/>
  <c r="C3"/>
  <c r="J16"/>
  <c r="G7"/>
  <c r="F22"/>
  <c r="I9"/>
  <c r="D19"/>
  <c r="E5"/>
  <c r="E21"/>
  <c r="C16"/>
  <c r="G23"/>
  <c r="L12"/>
  <c r="H4"/>
  <c r="G10"/>
  <c r="J9"/>
  <c r="G15"/>
  <c r="H7"/>
  <c r="C10"/>
  <c r="D5"/>
  <c r="E14"/>
  <c r="J21"/>
  <c r="K19"/>
  <c r="C6"/>
  <c r="F4"/>
  <c r="F11"/>
  <c r="M13"/>
  <c r="G17"/>
  <c r="G24"/>
  <c r="K5"/>
  <c r="D3"/>
  <c r="J4"/>
  <c r="M10"/>
  <c r="K13"/>
  <c r="F13"/>
  <c r="I8"/>
  <c r="L2"/>
  <c r="H22"/>
  <c r="H6"/>
  <c r="H23"/>
  <c r="G18"/>
  <c r="K21"/>
  <c r="M5"/>
  <c r="I10"/>
  <c r="E11"/>
  <c r="E8"/>
  <c r="J8"/>
  <c r="L16"/>
  <c r="F19"/>
  <c r="K6"/>
  <c r="L3"/>
  <c r="W27" s="1" a="1"/>
  <c r="W27" s="1"/>
  <c r="D18"/>
  <c r="C14"/>
  <c r="J15"/>
  <c r="H13"/>
  <c r="K17"/>
  <c r="C21"/>
  <c r="D9"/>
  <c r="M2"/>
  <c r="D15"/>
  <c r="I6"/>
  <c r="K4"/>
  <c r="L18"/>
  <c r="J19"/>
  <c r="K9"/>
  <c r="M3"/>
  <c r="X27" s="1" a="1"/>
  <c r="X27" s="1"/>
  <c r="H16"/>
  <c r="L7"/>
  <c r="M20"/>
  <c r="L10"/>
  <c r="K20"/>
  <c r="C19"/>
  <c r="C11"/>
  <c r="I20"/>
  <c r="L11"/>
  <c r="D16"/>
  <c r="M19"/>
  <c r="E16"/>
  <c r="J2"/>
  <c r="L23"/>
  <c r="I3"/>
  <c r="T27" s="1" a="1"/>
  <c r="T27" s="1"/>
  <c r="H17"/>
  <c r="M15"/>
  <c r="G19"/>
  <c r="G11"/>
  <c r="D17"/>
  <c r="H20"/>
  <c r="K15"/>
  <c r="C8"/>
  <c r="I13"/>
  <c r="M7"/>
  <c r="E7"/>
  <c r="C23"/>
  <c r="J23"/>
  <c r="K22"/>
  <c r="D22"/>
  <c r="D6"/>
  <c r="D12"/>
  <c r="I23"/>
  <c r="J22"/>
  <c r="L24"/>
  <c r="F23"/>
  <c r="C24"/>
  <c r="M22"/>
  <c r="G2"/>
  <c r="M23"/>
  <c r="L22"/>
  <c r="E22"/>
  <c r="I22"/>
  <c r="E9"/>
  <c r="C22"/>
  <c r="F24"/>
  <c r="K24"/>
  <c r="J24"/>
  <c r="M24"/>
  <c r="I24"/>
  <c r="D24"/>
  <c r="D23"/>
  <c r="C12"/>
  <c r="H24"/>
  <c r="E24"/>
  <c r="M21"/>
  <c r="X21" s="1" a="1"/>
  <c r="X21" s="1"/>
  <c r="C79" i="15"/>
  <c r="E78"/>
  <c r="E77"/>
  <c r="E76"/>
  <c r="E75"/>
  <c r="E74"/>
  <c r="E73"/>
  <c r="E72"/>
  <c r="E71"/>
  <c r="E70"/>
  <c r="E69"/>
  <c r="E68"/>
  <c r="E67"/>
  <c r="E66"/>
  <c r="E65"/>
  <c r="E64"/>
  <c r="E63"/>
  <c r="E62"/>
  <c r="E61"/>
  <c r="E60"/>
  <c r="E59"/>
  <c r="C53"/>
  <c r="E49"/>
  <c r="E48"/>
  <c r="E47"/>
  <c r="E46"/>
  <c r="E45"/>
  <c r="E44"/>
  <c r="E43"/>
  <c r="E42"/>
  <c r="E41"/>
  <c r="E40"/>
  <c r="E39"/>
  <c r="E38"/>
  <c r="E37"/>
  <c r="AB5" i="2"/>
  <c r="AB7"/>
  <c r="AB8"/>
  <c r="AB9"/>
  <c r="AB10"/>
  <c r="AB11"/>
  <c r="AB12"/>
  <c r="AB13"/>
  <c r="AB14"/>
  <c r="AB15"/>
  <c r="AB16"/>
  <c r="AB17"/>
  <c r="AB18"/>
  <c r="AB19"/>
  <c r="AB20"/>
  <c r="AB22"/>
  <c r="AB23"/>
  <c r="AB24"/>
  <c r="AB25"/>
  <c r="AB26"/>
  <c r="AB27"/>
  <c r="AB28"/>
  <c r="AB29"/>
  <c r="AB30"/>
  <c r="AB4"/>
  <c r="AB21"/>
  <c r="AB3"/>
  <c r="AD3"/>
  <c r="AE5"/>
  <c r="AF5"/>
  <c r="AE7"/>
  <c r="AF7"/>
  <c r="AE8"/>
  <c r="AF8"/>
  <c r="AE9"/>
  <c r="AF9"/>
  <c r="AE10"/>
  <c r="AF10"/>
  <c r="AE11"/>
  <c r="AF11"/>
  <c r="AE12"/>
  <c r="AF12"/>
  <c r="AE13"/>
  <c r="AF13"/>
  <c r="AE14"/>
  <c r="AF14"/>
  <c r="AE15"/>
  <c r="AF15"/>
  <c r="AE16"/>
  <c r="AF16"/>
  <c r="AE17"/>
  <c r="AF17"/>
  <c r="AE18"/>
  <c r="AF18"/>
  <c r="AE19"/>
  <c r="AF19"/>
  <c r="AE20"/>
  <c r="AF20"/>
  <c r="AE22"/>
  <c r="AF22"/>
  <c r="AE23"/>
  <c r="AF23"/>
  <c r="AE24"/>
  <c r="AF24"/>
  <c r="AE25"/>
  <c r="AF25"/>
  <c r="AE26"/>
  <c r="AF26"/>
  <c r="AE27"/>
  <c r="AF27"/>
  <c r="AE28"/>
  <c r="AF28"/>
  <c r="AE29"/>
  <c r="AF29"/>
  <c r="AE30"/>
  <c r="AF30"/>
  <c r="AE4"/>
  <c r="AF4"/>
  <c r="AE21"/>
  <c r="AF21"/>
  <c r="AF3"/>
  <c r="AE3"/>
  <c r="AD5"/>
  <c r="AD7"/>
  <c r="AD8"/>
  <c r="AD9"/>
  <c r="AD10"/>
  <c r="AD11"/>
  <c r="AD12"/>
  <c r="AD13"/>
  <c r="AD14"/>
  <c r="AD15"/>
  <c r="AD16"/>
  <c r="AD17"/>
  <c r="AD18"/>
  <c r="AD19"/>
  <c r="AD20"/>
  <c r="AD22"/>
  <c r="AD23"/>
  <c r="AD24"/>
  <c r="AD25"/>
  <c r="AD26"/>
  <c r="AD27"/>
  <c r="AD28"/>
  <c r="AD29"/>
  <c r="AD30"/>
  <c r="AD4"/>
  <c r="AD21"/>
  <c r="AA5"/>
  <c r="AA7"/>
  <c r="AA8"/>
  <c r="AA9"/>
  <c r="AA10"/>
  <c r="AA11"/>
  <c r="AA12"/>
  <c r="AA13"/>
  <c r="AA14"/>
  <c r="AA15"/>
  <c r="AA16"/>
  <c r="AA17"/>
  <c r="AA18"/>
  <c r="AA19"/>
  <c r="AA20"/>
  <c r="AA22"/>
  <c r="AA23"/>
  <c r="AA24"/>
  <c r="AA25"/>
  <c r="AA26"/>
  <c r="AA27"/>
  <c r="AA28"/>
  <c r="AA29"/>
  <c r="AA30"/>
  <c r="AA4"/>
  <c r="AA21"/>
  <c r="AA3"/>
  <c r="AP27" i="41" l="1"/>
  <c r="B6" i="44" s="1"/>
  <c r="AM27" i="41"/>
  <c r="AO27"/>
  <c r="B5" i="44" s="1"/>
  <c r="AQ27" i="41"/>
  <c r="AN27"/>
  <c r="B97" i="44"/>
  <c r="AL9" i="41"/>
  <c r="B96" i="44"/>
  <c r="O27" i="41" a="1"/>
  <c r="O27" s="1"/>
  <c r="C31" i="53"/>
  <c r="C33" s="1"/>
  <c r="AK25" i="41" s="1"/>
  <c r="AL20"/>
  <c r="AM20" s="1"/>
  <c r="AL7"/>
  <c r="N3" a="1"/>
  <c r="N3" s="1"/>
  <c r="AL3"/>
  <c r="B50" i="44" s="1"/>
  <c r="N27" i="41" a="1"/>
  <c r="N27" s="1"/>
  <c r="AL17"/>
  <c r="AL4"/>
  <c r="AL19"/>
  <c r="AL6"/>
  <c r="AL5"/>
  <c r="AP9"/>
  <c r="AQ9"/>
  <c r="AO9"/>
  <c r="AN9"/>
  <c r="AM9"/>
  <c r="P3" a="1"/>
  <c r="P3" s="1"/>
  <c r="P27" a="1"/>
  <c r="P27" s="1"/>
  <c r="AL12"/>
  <c r="AL22"/>
  <c r="AL24"/>
  <c r="Z27"/>
  <c r="E98" i="44" s="1"/>
  <c r="AL15" i="41"/>
  <c r="AL13"/>
  <c r="AL16"/>
  <c r="AL8"/>
  <c r="AL21"/>
  <c r="AL18"/>
  <c r="AL10"/>
  <c r="F25"/>
  <c r="Q25" s="1" a="1"/>
  <c r="Q25" s="1"/>
  <c r="Q27" a="1"/>
  <c r="Q27" s="1"/>
  <c r="AL11"/>
  <c r="AL23"/>
  <c r="AL14"/>
  <c r="AL2"/>
  <c r="Q11" a="1"/>
  <c r="Q11" s="1"/>
  <c r="Q5" a="1"/>
  <c r="Q5" s="1"/>
  <c r="Q20" a="1"/>
  <c r="Q20" s="1"/>
  <c r="Q4" a="1"/>
  <c r="Q4" s="1"/>
  <c r="Q19" a="1"/>
  <c r="Q19" s="1"/>
  <c r="S24" a="1"/>
  <c r="S24" s="1"/>
  <c r="S23" a="1"/>
  <c r="S23" s="1"/>
  <c r="Q14" a="1"/>
  <c r="Q14" s="1"/>
  <c r="Q21" a="1"/>
  <c r="Q21" s="1"/>
  <c r="P17" a="1"/>
  <c r="P17" s="1"/>
  <c r="S22" a="1"/>
  <c r="S22" s="1"/>
  <c r="S4" a="1"/>
  <c r="S4" s="1"/>
  <c r="P23" a="1"/>
  <c r="P23" s="1"/>
  <c r="P20" a="1"/>
  <c r="P20" s="1"/>
  <c r="R17" a="1"/>
  <c r="R17" s="1"/>
  <c r="X14" a="1"/>
  <c r="X14" s="1"/>
  <c r="P6" a="1"/>
  <c r="P6" s="1"/>
  <c r="N16" a="1"/>
  <c r="N16" s="1"/>
  <c r="P8" a="1"/>
  <c r="P8" s="1"/>
  <c r="Q7" a="1"/>
  <c r="Q7" s="1"/>
  <c r="Q12" a="1"/>
  <c r="Q12" s="1"/>
  <c r="Q9" a="1"/>
  <c r="Q9" s="1"/>
  <c r="X7" a="1"/>
  <c r="X7" s="1"/>
  <c r="Q24" a="1"/>
  <c r="Q24" s="1"/>
  <c r="O19" a="1"/>
  <c r="O19" s="1"/>
  <c r="Q17" a="1"/>
  <c r="Q17" s="1"/>
  <c r="R14" a="1"/>
  <c r="R14" s="1"/>
  <c r="Q2" a="1"/>
  <c r="Q2" s="1"/>
  <c r="Q18" a="1"/>
  <c r="Q18" s="1"/>
  <c r="O11" a="1"/>
  <c r="O11" s="1"/>
  <c r="Q22" a="1"/>
  <c r="Q22" s="1"/>
  <c r="X20" a="1"/>
  <c r="X20" s="1"/>
  <c r="Q10" a="1"/>
  <c r="Q10" s="1"/>
  <c r="Q6" a="1"/>
  <c r="Q6" s="1"/>
  <c r="S18" a="1"/>
  <c r="S18" s="1"/>
  <c r="W13" a="1"/>
  <c r="W13" s="1"/>
  <c r="Q23" a="1"/>
  <c r="Q23" s="1"/>
  <c r="Q3" a="1"/>
  <c r="Q3" s="1"/>
  <c r="Q8" a="1"/>
  <c r="Q8" s="1"/>
  <c r="Q15" a="1"/>
  <c r="Q15" s="1"/>
  <c r="Q16" a="1"/>
  <c r="Q16" s="1"/>
  <c r="Q13" a="1"/>
  <c r="Q13" s="1"/>
  <c r="C26"/>
  <c r="X6" a="1"/>
  <c r="X6" s="1"/>
  <c r="S10" a="1"/>
  <c r="S10" s="1"/>
  <c r="X11" a="1"/>
  <c r="X11" s="1"/>
  <c r="S9" a="1"/>
  <c r="S9" s="1"/>
  <c r="S12" a="1"/>
  <c r="S12" s="1"/>
  <c r="I26"/>
  <c r="T26" s="1" a="1"/>
  <c r="T26" s="1"/>
  <c r="U21" a="1"/>
  <c r="U21" s="1"/>
  <c r="S14" a="1"/>
  <c r="S14" s="1"/>
  <c r="S15" a="1"/>
  <c r="S15" s="1"/>
  <c r="X4" a="1"/>
  <c r="X4" s="1"/>
  <c r="M25"/>
  <c r="X25" s="1" a="1"/>
  <c r="X25" s="1"/>
  <c r="D26"/>
  <c r="O26" s="1" a="1"/>
  <c r="O26" s="1"/>
  <c r="L26"/>
  <c r="W26" s="1" a="1"/>
  <c r="W26" s="1"/>
  <c r="D25"/>
  <c r="O25" s="1" a="1"/>
  <c r="O25" s="1"/>
  <c r="E26"/>
  <c r="P26" s="1" a="1"/>
  <c r="P26" s="1"/>
  <c r="M26"/>
  <c r="X26" s="1" a="1"/>
  <c r="X26" s="1"/>
  <c r="G25"/>
  <c r="R25" s="1" a="1"/>
  <c r="R25" s="1"/>
  <c r="S2" a="1"/>
  <c r="S2" s="1"/>
  <c r="H25"/>
  <c r="S25" s="1" a="1"/>
  <c r="S25" s="1"/>
  <c r="F26"/>
  <c r="Q26" s="1" a="1"/>
  <c r="Q26" s="1"/>
  <c r="U11" a="1"/>
  <c r="U11" s="1"/>
  <c r="J25"/>
  <c r="U25" s="1" a="1"/>
  <c r="U25" s="1"/>
  <c r="G26"/>
  <c r="R26" s="1" a="1"/>
  <c r="R26" s="1"/>
  <c r="J26"/>
  <c r="U26" s="1" a="1"/>
  <c r="U26" s="1"/>
  <c r="T4" a="1"/>
  <c r="T4" s="1"/>
  <c r="I25"/>
  <c r="T25" s="1" a="1"/>
  <c r="T25" s="1"/>
  <c r="V23" a="1"/>
  <c r="V23" s="1"/>
  <c r="K25"/>
  <c r="V25" s="1" a="1"/>
  <c r="V25" s="1"/>
  <c r="L25"/>
  <c r="W25" s="1" a="1"/>
  <c r="W25" s="1"/>
  <c r="C25"/>
  <c r="E25"/>
  <c r="P25" s="1" a="1"/>
  <c r="P25" s="1"/>
  <c r="H26"/>
  <c r="S26" s="1" a="1"/>
  <c r="S26" s="1"/>
  <c r="K26"/>
  <c r="V26" s="1" a="1"/>
  <c r="V26" s="1"/>
  <c r="U13" a="1"/>
  <c r="U13" s="1"/>
  <c r="U19" a="1"/>
  <c r="U19" s="1"/>
  <c r="U4" a="1"/>
  <c r="U4" s="1"/>
  <c r="U9" a="1"/>
  <c r="U9" s="1"/>
  <c r="U7" a="1"/>
  <c r="U7" s="1"/>
  <c r="R5" a="1"/>
  <c r="R5" s="1"/>
  <c r="S19" a="1"/>
  <c r="S19" s="1"/>
  <c r="U20" a="1"/>
  <c r="U20" s="1"/>
  <c r="S21" a="1"/>
  <c r="S21" s="1"/>
  <c r="S20" a="1"/>
  <c r="S20" s="1"/>
  <c r="U2" a="1"/>
  <c r="U2" s="1"/>
  <c r="S13" a="1"/>
  <c r="S13" s="1"/>
  <c r="U8" a="1"/>
  <c r="U8" s="1"/>
  <c r="S6" a="1"/>
  <c r="S6" s="1"/>
  <c r="O7" a="1"/>
  <c r="O7" s="1"/>
  <c r="R10" a="1"/>
  <c r="R10" s="1"/>
  <c r="U23" a="1"/>
  <c r="U23" s="1"/>
  <c r="U12" a="1"/>
  <c r="U12" s="1"/>
  <c r="S3" a="1"/>
  <c r="S3" s="1"/>
  <c r="U22" a="1"/>
  <c r="U22" s="1"/>
  <c r="U16" a="1"/>
  <c r="U16" s="1"/>
  <c r="S11" a="1"/>
  <c r="S11" s="1"/>
  <c r="U5" a="1"/>
  <c r="U5" s="1"/>
  <c r="U15" a="1"/>
  <c r="U15" s="1"/>
  <c r="U14" a="1"/>
  <c r="U14" s="1"/>
  <c r="U3" a="1"/>
  <c r="U3" s="1"/>
  <c r="R2" a="1"/>
  <c r="R2" s="1"/>
  <c r="S5" a="1"/>
  <c r="S5" s="1"/>
  <c r="R22" a="1"/>
  <c r="R22" s="1"/>
  <c r="S16" a="1"/>
  <c r="S16" s="1"/>
  <c r="N4" a="1"/>
  <c r="N4" s="1"/>
  <c r="U18" a="1"/>
  <c r="U18" s="1"/>
  <c r="P11" a="1"/>
  <c r="P11" s="1"/>
  <c r="U10" a="1"/>
  <c r="U10" s="1"/>
  <c r="R21" a="1"/>
  <c r="R21" s="1"/>
  <c r="R24" a="1"/>
  <c r="R24" s="1"/>
  <c r="U24" a="1"/>
  <c r="U24" s="1"/>
  <c r="S17" a="1"/>
  <c r="S17" s="1"/>
  <c r="S7" a="1"/>
  <c r="S7" s="1"/>
  <c r="P10" a="1"/>
  <c r="P10" s="1"/>
  <c r="O21" a="1"/>
  <c r="O21" s="1"/>
  <c r="R15" a="1"/>
  <c r="R15" s="1"/>
  <c r="P24" a="1"/>
  <c r="P24" s="1"/>
  <c r="T7" a="1"/>
  <c r="T7" s="1"/>
  <c r="R18" a="1"/>
  <c r="R18" s="1"/>
  <c r="R16" a="1"/>
  <c r="R16" s="1"/>
  <c r="V2" a="1"/>
  <c r="V2" s="1"/>
  <c r="O10" a="1"/>
  <c r="O10" s="1"/>
  <c r="R12" a="1"/>
  <c r="R12" s="1"/>
  <c r="R3" a="1"/>
  <c r="R3" s="1"/>
  <c r="R13" a="1"/>
  <c r="R13" s="1"/>
  <c r="R4" a="1"/>
  <c r="R4" s="1"/>
  <c r="O3" a="1"/>
  <c r="O3" s="1"/>
  <c r="R8" a="1"/>
  <c r="R8" s="1"/>
  <c r="R11" a="1"/>
  <c r="R11" s="1"/>
  <c r="P7" a="1"/>
  <c r="P7" s="1"/>
  <c r="R19" a="1"/>
  <c r="R19" s="1"/>
  <c r="O16" a="1"/>
  <c r="O16" s="1"/>
  <c r="R23" a="1"/>
  <c r="R23" s="1"/>
  <c r="R6" a="1"/>
  <c r="R6" s="1"/>
  <c r="V22" a="1"/>
  <c r="V22" s="1"/>
  <c r="V9" a="1"/>
  <c r="V9" s="1"/>
  <c r="R9" a="1"/>
  <c r="R9" s="1"/>
  <c r="V11" a="1"/>
  <c r="V11" s="1"/>
  <c r="V13" a="1"/>
  <c r="V13" s="1"/>
  <c r="O20" a="1"/>
  <c r="O20" s="1"/>
  <c r="R7" a="1"/>
  <c r="R7" s="1"/>
  <c r="X15" a="1"/>
  <c r="X15" s="1"/>
  <c r="X2" a="1"/>
  <c r="X2" s="1"/>
  <c r="W16" a="1"/>
  <c r="W16" s="1"/>
  <c r="X5" a="1"/>
  <c r="X5" s="1"/>
  <c r="X13" a="1"/>
  <c r="X13" s="1"/>
  <c r="R20" a="1"/>
  <c r="R20" s="1"/>
  <c r="U17" a="1"/>
  <c r="U17" s="1"/>
  <c r="W7" a="1"/>
  <c r="W7" s="1"/>
  <c r="O4" a="1"/>
  <c r="O4" s="1"/>
  <c r="O8" a="1"/>
  <c r="O8" s="1"/>
  <c r="X23" a="1"/>
  <c r="X23" s="1"/>
  <c r="P15" a="1"/>
  <c r="P15" s="1"/>
  <c r="S8" a="1"/>
  <c r="S8" s="1"/>
  <c r="X12" a="1"/>
  <c r="X12" s="1"/>
  <c r="V10" a="1"/>
  <c r="V10" s="1"/>
  <c r="U6" a="1"/>
  <c r="U6" s="1"/>
  <c r="N17" a="1"/>
  <c r="N17" s="1"/>
  <c r="N12" a="1"/>
  <c r="N12" s="1"/>
  <c r="W11" a="1"/>
  <c r="W11" s="1"/>
  <c r="W23" a="1"/>
  <c r="W23" s="1"/>
  <c r="X24" a="1"/>
  <c r="X24" s="1"/>
  <c r="P18" a="1"/>
  <c r="P18" s="1"/>
  <c r="P12" a="1"/>
  <c r="P12" s="1"/>
  <c r="N7" a="1"/>
  <c r="N7" s="1"/>
  <c r="P2" a="1"/>
  <c r="P2" s="1"/>
  <c r="P14" a="1"/>
  <c r="P14" s="1"/>
  <c r="X19" a="1"/>
  <c r="X19" s="1"/>
  <c r="X3" a="1"/>
  <c r="X3" s="1"/>
  <c r="T18" a="1"/>
  <c r="T18" s="1"/>
  <c r="W19" a="1"/>
  <c r="W19" s="1"/>
  <c r="W22" a="1"/>
  <c r="W22" s="1"/>
  <c r="P22" a="1"/>
  <c r="P22" s="1"/>
  <c r="N23" a="1"/>
  <c r="N23" s="1"/>
  <c r="N18" a="1"/>
  <c r="N18" s="1"/>
  <c r="X9" a="1"/>
  <c r="X9" s="1"/>
  <c r="W18" a="1"/>
  <c r="W18" s="1"/>
  <c r="W6" a="1"/>
  <c r="W6" s="1"/>
  <c r="N21" a="1"/>
  <c r="N21" s="1"/>
  <c r="X10" a="1"/>
  <c r="X10" s="1"/>
  <c r="P5" a="1"/>
  <c r="P5" s="1"/>
  <c r="W9" a="1"/>
  <c r="W9" s="1"/>
  <c r="N10" a="1"/>
  <c r="N10" s="1"/>
  <c r="P9" a="1"/>
  <c r="P9" s="1"/>
  <c r="P19" a="1"/>
  <c r="P19" s="1"/>
  <c r="X16" a="1"/>
  <c r="X16" s="1"/>
  <c r="W14" a="1"/>
  <c r="W14" s="1"/>
  <c r="P13" a="1"/>
  <c r="P13" s="1"/>
  <c r="P16" a="1"/>
  <c r="P16" s="1"/>
  <c r="X22" a="1"/>
  <c r="X22" s="1"/>
  <c r="N19" a="1"/>
  <c r="N19" s="1"/>
  <c r="P4" a="1"/>
  <c r="P4" s="1"/>
  <c r="W12" a="1"/>
  <c r="W12" s="1"/>
  <c r="N13" a="1"/>
  <c r="N13" s="1"/>
  <c r="X18" a="1"/>
  <c r="X18" s="1"/>
  <c r="N14" a="1"/>
  <c r="N14" s="1"/>
  <c r="N5" a="1"/>
  <c r="N5" s="1"/>
  <c r="X8" a="1"/>
  <c r="X8" s="1"/>
  <c r="N2" a="1"/>
  <c r="N2" s="1"/>
  <c r="N6" a="1"/>
  <c r="N6" s="1"/>
  <c r="P21" a="1"/>
  <c r="P21" s="1"/>
  <c r="X17" a="1"/>
  <c r="X17" s="1"/>
  <c r="W15" a="1"/>
  <c r="W15" s="1"/>
  <c r="N24" a="1"/>
  <c r="N24" s="1"/>
  <c r="N15" a="1"/>
  <c r="N15" s="1"/>
  <c r="T21" a="1"/>
  <c r="T21" s="1"/>
  <c r="T5" a="1"/>
  <c r="T5" s="1"/>
  <c r="V7" a="1"/>
  <c r="V7" s="1"/>
  <c r="N20" a="1"/>
  <c r="N20" s="1"/>
  <c r="N8" a="1"/>
  <c r="N8" s="1"/>
  <c r="N11" a="1"/>
  <c r="N11" s="1"/>
  <c r="V3" a="1"/>
  <c r="V3" s="1"/>
  <c r="O5" a="1"/>
  <c r="O5" s="1"/>
  <c r="O2" a="1"/>
  <c r="O2" s="1"/>
  <c r="O9" a="1"/>
  <c r="O9" s="1"/>
  <c r="T10" a="1"/>
  <c r="T10" s="1"/>
  <c r="T2" a="1"/>
  <c r="T2" s="1"/>
  <c r="W2" a="1"/>
  <c r="W2" s="1"/>
  <c r="W4" a="1"/>
  <c r="W4" s="1"/>
  <c r="V18" a="1"/>
  <c r="V18" s="1"/>
  <c r="O23" a="1"/>
  <c r="O23" s="1"/>
  <c r="N22" a="1"/>
  <c r="N22" s="1"/>
  <c r="O22" a="1"/>
  <c r="O22" s="1"/>
  <c r="T13" a="1"/>
  <c r="T13" s="1"/>
  <c r="T6" a="1"/>
  <c r="T6" s="1"/>
  <c r="V19" a="1"/>
  <c r="V19" s="1"/>
  <c r="V4" a="1"/>
  <c r="V4" s="1"/>
  <c r="O18" a="1"/>
  <c r="O18" s="1"/>
  <c r="T16" a="1"/>
  <c r="T16" s="1"/>
  <c r="T19" a="1"/>
  <c r="T19" s="1"/>
  <c r="T14" a="1"/>
  <c r="T14" s="1"/>
  <c r="W5" a="1"/>
  <c r="W5" s="1"/>
  <c r="W3" a="1"/>
  <c r="W3" s="1"/>
  <c r="W20" a="1"/>
  <c r="W20" s="1"/>
  <c r="W24" a="1"/>
  <c r="W24" s="1"/>
  <c r="V6" a="1"/>
  <c r="V6" s="1"/>
  <c r="O15" a="1"/>
  <c r="O15" s="1"/>
  <c r="T22" a="1"/>
  <c r="T22" s="1"/>
  <c r="V14" a="1"/>
  <c r="V14" s="1"/>
  <c r="V16" a="1"/>
  <c r="V16" s="1"/>
  <c r="T23" a="1"/>
  <c r="T23" s="1"/>
  <c r="V17" a="1"/>
  <c r="V17" s="1"/>
  <c r="V21" a="1"/>
  <c r="V21" s="1"/>
  <c r="T8" a="1"/>
  <c r="T8" s="1"/>
  <c r="T3" a="1"/>
  <c r="T3" s="1"/>
  <c r="T20" a="1"/>
  <c r="T20" s="1"/>
  <c r="W21" a="1"/>
  <c r="W21" s="1"/>
  <c r="W10" a="1"/>
  <c r="W10" s="1"/>
  <c r="W8" a="1"/>
  <c r="W8" s="1"/>
  <c r="O24" a="1"/>
  <c r="O24" s="1"/>
  <c r="T24" a="1"/>
  <c r="T24" s="1"/>
  <c r="V20" a="1"/>
  <c r="V20" s="1"/>
  <c r="T17" a="1"/>
  <c r="T17" s="1"/>
  <c r="V8" a="1"/>
  <c r="V8" s="1"/>
  <c r="T15" a="1"/>
  <c r="T15" s="1"/>
  <c r="T9" a="1"/>
  <c r="T9" s="1"/>
  <c r="O6" a="1"/>
  <c r="O6" s="1"/>
  <c r="V15" a="1"/>
  <c r="V15" s="1"/>
  <c r="O14" a="1"/>
  <c r="O14" s="1"/>
  <c r="O17" a="1"/>
  <c r="O17" s="1"/>
  <c r="V12" a="1"/>
  <c r="V12" s="1"/>
  <c r="N9" a="1"/>
  <c r="N9" s="1"/>
  <c r="V5" a="1"/>
  <c r="V5" s="1"/>
  <c r="O13" a="1"/>
  <c r="O13" s="1"/>
  <c r="T12" a="1"/>
  <c r="T12" s="1"/>
  <c r="T11" a="1"/>
  <c r="T11" s="1"/>
  <c r="W17" a="1"/>
  <c r="W17" s="1"/>
  <c r="V24" a="1"/>
  <c r="V24" s="1"/>
  <c r="O12" a="1"/>
  <c r="O12" s="1"/>
  <c r="E50" i="15"/>
  <c r="F50" s="1"/>
  <c r="E53"/>
  <c r="E79"/>
  <c r="F65" s="1"/>
  <c r="A6" i="3"/>
  <c r="A7" s="1"/>
  <c r="A8" s="1"/>
  <c r="A9" s="1"/>
  <c r="A10" s="1"/>
  <c r="A11" s="1"/>
  <c r="A12" s="1"/>
  <c r="A13" s="1"/>
  <c r="A14" s="1"/>
  <c r="A15" s="1"/>
  <c r="A16" s="1"/>
  <c r="A17" s="1"/>
  <c r="A18" s="1"/>
  <c r="A19" s="1"/>
  <c r="A20" s="1"/>
  <c r="A21" s="1"/>
  <c r="A22" s="1"/>
  <c r="A23" s="1"/>
  <c r="A24" s="1"/>
  <c r="F98" i="44" l="1"/>
  <c r="G98" s="1"/>
  <c r="H98" s="1"/>
  <c r="I98" s="1"/>
  <c r="E101"/>
  <c r="E115" s="1"/>
  <c r="C96"/>
  <c r="B98"/>
  <c r="B100"/>
  <c r="B114" s="1"/>
  <c r="AQ20" i="41"/>
  <c r="C97" i="44"/>
  <c r="D97" s="1"/>
  <c r="E97" s="1"/>
  <c r="F97" s="1"/>
  <c r="G97" s="1"/>
  <c r="H97" s="1"/>
  <c r="I97" s="1"/>
  <c r="B99"/>
  <c r="C99" s="1"/>
  <c r="D99" s="1"/>
  <c r="AO20" i="41"/>
  <c r="AJ25"/>
  <c r="AN20"/>
  <c r="AP20"/>
  <c r="AM2"/>
  <c r="AO2"/>
  <c r="AN2"/>
  <c r="AQ2"/>
  <c r="AP2"/>
  <c r="AN21"/>
  <c r="AM21"/>
  <c r="AQ21"/>
  <c r="AP21"/>
  <c r="AO21"/>
  <c r="AQ12"/>
  <c r="AN12"/>
  <c r="AM12"/>
  <c r="AP12"/>
  <c r="AO12"/>
  <c r="AN5"/>
  <c r="AQ5"/>
  <c r="AM5"/>
  <c r="AP5"/>
  <c r="AO5"/>
  <c r="AQ7"/>
  <c r="AM7"/>
  <c r="AP7"/>
  <c r="AO7"/>
  <c r="AN7"/>
  <c r="AO14"/>
  <c r="AQ14"/>
  <c r="AM14"/>
  <c r="AP14"/>
  <c r="AN14"/>
  <c r="AN8"/>
  <c r="AP8"/>
  <c r="AO8"/>
  <c r="AQ8"/>
  <c r="AM8"/>
  <c r="AP6"/>
  <c r="AQ6"/>
  <c r="AM6"/>
  <c r="AO6"/>
  <c r="AN6"/>
  <c r="N25" a="1"/>
  <c r="N25" s="1"/>
  <c r="Y25" s="1"/>
  <c r="AL25"/>
  <c r="AO19"/>
  <c r="AQ19"/>
  <c r="AP19"/>
  <c r="AN19"/>
  <c r="AM19"/>
  <c r="AO11"/>
  <c r="AN11"/>
  <c r="AM11"/>
  <c r="AQ11"/>
  <c r="AP11"/>
  <c r="AN13"/>
  <c r="AQ13"/>
  <c r="AM13"/>
  <c r="AP13"/>
  <c r="AO13"/>
  <c r="AM4"/>
  <c r="AP4"/>
  <c r="AN4"/>
  <c r="AQ4"/>
  <c r="AO4"/>
  <c r="AQ15"/>
  <c r="AM15"/>
  <c r="AP15"/>
  <c r="AO15"/>
  <c r="AN15"/>
  <c r="AP17"/>
  <c r="AO17"/>
  <c r="AN17"/>
  <c r="AM17"/>
  <c r="AQ17"/>
  <c r="AN10"/>
  <c r="AQ10"/>
  <c r="AO10"/>
  <c r="AM10"/>
  <c r="AP10"/>
  <c r="AN24"/>
  <c r="AQ24"/>
  <c r="AP24"/>
  <c r="AO24"/>
  <c r="AM24"/>
  <c r="AO3"/>
  <c r="AQ3"/>
  <c r="AP3"/>
  <c r="AN3"/>
  <c r="B52" i="44" s="1"/>
  <c r="C52" s="1"/>
  <c r="AM3" i="41"/>
  <c r="B51" i="44" s="1"/>
  <c r="C51" s="1"/>
  <c r="AQ18" i="41"/>
  <c r="AM18"/>
  <c r="AO18"/>
  <c r="AN18"/>
  <c r="AP18"/>
  <c r="AP22"/>
  <c r="AQ22"/>
  <c r="AM22"/>
  <c r="AO22"/>
  <c r="AN22"/>
  <c r="AQ23"/>
  <c r="AM23"/>
  <c r="AP23"/>
  <c r="AO23"/>
  <c r="AN23"/>
  <c r="AO16"/>
  <c r="AQ16"/>
  <c r="AP16"/>
  <c r="AN16"/>
  <c r="AM16"/>
  <c r="N26" a="1"/>
  <c r="N26" s="1"/>
  <c r="Y26" s="1"/>
  <c r="AL26"/>
  <c r="AB27"/>
  <c r="AS27"/>
  <c r="Y27"/>
  <c r="E99" i="44" s="1"/>
  <c r="F99" s="1"/>
  <c r="G99" s="1"/>
  <c r="H99" s="1"/>
  <c r="I99" s="1"/>
  <c r="Z17" i="41"/>
  <c r="Z14"/>
  <c r="Z12"/>
  <c r="Z23"/>
  <c r="Z21"/>
  <c r="Z11"/>
  <c r="Z19"/>
  <c r="Z2"/>
  <c r="Z24"/>
  <c r="Z25"/>
  <c r="Z26"/>
  <c r="Y7"/>
  <c r="Z10"/>
  <c r="Z4"/>
  <c r="Z6"/>
  <c r="Y23"/>
  <c r="Z7"/>
  <c r="Z22"/>
  <c r="Z3"/>
  <c r="Z5"/>
  <c r="Z20"/>
  <c r="Z15"/>
  <c r="Z13"/>
  <c r="Z16"/>
  <c r="Z8"/>
  <c r="Y10"/>
  <c r="Z18"/>
  <c r="Y9"/>
  <c r="Z9"/>
  <c r="Y4"/>
  <c r="Y22"/>
  <c r="Y21"/>
  <c r="Y11"/>
  <c r="Y14"/>
  <c r="Y18"/>
  <c r="Y8"/>
  <c r="Y13"/>
  <c r="Y12"/>
  <c r="Y24"/>
  <c r="Y3"/>
  <c r="Y16"/>
  <c r="Y6"/>
  <c r="Y19"/>
  <c r="Y20"/>
  <c r="Y15"/>
  <c r="Y17"/>
  <c r="Y2"/>
  <c r="Y5"/>
  <c r="F39" i="15"/>
  <c r="F38"/>
  <c r="F40"/>
  <c r="F48"/>
  <c r="F37"/>
  <c r="F49"/>
  <c r="F45"/>
  <c r="F44"/>
  <c r="F43"/>
  <c r="F41"/>
  <c r="F47"/>
  <c r="F42"/>
  <c r="F46"/>
  <c r="F79"/>
  <c r="F64"/>
  <c r="F74"/>
  <c r="F73"/>
  <c r="F67"/>
  <c r="F61"/>
  <c r="F68"/>
  <c r="F70"/>
  <c r="F62"/>
  <c r="F76"/>
  <c r="F69"/>
  <c r="F66"/>
  <c r="E51"/>
  <c r="F78"/>
  <c r="F77"/>
  <c r="F75"/>
  <c r="F63"/>
  <c r="F72"/>
  <c r="F60"/>
  <c r="F71"/>
  <c r="F59"/>
  <c r="D96" i="44" l="1"/>
  <c r="C100"/>
  <c r="C114" s="1"/>
  <c r="F101"/>
  <c r="F115" s="1"/>
  <c r="C98"/>
  <c r="B101"/>
  <c r="B115" s="1"/>
  <c r="G101"/>
  <c r="G115" s="1"/>
  <c r="B53"/>
  <c r="C53" s="1"/>
  <c r="D52"/>
  <c r="F52"/>
  <c r="E52"/>
  <c r="E51"/>
  <c r="D51"/>
  <c r="F51"/>
  <c r="B54"/>
  <c r="C54" s="1"/>
  <c r="AB29" i="41"/>
  <c r="AF27"/>
  <c r="AH25"/>
  <c r="AT25"/>
  <c r="AR25"/>
  <c r="AH26"/>
  <c r="AR26"/>
  <c r="AT26"/>
  <c r="AR15"/>
  <c r="AH15"/>
  <c r="AT15"/>
  <c r="AB9"/>
  <c r="AF9" s="1"/>
  <c r="AS9"/>
  <c r="AB10"/>
  <c r="AF10" s="1"/>
  <c r="AS10"/>
  <c r="AR8"/>
  <c r="AH8"/>
  <c r="C64" i="44" s="1"/>
  <c r="AT8" i="41"/>
  <c r="AH18"/>
  <c r="AT18"/>
  <c r="AR18"/>
  <c r="AB18"/>
  <c r="AF18" s="1"/>
  <c r="AS18"/>
  <c r="AB26"/>
  <c r="AF26" s="1"/>
  <c r="AS26"/>
  <c r="AB21"/>
  <c r="AF21" s="1"/>
  <c r="AS21"/>
  <c r="AT6"/>
  <c r="AR6"/>
  <c r="AH6"/>
  <c r="C62" i="44" s="1"/>
  <c r="AH10" i="41"/>
  <c r="AR10"/>
  <c r="AT10"/>
  <c r="AB22"/>
  <c r="AF22" s="1"/>
  <c r="AS22"/>
  <c r="AB23"/>
  <c r="AF23" s="1"/>
  <c r="AS23"/>
  <c r="AT11"/>
  <c r="AR11"/>
  <c r="AH11"/>
  <c r="AB7"/>
  <c r="AF7" s="1"/>
  <c r="AS7"/>
  <c r="AB12"/>
  <c r="AF12" s="1"/>
  <c r="AS12"/>
  <c r="AR5"/>
  <c r="AH5"/>
  <c r="C61" i="44" s="1"/>
  <c r="AT5" i="41"/>
  <c r="AR3"/>
  <c r="AH3"/>
  <c r="AT3"/>
  <c r="AH21"/>
  <c r="AR21"/>
  <c r="AT21"/>
  <c r="AB16"/>
  <c r="AF16" s="1"/>
  <c r="AS16"/>
  <c r="AT23"/>
  <c r="AR23"/>
  <c r="AH23"/>
  <c r="AB24"/>
  <c r="AF24" s="1"/>
  <c r="AS24"/>
  <c r="AB14"/>
  <c r="AF14" s="1"/>
  <c r="AS14"/>
  <c r="AR16"/>
  <c r="AH16"/>
  <c r="AT16"/>
  <c r="AB8"/>
  <c r="AF8" s="1"/>
  <c r="AS8"/>
  <c r="AB25"/>
  <c r="AF25" s="1"/>
  <c r="AS25"/>
  <c r="AH2"/>
  <c r="C59" i="44" s="1"/>
  <c r="AT2" i="41"/>
  <c r="AR2"/>
  <c r="AR24"/>
  <c r="AH24"/>
  <c r="AT24"/>
  <c r="AT22"/>
  <c r="AR22"/>
  <c r="AH22"/>
  <c r="AB13"/>
  <c r="AF13" s="1"/>
  <c r="AS13"/>
  <c r="AB6"/>
  <c r="AF6" s="1"/>
  <c r="AS6"/>
  <c r="AB17"/>
  <c r="AF17" s="1"/>
  <c r="AS17"/>
  <c r="AT13"/>
  <c r="AR13"/>
  <c r="AH13"/>
  <c r="AB20"/>
  <c r="AF20" s="1"/>
  <c r="AS20"/>
  <c r="AB19"/>
  <c r="AF19" s="1"/>
  <c r="AS19"/>
  <c r="AT20"/>
  <c r="AR20"/>
  <c r="AH20"/>
  <c r="AH9"/>
  <c r="AT9"/>
  <c r="AR9"/>
  <c r="AB5"/>
  <c r="AF5" s="1"/>
  <c r="AS5"/>
  <c r="AT7"/>
  <c r="AR7"/>
  <c r="AH7"/>
  <c r="C63" i="44" s="1"/>
  <c r="AB11" i="41"/>
  <c r="AF11" s="1"/>
  <c r="AS11"/>
  <c r="AR19"/>
  <c r="AT19"/>
  <c r="AH19"/>
  <c r="AB3"/>
  <c r="AF3" s="1"/>
  <c r="AS3"/>
  <c r="AN26"/>
  <c r="AQ26"/>
  <c r="AP26"/>
  <c r="AO26"/>
  <c r="AM26"/>
  <c r="AR14"/>
  <c r="AH14"/>
  <c r="AT14"/>
  <c r="AR17"/>
  <c r="AH17"/>
  <c r="AT17"/>
  <c r="AT12"/>
  <c r="AR12"/>
  <c r="AH12"/>
  <c r="AT4"/>
  <c r="AR4"/>
  <c r="AH4"/>
  <c r="C60" i="44" s="1"/>
  <c r="AB15" i="41"/>
  <c r="AF15" s="1"/>
  <c r="AS15"/>
  <c r="AB4"/>
  <c r="AF4" s="1"/>
  <c r="AS4"/>
  <c r="AB2"/>
  <c r="AF2" s="1"/>
  <c r="AS2"/>
  <c r="AH27"/>
  <c r="AT27"/>
  <c r="AR27"/>
  <c r="AA27"/>
  <c r="AE27" s="1"/>
  <c r="AC27"/>
  <c r="AP25"/>
  <c r="AQ25"/>
  <c r="AO25"/>
  <c r="AN25"/>
  <c r="AM25"/>
  <c r="AC8"/>
  <c r="AC7"/>
  <c r="AC22"/>
  <c r="AC17"/>
  <c r="AC12"/>
  <c r="AC25"/>
  <c r="AC13"/>
  <c r="AC24"/>
  <c r="AC9"/>
  <c r="AC18"/>
  <c r="AC14"/>
  <c r="AC16"/>
  <c r="AC11"/>
  <c r="AC4"/>
  <c r="AC20"/>
  <c r="AC19"/>
  <c r="AC6"/>
  <c r="AC10"/>
  <c r="AC26"/>
  <c r="AC5"/>
  <c r="AC3"/>
  <c r="AC21"/>
  <c r="AC23"/>
  <c r="AC15"/>
  <c r="AC2"/>
  <c r="AA7"/>
  <c r="AE7" s="1"/>
  <c r="AA25"/>
  <c r="AA23"/>
  <c r="AE23" s="1"/>
  <c r="AA26"/>
  <c r="AE26" s="1"/>
  <c r="AA10"/>
  <c r="AA11"/>
  <c r="AA3"/>
  <c r="AE3" s="1"/>
  <c r="AA21"/>
  <c r="AE21" s="1"/>
  <c r="AA24"/>
  <c r="AA22"/>
  <c r="AE22" s="1"/>
  <c r="AA17"/>
  <c r="AE17" s="1"/>
  <c r="AA12"/>
  <c r="AA4"/>
  <c r="AA15"/>
  <c r="AA13"/>
  <c r="AE13" s="1"/>
  <c r="AA20"/>
  <c r="AE20" s="1"/>
  <c r="AA8"/>
  <c r="AE8" s="1"/>
  <c r="AA9"/>
  <c r="AE9" s="1"/>
  <c r="AA19"/>
  <c r="AE19" s="1"/>
  <c r="AA18"/>
  <c r="AA14"/>
  <c r="AA6"/>
  <c r="AA16"/>
  <c r="AA5"/>
  <c r="AA2"/>
  <c r="E96" i="44" l="1"/>
  <c r="D100"/>
  <c r="D114" s="1"/>
  <c r="D98"/>
  <c r="D101" s="1"/>
  <c r="D115" s="1"/>
  <c r="C101"/>
  <c r="C115" s="1"/>
  <c r="I101"/>
  <c r="I115" s="1"/>
  <c r="H101"/>
  <c r="H115" s="1"/>
  <c r="D54"/>
  <c r="F54"/>
  <c r="E54"/>
  <c r="D53"/>
  <c r="E53"/>
  <c r="F53"/>
  <c r="AD2" i="41"/>
  <c r="AG2" s="1"/>
  <c r="AE2"/>
  <c r="AD24"/>
  <c r="AG24" s="1"/>
  <c r="AE24"/>
  <c r="AD4"/>
  <c r="AG4" s="1"/>
  <c r="AE4"/>
  <c r="AD12"/>
  <c r="AG12" s="1"/>
  <c r="AK12" s="1"/>
  <c r="AE12"/>
  <c r="AD25"/>
  <c r="AG25" s="1"/>
  <c r="AE25"/>
  <c r="AD5"/>
  <c r="AG5" s="1"/>
  <c r="AE5"/>
  <c r="AD14"/>
  <c r="AG14" s="1"/>
  <c r="AE14"/>
  <c r="AD10"/>
  <c r="AG10" s="1"/>
  <c r="AE10"/>
  <c r="AD16"/>
  <c r="AG16" s="1"/>
  <c r="AE16"/>
  <c r="AD18"/>
  <c r="AG18" s="1"/>
  <c r="AE18"/>
  <c r="AD6"/>
  <c r="AG6" s="1"/>
  <c r="AE6"/>
  <c r="AD15"/>
  <c r="AG15" s="1"/>
  <c r="AK15" s="1"/>
  <c r="AE15"/>
  <c r="AD11"/>
  <c r="AG11" s="1"/>
  <c r="AE11"/>
  <c r="AD26"/>
  <c r="AG26" s="1"/>
  <c r="AD17"/>
  <c r="AG17" s="1"/>
  <c r="AK17" s="1"/>
  <c r="AD23"/>
  <c r="AG23" s="1"/>
  <c r="AD7"/>
  <c r="AG7" s="1"/>
  <c r="AD9"/>
  <c r="AG9" s="1"/>
  <c r="AK9" s="1"/>
  <c r="AD22"/>
  <c r="AG22" s="1"/>
  <c r="AK22" s="1"/>
  <c r="AD8"/>
  <c r="AG8" s="1"/>
  <c r="AK8" s="1"/>
  <c r="AD20"/>
  <c r="AG20" s="1"/>
  <c r="AD19"/>
  <c r="AG19" s="1"/>
  <c r="AK19" s="1"/>
  <c r="AD21"/>
  <c r="AG21" s="1"/>
  <c r="AD27"/>
  <c r="AA29"/>
  <c r="AD13"/>
  <c r="AG13" s="1"/>
  <c r="AK13" s="1"/>
  <c r="AD3"/>
  <c r="AG3" s="1"/>
  <c r="AK3" s="1"/>
  <c r="AK23"/>
  <c r="AK2"/>
  <c r="AK24"/>
  <c r="AK7"/>
  <c r="AK5"/>
  <c r="AK20"/>
  <c r="AK21"/>
  <c r="AK16"/>
  <c r="AK6"/>
  <c r="AK11"/>
  <c r="AK14"/>
  <c r="AK4"/>
  <c r="AK10"/>
  <c r="AK18"/>
  <c r="F96" i="44" l="1"/>
  <c r="E100"/>
  <c r="E114" s="1"/>
  <c r="AG27" i="41"/>
  <c r="AK27" s="1"/>
  <c r="G96" i="44" l="1"/>
  <c r="F100"/>
  <c r="F114" s="1"/>
  <c r="H96" l="1"/>
  <c r="G100"/>
  <c r="G114" s="1"/>
  <c r="I96" l="1"/>
  <c r="I100" s="1"/>
  <c r="I114" s="1"/>
  <c r="H100"/>
  <c r="H114" s="1"/>
</calcChain>
</file>

<file path=xl/comments1.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2.xml><?xml version="1.0" encoding="utf-8"?>
<comments xmlns="http://schemas.openxmlformats.org/spreadsheetml/2006/main">
  <authors>
    <author>mlubun</author>
    <author>mmottill</author>
  </authors>
  <commentList>
    <comment ref="K35" authorId="0">
      <text>
        <r>
          <rPr>
            <b/>
            <sz val="8"/>
            <color indexed="81"/>
            <rFont val="Tahoma"/>
            <family val="2"/>
          </rPr>
          <t>mlubun:</t>
        </r>
        <r>
          <rPr>
            <sz val="8"/>
            <color indexed="81"/>
            <rFont val="Tahoma"/>
            <family val="2"/>
          </rPr>
          <t xml:space="preserve">
ASHRAE 90.1 1999 value</t>
        </r>
      </text>
    </comment>
    <comment ref="G37" authorId="0">
      <text>
        <r>
          <rPr>
            <b/>
            <sz val="8"/>
            <color indexed="81"/>
            <rFont val="Tahoma"/>
            <family val="2"/>
          </rPr>
          <t>mlubun:</t>
        </r>
        <r>
          <rPr>
            <sz val="8"/>
            <color indexed="81"/>
            <rFont val="Tahoma"/>
            <family val="2"/>
          </rPr>
          <t xml:space="preserve">
50% increase on ACH and leakage rate due to hanger door openings</t>
        </r>
      </text>
    </comment>
    <comment ref="I37" authorId="0">
      <text>
        <r>
          <rPr>
            <b/>
            <sz val="8"/>
            <color indexed="81"/>
            <rFont val="Tahoma"/>
            <family val="2"/>
          </rPr>
          <t>mlubun:</t>
        </r>
        <r>
          <rPr>
            <sz val="8"/>
            <color indexed="81"/>
            <rFont val="Tahoma"/>
            <family val="2"/>
          </rPr>
          <t xml:space="preserve">
50% increase in ACH and leakage due to door openings</t>
        </r>
      </text>
    </comment>
    <comment ref="K37" authorId="0">
      <text>
        <r>
          <rPr>
            <b/>
            <sz val="8"/>
            <color indexed="81"/>
            <rFont val="Tahoma"/>
            <family val="2"/>
          </rPr>
          <t>mlubun:</t>
        </r>
        <r>
          <rPr>
            <sz val="8"/>
            <color indexed="81"/>
            <rFont val="Tahoma"/>
            <family val="2"/>
          </rPr>
          <t xml:space="preserve">
50% increase in ACH and leakage rate due to door openings</t>
        </r>
      </text>
    </comment>
    <comment ref="M37" authorId="0">
      <text>
        <r>
          <rPr>
            <b/>
            <sz val="8"/>
            <color indexed="81"/>
            <rFont val="Tahoma"/>
            <family val="2"/>
          </rPr>
          <t>mlubun:</t>
        </r>
        <r>
          <rPr>
            <sz val="8"/>
            <color indexed="81"/>
            <rFont val="Tahoma"/>
            <family val="2"/>
          </rPr>
          <t xml:space="preserve">
50% increase on ACH and leakage due to door openings
</t>
        </r>
      </text>
    </comment>
    <comment ref="G39" authorId="0">
      <text>
        <r>
          <rPr>
            <b/>
            <sz val="8"/>
            <color indexed="81"/>
            <rFont val="Tahoma"/>
            <family val="2"/>
          </rPr>
          <t>mlubun:</t>
        </r>
        <r>
          <rPr>
            <sz val="8"/>
            <color indexed="81"/>
            <rFont val="Tahoma"/>
            <family val="2"/>
          </rPr>
          <t xml:space="preserve">
50% increase due to hanger door openings</t>
        </r>
      </text>
    </comment>
    <comment ref="I39" authorId="0">
      <text>
        <r>
          <rPr>
            <b/>
            <sz val="8"/>
            <color indexed="81"/>
            <rFont val="Tahoma"/>
            <family val="2"/>
          </rPr>
          <t>mlubun:</t>
        </r>
        <r>
          <rPr>
            <sz val="8"/>
            <color indexed="81"/>
            <rFont val="Tahoma"/>
            <family val="2"/>
          </rPr>
          <t xml:space="preserve">
50% increase in ACH and leakage due to door openings</t>
        </r>
      </text>
    </comment>
    <comment ref="K39" authorId="0">
      <text>
        <r>
          <rPr>
            <b/>
            <sz val="8"/>
            <color indexed="81"/>
            <rFont val="Tahoma"/>
            <family val="2"/>
          </rPr>
          <t>mlubun:</t>
        </r>
        <r>
          <rPr>
            <sz val="8"/>
            <color indexed="81"/>
            <rFont val="Tahoma"/>
            <family val="2"/>
          </rPr>
          <t xml:space="preserve">
50% increase in ACH and leakage rate due to door openings</t>
        </r>
      </text>
    </comment>
    <comment ref="M39" authorId="0">
      <text>
        <r>
          <rPr>
            <b/>
            <sz val="8"/>
            <color indexed="81"/>
            <rFont val="Tahoma"/>
            <family val="2"/>
          </rPr>
          <t>mlubun:</t>
        </r>
        <r>
          <rPr>
            <sz val="8"/>
            <color indexed="81"/>
            <rFont val="Tahoma"/>
            <family val="2"/>
          </rPr>
          <t xml:space="preserve">
50% increase on ACH and leakage due to door openings
</t>
        </r>
      </text>
    </comment>
    <comment ref="G45" authorId="0">
      <text>
        <r>
          <rPr>
            <b/>
            <sz val="8"/>
            <color indexed="81"/>
            <rFont val="Tahoma"/>
            <family val="2"/>
          </rPr>
          <t>mlubun:</t>
        </r>
        <r>
          <rPr>
            <sz val="8"/>
            <color indexed="81"/>
            <rFont val="Tahoma"/>
            <family val="2"/>
          </rPr>
          <t xml:space="preserve">
50% increase on ACH and leakage rate due to hanger door openings</t>
        </r>
      </text>
    </comment>
    <comment ref="I45" authorId="0">
      <text>
        <r>
          <rPr>
            <b/>
            <sz val="8"/>
            <color indexed="81"/>
            <rFont val="Tahoma"/>
            <family val="2"/>
          </rPr>
          <t>mlubun:</t>
        </r>
        <r>
          <rPr>
            <sz val="8"/>
            <color indexed="81"/>
            <rFont val="Tahoma"/>
            <family val="2"/>
          </rPr>
          <t xml:space="preserve">
50% increase in ACH and leakage due to door openings</t>
        </r>
      </text>
    </comment>
    <comment ref="K45" authorId="0">
      <text>
        <r>
          <rPr>
            <b/>
            <sz val="8"/>
            <color indexed="81"/>
            <rFont val="Tahoma"/>
            <family val="2"/>
          </rPr>
          <t>mlubun:</t>
        </r>
        <r>
          <rPr>
            <sz val="8"/>
            <color indexed="81"/>
            <rFont val="Tahoma"/>
            <family val="2"/>
          </rPr>
          <t xml:space="preserve">
50% increase in ACH and leakage rate due to door openings</t>
        </r>
      </text>
    </comment>
    <comment ref="M45" authorId="0">
      <text>
        <r>
          <rPr>
            <b/>
            <sz val="8"/>
            <color indexed="81"/>
            <rFont val="Tahoma"/>
            <family val="2"/>
          </rPr>
          <t>mlubun:</t>
        </r>
        <r>
          <rPr>
            <sz val="8"/>
            <color indexed="81"/>
            <rFont val="Tahoma"/>
            <family val="2"/>
          </rPr>
          <t xml:space="preserve">
50% increase on ACH and leakage due to door openings
</t>
        </r>
      </text>
    </comment>
    <comment ref="K57" authorId="0">
      <text>
        <r>
          <rPr>
            <b/>
            <sz val="8"/>
            <color indexed="81"/>
            <rFont val="Tahoma"/>
            <family val="2"/>
          </rPr>
          <t>mlubun:</t>
        </r>
        <r>
          <rPr>
            <sz val="8"/>
            <color indexed="81"/>
            <rFont val="Tahoma"/>
            <family val="2"/>
          </rPr>
          <t xml:space="preserve">
ASHRAE 90.1 1999 value</t>
        </r>
      </text>
    </comment>
    <comment ref="G59" authorId="0">
      <text>
        <r>
          <rPr>
            <b/>
            <sz val="8"/>
            <color indexed="81"/>
            <rFont val="Tahoma"/>
            <family val="2"/>
          </rPr>
          <t>mlubun:</t>
        </r>
        <r>
          <rPr>
            <sz val="8"/>
            <color indexed="81"/>
            <rFont val="Tahoma"/>
            <family val="2"/>
          </rPr>
          <t xml:space="preserve">
50% increase on ACH and leakage rate due to hanger door openings</t>
        </r>
      </text>
    </comment>
    <comment ref="I59" authorId="0">
      <text>
        <r>
          <rPr>
            <b/>
            <sz val="8"/>
            <color indexed="81"/>
            <rFont val="Tahoma"/>
            <family val="2"/>
          </rPr>
          <t>mlubun:</t>
        </r>
        <r>
          <rPr>
            <sz val="8"/>
            <color indexed="81"/>
            <rFont val="Tahoma"/>
            <family val="2"/>
          </rPr>
          <t xml:space="preserve">
50% increase in ACH and leakage due to door openings</t>
        </r>
      </text>
    </comment>
    <comment ref="K59" authorId="0">
      <text>
        <r>
          <rPr>
            <b/>
            <sz val="8"/>
            <color indexed="81"/>
            <rFont val="Tahoma"/>
            <family val="2"/>
          </rPr>
          <t>mlubun:</t>
        </r>
        <r>
          <rPr>
            <sz val="8"/>
            <color indexed="81"/>
            <rFont val="Tahoma"/>
            <family val="2"/>
          </rPr>
          <t xml:space="preserve">
50% increase in ACH and leakage rate due to door openings</t>
        </r>
      </text>
    </comment>
    <comment ref="M59" authorId="0">
      <text>
        <r>
          <rPr>
            <b/>
            <sz val="8"/>
            <color indexed="81"/>
            <rFont val="Tahoma"/>
            <family val="2"/>
          </rPr>
          <t>mlubun:</t>
        </r>
        <r>
          <rPr>
            <sz val="8"/>
            <color indexed="81"/>
            <rFont val="Tahoma"/>
            <family val="2"/>
          </rPr>
          <t xml:space="preserve">
50% increase on ACH and leakage due to door openings
</t>
        </r>
      </text>
    </comment>
    <comment ref="G62" authorId="0">
      <text>
        <r>
          <rPr>
            <b/>
            <sz val="8"/>
            <color indexed="81"/>
            <rFont val="Tahoma"/>
            <family val="2"/>
          </rPr>
          <t>mlubun:</t>
        </r>
        <r>
          <rPr>
            <sz val="8"/>
            <color indexed="81"/>
            <rFont val="Tahoma"/>
            <family val="2"/>
          </rPr>
          <t xml:space="preserve">
50% increase on ACH and leakage rate due to hanger door openings</t>
        </r>
      </text>
    </comment>
    <comment ref="I62" authorId="0">
      <text>
        <r>
          <rPr>
            <b/>
            <sz val="8"/>
            <color indexed="81"/>
            <rFont val="Tahoma"/>
            <family val="2"/>
          </rPr>
          <t>mlubun:</t>
        </r>
        <r>
          <rPr>
            <sz val="8"/>
            <color indexed="81"/>
            <rFont val="Tahoma"/>
            <family val="2"/>
          </rPr>
          <t xml:space="preserve">
50% increase in ACH and leakage due to door openings</t>
        </r>
      </text>
    </comment>
    <comment ref="K62" authorId="0">
      <text>
        <r>
          <rPr>
            <b/>
            <sz val="8"/>
            <color indexed="81"/>
            <rFont val="Tahoma"/>
            <family val="2"/>
          </rPr>
          <t>mlubun:</t>
        </r>
        <r>
          <rPr>
            <sz val="8"/>
            <color indexed="81"/>
            <rFont val="Tahoma"/>
            <family val="2"/>
          </rPr>
          <t xml:space="preserve">
50% increase in ACH and leakage rate due to door openings</t>
        </r>
      </text>
    </comment>
    <comment ref="M62" authorId="0">
      <text>
        <r>
          <rPr>
            <b/>
            <sz val="8"/>
            <color indexed="81"/>
            <rFont val="Tahoma"/>
            <family val="2"/>
          </rPr>
          <t>mlubun:</t>
        </r>
        <r>
          <rPr>
            <sz val="8"/>
            <color indexed="81"/>
            <rFont val="Tahoma"/>
            <family val="2"/>
          </rPr>
          <t xml:space="preserve">
50% increase on ACH and leakage due to door openings
</t>
        </r>
      </text>
    </comment>
    <comment ref="M69" authorId="1">
      <text>
        <r>
          <rPr>
            <b/>
            <sz val="9"/>
            <color indexed="81"/>
            <rFont val="Tahoma"/>
            <family val="2"/>
          </rPr>
          <t>building renovated in 2005.</t>
        </r>
      </text>
    </comment>
    <comment ref="G71" authorId="0">
      <text>
        <r>
          <rPr>
            <b/>
            <sz val="8"/>
            <color indexed="81"/>
            <rFont val="Tahoma"/>
            <family val="2"/>
          </rPr>
          <t>mlubun:</t>
        </r>
        <r>
          <rPr>
            <sz val="8"/>
            <color indexed="81"/>
            <rFont val="Tahoma"/>
            <family val="2"/>
          </rPr>
          <t xml:space="preserve">
50% increase on ACH and leakage rate due to hanger door openings</t>
        </r>
      </text>
    </comment>
    <comment ref="I71" authorId="0">
      <text>
        <r>
          <rPr>
            <b/>
            <sz val="8"/>
            <color indexed="81"/>
            <rFont val="Tahoma"/>
            <family val="2"/>
          </rPr>
          <t>mlubun:</t>
        </r>
        <r>
          <rPr>
            <sz val="8"/>
            <color indexed="81"/>
            <rFont val="Tahoma"/>
            <family val="2"/>
          </rPr>
          <t xml:space="preserve">
50% increase in ACH and leakage due to door openings</t>
        </r>
      </text>
    </comment>
    <comment ref="K71" authorId="0">
      <text>
        <r>
          <rPr>
            <b/>
            <sz val="8"/>
            <color indexed="81"/>
            <rFont val="Tahoma"/>
            <family val="2"/>
          </rPr>
          <t>mlubun:</t>
        </r>
        <r>
          <rPr>
            <sz val="8"/>
            <color indexed="81"/>
            <rFont val="Tahoma"/>
            <family val="2"/>
          </rPr>
          <t xml:space="preserve">
50% increase in ACH and leakage rate due to door openings</t>
        </r>
      </text>
    </comment>
    <comment ref="M71" authorId="0">
      <text>
        <r>
          <rPr>
            <b/>
            <sz val="8"/>
            <color indexed="81"/>
            <rFont val="Tahoma"/>
            <family val="2"/>
          </rPr>
          <t>mlubun:</t>
        </r>
        <r>
          <rPr>
            <sz val="8"/>
            <color indexed="81"/>
            <rFont val="Tahoma"/>
            <family val="2"/>
          </rPr>
          <t xml:space="preserve">
50% increase on ACH and leakage due to door openings
</t>
        </r>
      </text>
    </comment>
    <comment ref="G72" authorId="0">
      <text>
        <r>
          <rPr>
            <b/>
            <sz val="8"/>
            <color indexed="81"/>
            <rFont val="Tahoma"/>
            <family val="2"/>
          </rPr>
          <t>mlubun:</t>
        </r>
        <r>
          <rPr>
            <sz val="8"/>
            <color indexed="81"/>
            <rFont val="Tahoma"/>
            <family val="2"/>
          </rPr>
          <t xml:space="preserve">
50% increase on ACH and leakage rate due to hanger door openings</t>
        </r>
      </text>
    </comment>
    <comment ref="I72" authorId="0">
      <text>
        <r>
          <rPr>
            <b/>
            <sz val="8"/>
            <color indexed="81"/>
            <rFont val="Tahoma"/>
            <family val="2"/>
          </rPr>
          <t>mlubun:</t>
        </r>
        <r>
          <rPr>
            <sz val="8"/>
            <color indexed="81"/>
            <rFont val="Tahoma"/>
            <family val="2"/>
          </rPr>
          <t xml:space="preserve">
50% increase in ACH and leakage due to door openings</t>
        </r>
      </text>
    </comment>
    <comment ref="K72" authorId="0">
      <text>
        <r>
          <rPr>
            <b/>
            <sz val="8"/>
            <color indexed="81"/>
            <rFont val="Tahoma"/>
            <family val="2"/>
          </rPr>
          <t>mlubun:</t>
        </r>
        <r>
          <rPr>
            <sz val="8"/>
            <color indexed="81"/>
            <rFont val="Tahoma"/>
            <family val="2"/>
          </rPr>
          <t xml:space="preserve">
50% increase in ACH and leakage rate due to door openings</t>
        </r>
      </text>
    </comment>
    <comment ref="M72" authorId="0">
      <text>
        <r>
          <rPr>
            <b/>
            <sz val="8"/>
            <color indexed="81"/>
            <rFont val="Tahoma"/>
            <family val="2"/>
          </rPr>
          <t>mlubun:</t>
        </r>
        <r>
          <rPr>
            <sz val="8"/>
            <color indexed="81"/>
            <rFont val="Tahoma"/>
            <family val="2"/>
          </rPr>
          <t xml:space="preserve">
50% increase on ACH and leakage due to door openings
</t>
        </r>
      </text>
    </comment>
    <comment ref="G77" authorId="0">
      <text>
        <r>
          <rPr>
            <b/>
            <sz val="8"/>
            <color indexed="81"/>
            <rFont val="Tahoma"/>
            <family val="2"/>
          </rPr>
          <t>mlubun:</t>
        </r>
        <r>
          <rPr>
            <sz val="8"/>
            <color indexed="81"/>
            <rFont val="Tahoma"/>
            <family val="2"/>
          </rPr>
          <t xml:space="preserve">
50% increase on ACH and leakage rate due to hanger door openings</t>
        </r>
      </text>
    </comment>
    <comment ref="I77" authorId="0">
      <text>
        <r>
          <rPr>
            <b/>
            <sz val="8"/>
            <color indexed="81"/>
            <rFont val="Tahoma"/>
            <family val="2"/>
          </rPr>
          <t>mlubun:</t>
        </r>
        <r>
          <rPr>
            <sz val="8"/>
            <color indexed="81"/>
            <rFont val="Tahoma"/>
            <family val="2"/>
          </rPr>
          <t xml:space="preserve">
50% increase in ACH and leakage due to door openings</t>
        </r>
      </text>
    </comment>
    <comment ref="K77" authorId="0">
      <text>
        <r>
          <rPr>
            <b/>
            <sz val="8"/>
            <color indexed="81"/>
            <rFont val="Tahoma"/>
            <family val="2"/>
          </rPr>
          <t>mlubun:</t>
        </r>
        <r>
          <rPr>
            <sz val="8"/>
            <color indexed="81"/>
            <rFont val="Tahoma"/>
            <family val="2"/>
          </rPr>
          <t xml:space="preserve">
50% increase in ACH and leakage rate due to door openings</t>
        </r>
      </text>
    </comment>
    <comment ref="M77" authorId="0">
      <text>
        <r>
          <rPr>
            <b/>
            <sz val="8"/>
            <color indexed="81"/>
            <rFont val="Tahoma"/>
            <family val="2"/>
          </rPr>
          <t>mlubun:</t>
        </r>
        <r>
          <rPr>
            <sz val="8"/>
            <color indexed="81"/>
            <rFont val="Tahoma"/>
            <family val="2"/>
          </rPr>
          <t xml:space="preserve">
50% increase on ACH and leakage due to door openings
</t>
        </r>
      </text>
    </comment>
  </commentList>
</comments>
</file>

<file path=xl/comments3.xml><?xml version="1.0" encoding="utf-8"?>
<comments xmlns="http://schemas.openxmlformats.org/spreadsheetml/2006/main">
  <authors>
    <author>Lopez, Phylroy</author>
  </authors>
  <commentList>
    <comment ref="A1" authorId="0">
      <text>
        <r>
          <rPr>
            <b/>
            <sz val="9"/>
            <color indexed="81"/>
            <rFont val="Tahoma"/>
            <family val="2"/>
          </rPr>
          <t xml:space="preserve">Lopez, Phylroy:
   Vintage 4 Vintage 3 Vintage 2 Vintage 1
   Pre-1960 1960-1979 1980-2004 post-2004
Motor Efficiency 75 (1)   82.3 (2)  87.9 (3)  87.9 (4)
Fan Efficiency  75 (5)  75 (5)  75 (5)  80 (5)
Pump Efficiency  70 (6)  70 (6)  70 (6)  70 (6)
(1) = estimated
(2) = average efficiency of “typical” standard efficiency motors as defined in table 12-9 of NEMA MG 1-1993 of nominal full load efficiency for 4 pole enclosed motors of 1 to 25 hp ratings
(3) = average efficiency of ASHRAE 90.1 1999 Standard  (pg 55) of nominal full load efficiency for 4 pole enclosed motors of 1 to 25 hp ratings
(4) = average efficiency of ASHRAE 90.1 2007 Standard  (pg 65) of nominal full load efficiency for 4 pole enclosed motors of 1 to 25 hp ratings
(5) fan efficiencies depend on the pressure rise and flow and the type of fan.  The rated flow will be used for the fan efficiencies for forward curved fans (60-75%), radial fans (69-75%), backward inclined and airfoil fans (75-80%), vane axial (78-85%), tube axial (67-72%), propeller axial (45-50%).  Backward inclined fans are the most common in HVAC equipment.
(6) pump efficiencies vary by the flow, type of pump and size.  For centrifugal pumps, a 2-4 kW motor would have any efficiency of 55-65%, a 5-7.5 kW motor would have an efficiency of 60-70%, a 10-22 kW motor would have an efficiency of 65-75% and a 30-45 kW motor would have an efficiency of 70-80%
</t>
        </r>
        <r>
          <rPr>
            <sz val="9"/>
            <color indexed="81"/>
            <rFont val="Tahoma"/>
            <family val="2"/>
          </rPr>
          <t xml:space="preserve">
</t>
        </r>
      </text>
    </comment>
  </commentList>
</comments>
</file>

<file path=xl/comments4.xml><?xml version="1.0" encoding="utf-8"?>
<comments xmlns="http://schemas.openxmlformats.org/spreadsheetml/2006/main">
  <authors>
    <author>Lopez, Phylroy</author>
    <author>Lubun, Mike</author>
  </authors>
  <commentList>
    <comment ref="Y1" authorId="0">
      <text>
        <r>
          <rPr>
            <b/>
            <sz val="9"/>
            <color indexed="81"/>
            <rFont val="Tahoma"/>
            <family val="2"/>
          </rPr>
          <t>Lopez, Phylroy:</t>
        </r>
        <r>
          <rPr>
            <sz val="9"/>
            <color indexed="81"/>
            <rFont val="Tahoma"/>
            <family val="2"/>
          </rPr>
          <t xml:space="preserve">
Used for Hanger doors
</t>
        </r>
      </text>
    </comment>
    <comment ref="BD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6" authorId="1">
      <text>
        <r>
          <rPr>
            <b/>
            <sz val="9"/>
            <color indexed="81"/>
            <rFont val="Tahoma"/>
            <family val="2"/>
          </rPr>
          <t>Lubun, Mike:</t>
        </r>
        <r>
          <rPr>
            <sz val="9"/>
            <color indexed="81"/>
            <rFont val="Tahoma"/>
            <family val="2"/>
          </rPr>
          <t xml:space="preserve">
from ashrae (varies between 20-60% accoridng to handbook and types of euipment</t>
        </r>
      </text>
    </comment>
    <comment ref="BD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19"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0" authorId="1">
      <text>
        <r>
          <rPr>
            <b/>
            <sz val="9"/>
            <color indexed="81"/>
            <rFont val="Tahoma"/>
            <family val="2"/>
          </rPr>
          <t>Lubun, Mike:</t>
        </r>
        <r>
          <rPr>
            <sz val="9"/>
            <color indexed="81"/>
            <rFont val="Tahoma"/>
            <family val="2"/>
          </rPr>
          <t xml:space="preserve">
no data just a guess</t>
        </r>
      </text>
    </comment>
    <comment ref="BD21"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2"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3"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4"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5"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6"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7"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8"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29" authorId="1">
      <text>
        <r>
          <rPr>
            <b/>
            <sz val="9"/>
            <color indexed="81"/>
            <rFont val="Tahoma"/>
            <family val="2"/>
          </rPr>
          <t>Lubun, Mike:</t>
        </r>
        <r>
          <rPr>
            <sz val="9"/>
            <color indexed="81"/>
            <rFont val="Tahoma"/>
            <family val="2"/>
          </rPr>
          <t xml:space="preserve">
from ashrae (varies between 30-60% accoridng to handbook and types of euipment</t>
        </r>
      </text>
    </comment>
    <comment ref="BD30" authorId="1">
      <text>
        <r>
          <rPr>
            <b/>
            <sz val="9"/>
            <color indexed="81"/>
            <rFont val="Tahoma"/>
            <family val="2"/>
          </rPr>
          <t>Lubun, Mike:</t>
        </r>
        <r>
          <rPr>
            <sz val="9"/>
            <color indexed="81"/>
            <rFont val="Tahoma"/>
            <family val="2"/>
          </rPr>
          <t xml:space="preserve">
from ashrae (varies between 10-37% accoridng to handbook and types of euipment</t>
        </r>
      </text>
    </comment>
    <comment ref="BD31" authorId="1">
      <text>
        <r>
          <rPr>
            <b/>
            <sz val="9"/>
            <color indexed="81"/>
            <rFont val="Tahoma"/>
            <family val="2"/>
          </rPr>
          <t>Lubun, Mike:</t>
        </r>
        <r>
          <rPr>
            <sz val="9"/>
            <color indexed="81"/>
            <rFont val="Tahoma"/>
            <family val="2"/>
          </rPr>
          <t xml:space="preserve">
no data just a guess</t>
        </r>
      </text>
    </comment>
    <comment ref="BD32" authorId="1">
      <text>
        <r>
          <rPr>
            <b/>
            <sz val="9"/>
            <color indexed="81"/>
            <rFont val="Tahoma"/>
            <family val="2"/>
          </rPr>
          <t>Lubun, Mike:</t>
        </r>
        <r>
          <rPr>
            <sz val="9"/>
            <color indexed="81"/>
            <rFont val="Tahoma"/>
            <family val="2"/>
          </rPr>
          <t xml:space="preserve">
no data just a guess</t>
        </r>
      </text>
    </comment>
    <comment ref="BD33" authorId="1">
      <text>
        <r>
          <rPr>
            <b/>
            <sz val="9"/>
            <color indexed="81"/>
            <rFont val="Tahoma"/>
            <family val="2"/>
          </rPr>
          <t>Lubun, Mike:</t>
        </r>
        <r>
          <rPr>
            <sz val="9"/>
            <color indexed="81"/>
            <rFont val="Tahoma"/>
            <family val="2"/>
          </rPr>
          <t xml:space="preserve">
no data just a guess</t>
        </r>
      </text>
    </comment>
  </commentList>
</comments>
</file>

<file path=xl/comments5.xml><?xml version="1.0" encoding="utf-8"?>
<comments xmlns="http://schemas.openxmlformats.org/spreadsheetml/2006/main">
  <authors>
    <author>Lopez, Phylroy</author>
  </authors>
  <commentList>
    <comment ref="Q1" authorId="0">
      <text>
        <r>
          <rPr>
            <b/>
            <sz val="9"/>
            <color indexed="81"/>
            <rFont val="Tahoma"/>
            <family val="2"/>
          </rPr>
          <t>Lopez, Phylroy:</t>
        </r>
        <r>
          <rPr>
            <sz val="9"/>
            <color indexed="81"/>
            <rFont val="Tahoma"/>
            <family val="2"/>
          </rPr>
          <t xml:space="preserve">
Used for Hanger doors
</t>
        </r>
      </text>
    </comment>
  </commentList>
</comments>
</file>

<file path=xl/comments6.xml><?xml version="1.0" encoding="utf-8"?>
<comments xmlns="http://schemas.openxmlformats.org/spreadsheetml/2006/main">
  <authors>
    <author>Lubun, Mike</author>
  </authors>
  <commentList>
    <comment ref="N1" authorId="0">
      <text>
        <r>
          <rPr>
            <b/>
            <sz val="9"/>
            <color indexed="81"/>
            <rFont val="Tahoma"/>
            <family val="2"/>
          </rPr>
          <t>Lubun, Mike:</t>
        </r>
        <r>
          <rPr>
            <sz val="9"/>
            <color indexed="81"/>
            <rFont val="Tahoma"/>
            <family val="2"/>
          </rPr>
          <t xml:space="preserve">
from sample bill and emails</t>
        </r>
      </text>
    </comment>
    <comment ref="O1" authorId="0">
      <text>
        <r>
          <rPr>
            <b/>
            <sz val="9"/>
            <color indexed="81"/>
            <rFont val="Tahoma"/>
            <family val="2"/>
          </rPr>
          <t>Lubun, Mike:</t>
        </r>
        <r>
          <rPr>
            <sz val="9"/>
            <color indexed="81"/>
            <rFont val="Tahoma"/>
            <family val="2"/>
          </rPr>
          <t xml:space="preserve">
based on 4.5/GJ</t>
        </r>
      </text>
    </comment>
  </commentList>
</comments>
</file>

<file path=xl/comments7.xml><?xml version="1.0" encoding="utf-8"?>
<comments xmlns="http://schemas.openxmlformats.org/spreadsheetml/2006/main">
  <authors>
    <author>Lubun, Mike</author>
  </authors>
  <commentList>
    <comment ref="AC1" authorId="0">
      <text>
        <r>
          <rPr>
            <b/>
            <sz val="9"/>
            <color indexed="81"/>
            <rFont val="Tahoma"/>
            <family val="2"/>
          </rPr>
          <t>Lubun, Mike:</t>
        </r>
        <r>
          <rPr>
            <sz val="9"/>
            <color indexed="81"/>
            <rFont val="Tahoma"/>
            <family val="2"/>
          </rPr>
          <t xml:space="preserve">
includes gas space heating</t>
        </r>
      </text>
    </comment>
  </commentList>
</comments>
</file>

<file path=xl/comments8.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9.xml><?xml version="1.0" encoding="utf-8"?>
<comments xmlns="http://schemas.openxmlformats.org/spreadsheetml/2006/main">
  <authors>
    <author>Lubun, Mike</author>
  </authors>
  <commentList>
    <comment ref="AN1" authorId="0">
      <text>
        <r>
          <rPr>
            <b/>
            <sz val="9"/>
            <color indexed="81"/>
            <rFont val="Tahoma"/>
            <family val="2"/>
          </rPr>
          <t>Lubun, Mike:</t>
        </r>
        <r>
          <rPr>
            <sz val="9"/>
            <color indexed="81"/>
            <rFont val="Tahoma"/>
            <family val="2"/>
          </rPr>
          <t xml:space="preserve">
includes gas space heating</t>
        </r>
      </text>
    </comment>
  </commentList>
</comments>
</file>

<file path=xl/comments10.xml><?xml version="1.0" encoding="utf-8"?>
<comments xmlns="http://schemas.openxmlformats.org/spreadsheetml/2006/main">
  <authors>
    <author>Lubun, Mike</author>
  </authors>
  <commentList>
    <comment ref="H1" authorId="0">
      <text>
        <r>
          <rPr>
            <b/>
            <sz val="9"/>
            <color indexed="81"/>
            <rFont val="Tahoma"/>
            <family val="2"/>
          </rPr>
          <t>Lubun, Mike:</t>
        </r>
        <r>
          <rPr>
            <sz val="9"/>
            <color indexed="81"/>
            <rFont val="Tahoma"/>
            <family val="2"/>
          </rPr>
          <t xml:space="preserve">
includes propane</t>
        </r>
      </text>
    </comment>
    <comment ref="C4" authorId="0">
      <text>
        <r>
          <rPr>
            <b/>
            <sz val="9"/>
            <color indexed="81"/>
            <rFont val="Tahoma"/>
            <charset val="1"/>
          </rPr>
          <t>Lubun, Mike:</t>
        </r>
        <r>
          <rPr>
            <sz val="9"/>
            <color indexed="81"/>
            <rFont val="Tahoma"/>
            <charset val="1"/>
          </rPr>
          <t xml:space="preserve">
includes 1b</t>
        </r>
      </text>
    </comment>
    <comment ref="C12" authorId="0">
      <text>
        <r>
          <rPr>
            <b/>
            <sz val="9"/>
            <color indexed="81"/>
            <rFont val="Tahoma"/>
            <family val="2"/>
          </rPr>
          <t>Lubun, Mike:</t>
        </r>
        <r>
          <rPr>
            <sz val="9"/>
            <color indexed="81"/>
            <rFont val="Tahoma"/>
            <family val="2"/>
          </rPr>
          <t xml:space="preserve">
excludes bunkhouse and seasonal barracks</t>
        </r>
      </text>
    </comment>
    <comment ref="C43" authorId="0">
      <text>
        <r>
          <rPr>
            <b/>
            <sz val="9"/>
            <color indexed="81"/>
            <rFont val="Tahoma"/>
            <family val="2"/>
          </rPr>
          <t>Lubun, Mike:</t>
        </r>
        <r>
          <rPr>
            <sz val="9"/>
            <color indexed="81"/>
            <rFont val="Tahoma"/>
            <family val="2"/>
          </rPr>
          <t xml:space="preserve">
excludes bunkhouse and seasonal barracks</t>
        </r>
      </text>
    </comment>
    <comment ref="C44" authorId="0">
      <text>
        <r>
          <rPr>
            <b/>
            <sz val="9"/>
            <color indexed="81"/>
            <rFont val="Tahoma"/>
            <family val="2"/>
          </rPr>
          <t>Lubun, Mike:</t>
        </r>
        <r>
          <rPr>
            <sz val="9"/>
            <color indexed="81"/>
            <rFont val="Tahoma"/>
            <family val="2"/>
          </rPr>
          <t xml:space="preserve">
excludes bunkhouse and seasonal barracks</t>
        </r>
      </text>
    </comment>
    <comment ref="C75" authorId="0">
      <text>
        <r>
          <rPr>
            <b/>
            <sz val="9"/>
            <color indexed="81"/>
            <rFont val="Tahoma"/>
            <family val="2"/>
          </rPr>
          <t>Lubun, Mike:</t>
        </r>
        <r>
          <rPr>
            <sz val="9"/>
            <color indexed="81"/>
            <rFont val="Tahoma"/>
            <family val="2"/>
          </rPr>
          <t xml:space="preserve">
excludes bunkhouse and seasonal barracks</t>
        </r>
      </text>
    </comment>
    <comment ref="C76" authorId="0">
      <text>
        <r>
          <rPr>
            <b/>
            <sz val="9"/>
            <color indexed="81"/>
            <rFont val="Tahoma"/>
            <family val="2"/>
          </rPr>
          <t>Lubun, Mike:</t>
        </r>
        <r>
          <rPr>
            <sz val="9"/>
            <color indexed="81"/>
            <rFont val="Tahoma"/>
            <family val="2"/>
          </rPr>
          <t xml:space="preserve">
excludes bunkhouse and seasonal barracks</t>
        </r>
      </text>
    </comment>
    <comment ref="C108" authorId="0">
      <text>
        <r>
          <rPr>
            <b/>
            <sz val="9"/>
            <color indexed="81"/>
            <rFont val="Tahoma"/>
            <family val="2"/>
          </rPr>
          <t>Lubun, Mike:</t>
        </r>
        <r>
          <rPr>
            <sz val="9"/>
            <color indexed="81"/>
            <rFont val="Tahoma"/>
            <family val="2"/>
          </rPr>
          <t xml:space="preserve">
excludes bunkhouse and seasonal barracks</t>
        </r>
      </text>
    </comment>
    <comment ref="C109" authorId="0">
      <text>
        <r>
          <rPr>
            <b/>
            <sz val="9"/>
            <color indexed="81"/>
            <rFont val="Tahoma"/>
            <family val="2"/>
          </rPr>
          <t>Lubun, Mike:</t>
        </r>
        <r>
          <rPr>
            <sz val="9"/>
            <color indexed="81"/>
            <rFont val="Tahoma"/>
            <family val="2"/>
          </rPr>
          <t xml:space="preserve">
excludes bunkhouse and seasonal barracks</t>
        </r>
      </text>
    </comment>
    <comment ref="C141" authorId="0">
      <text>
        <r>
          <rPr>
            <b/>
            <sz val="9"/>
            <color indexed="81"/>
            <rFont val="Tahoma"/>
            <family val="2"/>
          </rPr>
          <t>Lubun, Mike:</t>
        </r>
        <r>
          <rPr>
            <sz val="9"/>
            <color indexed="81"/>
            <rFont val="Tahoma"/>
            <family val="2"/>
          </rPr>
          <t xml:space="preserve">
excludes bunkhouse and seasonal barracks</t>
        </r>
      </text>
    </comment>
    <comment ref="C142" authorId="0">
      <text>
        <r>
          <rPr>
            <b/>
            <sz val="9"/>
            <color indexed="81"/>
            <rFont val="Tahoma"/>
            <family val="2"/>
          </rPr>
          <t>Lubun, Mike:</t>
        </r>
        <r>
          <rPr>
            <sz val="9"/>
            <color indexed="81"/>
            <rFont val="Tahoma"/>
            <family val="2"/>
          </rPr>
          <t xml:space="preserve">
excludes bunkhouse and seasonal barracks</t>
        </r>
      </text>
    </comment>
    <comment ref="C174" authorId="0">
      <text>
        <r>
          <rPr>
            <b/>
            <sz val="9"/>
            <color indexed="81"/>
            <rFont val="Tahoma"/>
            <family val="2"/>
          </rPr>
          <t>Lubun, Mike:</t>
        </r>
        <r>
          <rPr>
            <sz val="9"/>
            <color indexed="81"/>
            <rFont val="Tahoma"/>
            <family val="2"/>
          </rPr>
          <t xml:space="preserve">
excludes bunkhouse and seasonal barracks</t>
        </r>
      </text>
    </comment>
    <comment ref="C175" authorId="0">
      <text>
        <r>
          <rPr>
            <b/>
            <sz val="9"/>
            <color indexed="81"/>
            <rFont val="Tahoma"/>
            <family val="2"/>
          </rPr>
          <t>Lubun, Mike:</t>
        </r>
        <r>
          <rPr>
            <sz val="9"/>
            <color indexed="81"/>
            <rFont val="Tahoma"/>
            <family val="2"/>
          </rPr>
          <t xml:space="preserve">
excludes bunkhouse and seasonal barracks</t>
        </r>
      </text>
    </comment>
    <comment ref="C207" authorId="0">
      <text>
        <r>
          <rPr>
            <b/>
            <sz val="9"/>
            <color indexed="81"/>
            <rFont val="Tahoma"/>
            <family val="2"/>
          </rPr>
          <t>Lubun, Mike:</t>
        </r>
        <r>
          <rPr>
            <sz val="9"/>
            <color indexed="81"/>
            <rFont val="Tahoma"/>
            <family val="2"/>
          </rPr>
          <t xml:space="preserve">
excludes bunkhouse and seasonal barracks</t>
        </r>
      </text>
    </comment>
    <comment ref="C208" authorId="0">
      <text>
        <r>
          <rPr>
            <b/>
            <sz val="9"/>
            <color indexed="81"/>
            <rFont val="Tahoma"/>
            <family val="2"/>
          </rPr>
          <t>Lubun, Mike:</t>
        </r>
        <r>
          <rPr>
            <sz val="9"/>
            <color indexed="81"/>
            <rFont val="Tahoma"/>
            <family val="2"/>
          </rPr>
          <t xml:space="preserve">
excludes bunkhouse and seasonal barracks</t>
        </r>
      </text>
    </comment>
    <comment ref="C240" authorId="0">
      <text>
        <r>
          <rPr>
            <b/>
            <sz val="9"/>
            <color indexed="81"/>
            <rFont val="Tahoma"/>
            <family val="2"/>
          </rPr>
          <t>Lubun, Mike:</t>
        </r>
        <r>
          <rPr>
            <sz val="9"/>
            <color indexed="81"/>
            <rFont val="Tahoma"/>
            <family val="2"/>
          </rPr>
          <t xml:space="preserve">
excludes bunkhouse and seasonal barracks</t>
        </r>
      </text>
    </comment>
    <comment ref="C241" authorId="0">
      <text>
        <r>
          <rPr>
            <b/>
            <sz val="9"/>
            <color indexed="81"/>
            <rFont val="Tahoma"/>
            <family val="2"/>
          </rPr>
          <t>Lubun, Mike:</t>
        </r>
        <r>
          <rPr>
            <sz val="9"/>
            <color indexed="81"/>
            <rFont val="Tahoma"/>
            <family val="2"/>
          </rPr>
          <t xml:space="preserve">
excludes bunkhouse and seasonal barracks</t>
        </r>
      </text>
    </comment>
    <comment ref="C273" authorId="0">
      <text>
        <r>
          <rPr>
            <b/>
            <sz val="9"/>
            <color indexed="81"/>
            <rFont val="Tahoma"/>
            <family val="2"/>
          </rPr>
          <t>Lubun, Mike:</t>
        </r>
        <r>
          <rPr>
            <sz val="9"/>
            <color indexed="81"/>
            <rFont val="Tahoma"/>
            <family val="2"/>
          </rPr>
          <t xml:space="preserve">
excludes bunkhouse and seasonal barracks</t>
        </r>
      </text>
    </comment>
    <comment ref="C274" authorId="0">
      <text>
        <r>
          <rPr>
            <b/>
            <sz val="9"/>
            <color indexed="81"/>
            <rFont val="Tahoma"/>
            <family val="2"/>
          </rPr>
          <t>Lubun, Mike:</t>
        </r>
        <r>
          <rPr>
            <sz val="9"/>
            <color indexed="81"/>
            <rFont val="Tahoma"/>
            <family val="2"/>
          </rPr>
          <t xml:space="preserve">
excludes bunkhouse and seasonal barracks</t>
        </r>
      </text>
    </comment>
  </commentList>
</comments>
</file>

<file path=xl/comments11.xml><?xml version="1.0" encoding="utf-8"?>
<comments xmlns="http://schemas.openxmlformats.org/spreadsheetml/2006/main">
  <authors>
    <author>Lopez, Phylroy</author>
    <author>Lubun, Mike</author>
  </authors>
  <commentList>
    <comment ref="A1" authorId="0">
      <text>
        <r>
          <rPr>
            <b/>
            <sz val="9"/>
            <color indexed="81"/>
            <rFont val="Tahoma"/>
            <charset val="1"/>
          </rPr>
          <t>Lopez, Phylroy:</t>
        </r>
        <r>
          <rPr>
            <sz val="9"/>
            <color indexed="81"/>
            <rFont val="Tahoma"/>
            <charset val="1"/>
          </rPr>
          <t xml:space="preserve">
You must add the evaluation year manually and it must match what is in base_build_arch_areas.
</t>
        </r>
      </text>
    </comment>
    <comment ref="B1" authorId="0">
      <text>
        <r>
          <rPr>
            <sz val="9"/>
            <color indexed="81"/>
            <rFont val="Tahoma"/>
            <charset val="1"/>
          </rPr>
          <t xml:space="preserve">You must add the ecm names manually…Sorry.
Phylroy
</t>
        </r>
      </text>
    </comment>
    <comment ref="B25" authorId="1">
      <text>
        <r>
          <rPr>
            <b/>
            <sz val="9"/>
            <color indexed="81"/>
            <rFont val="Tahoma"/>
            <family val="2"/>
          </rPr>
          <t>Lubun, Mike:</t>
        </r>
        <r>
          <rPr>
            <sz val="9"/>
            <color indexed="81"/>
            <rFont val="Tahoma"/>
            <family val="2"/>
          </rPr>
          <t xml:space="preserve">
12% savings on heating/cooling/fan/pump</t>
        </r>
      </text>
    </comment>
  </commentList>
</comments>
</file>

<file path=xl/comments12.xml><?xml version="1.0" encoding="utf-8"?>
<comments xmlns="http://schemas.openxmlformats.org/spreadsheetml/2006/main">
  <authors>
    <author>Lubun, Mike</author>
  </authors>
  <commentList>
    <comment ref="A81" authorId="0">
      <text>
        <r>
          <rPr>
            <b/>
            <sz val="9"/>
            <color indexed="81"/>
            <rFont val="Tahoma"/>
            <family val="2"/>
          </rPr>
          <t>Lubun, Mike:</t>
        </r>
        <r>
          <rPr>
            <sz val="9"/>
            <color indexed="81"/>
            <rFont val="Tahoma"/>
            <family val="2"/>
          </rPr>
          <t xml:space="preserve">
12% savings on heating/cooling/fan/pump</t>
        </r>
      </text>
    </comment>
  </commentList>
</comments>
</file>

<file path=xl/sharedStrings.xml><?xml version="1.0" encoding="utf-8"?>
<sst xmlns="http://schemas.openxmlformats.org/spreadsheetml/2006/main" count="12080" uniqueCount="1182">
  <si>
    <t>Barracks</t>
  </si>
  <si>
    <t>Vehicle Garage</t>
  </si>
  <si>
    <t>Storage Building</t>
  </si>
  <si>
    <t>Hangars</t>
  </si>
  <si>
    <t>Small Building Types</t>
  </si>
  <si>
    <t>Infiltration @ 5 pascals (normal)</t>
  </si>
  <si>
    <t>Bldg Type</t>
  </si>
  <si>
    <t>Type</t>
  </si>
  <si>
    <t>No. Bldgs</t>
  </si>
  <si>
    <r>
      <t>Ave. Floor Area (m</t>
    </r>
    <r>
      <rPr>
        <vertAlign val="superscript"/>
        <sz val="10"/>
        <rFont val="Arial"/>
        <family val="2"/>
      </rPr>
      <t>2</t>
    </r>
    <r>
      <rPr>
        <sz val="11"/>
        <color theme="1"/>
        <rFont val="Calibri"/>
        <family val="2"/>
        <scheme val="minor"/>
      </rPr>
      <t>)</t>
    </r>
  </si>
  <si>
    <r>
      <t>Total Area (m</t>
    </r>
    <r>
      <rPr>
        <vertAlign val="superscript"/>
        <sz val="10"/>
        <rFont val="Arial"/>
        <family val="2"/>
      </rPr>
      <t>2</t>
    </r>
    <r>
      <rPr>
        <sz val="11"/>
        <color theme="1"/>
        <rFont val="Calibri"/>
        <family val="2"/>
        <scheme val="minor"/>
      </rPr>
      <t>)</t>
    </r>
  </si>
  <si>
    <t>% Total Floor Area</t>
  </si>
  <si>
    <t>pre-1960</t>
  </si>
  <si>
    <t>1960-1979</t>
  </si>
  <si>
    <t>1980-2004</t>
  </si>
  <si>
    <t>post-2004</t>
  </si>
  <si>
    <t>ACH (L/sec/m2)</t>
  </si>
  <si>
    <t>1c</t>
  </si>
  <si>
    <t>1.5 (0.80)</t>
  </si>
  <si>
    <t xml:space="preserve">1.0 (0.75) </t>
  </si>
  <si>
    <t>0.66 (0.45)</t>
  </si>
  <si>
    <t>0.40 (0.30)</t>
  </si>
  <si>
    <t>Training Bldgs</t>
  </si>
  <si>
    <t>2b</t>
  </si>
  <si>
    <t>1.0 (0.70)</t>
  </si>
  <si>
    <t>0.60 (0.50)</t>
  </si>
  <si>
    <t>0.44 (0.35)</t>
  </si>
  <si>
    <t>0.27 (0.20)</t>
  </si>
  <si>
    <t>Warehouses (Sheds)</t>
  </si>
  <si>
    <t>3b</t>
  </si>
  <si>
    <t>Sleeping barracks</t>
  </si>
  <si>
    <t>4c</t>
  </si>
  <si>
    <t>Recreational / Club Bldgs</t>
  </si>
  <si>
    <t>5d</t>
  </si>
  <si>
    <t>Offices</t>
  </si>
  <si>
    <t>6b</t>
  </si>
  <si>
    <t>Food Services</t>
  </si>
  <si>
    <t>7b</t>
  </si>
  <si>
    <t>(new)  Storage Bldgs</t>
  </si>
  <si>
    <t>8b</t>
  </si>
  <si>
    <t>Workshops</t>
  </si>
  <si>
    <t>9b</t>
  </si>
  <si>
    <t>Medical Facilities</t>
  </si>
  <si>
    <t>10b</t>
  </si>
  <si>
    <t>Retail Bldgs (+ Retail/Office)</t>
  </si>
  <si>
    <t>11b</t>
  </si>
  <si>
    <t>Communications &amp; Control</t>
  </si>
  <si>
    <t>13c</t>
  </si>
  <si>
    <r>
      <t>Misc. Bldgs &lt; 100m</t>
    </r>
    <r>
      <rPr>
        <vertAlign val="superscript"/>
        <sz val="10"/>
        <rFont val="Arial"/>
        <family val="2"/>
      </rPr>
      <t>2</t>
    </r>
  </si>
  <si>
    <t>Percentage of total building area represented by Part 9</t>
  </si>
  <si>
    <t>Part 3 Building Types</t>
  </si>
  <si>
    <t>1a</t>
  </si>
  <si>
    <t>Air Terminal</t>
  </si>
  <si>
    <t>1b</t>
  </si>
  <si>
    <t>2a</t>
  </si>
  <si>
    <t>Warehouses (Storage Bldgs)</t>
  </si>
  <si>
    <t>3a</t>
  </si>
  <si>
    <t>Motel Type Residences</t>
  </si>
  <si>
    <t>4a</t>
  </si>
  <si>
    <t xml:space="preserve">University Dormitory Type </t>
  </si>
  <si>
    <t>4b</t>
  </si>
  <si>
    <t>Fitness &amp; Rec. - Multi-gym</t>
  </si>
  <si>
    <t>5a</t>
  </si>
  <si>
    <t>Fitness &amp; Rec. - Arena</t>
  </si>
  <si>
    <t>5b</t>
  </si>
  <si>
    <t>Fitness &amp; Rec. - Pool</t>
  </si>
  <si>
    <t>5c</t>
  </si>
  <si>
    <t>6a</t>
  </si>
  <si>
    <t>7a</t>
  </si>
  <si>
    <t>Infrastructure (former Garage &amp; Process Enclosures)</t>
  </si>
  <si>
    <t>8a</t>
  </si>
  <si>
    <t>9a</t>
  </si>
  <si>
    <t>10a</t>
  </si>
  <si>
    <t>Retail Bldgs</t>
  </si>
  <si>
    <t>11a</t>
  </si>
  <si>
    <t>Religious Bldgs</t>
  </si>
  <si>
    <t>Control Tower</t>
  </si>
  <si>
    <t>13a</t>
  </si>
  <si>
    <t>Fire Hall</t>
  </si>
  <si>
    <t>13b</t>
  </si>
  <si>
    <t>Museum</t>
  </si>
  <si>
    <t>Note: Values Taken and Adapted from: (1) U.S. Army Corps of Engineers " Building Air Tightness: Army Requirements and Case Studies (New Construction and Retrofit Projects)"</t>
  </si>
  <si>
    <t>7th Annual Workshop, Energy Efficient Technologies for Buildings and Communities, Jan 28, 2011 Las Vegas</t>
  </si>
  <si>
    <t>(2) "Air Barrier Test Results and Trends: Experience from 100+ Buildings" Pie Forensic Consultants, presented at Energy Efficient Technologies for Buildings and Communities, Jan 28, 2011 Las Vegas</t>
  </si>
  <si>
    <t>(3) "Efficient Technologies to Reduce Building Energy Use and Meet Federal Requirements, Alexender Zhivov, U.S. Army Corps of Engineers</t>
  </si>
  <si>
    <t>Lighting</t>
  </si>
  <si>
    <t>humidification/dehumidification</t>
  </si>
  <si>
    <t>heating system capacity</t>
  </si>
  <si>
    <t>cooling system capacity</t>
  </si>
  <si>
    <t>boiler capacity</t>
  </si>
  <si>
    <t>boiler efficiency</t>
  </si>
  <si>
    <t>yes</t>
  </si>
  <si>
    <t>no</t>
  </si>
  <si>
    <t>water tank capacity</t>
  </si>
  <si>
    <t>water tank efficiency</t>
  </si>
  <si>
    <t>schedule</t>
  </si>
  <si>
    <t>fan motor efficiency</t>
  </si>
  <si>
    <t>pump motor efficiency</t>
  </si>
  <si>
    <t xml:space="preserve">fuel type </t>
  </si>
  <si>
    <t>based on audit</t>
  </si>
  <si>
    <t xml:space="preserve">0.27 ACH (0.20 L/s/m2) </t>
  </si>
  <si>
    <t xml:space="preserve"> </t>
  </si>
  <si>
    <t>Occupancy</t>
  </si>
  <si>
    <t xml:space="preserve">actual schedules reported in the audit </t>
  </si>
  <si>
    <t>Building Construction</t>
  </si>
  <si>
    <t xml:space="preserve">Same as building occupancy schedule reported in the audit  </t>
  </si>
  <si>
    <t>Air Leakage (Infiltration) Rate Assumptions</t>
  </si>
  <si>
    <t>spaces with cooling</t>
  </si>
  <si>
    <t>free cooling economizers</t>
  </si>
  <si>
    <t>Plug Loads</t>
  </si>
  <si>
    <t>Weather (historical weather data)</t>
  </si>
  <si>
    <t xml:space="preserve">Building Code values used to estimate the number of lamps per square metre of floor area </t>
  </si>
  <si>
    <t>Building Code values</t>
  </si>
  <si>
    <t xml:space="preserve">the type of HVAC equipment was not correlated to the building's age because buildings have undergone so many retrofits and added new heating and ventilation systems </t>
  </si>
  <si>
    <t>no humidification is assumed; dehumidification accounted for by cooling</t>
  </si>
  <si>
    <t xml:space="preserve"> 24 °C average for cooled spaces</t>
  </si>
  <si>
    <t>nighttime temperature setback</t>
  </si>
  <si>
    <t>Item</t>
  </si>
  <si>
    <t>Edmonton average weather data. A data file called Canadian Weather year for Energy Calculation (CWEC)</t>
  </si>
  <si>
    <t>installed in central plant heated buildings; not installed in other buildings</t>
  </si>
  <si>
    <t>boiler with outdoor air reset control</t>
  </si>
  <si>
    <t>82 °C</t>
  </si>
  <si>
    <t>adjusted according to age of building</t>
  </si>
  <si>
    <t>constant speed</t>
  </si>
  <si>
    <t>Domestic Hot Water</t>
  </si>
  <si>
    <t>based on Building Code values for temperature, litres and draw profiles</t>
  </si>
  <si>
    <t>Building Code value</t>
  </si>
  <si>
    <t xml:space="preserve">actual if available otherwise 80% for gas-fired, 100% for electric with standby losses taken into account separately </t>
  </si>
  <si>
    <t>Utility Costs</t>
  </si>
  <si>
    <t>estimated from the building plans, including renovations to walls and roofs (see attached sheet 'R-values')</t>
  </si>
  <si>
    <t>estimated from a  U.S. Army Corps of Engineers study (see attached sheet 'Infiltration Rates')</t>
  </si>
  <si>
    <t>number of occupants in buildings</t>
  </si>
  <si>
    <t>occupancy schedules in buildings</t>
  </si>
  <si>
    <t>insulation levels in walls and ceilings</t>
  </si>
  <si>
    <t>air tightness / air leakage</t>
  </si>
  <si>
    <t>In most spaces, lights generate heat that contributes to useful space heating and also contributes to summer cooling loads. This is not the case in bay spaces where the heat from lights does not reach occupants.</t>
  </si>
  <si>
    <t>type of lamps</t>
  </si>
  <si>
    <t>contribution to space heating</t>
  </si>
  <si>
    <t>Building Code values adjusted for the actual occupancy reported in the audit</t>
  </si>
  <si>
    <t>not currently practiced in any buildings</t>
  </si>
  <si>
    <t>based on predominant Building Code space type</t>
  </si>
  <si>
    <t>Controls Based</t>
  </si>
  <si>
    <t>How Modelled?</t>
  </si>
  <si>
    <t>Costed?</t>
  </si>
  <si>
    <t>Short Description of ECM</t>
  </si>
  <si>
    <t xml:space="preserve"> Long Description of ECM / for Modelling</t>
  </si>
  <si>
    <t>Cold Lake Audit Notes (Matthew's)</t>
  </si>
  <si>
    <t>Comments</t>
  </si>
  <si>
    <t>Application Rate</t>
  </si>
  <si>
    <t>Implementation</t>
  </si>
  <si>
    <t>Miscellaneous / Other Benefits</t>
  </si>
  <si>
    <t>Ventilation</t>
  </si>
  <si>
    <t>not modelled for Trenton. could be modelled in OS</t>
  </si>
  <si>
    <t>Followed the MNECB or real schedule for fan operation</t>
  </si>
  <si>
    <t>A sensor determines when a space is unoccupied and the control shuts off exhaust fans and make-up air units (MUA). Saves fan energy (electricity) and heating.</t>
  </si>
  <si>
    <t>same as short description</t>
  </si>
  <si>
    <t>Seems to pay back well on a ½ h.p. fan running 24/7.  Phylroy would need to schedule exhaust fans distinctly from air handlers</t>
  </si>
  <si>
    <t xml:space="preserve"> % of buildings or floor space this ECM applies to </t>
  </si>
  <si>
    <t>Demand controlled ventilation (DCV) control</t>
  </si>
  <si>
    <t>OS</t>
  </si>
  <si>
    <t>yes. Did not include the cost of a VFD</t>
  </si>
  <si>
    <t>MNECB 1997 schedules for fan operation, or real schedule</t>
  </si>
  <si>
    <t xml:space="preserve">Minimizes the delivery of ventilation air by measuring the carbon dioxide concentration in the space, and delivering enough air to meet the building code. Installed in AHUs and RTUs. Saves on fan energy and heating. </t>
  </si>
  <si>
    <t>Adjusts the rate of ventilation air delivered to a space by measuring the carbon dioxide concentration in the space. When there are no occupants in the space, ventilation is minimized, saving on fan energy. Two types of demand control ventilation devices assessed: sensors in occupied spaces controlling airflow to the space and sensors in return air duct controlling operation of the  air handler.</t>
  </si>
  <si>
    <t xml:space="preserve">I observed strong ventilation running in the REC Centre squash courts and activities room while unoccupied.  </t>
  </si>
  <si>
    <t>Risk of comfort problems according to staff. Building specific. Should package DCV with VFD ECM.</t>
  </si>
  <si>
    <t>Where mechanical cooling is undersized, this ECM would keep buildings cooler by reducing the addition of warm outdoor air  during summer</t>
  </si>
  <si>
    <t xml:space="preserve">Variable frequency drive (VFD) control for air handler fans </t>
  </si>
  <si>
    <t>Assume existing fans have constant speed, based on MNECB 1997. We will assume a typical fan type curve.</t>
  </si>
  <si>
    <t>A VFD adjusts the fan speed to match the actual need for ventilation air, heating or cooling.  Installed in constant speed AHUs and RTUs. This saves on fan energy, heating and cooling.</t>
  </si>
  <si>
    <t>For constant speed AHUs and RTUs, a controller which measures the return air/outdoor air temperatures and adjusts the fan motor to maintain a return air temperature or to adjust the volume of air delivered to maintain return air temperature and/or carbon dioxide in return air stream. A 20% lower fan speed saves 50% of the fan energy. Also reduces the cost to condition outside air.</t>
  </si>
  <si>
    <t>Some AHU fans have VFDs (REC Centre has at least one AHU). They can be problematic according to Rob Williams</t>
  </si>
  <si>
    <t xml:space="preserve">For RTUs an alternate to this ECM could be the Advanced RTU Controller 'Catalyst' that combines fan speed, economizer and DCV controls and saves 25% to 50%.  </t>
  </si>
  <si>
    <t>Occupancy sensor control for plug loads</t>
  </si>
  <si>
    <t>manual</t>
  </si>
  <si>
    <t>MNECB 1997 by space type</t>
  </si>
  <si>
    <t>A PIR + ultrasonic sensor turns on a circuit for wall plugs when it is activated by a person entering the room. After the occupant leaves the room and there is no activity sensed, a timer turns the circuit off, saving on electricity.</t>
  </si>
  <si>
    <t>Many personal heaters and fans are used in offices. This ECM could ensure they are being shut off at night, as well as computers and office equipment.</t>
  </si>
  <si>
    <t>Replacement of T8 lamp fixtures with T5s</t>
  </si>
  <si>
    <t>Lighting energy was reduced by 30% over MNECB energy levels per space by assuming existing T8 fluorescent fixtures in offices, barracks, warehouses).</t>
  </si>
  <si>
    <t>Lighting contributes useful space heating in some spaces and conversely adds to cooling loads. In high bay spaces it is assumed not to contribute to space heating.</t>
  </si>
  <si>
    <t>Replacement of metal halide lamp fixtures with T5s</t>
  </si>
  <si>
    <t>Replace  existing 400W or 250W Metal Halide lamps with high-intensity, instant start, T5 fixtures. This saves approximately 50%.</t>
  </si>
  <si>
    <t>Lighting energy was reduced by 30% over MNECB energy levels per space by assuming existing metal halide fixtures (400W) in hangers and workshops and metal halide fixtures (250W) in gyms and recreational high bay spaces</t>
  </si>
  <si>
    <t xml:space="preserve">various wattages of metal halides were observed. </t>
  </si>
  <si>
    <t>Assume same floor area application as Trenton. Set HIDs to 5% space heat. Note other benefits of fluorescent e.g. lumen depreciation</t>
  </si>
  <si>
    <t xml:space="preserve">Alert Hangars with metal halide lights left on 24/7 could potentially turn off fluorescents if they are instant start. Since metal halides takes time to warm up they are currently left on at all times.   </t>
  </si>
  <si>
    <t>Occupancy sensor control for lighting</t>
  </si>
  <si>
    <t>not modelled for Trenton</t>
  </si>
  <si>
    <t>yes, same sensor used for plug loads</t>
  </si>
  <si>
    <t>A PIR + ultrasonic sensor turns on a circuit for lights when it is activated by a person entering the room. After the occupant leaves the room and there is no activity, a timer turns the circuit off, saving on electricity.</t>
  </si>
  <si>
    <t>could apply to workshops, mechanical rooms, bathrooms – tend to be infrequently occupied</t>
  </si>
  <si>
    <t>Include a paragraph on photocells for outdoor lighting</t>
  </si>
  <si>
    <t>Heating</t>
  </si>
  <si>
    <t>Start with MNECB 1997 values</t>
  </si>
  <si>
    <t>Replace standard efficiency pump and fan motors with NEMA rated Premium efficiency motors. Saves in the order of 5% of electricity.</t>
  </si>
  <si>
    <t>Need to assume efficiency of typical existing motor</t>
  </si>
  <si>
    <t>This could be part of a motor replacement program or a regular maintenance plan. Staff could use Motormaster.com software to inventory and select motors</t>
  </si>
  <si>
    <t xml:space="preserve">Outdoor air  temperature reset control for hot water loop </t>
  </si>
  <si>
    <t>NECB 2011 sequence for boilers</t>
  </si>
  <si>
    <t>A controller that measures the outdoor air temperature and raises or lowers the hot water loop temperature to better match the building heat loss. It saves energy by minimizing heat loss in the distribution and boiler stack since the boiler cycles less often.</t>
  </si>
  <si>
    <t>A hot water reset control measures the outside air temperature; this information is used to estimate the building heating load as the outdoor temperature varies. The supply hot water temperature is modulated up and down range in an inverse linear ratio to outside air temperature. The typical range for conventional boilers is to vary the supply water temperature from 60 .. 82 ⁰C as the outside temperature varies from +18 .. -18 ⁰C.</t>
  </si>
  <si>
    <t>Outdoor Air Reset of Hot Water Converters:  This is supposed to be currently installed in buildings heated by the DES. Was installed by MCW in 1998-2001.</t>
  </si>
  <si>
    <t xml:space="preserve">REC centre has it. Assume that buildings newer than 15 year old  include it.   </t>
  </si>
  <si>
    <t xml:space="preserve">Boiler low-limit setting of 180F seems to prevent the Outdoor air reset from setting as low as it could potentially go. </t>
  </si>
  <si>
    <t>Variable speed drive (VSD) control for hydronic/heating pumps</t>
  </si>
  <si>
    <t xml:space="preserve">Assume existing pumps have constant speed, based on MNECB 1997.  </t>
  </si>
  <si>
    <t xml:space="preserve">A VSD varies the speed of a  hydronic pump as the need for heat in the building changes. For example in warmer weather, the pump speed can be reduced.  Saves on heating and pumping energy. </t>
  </si>
  <si>
    <t>VSD controller for a  pump along with a 2-way valve on the hydronic loop which measures the return water temperature and adjusts the pump motor and the 2-way valve position to maintain a design temperature differential.  Savings are in heating and pump energy . A 20% lower speed saves 50% of pumping energy.</t>
  </si>
  <si>
    <t>Pool water pumps – base speed on pool water turbidity. This should ramp down pumping at night</t>
  </si>
  <si>
    <t xml:space="preserve">Didn’t energy model this.   </t>
  </si>
  <si>
    <t xml:space="preserve">Supply air temperature reset control  </t>
  </si>
  <si>
    <t>Is a standard control sequence in the NECB 2011</t>
  </si>
  <si>
    <t>In AHUs or RTUs, this control lowers the supply air temperature to more accurately match the space heating load, based on measuring the return air temperature. Saves on heating , cooling  and re-heat energy.</t>
  </si>
  <si>
    <t xml:space="preserve">In AHUs or RTUs, reduces the supply air temperature or reheat temperature based on measuring return air temperature  to match the heating load more closely  as indoor conditions change. Saves  on heating, cooling and reheat energy. </t>
  </si>
  <si>
    <t xml:space="preserve">Retro-commissioning of HVAC systems </t>
  </si>
  <si>
    <t>yes, for two measures</t>
  </si>
  <si>
    <t xml:space="preserve">Used ASRHAE  Energy Efficiency Guides for Existing Commercial Buildings. </t>
  </si>
  <si>
    <t>Includes the re-calibration of thermostats and re-tuning  of all the controls in AHUs and RTUs. This saves on electrical, heating and cooling energy.</t>
  </si>
  <si>
    <t>Re-calibrating of thermostats in occupied spaces and retuning of all of the controls within the AHUs and RTUs to ensure that the sequence of operations and settings (valve, damper, temperatures, sensors) are within design specifications</t>
  </si>
  <si>
    <t>Col d Lake has a need to update the missing documentation on building controls</t>
  </si>
  <si>
    <t xml:space="preserve">Empirical data is found in the  PNNL 2012 Study on Commercial Building Re-tuning </t>
  </si>
  <si>
    <t xml:space="preserve">Nighttime temperature setback </t>
  </si>
  <si>
    <t>2°C was agreed to be reasonable</t>
  </si>
  <si>
    <t>Using a programmable thermostat or BAS, the space temperature is lowered by 2°C  during unoccupied hours and brought back up 2°C before occupied hours. This reduces the amount of heating.</t>
  </si>
  <si>
    <t>Reduction in the heating setpoint by 2°C for unoccupied hours (assumes a zero setback strategy currently exists)</t>
  </si>
  <si>
    <t xml:space="preserve">Various technicians, building occupants and CE staff  indicated reluctance to set back temperature at night due to previous issues with comfort, recovery time and the risk of freezing the building.  There is potential in some spaces (e.g. unit heaters on thermostats). Difficulty recovering temperature in older buildings. </t>
  </si>
  <si>
    <t>We could assume there is potential in 25% (?) of spaces.  Due to the climate and comfort, we did not recommend the occupied hours temperature reduction recommended for Trenton.</t>
  </si>
  <si>
    <t>Digital programmable thermostat would be needed for Barracks with perimeter convectors and  Braukmann thermostat controls.</t>
  </si>
  <si>
    <t>DHW Heating</t>
  </si>
  <si>
    <t>Replacement of electric hot water tanks with gas-fired hot water tanks</t>
  </si>
  <si>
    <t>Assume an E.F. for the electric (EF 0.92, 100% s.s.) and for the gas hot water tank (EF 0.67. 80% s.s.).  seasonal efficiency.  Use MNECB 1997 daily occupant or space DHW consumption and draw profile.</t>
  </si>
  <si>
    <t>Replacement of  electric hot water tanks with gas-fired hot water tanks.  This saves on energy costs and GHGs.</t>
  </si>
  <si>
    <t xml:space="preserve">Replacement of  electric hot water tanks with gas-fired hot water tanks.  This saves on energy costs and GHGs in Alberta since the GHG factor for natural gas is lower than the factor for electricity. </t>
  </si>
  <si>
    <t xml:space="preserve"> Many electric DHW tanks were observed in audited buildings</t>
  </si>
  <si>
    <t>Must consider the existing capacity of  gas pipe  and proximity of nearest gas pipe to the electric hot water tank.</t>
  </si>
  <si>
    <t>because electricity is five times more expensive, consider gas-fired DHW to save operating cost and GHG emissions</t>
  </si>
  <si>
    <t>Drainwater heat recovery for Barracks</t>
  </si>
  <si>
    <t>manual. not modelled for Trenton. There is a DWHR module in EnergyPlus</t>
  </si>
  <si>
    <t>Use MNECB 1997 daily occupant or space DHW consumption and draw profile.</t>
  </si>
  <si>
    <t>A copper drain pipe device (a gravity film exchanger) recovers the heat  - mainly from shower drainwater - and transfers it to the cold domestic water as it flows into the hot water tank. This saves on DHW heating energy.</t>
  </si>
  <si>
    <t>Potential in the barracks.  A main drainwater pipe is close by to the DHW Heater.</t>
  </si>
  <si>
    <t>Matthew could estimate the cost</t>
  </si>
  <si>
    <t>DES</t>
  </si>
  <si>
    <t>Not applicable</t>
  </si>
  <si>
    <t>To accommodate a new DES using low temperature hot water, the existing steam "converters" in buildings would need to be replaced with  hot water heat exchangers.</t>
  </si>
  <si>
    <t>Is this considered an "ECM"?</t>
  </si>
  <si>
    <t>Cooling</t>
  </si>
  <si>
    <t>Cold deck reset control</t>
  </si>
  <si>
    <t>Assuming a constant supply air temperature, as per MNECB 1997</t>
  </si>
  <si>
    <t>During mechanical cooling, supply air temperature is reset based upon the return air temperature and the outdoor air temperature to ensure the space does not overcool resulting in possible reheat energy. This saves on cooling energy and possibly reheat energy.</t>
  </si>
  <si>
    <t>During mechanical cooling, supply air temperature is reset based upon the return air temperature and the outdoor air temperature to ensure the space does not overcool resulting in possible reheat energy.  Savings are due to reduced mechanical cooling and some fan energy. Adjust the stages of cooling or the refrigerant valve in response to the return air temperature. Prevents over-cooling of space</t>
  </si>
  <si>
    <t>Observed only DX cooling during audits</t>
  </si>
  <si>
    <t>Start with a COP of 2.5 in V3 and V4, and  COP 3.0 in V1 and V2 based on typical MNECB 1997 values</t>
  </si>
  <si>
    <t xml:space="preserve">Replace the compressors in  cooling condensers and air conditioners with the latest energy efficient compressors. This saves on electricity. </t>
  </si>
  <si>
    <t>Replacement of the AHU and RTU compressor only with a new scroll compressor (COP 4.0) using R-410A refrigerant.  Existing compressors are assumed to be COP 2.5 for all pre-2004 buildings and COP 3.0 for all post-2004 buildings.</t>
  </si>
  <si>
    <t xml:space="preserve">The average age of condensers is estimated to be 15 years old.  </t>
  </si>
  <si>
    <t>The cost to upgrade &lt; 5 ton compressors was similar to replacing the entire outdoor section of a mini-split air conditioner. See ECM below</t>
  </si>
  <si>
    <t xml:space="preserve"> Replacement of  cooling section of an AHU or RTU.  Or replacement of the whole RTU. </t>
  </si>
  <si>
    <t>We costed RTU total replacement, and AHU replacement. But equipment cost is likely to be similar for replacing only the DX section</t>
  </si>
  <si>
    <t>Replace the  DX equipment (both the condenser section and evaporator coil) or an entire RTU with a new energy efficient model. Saves on heating, cooling and electricity through better COP, furnace efficiency and more advanced controls.</t>
  </si>
  <si>
    <t xml:space="preserve">Complete replacement of the direct expansion (DX) unit within an AHU or RTU, or replacing a DX/furnace RTU with a high efficiency unit. </t>
  </si>
  <si>
    <t>Applies also to mini-split air conditioners: outdoor section would be replaced with a new higher COP model. Use the cost estimate from the compressor ECM above</t>
  </si>
  <si>
    <t>For RTUs an alternate to this ECM could be the Advanced RTU Controller 'Catalyst' that combines fan speed, economizer and DCV controls and saves 25% to 50%.  The COP would not improve but everything else would.</t>
  </si>
  <si>
    <t>Building Envelope</t>
  </si>
  <si>
    <t xml:space="preserve">Air tightening of the building envelope </t>
  </si>
  <si>
    <t>US Military study of blower door test results and modified to our vintages</t>
  </si>
  <si>
    <t>Sealing or weather-stripping of roofs, walls, windows, doors, and all penetrations through the building envelope.  This reduces cold air entering the building (infiltration) and warm air escaping (exfiltration). Saves on heating and cooling.</t>
  </si>
  <si>
    <t xml:space="preserve">Foaming of envelope penetrations and junctions, weather-stripping of doors to reduce leakage levels to 0.27 air changes per hour at normal pressure from the assumed leakage rates per vintage and building type.  Pre-1960s buildings = 1.0 air changes per hour, 1960-1979 buildings = 0.6 air changes per hour, 1980-2004 buildings = 0.44 air changes per hour, post-2004 = 0.27 air changes per hour.  If building type contained overhead doors, space containing overhead door assumed increased air leakage of 50%.  </t>
  </si>
  <si>
    <t xml:space="preserve">Is air leakage unknowingly being used for ventilation? Will a tighter building envelope affect air quality and create a need for more ventilation, thus costing more in equipment and fan power?  </t>
  </si>
  <si>
    <t xml:space="preserve">A blower door test  is required to determine actual conditions. Could draft proof and test buildings at the same time. </t>
  </si>
  <si>
    <t>REC Centre</t>
  </si>
  <si>
    <t xml:space="preserve">Special/Unique ECMs for the REC Centre </t>
  </si>
  <si>
    <t xml:space="preserve">MNECB, retrofit case studies, figures from Raymond’s previous study in a similar sized REC centre </t>
  </si>
  <si>
    <t>Write up noting the typical measures and associated savings. Specific measures for Ice plant (floating compressor head control), IR camera for ice surface temperature, flood water treatment, pool pump turbidity-controlled VSPs, DCV during winter.ECMs that are unique to the REC Centre.  The other ECMs on this sheet apply to the REC Centre.</t>
  </si>
  <si>
    <t>570 kW demand noted during the audit</t>
  </si>
  <si>
    <t xml:space="preserve"> Centralized BAS Control</t>
  </si>
  <si>
    <t xml:space="preserve"> Control Centre for Building Automation Systems </t>
  </si>
  <si>
    <t>not modelled</t>
  </si>
  <si>
    <t xml:space="preserve">literature, case studies </t>
  </si>
  <si>
    <t xml:space="preserve">The technician staff are interested in implementing this system before any building control-type ECMs are attempted. There would be poor acceptance without the ability to monitor the HVAC systems. There are already many comfort issues. There is resistance to alter the current control settings and not enough staff to implement, test and monitor. </t>
  </si>
  <si>
    <t xml:space="preserve">Base should update the missing documentation on existing BAS systems. This would be a first step to undertaking a retro-commissioning program. Base recently hired companies to update controls in 3 buildings. MCW updated a lot of buildings controls in 2001. </t>
  </si>
  <si>
    <t xml:space="preserve">We could cite the O&amp;M benefits to EMS such as predictive maintenance, alarms. </t>
  </si>
  <si>
    <t>peak flow and temperature</t>
  </si>
  <si>
    <t>metal halides in the bay spaces of recreation centres, storage buildings, workshops, and hangars. Otherwise all T8 fluorescents</t>
  </si>
  <si>
    <t>auto-sized by the computer model</t>
  </si>
  <si>
    <t>auto-sized by the computer model based on heat loss calculation and design temperatures</t>
  </si>
  <si>
    <t>ventilation fresh air requirement</t>
  </si>
  <si>
    <t>actual values reported in audit, otherwise assume 24 hour operation</t>
  </si>
  <si>
    <t>exhaust fans capacity and schedule</t>
  </si>
  <si>
    <t>fan speed</t>
  </si>
  <si>
    <t>Main Heating Pumps</t>
  </si>
  <si>
    <t>horsepower autosized by computer model; runs constantly</t>
  </si>
  <si>
    <t>water heater pumps</t>
  </si>
  <si>
    <t>actual if available, otherwise 80%. 80% estimated for central plant heated buildings</t>
  </si>
  <si>
    <t>hot water setpoint</t>
  </si>
  <si>
    <t>AHU and RTU heating side efficiency</t>
  </si>
  <si>
    <t>Heating Equipment</t>
  </si>
  <si>
    <t>Cooling Equipment</t>
  </si>
  <si>
    <t>cooling efficiency</t>
  </si>
  <si>
    <t>the coefficient of performance (COP) for cooling equipment and air conditioners is corelated to building age: 2.5 for systems pre-1980; 3.0 for 1980-2004; 3.5 post-2004</t>
  </si>
  <si>
    <t>actual if available, otherwise 80% for direct fired equipment</t>
  </si>
  <si>
    <t>assume economizers are installed and operating in all AHUs and RTUs</t>
  </si>
  <si>
    <r>
      <t>plug loads (Watts/m</t>
    </r>
    <r>
      <rPr>
        <vertAlign val="superscript"/>
        <sz val="11"/>
        <color theme="1"/>
        <rFont val="Calibri"/>
        <family val="2"/>
        <scheme val="minor"/>
      </rPr>
      <t xml:space="preserve">2 </t>
    </r>
    <r>
      <rPr>
        <sz val="11"/>
        <color theme="1"/>
        <rFont val="Calibri"/>
        <family val="2"/>
        <scheme val="minor"/>
      </rPr>
      <t>of floor area)</t>
    </r>
  </si>
  <si>
    <t>lighting density (Watts/m2 of floor area)</t>
  </si>
  <si>
    <t>space temperature setpoint</t>
  </si>
  <si>
    <t>pump speed</t>
  </si>
  <si>
    <t>constant, single-speed</t>
  </si>
  <si>
    <t>flow capacity and horsepower</t>
  </si>
  <si>
    <t>cooling is assumed for spaces with occupants only, for example in offices but not in storage spaces; also based upon actual information from audits</t>
  </si>
  <si>
    <t>including AHUs, MUAs, RTUs, exhaust fans, ceiling fans, transfer air fans</t>
  </si>
  <si>
    <t>fan capacity and horsepower</t>
  </si>
  <si>
    <t>HVAC night control</t>
  </si>
  <si>
    <t xml:space="preserve">auto-sized by the computer model. Fan power is estimated separately for supply, return and exhaust fans using typical static pressure of AHUs </t>
  </si>
  <si>
    <t>always on (assumption is the heating and cooling setpoints are met, and fresh air requirement for number of occupants only). Ventilation runs through the night same as daytime</t>
  </si>
  <si>
    <t xml:space="preserve">ventilation schedule </t>
  </si>
  <si>
    <t>Building Code outdoor air per person rates, and occupancy levels from audit</t>
  </si>
  <si>
    <t>Miscellaneous</t>
  </si>
  <si>
    <t>separate HVAC equipment was sometimes combined in order to simplify computer modelling</t>
  </si>
  <si>
    <t>combining systems</t>
  </si>
  <si>
    <t>HVAC system type v.s. age of building?</t>
  </si>
  <si>
    <t xml:space="preserve">Computer simulation models were used to estimate the energy usage in buildings. Simulation models predict the energy consumption and interaction of building systems. 11 buildings have been modelled and will represent the other similar building types - 'archetypes' - throughout the Base.  This document lists the inputs or assumptions that were used in the computer models.  Wherever possible, the actual equipment, occupancy, schedules and operating values were used in the models. Otherwise, assumptions were based on typical values from the Canadian building code, known as the Model National Energy Code for Buildings (MNECB). </t>
  </si>
  <si>
    <t>use Trenton Training archetype building and run with Edmonton weather data. No building plans were made available by Cold Lake for this building.</t>
  </si>
  <si>
    <t xml:space="preserve">Firehall  </t>
  </si>
  <si>
    <t xml:space="preserve">B172 CF18 Training  </t>
  </si>
  <si>
    <t>use Trenton Firehall and run with Edmonton weather data. The Cold Lake Firehall is the same building design as Trenton's.</t>
  </si>
  <si>
    <t xml:space="preserve">Control prioritizes space temperature before ventilation. Must not interfere with existing pre-cooling practice.   For RTUs an alternate to this ECM could be the Advanced RTU Controller 'Catalyst' that combines fan speed, economizer and DCV controls and saves 25% to 50%.  </t>
  </si>
  <si>
    <t>not modelled for Trenton. could be modelled in OS. To be determined</t>
  </si>
  <si>
    <t>Bld: PRIN Number</t>
  </si>
  <si>
    <t>Bld: PRIN Name</t>
  </si>
  <si>
    <t>Bld: PRIN Address</t>
  </si>
  <si>
    <t>demo/replacement date</t>
  </si>
  <si>
    <t>Hangar 1</t>
  </si>
  <si>
    <t>H1 - Hangar Lane</t>
  </si>
  <si>
    <t>to be replaced 2022 w 5000 sq.ft.</t>
  </si>
  <si>
    <t>Hangar 2</t>
  </si>
  <si>
    <t>H2 - Hangar Lane</t>
  </si>
  <si>
    <t>to be replaced 2021 w 6000 sq.ft.</t>
  </si>
  <si>
    <t>Hangar 3</t>
  </si>
  <si>
    <t>H3 - Hangar Lane</t>
  </si>
  <si>
    <t>to be replaced 2019 w 6000 sq.ft.</t>
  </si>
  <si>
    <t>Hangar 6</t>
  </si>
  <si>
    <t>H6 - Hangar Lane</t>
  </si>
  <si>
    <t>to be replaced 2017 w 6000 sq.ft.</t>
  </si>
  <si>
    <t>B4 - Athabasca Road</t>
  </si>
  <si>
    <t>Officers Mess</t>
  </si>
  <si>
    <t>B20-Timberline Drive</t>
  </si>
  <si>
    <t>NCO Mess</t>
  </si>
  <si>
    <t>B30 - Queensway</t>
  </si>
  <si>
    <t>All Ranks Mess</t>
  </si>
  <si>
    <t>B40-Queensway</t>
  </si>
  <si>
    <t>Club 41</t>
  </si>
  <si>
    <t>B41-Beaverlodge Road</t>
  </si>
  <si>
    <t>RC Chapel</t>
  </si>
  <si>
    <t>B53-Queensway</t>
  </si>
  <si>
    <t>Maple Flag Quarters 1 or storage building</t>
  </si>
  <si>
    <t>B165 - Kingsway</t>
  </si>
  <si>
    <t>Maple Flag Quarters 2 or storage building</t>
  </si>
  <si>
    <t>B166 - Kingsway</t>
  </si>
  <si>
    <t>construction year</t>
  </si>
  <si>
    <t>name</t>
  </si>
  <si>
    <t>location</t>
  </si>
  <si>
    <t>gross floor area, sq.m</t>
  </si>
  <si>
    <t>100 p. accomodation</t>
  </si>
  <si>
    <t>beside trimess</t>
  </si>
  <si>
    <t>school/daycare</t>
  </si>
  <si>
    <t>@B82</t>
  </si>
  <si>
    <t>firehall</t>
  </si>
  <si>
    <t>beside H7</t>
  </si>
  <si>
    <t>RTF</t>
  </si>
  <si>
    <t>beside B84</t>
  </si>
  <si>
    <t>trimess</t>
  </si>
  <si>
    <t>between B20,30,40</t>
  </si>
  <si>
    <t>Canex</t>
  </si>
  <si>
    <t>across from B69</t>
  </si>
  <si>
    <t>airport tower</t>
  </si>
  <si>
    <t>south of H1</t>
  </si>
  <si>
    <t>chapel</t>
  </si>
  <si>
    <t>100 apartmt (750sq.ft ea)</t>
  </si>
  <si>
    <t xml:space="preserve">Reference or Source for assumptions </t>
  </si>
  <si>
    <t>Energy Conservation Measure Name</t>
  </si>
  <si>
    <t xml:space="preserve">Replacement of  building steam converters with hot water heat exchangers  </t>
  </si>
  <si>
    <t>not modelled for Trenton. Will not model special/unique measures</t>
  </si>
  <si>
    <t xml:space="preserve">Would a central BAS control save energy?   </t>
  </si>
  <si>
    <t xml:space="preserve"> Upgrade of pump and fan motors  </t>
  </si>
  <si>
    <t xml:space="preserve"> Zero energy dead band setpoints in heat/cool HVAC equipment so to avoid simultaneous heating and cooling …</t>
  </si>
  <si>
    <t xml:space="preserve"> Upgrade of compressors in cooling/air conditioning </t>
  </si>
  <si>
    <r>
      <t>Needed for DCV. Can program VFD to respond to duct static pressure, zone temperature, or CO</t>
    </r>
    <r>
      <rPr>
        <vertAlign val="subscript"/>
        <sz val="11"/>
        <color theme="1"/>
        <rFont val="Calibri"/>
        <family val="2"/>
        <scheme val="minor"/>
      </rPr>
      <t>2</t>
    </r>
    <r>
      <rPr>
        <sz val="11"/>
        <color theme="1"/>
        <rFont val="Calibri"/>
        <family val="2"/>
        <scheme val="minor"/>
      </rPr>
      <t xml:space="preserve"> concentration.  </t>
    </r>
  </si>
  <si>
    <r>
      <t>OS with a manual factor of 30%. Used W/m</t>
    </r>
    <r>
      <rPr>
        <vertAlign val="superscript"/>
        <sz val="11"/>
        <color theme="1"/>
        <rFont val="Calibri"/>
        <family val="2"/>
        <scheme val="minor"/>
      </rPr>
      <t>2</t>
    </r>
    <r>
      <rPr>
        <sz val="11"/>
        <color theme="1"/>
        <rFont val="Calibri"/>
        <family val="2"/>
        <scheme val="minor"/>
      </rPr>
      <t xml:space="preserve"> in model and no fixture counts</t>
    </r>
  </si>
  <si>
    <t>Interaction of ECMs</t>
  </si>
  <si>
    <t>replaces Hangar 6</t>
  </si>
  <si>
    <t>replaces Hangar 3</t>
  </si>
  <si>
    <t>replaces Hangar 2</t>
  </si>
  <si>
    <t>replaces Hangar 1</t>
  </si>
  <si>
    <t>increases heating, reduces cooling</t>
  </si>
  <si>
    <t>increases heating</t>
  </si>
  <si>
    <t xml:space="preserve">Centralized monitoring and control of each building's BAS systems. </t>
  </si>
  <si>
    <t>Heating Network</t>
  </si>
  <si>
    <r>
      <t>·</t>
    </r>
    <r>
      <rPr>
        <sz val="7"/>
        <color theme="1"/>
        <rFont val="Times New Roman"/>
        <family val="1"/>
      </rPr>
      <t xml:space="preserve">         </t>
    </r>
    <r>
      <rPr>
        <sz val="11"/>
        <color theme="1"/>
        <rFont val="Calibri"/>
        <family val="2"/>
        <scheme val="minor"/>
      </rPr>
      <t>Investigate other alternative supply options including biomass boilers and cogeneration.</t>
    </r>
  </si>
  <si>
    <t>Building Network Interface</t>
  </si>
  <si>
    <r>
      <t>·</t>
    </r>
    <r>
      <rPr>
        <sz val="7"/>
        <color theme="1"/>
        <rFont val="Times New Roman"/>
        <family val="1"/>
      </rPr>
      <t xml:space="preserve">         </t>
    </r>
    <r>
      <rPr>
        <sz val="11"/>
        <color theme="1"/>
        <rFont val="Calibri"/>
        <family val="2"/>
        <scheme val="minor"/>
      </rPr>
      <t>New hot-water energy transfer stations consisting of one or more brazed-plate or flat plate heat exchangers will replace existing steam convertors in each connected building</t>
    </r>
  </si>
  <si>
    <r>
      <t>·</t>
    </r>
    <r>
      <rPr>
        <sz val="7"/>
        <color theme="1"/>
        <rFont val="Times New Roman"/>
        <family val="1"/>
      </rPr>
      <t xml:space="preserve">         </t>
    </r>
    <r>
      <rPr>
        <sz val="11"/>
        <color theme="1"/>
        <rFont val="Calibri"/>
        <family val="2"/>
        <scheme val="minor"/>
      </rPr>
      <t>It is assumed that the district heating supply will provide both space heating and domestic water heating for each connected building</t>
    </r>
  </si>
  <si>
    <r>
      <t>·</t>
    </r>
    <r>
      <rPr>
        <sz val="7"/>
        <color theme="1"/>
        <rFont val="Times New Roman"/>
        <family val="1"/>
      </rPr>
      <t xml:space="preserve">         </t>
    </r>
    <r>
      <rPr>
        <sz val="11"/>
        <color theme="1"/>
        <rFont val="Calibri"/>
        <family val="2"/>
        <scheme val="minor"/>
      </rPr>
      <t>If known, please provide potential time horizon for any planned changes to the existing steam network and CHP</t>
    </r>
  </si>
  <si>
    <r>
      <t>·</t>
    </r>
    <r>
      <rPr>
        <sz val="7"/>
        <color theme="1"/>
        <rFont val="Times New Roman"/>
        <family val="1"/>
      </rPr>
      <t xml:space="preserve">         </t>
    </r>
    <r>
      <rPr>
        <sz val="11"/>
        <color theme="1"/>
        <rFont val="Calibri"/>
        <family val="2"/>
        <scheme val="minor"/>
      </rPr>
      <t>Do any of the buildings currently connected to the steam network have thermal meters installed? If so, can data be provided?</t>
    </r>
  </si>
  <si>
    <r>
      <t>·</t>
    </r>
    <r>
      <rPr>
        <sz val="7"/>
        <color rgb="FF1F497D"/>
        <rFont val="Times New Roman"/>
        <family val="1"/>
      </rPr>
      <t xml:space="preserve">         </t>
    </r>
    <r>
      <rPr>
        <sz val="11"/>
        <color theme="1"/>
        <rFont val="Calibri"/>
        <family val="2"/>
        <scheme val="minor"/>
      </rPr>
      <t>Also confirm if there are any other specific buildings on the Base that should be excluded from the district heating system modelling?</t>
    </r>
  </si>
  <si>
    <r>
      <t>·</t>
    </r>
    <r>
      <rPr>
        <sz val="7"/>
        <color theme="1"/>
        <rFont val="Times New Roman"/>
        <family val="1"/>
      </rPr>
      <t xml:space="preserve">         </t>
    </r>
    <r>
      <rPr>
        <sz val="11"/>
        <color theme="1"/>
        <rFont val="Calibri"/>
        <family val="2"/>
        <scheme val="minor"/>
      </rPr>
      <t xml:space="preserve">All network modelling will assume integration of a hot water distribution network (~110 </t>
    </r>
    <r>
      <rPr>
        <sz val="11"/>
        <color theme="1"/>
        <rFont val="Calibri"/>
        <family val="2"/>
      </rPr>
      <t>°</t>
    </r>
    <r>
      <rPr>
        <sz val="11"/>
        <color theme="1"/>
        <rFont val="Calibri"/>
        <family val="2"/>
        <scheme val="minor"/>
      </rPr>
      <t>C design supply temperature), constructed over 3 phases:</t>
    </r>
  </si>
  <si>
    <r>
      <t>·</t>
    </r>
    <r>
      <rPr>
        <sz val="7"/>
        <color theme="1"/>
        <rFont val="Times New Roman"/>
        <family val="1"/>
      </rPr>
      <t xml:space="preserve">         </t>
    </r>
    <r>
      <rPr>
        <sz val="11"/>
        <color theme="1"/>
        <rFont val="Calibri"/>
        <family val="2"/>
        <scheme val="minor"/>
      </rPr>
      <t>Any additional directional information to consider in the analysis – items Cold Lake personnel would like to see included or not included in the analysis?</t>
    </r>
  </si>
  <si>
    <r>
      <t>·</t>
    </r>
    <r>
      <rPr>
        <sz val="7"/>
        <color theme="1"/>
        <rFont val="Times New Roman"/>
        <family val="1"/>
      </rPr>
      <t xml:space="preserve">         </t>
    </r>
    <r>
      <rPr>
        <sz val="11"/>
        <color theme="1"/>
        <rFont val="Calibri"/>
        <family val="2"/>
        <scheme val="minor"/>
      </rPr>
      <t>Modelled plant to be located at or near the existing CHP building unless directed otherwise.</t>
    </r>
  </si>
  <si>
    <r>
      <t>·</t>
    </r>
    <r>
      <rPr>
        <sz val="7"/>
        <color theme="1"/>
        <rFont val="Times New Roman"/>
        <family val="1"/>
      </rPr>
      <t xml:space="preserve">         </t>
    </r>
    <r>
      <rPr>
        <sz val="11"/>
        <color theme="1"/>
        <rFont val="Calibri"/>
        <family val="2"/>
        <scheme val="minor"/>
      </rPr>
      <t>New gas-fired hot water boilers.</t>
    </r>
  </si>
  <si>
    <r>
      <t>·</t>
    </r>
    <r>
      <rPr>
        <sz val="7"/>
        <color theme="1"/>
        <rFont val="Times New Roman"/>
        <family val="1"/>
      </rPr>
      <t xml:space="preserve">         </t>
    </r>
    <r>
      <rPr>
        <sz val="11"/>
        <color theme="1"/>
        <rFont val="Calibri"/>
        <family val="2"/>
        <scheme val="minor"/>
      </rPr>
      <t>Piping assumed to be new, thin-walled steel district heating pipe (preinsulated, bonded) to be direct buried at approximately 1 metre below grade.</t>
    </r>
  </si>
  <si>
    <t xml:space="preserve">Input Assumptions for Building Energy Models </t>
  </si>
  <si>
    <r>
      <t>Occupancy</t>
    </r>
    <r>
      <rPr>
        <sz val="10"/>
        <color theme="1"/>
        <rFont val="Calibri"/>
        <family val="2"/>
        <scheme val="minor"/>
      </rPr>
      <t xml:space="preserve"> </t>
    </r>
    <r>
      <rPr>
        <sz val="11"/>
        <color theme="1"/>
        <rFont val="Calibri"/>
        <family val="2"/>
        <scheme val="minor"/>
      </rPr>
      <t xml:space="preserve">control for exhaust fans </t>
    </r>
  </si>
  <si>
    <t>Replace existing T8 and T12 fixtures with dimmable T5 fixtures. This saves approximately 30% on electricity.</t>
  </si>
  <si>
    <t>overlap with VFD. Increases heating</t>
  </si>
  <si>
    <t>overlap with DCV. Increases heating</t>
  </si>
  <si>
    <t>VSD on pumps</t>
  </si>
  <si>
    <t>Not to overlap with the other control ECMs</t>
  </si>
  <si>
    <t>Reduces building heat loss, reducing impact of other heating ECMs</t>
  </si>
  <si>
    <t>overlap with compressor upgrade</t>
  </si>
  <si>
    <t xml:space="preserve">overlap with replacement of cooling  </t>
  </si>
  <si>
    <t xml:space="preserve">Outdoor air reset </t>
  </si>
  <si>
    <t>Proposed Energy Conservation Measures</t>
  </si>
  <si>
    <t>impact reduced via compressor upgrade or replacement of cooling</t>
  </si>
  <si>
    <t>Rec Centre is  approximately 9% of heated buildings floor area</t>
  </si>
  <si>
    <t>Bldg No.</t>
  </si>
  <si>
    <t>Building Name</t>
  </si>
  <si>
    <t>H1</t>
  </si>
  <si>
    <t>B177</t>
  </si>
  <si>
    <t>F404 Engine Bay/Composite Bldg</t>
  </si>
  <si>
    <t>H2</t>
  </si>
  <si>
    <t>H4</t>
  </si>
  <si>
    <t>Hangar 4</t>
  </si>
  <si>
    <t>H3</t>
  </si>
  <si>
    <t>H6</t>
  </si>
  <si>
    <t>B171</t>
  </si>
  <si>
    <t>Supply Warehouse</t>
  </si>
  <si>
    <t>B5</t>
  </si>
  <si>
    <t>WTN Garage</t>
  </si>
  <si>
    <t>B7</t>
  </si>
  <si>
    <t>CE Main Bldg</t>
  </si>
  <si>
    <t>B63</t>
  </si>
  <si>
    <t>GSAR/Battery Shop/Supply</t>
  </si>
  <si>
    <t>B66</t>
  </si>
  <si>
    <t>Supply Bldg</t>
  </si>
  <si>
    <t>B192</t>
  </si>
  <si>
    <t>GPV Garage</t>
  </si>
  <si>
    <t>B8</t>
  </si>
  <si>
    <t>Exercise Support Office</t>
  </si>
  <si>
    <t>B174</t>
  </si>
  <si>
    <t>CE Roads and Grounds Bldg</t>
  </si>
  <si>
    <t>B81</t>
  </si>
  <si>
    <t>Electrical and Sheet Metal Shop</t>
  </si>
  <si>
    <t>B80</t>
  </si>
  <si>
    <t>Roundel Cleaners (NPF)</t>
  </si>
  <si>
    <t>B10</t>
  </si>
  <si>
    <t>Standby Power Plant</t>
  </si>
  <si>
    <t>B6</t>
  </si>
  <si>
    <t>RM Storage</t>
  </si>
  <si>
    <t>B128</t>
  </si>
  <si>
    <t>WOps EOD Centre # 19</t>
  </si>
  <si>
    <t xml:space="preserve"> Phase 1: connect to buildings currently supplied with steam from the CHP, and omitting any buildings slated to be demolished</t>
  </si>
  <si>
    <t xml:space="preserve"> Phase 2/3: connect to buildings currently heated with individual gas-fired systems as seen practical, as well as future buildings to be constructed</t>
  </si>
  <si>
    <t>Does it replace an existing building?</t>
  </si>
  <si>
    <t>Potential Central Heating Plant options</t>
  </si>
  <si>
    <r>
      <t>·</t>
    </r>
    <r>
      <rPr>
        <sz val="7"/>
        <color theme="1"/>
        <rFont val="Times New Roman"/>
        <family val="1"/>
      </rPr>
      <t xml:space="preserve">         </t>
    </r>
    <r>
      <rPr>
        <sz val="11"/>
        <color theme="1"/>
        <rFont val="Calibri"/>
        <family val="2"/>
        <scheme val="minor"/>
      </rPr>
      <t>In an effort to generate conservative estimates for required network piping, analysis will be based upon the estimated base-case (pre-ECM) building heating loads and no diversity or simultaneity of network heating loads will be considered.</t>
    </r>
  </si>
  <si>
    <r>
      <t>·</t>
    </r>
    <r>
      <rPr>
        <sz val="7"/>
        <color theme="1"/>
        <rFont val="Times New Roman"/>
        <family val="1"/>
      </rPr>
      <t xml:space="preserve">         </t>
    </r>
    <r>
      <rPr>
        <sz val="11"/>
        <color theme="1"/>
        <rFont val="Calibri"/>
        <family val="2"/>
        <scheme val="minor"/>
      </rPr>
      <t>Modelled plant operation and fuel consumption analysis will factor estimated building energy reductions achieved through integration of building Energy Conservation Measures.</t>
    </r>
  </si>
  <si>
    <t>hangar door floor blast heaters , 2 steam coils</t>
  </si>
  <si>
    <t>Carmal rate forecast for electricity. Gas Alberta forecast for natural gas</t>
  </si>
  <si>
    <t xml:space="preserve">assume zone thermal units (if applicable) can cycle on to meet heating setpoint. may be fan coil, terminal unit, baseboard, or RTU </t>
  </si>
  <si>
    <r>
      <t>·</t>
    </r>
    <r>
      <rPr>
        <sz val="7"/>
        <color theme="1"/>
        <rFont val="Times New Roman"/>
        <family val="1"/>
      </rPr>
      <t xml:space="preserve">         </t>
    </r>
    <r>
      <rPr>
        <sz val="11"/>
        <color theme="1"/>
        <rFont val="Calibri"/>
        <family val="2"/>
        <scheme val="minor"/>
      </rPr>
      <t>Please confirm the buildings that are still using steam directly in terminal heating equipment. See list at right. Please name the terminal equipment that use steam coils.</t>
    </r>
  </si>
  <si>
    <t xml:space="preserve">New               </t>
  </si>
  <si>
    <t>Projected utility rates for electricity, natural gas and other sources</t>
  </si>
  <si>
    <t>broken down for each year of the planning horizon</t>
  </si>
  <si>
    <t>Projected inflation for capital costs for retrofits</t>
  </si>
  <si>
    <t>Projected emissions factors by energy source</t>
  </si>
  <si>
    <t>May change for electricity due to anticipated supply mix</t>
  </si>
  <si>
    <t>Planning Horizon</t>
  </si>
  <si>
    <t>- what are the next two business cycles? (18-19 - 22-23) How many years does mid-long range planning on the base typically look out to?</t>
  </si>
  <si>
    <t>Additional qualitative questions important for the planning context</t>
  </si>
  <si>
    <t>- Specific environmental policies, targets or reports of which we should be aware?</t>
  </si>
  <si>
    <t>- Is there any linkage between planning on the base and that being done in surrounding communities?</t>
  </si>
  <si>
    <t>- Level of senior level buy-in for energy efficiency/renewable energy technology measures?</t>
  </si>
  <si>
    <t>- Perception of acceptance of energy efficiency/renewable energy technology measures by Base personell?</t>
  </si>
  <si>
    <t>historical rates</t>
  </si>
  <si>
    <t>future rates</t>
  </si>
  <si>
    <t>Proposed Energy Conservation Measures for Buildings</t>
  </si>
  <si>
    <t xml:space="preserve">Are there Energy intensity performance targets for new buildings?  </t>
  </si>
  <si>
    <t>Are any buildings anticipated to undergo major changes of use? If so, which ones, what will their use by changed to?</t>
  </si>
  <si>
    <t>Annual budget allocated specifically for energy retrofits</t>
  </si>
  <si>
    <t>4 Wing Answers / Comments?</t>
  </si>
  <si>
    <t>Canmet Energy Assumptions and Values</t>
  </si>
  <si>
    <t>4 Wing Comments?</t>
  </si>
  <si>
    <t>Questions  for 4 Wing. Please answer below.</t>
  </si>
  <si>
    <t xml:space="preserve">4 Wing Comments / note if information is unavailable </t>
  </si>
  <si>
    <t>Planned for Demolition - 4 Wing please verify and update</t>
  </si>
  <si>
    <t>Planned New Buildings - 4 Wing please verify and update</t>
  </si>
  <si>
    <t xml:space="preserve">Please review tab Simulation Assumptions. Provide any comments in column C.    </t>
  </si>
  <si>
    <t xml:space="preserve">Please review tab Proposed Energy Conservation Measures (ECMs). Provide any comments in column P. </t>
  </si>
  <si>
    <t>District Heating</t>
  </si>
  <si>
    <t xml:space="preserve">to be demolished  </t>
  </si>
  <si>
    <t>Instruction  Sheet</t>
  </si>
  <si>
    <t>Canmet Energy's Assumptions and Values</t>
  </si>
  <si>
    <t xml:space="preserve"> Canmet Energy's Assumptions and Questions</t>
  </si>
  <si>
    <t xml:space="preserve"> Canmet Energy's Questions</t>
  </si>
  <si>
    <t>?</t>
  </si>
  <si>
    <t xml:space="preserve">electrician, plumbers, controls technician, insulation contractor, air sealing contractor, and all general labor  </t>
  </si>
  <si>
    <t>design services</t>
  </si>
  <si>
    <t xml:space="preserve">$60 per hour  </t>
  </si>
  <si>
    <t xml:space="preserve">$100 per hour  </t>
  </si>
  <si>
    <t>historical rates for electricity and natural gas were provided by DND</t>
  </si>
  <si>
    <t>Labour Rates (to be used in Payback calculations)</t>
  </si>
  <si>
    <t>4  Wing's Budget for Buildings and Infrastructure</t>
  </si>
  <si>
    <t xml:space="preserve">Instructions to 4 Wing </t>
  </si>
  <si>
    <t>How many years does mid-long range planning for 4 Wing typically look out to?</t>
  </si>
  <si>
    <t>Planning and Environmental Policies</t>
  </si>
  <si>
    <t>Canada First Defence Strategy, Defence Renewal Charter, 4 Wing Mission and Vision, Federal Sustainable Development Strategy, Pan-Air Force Environmental Sustainability Plan,  Air Force Sustainability Office Five Year Plan, Defence Operational Energy Strategy, Canadian Armed Forces Administrative Order 29-7</t>
  </si>
  <si>
    <t>Planning for Buildings and Infrastructure</t>
  </si>
  <si>
    <t>Demolitions and New Construction</t>
  </si>
  <si>
    <t>Cost Assumtpions</t>
  </si>
  <si>
    <t>Annual budget allocated for Building O&amp;M</t>
  </si>
  <si>
    <t>Projected annual growth rate of  above budgets</t>
  </si>
  <si>
    <t xml:space="preserve">Please review tab District Heating tab and provide answers to the questions at the bottom and right. </t>
  </si>
  <si>
    <t>Please review tab Demolition and New Construction, verify the lists and provide answers to the questions in yellow.</t>
  </si>
  <si>
    <t>4 Wing check off after item has been reviewed</t>
  </si>
  <si>
    <t>Annual budget allocated for building and infrastructure renovations</t>
  </si>
  <si>
    <t>Annual budget allocated for new buildings and new infrastructure</t>
  </si>
  <si>
    <t>Mobile/Pre-Fabricated  archetype</t>
  </si>
  <si>
    <t>Additional Questions for 4 Wing</t>
  </si>
  <si>
    <t>Simulation Assumptions</t>
  </si>
  <si>
    <t>Demolition and New Construction</t>
  </si>
  <si>
    <t>Costs</t>
  </si>
  <si>
    <t>Planning</t>
  </si>
  <si>
    <t>Worksheet Name</t>
  </si>
  <si>
    <t xml:space="preserve">Mobile / Pre-Fabricated type buildings </t>
  </si>
  <si>
    <t>Please review tab Costs and provide answers or comments.</t>
  </si>
  <si>
    <t>Please review tab Planning  and provide answers or comments.</t>
  </si>
  <si>
    <t>Could 4 Wing please provide us a list of these types of buildings with PRIN number and address? And if possible heating fuel type?</t>
  </si>
  <si>
    <t>Buildings using Steam directly in their heating systems</t>
  </si>
  <si>
    <t>4 Wing please list the terminal heating equipment using steam</t>
  </si>
  <si>
    <t xml:space="preserve">What are 4 Wing's five year business cycles? (2018-19, 2022-23?) </t>
  </si>
  <si>
    <t xml:space="preserve"> GHG Emissions  </t>
  </si>
  <si>
    <t xml:space="preserve">Federal Sustainable Development Strategy  GHG reporting data back to 2005-06 (GHG emissions baseline year). Does 4 Wing have this data? </t>
  </si>
  <si>
    <t>Relevant Policies. Are there other policies, not listed here, related to planning, environment or energy?</t>
  </si>
  <si>
    <t xml:space="preserve">How does 4 Wing interact/co-ordinate with the Cold Lake community for its land use or other planning?  How are Cold Lake community plans linked with 4 Wing's plans? </t>
  </si>
  <si>
    <t xml:space="preserve">Who are the Officers at 4 Wing who are responsible for or handle energy efficiency and GHG emissions?  </t>
  </si>
  <si>
    <t>Food Service</t>
  </si>
  <si>
    <t>2005-2014</t>
  </si>
  <si>
    <t>Training Building</t>
  </si>
  <si>
    <t>Cold Lake modelling assumptions</t>
  </si>
  <si>
    <t>Weather file</t>
  </si>
  <si>
    <t>Edmonton CWEC</t>
  </si>
  <si>
    <t>Use CWEC; perhaps do a comparison to year using for analysis</t>
  </si>
  <si>
    <t xml:space="preserve">Occupancy </t>
  </si>
  <si>
    <t>Loads</t>
  </si>
  <si>
    <t>MNECB defaults; adjusted for actual occupancy as per audit</t>
  </si>
  <si>
    <t>Schedule</t>
  </si>
  <si>
    <t>Actual as per audit or MNECB</t>
  </si>
  <si>
    <t>Envelope</t>
  </si>
  <si>
    <t>R values by building type and vintage (see sheet 'Cold Lake R-values')</t>
  </si>
  <si>
    <t>scripting</t>
  </si>
  <si>
    <t>Use metal cladding construction</t>
  </si>
  <si>
    <t>Set R-values for trailer archeype (not based on vintage) (see sheet 'Cold Lake R-values')</t>
  </si>
  <si>
    <t xml:space="preserve">no wall retrofit measures (based on trenton, not cost-effective), perhaps only roof ecms </t>
  </si>
  <si>
    <t>Infiltration</t>
  </si>
  <si>
    <t>Rate by building type and vintage (see sheet 'Infiltration Assumptions')</t>
  </si>
  <si>
    <t>bay doors</t>
  </si>
  <si>
    <t>increase infiltration rate by 50% when doors are opened (see audit info)</t>
  </si>
  <si>
    <t xml:space="preserve">MNECB defaults; some audit information available </t>
  </si>
  <si>
    <t>Question: ask base contact about when lighting retrofits were done; provide MNECB default and ask if that is in the ball park.</t>
  </si>
  <si>
    <t>Heat to space</t>
  </si>
  <si>
    <t>Set based on building type; to be determined</t>
  </si>
  <si>
    <t>Check if detailed lighting plans available for exemplar buildings; need to check if these were implemented</t>
  </si>
  <si>
    <t>Same as occupancy schedule as per audit or MNECB default by space type</t>
  </si>
  <si>
    <t>Equipment</t>
  </si>
  <si>
    <t>MNECB defaults; do we take into account loads in server rooms?</t>
  </si>
  <si>
    <t>no; we will not tackle process loads</t>
  </si>
  <si>
    <t>MNECB defaults</t>
  </si>
  <si>
    <t>HVAC</t>
  </si>
  <si>
    <t>auto-sized</t>
  </si>
  <si>
    <t>cooling</t>
  </si>
  <si>
    <t>for spaces with occupants only (example offices, but not storage spaces); set up systems appropriately (system with no cooling for zones with no cooling)</t>
  </si>
  <si>
    <t>combine HVAC systems</t>
  </si>
  <si>
    <t>modify HVAC system by vintage</t>
  </si>
  <si>
    <t>put cooling in exemplar with no cooling if other buildings for this archetype have cooling</t>
  </si>
  <si>
    <t>economizers</t>
  </si>
  <si>
    <t>assume in all base case models for buildings with cooling</t>
  </si>
  <si>
    <t>exhaust fans</t>
  </si>
  <si>
    <t>explicitly model. This is necessary if we look at exhaust fan ecm - modify exhaust fan schedule to determine impact.</t>
  </si>
  <si>
    <t>no for humidification; dehumidification accounted for by cooling</t>
  </si>
  <si>
    <t>ventilation</t>
  </si>
  <si>
    <t>MNECB outdoor air per person rates</t>
  </si>
  <si>
    <t>heating setpoint</t>
  </si>
  <si>
    <t>cooling setpoint</t>
  </si>
  <si>
    <t>Set to 24C</t>
  </si>
  <si>
    <t>temperature setback</t>
  </si>
  <si>
    <t>not in base model</t>
  </si>
  <si>
    <t>boiler with outdoor air reset</t>
  </si>
  <si>
    <t>not in base model; consider as ECM</t>
  </si>
  <si>
    <t>assumed to exist in DES heated buildings</t>
  </si>
  <si>
    <t>actual if available, 80% for DES systems</t>
  </si>
  <si>
    <t>boiler setpoint</t>
  </si>
  <si>
    <t>82C</t>
  </si>
  <si>
    <t>script</t>
  </si>
  <si>
    <t>des</t>
  </si>
  <si>
    <t>Des represented by boiler with 80% efficiency</t>
  </si>
  <si>
    <t>HVAC system heating efficiency</t>
  </si>
  <si>
    <t>actual, if available or use 80% default</t>
  </si>
  <si>
    <t>HVAC system cooling efficiency</t>
  </si>
  <si>
    <t>vintage COP: 2.5 for systems pre-1980; 3.0 for 1980-2004; 3.5 post-2004</t>
  </si>
  <si>
    <t>script; set base model to 2.5</t>
  </si>
  <si>
    <t>fan schedule</t>
  </si>
  <si>
    <t>as per audit; if no information assume always on</t>
  </si>
  <si>
    <t>by vintage; see Mike</t>
  </si>
  <si>
    <t>fan type</t>
  </si>
  <si>
    <t>constant</t>
  </si>
  <si>
    <t>hvac ventilation schedule</t>
  </si>
  <si>
    <t>always on</t>
  </si>
  <si>
    <t>hvac night control</t>
  </si>
  <si>
    <t>assume zone thermal units (if applicable) can cycle on to meet heating setpoint</t>
  </si>
  <si>
    <t>pump type</t>
  </si>
  <si>
    <t>constant single-speed</t>
  </si>
  <si>
    <t>system heating sizing factor</t>
  </si>
  <si>
    <t>system cooling sizing factor</t>
  </si>
  <si>
    <t>zone heating sizing factor</t>
  </si>
  <si>
    <t>zone cooling sizing factor</t>
  </si>
  <si>
    <t>plant heating sizing factor</t>
  </si>
  <si>
    <t>SWH</t>
  </si>
  <si>
    <t>peak flow</t>
  </si>
  <si>
    <t>based on MNECB default of W/person, actual occupancy and 44C temperature difference</t>
  </si>
  <si>
    <t>default size</t>
  </si>
  <si>
    <t>actual if available otherwise 80% for fuel-fired; 100% for electric (standby losses taken into account separately)</t>
  </si>
  <si>
    <t>based on default for predominant MNECB space type</t>
  </si>
  <si>
    <t>water heater pump</t>
  </si>
  <si>
    <t>hot water setpoint temperature</t>
  </si>
  <si>
    <t>Utility costs</t>
  </si>
  <si>
    <t>use time of use rate for one base case model- office; compare to result with average rate</t>
  </si>
  <si>
    <t>rates, see Matthew</t>
  </si>
  <si>
    <t>take into account demand and consumption charges</t>
  </si>
  <si>
    <t>Simulation outputs</t>
  </si>
  <si>
    <t xml:space="preserve">Yearly </t>
  </si>
  <si>
    <t>load versus consumption</t>
  </si>
  <si>
    <t>EUI based on energy (versus consumption); analysis will use load values and assume system efficiency</t>
  </si>
  <si>
    <t>also compile #s based on consumption to compare</t>
  </si>
  <si>
    <t>EUI</t>
  </si>
  <si>
    <t>by end-use/fuel-source</t>
  </si>
  <si>
    <t>Hourly</t>
  </si>
  <si>
    <t>Cooling Coil Total Cooling Rate</t>
  </si>
  <si>
    <t>Cooling Coil Electric Power</t>
  </si>
  <si>
    <t>Heating Coil Air Heating Rate</t>
  </si>
  <si>
    <t>Heating Coil Heating Rate</t>
  </si>
  <si>
    <t>Heating Coil Gas Rate</t>
  </si>
  <si>
    <t>District Heating Hot Water Rate</t>
  </si>
  <si>
    <t>District Heating Rate</t>
  </si>
  <si>
    <t>Water Heater Heating Rate</t>
  </si>
  <si>
    <t>Water Heater Gas Rate</t>
  </si>
  <si>
    <t>Water Heater Electric rate</t>
  </si>
  <si>
    <t>Plant Supply Side Heating Demand Rate</t>
  </si>
  <si>
    <t>Boiler Gas Rate</t>
  </si>
  <si>
    <t>Facility Total HVAC Electric Demand Power</t>
  </si>
  <si>
    <t>Facility Total Electric Demand Power</t>
  </si>
  <si>
    <t>Zone Air Temperature</t>
  </si>
  <si>
    <t>Demand</t>
  </si>
  <si>
    <t>once ecm package is finalized, re-run archetypes to get combined demand/energy savings</t>
  </si>
  <si>
    <t>Exempler model verification</t>
  </si>
  <si>
    <t>do not reconcile exemplar with metered data at this point; may do this once all archetypes rolled up at base level</t>
  </si>
  <si>
    <t>electric meter</t>
  </si>
  <si>
    <t>tolerance?</t>
  </si>
  <si>
    <t>example:</t>
  </si>
  <si>
    <t>B688 ammunition maintenance facility</t>
  </si>
  <si>
    <t>natural gas meter</t>
  </si>
  <si>
    <t>electricity</t>
  </si>
  <si>
    <t>natural gas</t>
  </si>
  <si>
    <t>compare to trenton EUI for same building type?</t>
  </si>
  <si>
    <t>metered</t>
  </si>
  <si>
    <t>278-368 GJ</t>
  </si>
  <si>
    <t>1023-1492 GJ</t>
  </si>
  <si>
    <t>simulation</t>
  </si>
  <si>
    <t>328 GJ</t>
  </si>
  <si>
    <t>689 GJ</t>
  </si>
  <si>
    <t>note this is for setpoint 18C</t>
  </si>
  <si>
    <t>baseline year</t>
  </si>
  <si>
    <t>2013-14 if utility data available for this fiscal year</t>
  </si>
  <si>
    <t>882 GJ</t>
  </si>
  <si>
    <t>if setpoint is changed to 20C</t>
  </si>
  <si>
    <t>Firehall archetype</t>
  </si>
  <si>
    <t>use Trenton archetype and run with Edmonton weather data</t>
  </si>
  <si>
    <t>B172 CF18 Training archetype</t>
  </si>
  <si>
    <t>ECMs</t>
  </si>
  <si>
    <t>Individual ECMs</t>
  </si>
  <si>
    <t>see sheet ''</t>
  </si>
  <si>
    <t>payback</t>
  </si>
  <si>
    <t>combinations</t>
  </si>
  <si>
    <t>Applying ECMs</t>
  </si>
  <si>
    <t>applying ECM modelling results to buildings corresponding to archetype/vintage based on percentage</t>
  </si>
  <si>
    <t>different percentages for more aggressive scenarios</t>
  </si>
  <si>
    <t>New construction</t>
  </si>
  <si>
    <t>assume no new construction</t>
  </si>
  <si>
    <t>Maintenance Shop</t>
  </si>
  <si>
    <t>Cold Lake Vintages</t>
  </si>
  <si>
    <t>L/s/m2</t>
  </si>
  <si>
    <t>ACH</t>
  </si>
  <si>
    <t>Units are  = m3/s/m2</t>
  </si>
  <si>
    <t>Mobile Prefab Buildings</t>
  </si>
  <si>
    <t>Storage Bldgs</t>
  </si>
  <si>
    <t>Misc. Bldgs &lt; 100m2</t>
  </si>
  <si>
    <t>University Dormitory Type</t>
  </si>
  <si>
    <t>Infrastructure</t>
  </si>
  <si>
    <t>Warehouses</t>
  </si>
  <si>
    <t>Infiltration Building Type</t>
  </si>
  <si>
    <t>BTAP Construction Sets</t>
  </si>
  <si>
    <t>FixedDryBulb</t>
  </si>
  <si>
    <t>ModulateFlow</t>
  </si>
  <si>
    <t>Recreation Center</t>
  </si>
  <si>
    <t>Maintenance Shop-Small</t>
  </si>
  <si>
    <t>ext_wall_rsi</t>
  </si>
  <si>
    <t>ext_floor_rsi</t>
  </si>
  <si>
    <t>ext_roof_rsi</t>
  </si>
  <si>
    <t>ground_wall_rsi</t>
  </si>
  <si>
    <t>ground_floor_rsi</t>
  </si>
  <si>
    <t>ground_roof_rsi</t>
  </si>
  <si>
    <t>fixed_window_rsi</t>
  </si>
  <si>
    <t>operable_window_rsi</t>
  </si>
  <si>
    <t>door_construction_rsi</t>
  </si>
  <si>
    <t>glass_door_rsi</t>
  </si>
  <si>
    <t>overhead_door_rsi</t>
  </si>
  <si>
    <t>infiltration_building_type</t>
  </si>
  <si>
    <t>cop</t>
  </si>
  <si>
    <t>fan_motor_eff</t>
  </si>
  <si>
    <t>fan_total_eff</t>
  </si>
  <si>
    <t>pump_eff</t>
  </si>
  <si>
    <t>economizer_control_type</t>
  </si>
  <si>
    <t>economizer_control_action_type</t>
  </si>
  <si>
    <t>economizer_maximum_limit_dry_bulb_temperature</t>
  </si>
  <si>
    <t>economizer_maximum_limit_enthalpy</t>
  </si>
  <si>
    <t>economizer_minimum_limit_dry_bulb_temperature</t>
  </si>
  <si>
    <t>Cost Units</t>
  </si>
  <si>
    <t>60C</t>
  </si>
  <si>
    <t>B45</t>
  </si>
  <si>
    <t>Trenton FH B19</t>
  </si>
  <si>
    <t>B40</t>
  </si>
  <si>
    <t>B581</t>
  </si>
  <si>
    <t>B720</t>
  </si>
  <si>
    <t>B688</t>
  </si>
  <si>
    <t>B96(Trailer)</t>
  </si>
  <si>
    <t>B782</t>
  </si>
  <si>
    <t>Trenton Training B34</t>
  </si>
  <si>
    <t>B624</t>
  </si>
  <si>
    <t>Reference Info</t>
  </si>
  <si>
    <t>vintage_name</t>
  </si>
  <si>
    <t xml:space="preserve">see </t>
  </si>
  <si>
    <t>barracks.osm</t>
  </si>
  <si>
    <t>fire_hall.osm</t>
  </si>
  <si>
    <t>food_service.osm</t>
  </si>
  <si>
    <t>maintenance_shop.osm</t>
  </si>
  <si>
    <t>maintenance_shop_small.osm</t>
  </si>
  <si>
    <t>office.osm</t>
  </si>
  <si>
    <t>office_small.osm</t>
  </si>
  <si>
    <t>recreation_center.osm</t>
  </si>
  <si>
    <t>storage_building.osm</t>
  </si>
  <si>
    <t>training_building.osm</t>
  </si>
  <si>
    <t>vehicle_garage.osm</t>
  </si>
  <si>
    <t>Hangar</t>
  </si>
  <si>
    <t>Office</t>
  </si>
  <si>
    <t>Office-Small</t>
  </si>
  <si>
    <t>model_file_name</t>
  </si>
  <si>
    <t>building_source</t>
  </si>
  <si>
    <t>building_type</t>
  </si>
  <si>
    <t>schedule_name</t>
  </si>
  <si>
    <t>schedule_string</t>
  </si>
  <si>
    <t>NA</t>
  </si>
  <si>
    <t>B007</t>
  </si>
  <si>
    <t>zone_heating_sizing_factor</t>
  </si>
  <si>
    <t>zone_cooling_sizing_factor</t>
  </si>
  <si>
    <t>shw_heating_type</t>
  </si>
  <si>
    <t>measure_id</t>
  </si>
  <si>
    <t>economizer_maximum_limit_dewpoint_temperature</t>
  </si>
  <si>
    <t>heating_sizing_factor</t>
  </si>
  <si>
    <t>cooling_sizing_factor</t>
  </si>
  <si>
    <t>shw_thermal_eff</t>
  </si>
  <si>
    <t>hw_boiler_design_water_outlet_temperature</t>
  </si>
  <si>
    <t>Boiler Fuel Types</t>
  </si>
  <si>
    <t>Electricity</t>
  </si>
  <si>
    <t>NaturalGas</t>
  </si>
  <si>
    <t>PropaneGas</t>
  </si>
  <si>
    <t>FuelOil#1</t>
  </si>
  <si>
    <t>FuelOil#2</t>
  </si>
  <si>
    <t>Coal</t>
  </si>
  <si>
    <t>Diesel</t>
  </si>
  <si>
    <t>Gasoline</t>
  </si>
  <si>
    <t>OtherFuel1</t>
  </si>
  <si>
    <t>OtherFuel2</t>
  </si>
  <si>
    <t>DistrictHeating</t>
  </si>
  <si>
    <t>SHW Fuel Types</t>
  </si>
  <si>
    <t>Stream</t>
  </si>
  <si>
    <t>hw_boiler_fuel_type</t>
  </si>
  <si>
    <t>hw_boiler_thermal_eff</t>
  </si>
  <si>
    <t>weather_file_rel_path</t>
  </si>
  <si>
    <t>base_model_rel_path</t>
  </si>
  <si>
    <t>DND-Concrete</t>
  </si>
  <si>
    <t>DND-Metal</t>
  </si>
  <si>
    <t>resources/btap_construction_library.osm</t>
  </si>
  <si>
    <t>default_construction_set_name</t>
  </si>
  <si>
    <t>shw_setpoint_sched_name</t>
  </si>
  <si>
    <t>shw_60C</t>
  </si>
  <si>
    <t>{"sch":
  {  "name":"shw_60C",
     "type":"TEMPERATURE",
     "period_rules":
       [ 
          {  "start":"Jan-31",
             "end":"Dec-31",
             "day_rules":
                [
                  { "days" :"M,T,W,T,F,S,SN",
                    "hour_rules":
                        [ 
                            { 
                              "value":"60.0", 
                              "until":"24:00"
                            }
                        ]
                  }
                ]
          }
       ]
     }     
  }</t>
  </si>
  <si>
    <t>dcv_enabled</t>
  </si>
  <si>
    <t>{"sch":
  {  "name":"always_21C",
     "type":"TEMPERATURE",
     "period_rules":
       [ 
          {  "start":"Jan-31",
             "end":"Dec-31",
             "day_rules":
                [
                  { "days" :"M,T,W,T,F,S,SN",
                    "hour_rules":
                        [ 
                            { 
                              "value":"21.0", 
                              "until":"24:00"
                            }
                        ]
                  }
                ]
          }
       ]
     }     
  }</t>
  </si>
  <si>
    <t>{"sch":
  {  "name":"always_24C",
     "type":"TEMPERATURE",
     "period_rules":
       [ 
          {  "start":"Jan-31",
             "end":"Dec-31",
             "day_rules":
                [
                  { "days" :"M,T,W,T,F,S,SN",
                    "hour_rules":
                        [ 
                            { 
                              "value":"24.0", 
                              "until":"24:00"
                            }
                        ]
                  }
                ]
          }
       ]
     }     
  }</t>
  </si>
  <si>
    <t>heating_schedule_name</t>
  </si>
  <si>
    <t>cooling_schedule_name</t>
  </si>
  <si>
    <t>heating_always_21C</t>
  </si>
  <si>
    <t>cooling_always_24C</t>
  </si>
  <si>
    <t>hangar.osm</t>
  </si>
  <si>
    <t>library_file</t>
  </si>
  <si>
    <t>resources/barracks.osm</t>
  </si>
  <si>
    <t>resources/fire_hall.osm</t>
  </si>
  <si>
    <t>resources/food_service.osm</t>
  </si>
  <si>
    <t>resources/hangar.osm</t>
  </si>
  <si>
    <t>resources/maintenance_shop.osm</t>
  </si>
  <si>
    <t>resources/maintenance_shop_small.osm</t>
  </si>
  <si>
    <t>resources/office.osm</t>
  </si>
  <si>
    <t>resources/office_small.osm</t>
  </si>
  <si>
    <t>resources/recreation_center.osm</t>
  </si>
  <si>
    <t>resources/storage_building.osm</t>
  </si>
  <si>
    <t>resources/training_building.osm</t>
  </si>
  <si>
    <t>resources/vehicle_garage.osm</t>
  </si>
  <si>
    <t>heating_always_20C</t>
  </si>
  <si>
    <t>{"sch":
  {  "name":"always_21C",
     "type":"TEMPERATURE",
     "period_rules":
       [ 
          {  "start":"Jan-31",
             "end":"Dec-31",
             "day_rules":
                [
                  { "days" :"M,T,W,T,F,S,SN",
                    "hour_rules":
                        [ 
                            { 
                              "value":"20.0", 
                              "until":"24:00"
                            }
                        ]
                  }
                ]
          }
       ]
     }     
  }</t>
  </si>
  <si>
    <r>
      <t xml:space="preserve"> 20 </t>
    </r>
    <r>
      <rPr>
        <sz val="11"/>
        <color theme="1"/>
        <rFont val="Calibri"/>
        <family val="2"/>
      </rPr>
      <t>°</t>
    </r>
    <r>
      <rPr>
        <sz val="11"/>
        <color theme="1"/>
        <rFont val="Calibri"/>
        <family val="2"/>
        <scheme val="minor"/>
      </rPr>
      <t>C average assumed for all buildings and spaces</t>
    </r>
  </si>
  <si>
    <t>resources/CAN_AB_Edmonton.711230_CWEC.epw</t>
  </si>
  <si>
    <t>Set to 20C</t>
  </si>
  <si>
    <t>infiltration_flow_per_exterior_area</t>
  </si>
  <si>
    <t>air_temp_reset_enabled</t>
  </si>
  <si>
    <t>fans_to_variable</t>
  </si>
  <si>
    <t>pumps_to_variable</t>
  </si>
  <si>
    <t>hrv_enabled</t>
  </si>
  <si>
    <t>occupancy_setback</t>
  </si>
  <si>
    <t>exhaust_fans_occ_control</t>
  </si>
  <si>
    <t>economizers_enabled</t>
  </si>
  <si>
    <t>cooling_cop_3_0</t>
  </si>
  <si>
    <t>boiler_reset</t>
  </si>
  <si>
    <t>erv_autosizeNominalSupplyAirFlowRate</t>
  </si>
  <si>
    <t>erv_NominalSupplyAirFlowRate</t>
  </si>
  <si>
    <t>erv_HeatExchangerType</t>
  </si>
  <si>
    <t>erv_SensibleEffectivenessat100CoolingAirFlow</t>
  </si>
  <si>
    <t>erv_SensibleEffectivenessat75CoolingAirFlow</t>
  </si>
  <si>
    <t>erv_LatentEffectiveness100Cooling</t>
  </si>
  <si>
    <t>erv_LatentEffectiveness75Cooling</t>
  </si>
  <si>
    <t>erv_SensibleEffectiveness100Heating</t>
  </si>
  <si>
    <t>erv_SensibleEffectiveness75Heating</t>
  </si>
  <si>
    <t>erv_LatentEffectiveness100Heating</t>
  </si>
  <si>
    <t>erv_LatentEffectiveness75Heating</t>
  </si>
  <si>
    <t>erv_SupplyAirOutletTemperatureControl</t>
  </si>
  <si>
    <t>erv_setFrostControlType</t>
  </si>
  <si>
    <t>erv_ThresholdTemperature</t>
  </si>
  <si>
    <t>erv_InitialDefrostTimeFraction</t>
  </si>
  <si>
    <t>erv_nominal_electric_power</t>
  </si>
  <si>
    <t>erv_economizer_lockout</t>
  </si>
  <si>
    <t>pump_motor_eff</t>
  </si>
  <si>
    <t>plug_loads_90_percent</t>
  </si>
  <si>
    <t>lights_reduce_70p</t>
  </si>
  <si>
    <t>YES</t>
  </si>
  <si>
    <t>LeavingSetpointModulated</t>
  </si>
  <si>
    <t>infil_reduce</t>
  </si>
  <si>
    <t>Plate</t>
  </si>
  <si>
    <t>pump_fan_eff_</t>
  </si>
  <si>
    <t>No</t>
  </si>
  <si>
    <t>ExhaustAirRecirculation</t>
  </si>
  <si>
    <t>Yes</t>
  </si>
  <si>
    <t>baseline</t>
  </si>
  <si>
    <t>erv_enabled</t>
  </si>
  <si>
    <t>occ_stbck_enabled</t>
  </si>
  <si>
    <t>occ_stbck_tolerance</t>
  </si>
  <si>
    <t>occ_stbck_heat_setpoint</t>
  </si>
  <si>
    <t>occ_stbck_heat_setback</t>
  </si>
  <si>
    <t>occ_stbck_cool_setback</t>
  </si>
  <si>
    <t>occ_stbck_cool_setpoint</t>
  </si>
  <si>
    <t>ecm_cold_deck_reset_control</t>
  </si>
  <si>
    <t>cold_deck_reset_enabled</t>
  </si>
  <si>
    <t>cold_deck_reset_max_supply_air_temp</t>
  </si>
  <si>
    <t>cold_deck_reset_min_supply_air_temp</t>
  </si>
  <si>
    <t>1959-pre</t>
  </si>
  <si>
    <t>lighting_scaling_factor</t>
  </si>
  <si>
    <t>sat_reset_enabled</t>
  </si>
  <si>
    <t>sat_reset_outdoor_high_temperature</t>
  </si>
  <si>
    <t>sat_reset_outdoor_low_temperature</t>
  </si>
  <si>
    <t>sat_reset_setpoint_at_outdoor_high_temperature</t>
  </si>
  <si>
    <t>sat_reset_setpoint_at_outdoor_low_temperature</t>
  </si>
  <si>
    <t>lighting_fraction_radiant</t>
  </si>
  <si>
    <t>lighting_fraction_visible</t>
  </si>
  <si>
    <t>lighting_return_air_fraction</t>
  </si>
  <si>
    <t>pump_control_type</t>
  </si>
  <si>
    <t>envelope_ecm_wall</t>
  </si>
  <si>
    <t>envelope_ecm_roof</t>
  </si>
  <si>
    <t>envelope_ecm_windows</t>
  </si>
  <si>
    <t>LeavingBoiler</t>
  </si>
  <si>
    <t>boiler_eff_upgrade</t>
  </si>
  <si>
    <t>fan_volume_type</t>
  </si>
  <si>
    <t>VariableVolume</t>
  </si>
  <si>
    <t>cost_per_building</t>
  </si>
  <si>
    <t>VariableSpeed</t>
  </si>
  <si>
    <t>Intermittent</t>
  </si>
  <si>
    <t>elec_equipment_load_scaling_factor</t>
  </si>
  <si>
    <t>elec_equipment_fraction_radiant</t>
  </si>
  <si>
    <t>pump_speed_type</t>
  </si>
  <si>
    <t>ConstantSpeed</t>
  </si>
  <si>
    <t>exhaust_fans_occ_control_enabled</t>
  </si>
  <si>
    <t>hw_boiler_flow_mode</t>
  </si>
  <si>
    <t>hw_boiler_reset_enabled</t>
  </si>
  <si>
    <t>hw_boiler_reset_highsupplytemp</t>
  </si>
  <si>
    <t>hw_boiler_reset_outsidehighsupplytemp</t>
  </si>
  <si>
    <t>hw_boiler_reset_lowsupplytemp</t>
  </si>
  <si>
    <t>hw_boiler_reset_outsidelowsupplytemp</t>
  </si>
  <si>
    <t>hw_boiler_efficiency_curve_temperature_evaluation_variable</t>
  </si>
  <si>
    <t>hw_boiler_nominal_thermal_efficiency</t>
  </si>
  <si>
    <t>hw_boiler_curve</t>
  </si>
  <si>
    <t>atmospheric</t>
  </si>
  <si>
    <t>condensing</t>
  </si>
  <si>
    <t>elec_equipment_fraction_latent</t>
  </si>
  <si>
    <t>elec_equipment_fraction_lost</t>
  </si>
  <si>
    <t>baseline_index</t>
  </si>
  <si>
    <t xml:space="preserve">baseline_index </t>
  </si>
  <si>
    <t xml:space="preserve">building_name </t>
  </si>
  <si>
    <t xml:space="preserve">vintage_name </t>
  </si>
  <si>
    <t xml:space="preserve">measure_id </t>
  </si>
  <si>
    <t>Natural Gas-Heating KWh</t>
  </si>
  <si>
    <t>Electricity-Heating KWh</t>
  </si>
  <si>
    <t>Electricity-Water Systems KWh</t>
  </si>
  <si>
    <t>Natural Gas-Water Systems KWh</t>
  </si>
  <si>
    <t>Total Floor Area M2</t>
  </si>
  <si>
    <t>Conditioned Floor Area M2</t>
  </si>
  <si>
    <t>Simulation Total Capitol Costs $</t>
  </si>
  <si>
    <t>Electricity-Cooling KWh</t>
  </si>
  <si>
    <t>Electricity-Interior Lighting KWh</t>
  </si>
  <si>
    <t>Electricity-Interior Equipment KWh</t>
  </si>
  <si>
    <t>Electricity-Fans KWh</t>
  </si>
  <si>
    <t>Electricity-Pumps KWh</t>
  </si>
  <si>
    <t>Electricity-Heat Recovery KWh</t>
  </si>
  <si>
    <t>baseline_id</t>
  </si>
  <si>
    <t>Arch</t>
  </si>
  <si>
    <t>Vintage</t>
  </si>
  <si>
    <t>scenario_year</t>
  </si>
  <si>
    <r>
      <t>Total Area (m</t>
    </r>
    <r>
      <rPr>
        <vertAlign val="superscript"/>
        <sz val="10"/>
        <color theme="1"/>
        <rFont val="Arial"/>
        <family val="2"/>
      </rPr>
      <t>2</t>
    </r>
    <r>
      <rPr>
        <sz val="11"/>
        <color theme="1"/>
        <rFont val="Calibri"/>
        <family val="2"/>
        <scheme val="minor"/>
      </rPr>
      <t>)</t>
    </r>
  </si>
  <si>
    <r>
      <t>Space DES Area (m</t>
    </r>
    <r>
      <rPr>
        <vertAlign val="superscript"/>
        <sz val="10"/>
        <color theme="1"/>
        <rFont val="Arial"/>
        <family val="2"/>
      </rPr>
      <t>2</t>
    </r>
    <r>
      <rPr>
        <sz val="11"/>
        <color theme="1"/>
        <rFont val="Calibri"/>
        <family val="2"/>
        <scheme val="minor"/>
      </rPr>
      <t>)</t>
    </r>
  </si>
  <si>
    <r>
      <t>Space Gas Area (m</t>
    </r>
    <r>
      <rPr>
        <vertAlign val="superscript"/>
        <sz val="10"/>
        <color theme="1"/>
        <rFont val="Arial"/>
        <family val="2"/>
      </rPr>
      <t>2</t>
    </r>
    <r>
      <rPr>
        <sz val="11"/>
        <color theme="1"/>
        <rFont val="Calibri"/>
        <family val="2"/>
        <scheme val="minor"/>
      </rPr>
      <t>)</t>
    </r>
  </si>
  <si>
    <r>
      <t>Space Elec Area (m</t>
    </r>
    <r>
      <rPr>
        <vertAlign val="superscript"/>
        <sz val="10"/>
        <color theme="1"/>
        <rFont val="Arial"/>
        <family val="2"/>
      </rPr>
      <t>2</t>
    </r>
    <r>
      <rPr>
        <sz val="11"/>
        <color theme="1"/>
        <rFont val="Calibri"/>
        <family val="2"/>
        <scheme val="minor"/>
      </rPr>
      <t>)</t>
    </r>
  </si>
  <si>
    <r>
      <t>Water DES Area  (m</t>
    </r>
    <r>
      <rPr>
        <vertAlign val="superscript"/>
        <sz val="10"/>
        <color theme="1"/>
        <rFont val="Arial"/>
        <family val="2"/>
      </rPr>
      <t>2</t>
    </r>
    <r>
      <rPr>
        <sz val="11"/>
        <color theme="1"/>
        <rFont val="Calibri"/>
        <family val="2"/>
        <scheme val="minor"/>
      </rPr>
      <t>)</t>
    </r>
  </si>
  <si>
    <r>
      <t>Water Gas Area  (m</t>
    </r>
    <r>
      <rPr>
        <vertAlign val="superscript"/>
        <sz val="10"/>
        <color theme="1"/>
        <rFont val="Arial"/>
        <family val="2"/>
      </rPr>
      <t>2</t>
    </r>
    <r>
      <rPr>
        <sz val="11"/>
        <color theme="1"/>
        <rFont val="Calibri"/>
        <family val="2"/>
        <scheme val="minor"/>
      </rPr>
      <t>)</t>
    </r>
  </si>
  <si>
    <r>
      <t>Water Elec Area  (m</t>
    </r>
    <r>
      <rPr>
        <vertAlign val="superscript"/>
        <sz val="10"/>
        <color theme="1"/>
        <rFont val="Arial"/>
        <family val="2"/>
      </rPr>
      <t>2</t>
    </r>
    <r>
      <rPr>
        <sz val="11"/>
        <color theme="1"/>
        <rFont val="Calibri"/>
        <family val="2"/>
        <scheme val="minor"/>
      </rPr>
      <t>)</t>
    </r>
  </si>
  <si>
    <t>1A</t>
  </si>
  <si>
    <t>2A</t>
  </si>
  <si>
    <t>3B</t>
  </si>
  <si>
    <t>4C</t>
  </si>
  <si>
    <t>5E</t>
  </si>
  <si>
    <t>6A</t>
  </si>
  <si>
    <t>6B</t>
  </si>
  <si>
    <t>7A</t>
  </si>
  <si>
    <t>8B</t>
  </si>
  <si>
    <t>9A</t>
  </si>
  <si>
    <t>9B</t>
  </si>
  <si>
    <t>13B</t>
  </si>
  <si>
    <t>building_floor_area</t>
  </si>
  <si>
    <t>actual_floor_area</t>
  </si>
  <si>
    <t>District Heating-Interior Equipment KWh</t>
  </si>
  <si>
    <t>Building Heating Efficiency</t>
  </si>
  <si>
    <t>Building DES Heating Efficiency</t>
  </si>
  <si>
    <t>DES Boiler Efficiency</t>
  </si>
  <si>
    <t>Electricity Fuel Cost Ratio</t>
  </si>
  <si>
    <t>Natural Gas GHG factor</t>
  </si>
  <si>
    <t>Electricity GHG factor</t>
  </si>
  <si>
    <t>Score Energy Reduction Weighting Factor</t>
  </si>
  <si>
    <t>Score GHG Reduction Weighting Factor</t>
  </si>
  <si>
    <t>Score Cost Reduction Weighting Factor</t>
  </si>
  <si>
    <t>Score Probability of Success Weighting Factor</t>
  </si>
  <si>
    <t>Future growth of base area</t>
  </si>
  <si>
    <t>Future improvements in V1 EUI</t>
  </si>
  <si>
    <t>Elec 2014 Cost ($/kWh)</t>
  </si>
  <si>
    <t>Gas 2014 Cost ($/kWh)</t>
  </si>
  <si>
    <t>Inflation (%)</t>
  </si>
  <si>
    <t>Elec  Annual Escalation (real %)</t>
  </si>
  <si>
    <t>Gas Annual Escalation (real %)</t>
  </si>
  <si>
    <t>cost_index</t>
  </si>
  <si>
    <t>Elec Energy Savings KWh/m2</t>
  </si>
  <si>
    <t>Gas Energy Savings KWh/m2</t>
  </si>
  <si>
    <t>sim_annual_output_index</t>
  </si>
  <si>
    <t>Gas Cost Savings $/m2</t>
  </si>
  <si>
    <t>Elec Cost Savings $/m2</t>
  </si>
  <si>
    <t>Vintage Rank</t>
  </si>
  <si>
    <t>Vintage Score</t>
  </si>
  <si>
    <t>Row Labels</t>
  </si>
  <si>
    <t>Grand Total</t>
  </si>
  <si>
    <t>Total Area Percentage</t>
  </si>
  <si>
    <t>year</t>
  </si>
  <si>
    <t>Percent of Total Base Area</t>
  </si>
  <si>
    <t>Gas Cost Savings Intensity $/M2</t>
  </si>
  <si>
    <t>Electrical Cost Savings Intensity $/M2</t>
  </si>
  <si>
    <t>Natural Gas Energy Savings Intensity Kwh/M2</t>
  </si>
  <si>
    <t>Electrical Energy Savings Intensity KWh/M2</t>
  </si>
  <si>
    <t>Net Cost Savings Intensity $/M2</t>
  </si>
  <si>
    <t>Sum of Net Cost Savings Intensity $/M2</t>
  </si>
  <si>
    <t>Sum of Savings Electricity-Heating KWh/m2</t>
  </si>
  <si>
    <t>Sum of Savings Natural Gas-Heating KWh/m2</t>
  </si>
  <si>
    <t>Sum of Savings Electricity-Cooling KWh/m2</t>
  </si>
  <si>
    <t>Sum of Savings Electricity-Water Systems KWh/m2</t>
  </si>
  <si>
    <t>Sum of Savings Natural Gas-Water Systems KWh/m2</t>
  </si>
  <si>
    <t>Sum of Savings Electricity-Interior Lighting KWh/m2</t>
  </si>
  <si>
    <t>Sum of Savings Electricity-Interior Equipment KWh/m2</t>
  </si>
  <si>
    <t>Sum of Savings District Heating-Interior Equipment KWh/m2</t>
  </si>
  <si>
    <t>Sum of Savings Electricity-Fans KWh/m2</t>
  </si>
  <si>
    <t>Sum of Savings Electricity-Pumps KWh/m2</t>
  </si>
  <si>
    <t>Payback Period</t>
  </si>
  <si>
    <t>infil_reduce_plus_setback</t>
  </si>
  <si>
    <t>infil_cost_per_building</t>
  </si>
  <si>
    <t>elec_reduce</t>
  </si>
  <si>
    <t>cost_per_building_lightreduce</t>
  </si>
  <si>
    <t>cost_per_building_plugreduce</t>
  </si>
  <si>
    <t>cost_per_building_fansandpumps</t>
  </si>
  <si>
    <t>cost_per_building_exhaustfans</t>
  </si>
  <si>
    <t>cost_per_building_dcv</t>
  </si>
  <si>
    <t>load_reduce</t>
  </si>
  <si>
    <t>cost_per_building_reset</t>
  </si>
  <si>
    <t>GHG Baseline g/m2</t>
  </si>
  <si>
    <t>GHG Savings g/m2</t>
  </si>
  <si>
    <t>Baseline Total Energy kWh/m2</t>
  </si>
  <si>
    <t>Total Energy Savings %</t>
  </si>
  <si>
    <t>Baseline Total Cost $/m2</t>
  </si>
  <si>
    <t>Total Cost Savings %</t>
  </si>
  <si>
    <t>GHG Savings %</t>
  </si>
  <si>
    <t>cost_per_boiler_reset</t>
  </si>
  <si>
    <t>cost_per_occ_temp_setback</t>
  </si>
  <si>
    <t>payback_less_than_20</t>
  </si>
  <si>
    <t>cost_per_cold_deck_reset</t>
  </si>
  <si>
    <t>cost_per_building_recommissioning</t>
  </si>
  <si>
    <t>baseline-Electricity-heating kWh</t>
  </si>
  <si>
    <t>baseline-Natural Gas-heating kWh</t>
  </si>
  <si>
    <t>baseline-Electricity-Cooling kWh</t>
  </si>
  <si>
    <t>baseline-Electricity-Water Systems kWh</t>
  </si>
  <si>
    <t>baseline-Natural Gas - Water Systems kWh</t>
  </si>
  <si>
    <t>baseline-Electricty-Interior Lighting kWh</t>
  </si>
  <si>
    <t>baseline-Electricity-Interior Equipment kWh</t>
  </si>
  <si>
    <t>baseline-District Heating-Interior Equipment kWh</t>
  </si>
  <si>
    <t>baseline-Electricity-Fans kWh</t>
  </si>
  <si>
    <t>baseline-Electricity-Pumps kWh</t>
  </si>
  <si>
    <t>baseline-Electricity-Heat Recovery kWh</t>
  </si>
  <si>
    <t>baseline total energy kWh</t>
  </si>
  <si>
    <t>Gas Energy Savings kWh</t>
  </si>
  <si>
    <t>Electric Energy Savings kWh</t>
  </si>
  <si>
    <t>Gas Energy Savings $</t>
  </si>
  <si>
    <t>Electric Energy Savings $</t>
  </si>
  <si>
    <t>Total Savings $</t>
  </si>
  <si>
    <t>Total Savings kWh</t>
  </si>
  <si>
    <t>GHG Savings tonnes</t>
  </si>
  <si>
    <t>GHG Savings (tonnes) at bldg and des level</t>
  </si>
  <si>
    <t>Base Total Energy Cost Savings $</t>
  </si>
  <si>
    <t>retro-commissioning</t>
  </si>
  <si>
    <t>solar_dhw</t>
  </si>
  <si>
    <t>Capital Cost</t>
  </si>
  <si>
    <t xml:space="preserve">%base Area </t>
  </si>
  <si>
    <t>Electricity-Heating KWh/m2</t>
  </si>
  <si>
    <t>Natural Gas-Heating KWh/m2</t>
  </si>
  <si>
    <t>Electricity-Cooling KWh/m2</t>
  </si>
  <si>
    <t>Electricity-Water Systems KWh/m2</t>
  </si>
  <si>
    <t>Natural Gas-Water Systems KWh/m2</t>
  </si>
  <si>
    <t>Electricity-Interior Lighting KWh/m2</t>
  </si>
  <si>
    <t>Electricity-Interior Equipment KWh/m2</t>
  </si>
  <si>
    <t>District Heating-Interior Equipment KWh/m2</t>
  </si>
  <si>
    <t>Electricity-Fans KWh/m2</t>
  </si>
  <si>
    <t>Electricity-Pumps KWh/m2</t>
  </si>
  <si>
    <t>Electricity-Heat Recovery KWh/m2</t>
  </si>
  <si>
    <t>Base Total ECM Cost $</t>
  </si>
  <si>
    <t xml:space="preserve">Base Total ECM Payback </t>
  </si>
  <si>
    <t>Base ECM Payback (yrs)</t>
  </si>
  <si>
    <t>Base Summaries</t>
  </si>
  <si>
    <t>Sum of savings $</t>
  </si>
  <si>
    <t>sum of capital costs $</t>
  </si>
  <si>
    <t>Payback</t>
  </si>
  <si>
    <t>% base area</t>
  </si>
  <si>
    <t>Area for Base (m2)</t>
  </si>
  <si>
    <t>Saving $</t>
  </si>
  <si>
    <t>baseline-Electricity-Heating KWh/m2</t>
  </si>
  <si>
    <t>baseline-Natural Gas-Heating KWh/m2</t>
  </si>
  <si>
    <t>baseline-Electricity-Cooling KWh/m2</t>
  </si>
  <si>
    <t>baseline-Electricity-Water Systems KWh/m2</t>
  </si>
  <si>
    <t>baseline-Natural Gas-Water Systems KWh/m2</t>
  </si>
  <si>
    <t>baseline-Electricity-Interior Lighting KWh/m2</t>
  </si>
  <si>
    <t>baseline-Electricity-Interior Equipment KWh/m2</t>
  </si>
  <si>
    <t>baseline-District Heating-Interior Equipment KWh/m2</t>
  </si>
  <si>
    <t>baseline-Electricity-Fans KWh/m2</t>
  </si>
  <si>
    <t>baseline-Electricity-Pumps KWh/m2</t>
  </si>
  <si>
    <t>baseline-Electricity-Heat Recovery KWh/m2</t>
  </si>
  <si>
    <t>retro-x</t>
  </si>
  <si>
    <t>2015-2014</t>
  </si>
  <si>
    <t>Year</t>
  </si>
  <si>
    <t xml:space="preserve"> Total Area (m2)</t>
  </si>
  <si>
    <t>DES Area (m2)</t>
  </si>
  <si>
    <t>Gas/Propane Area (m2)</t>
  </si>
  <si>
    <t xml:space="preserve"> Elec Area (m2)</t>
  </si>
  <si>
    <t>Area Used to Apply ECMS (m2)</t>
  </si>
  <si>
    <t>% Energy Savings</t>
  </si>
  <si>
    <t>Base baseline GHG tonnes</t>
  </si>
  <si>
    <t>2015 EUI kWh/m2</t>
  </si>
  <si>
    <t>2018 EUI kWh/m2</t>
  </si>
  <si>
    <t>2020 EUI kWh/m2</t>
  </si>
  <si>
    <t>2023 EUI kWh/m2</t>
  </si>
  <si>
    <t>2025 EUI kWh/m2</t>
  </si>
  <si>
    <t>2028 EUI kWh/m2</t>
  </si>
  <si>
    <t>Archetype</t>
  </si>
  <si>
    <t>Barracks: pre 1960</t>
  </si>
  <si>
    <t>Firehall: pre 1960</t>
  </si>
  <si>
    <t>Food Services: pre 1960</t>
  </si>
  <si>
    <t>Food Services: 2005-2014</t>
  </si>
  <si>
    <t>Hanger: pre 1960</t>
  </si>
  <si>
    <t>Hanger: 1960-1979</t>
  </si>
  <si>
    <t>Hanger: 1980-2004</t>
  </si>
  <si>
    <t>Small Main. Shop: pre 1960</t>
  </si>
  <si>
    <t>Small Main. Shop: 1960-1979</t>
  </si>
  <si>
    <t>Small Main. Shop: 1980-2004</t>
  </si>
  <si>
    <t>Large Main. Shop: pre 1960</t>
  </si>
  <si>
    <t>Large Main. Shop: 1980-2004</t>
  </si>
  <si>
    <t>Small Office: 1960-1979</t>
  </si>
  <si>
    <t>Small Office: 1980-2004</t>
  </si>
  <si>
    <t>Small Office: post 2005</t>
  </si>
  <si>
    <t>Large Office: pre 1960</t>
  </si>
  <si>
    <t>Large Office: 1960-1979</t>
  </si>
  <si>
    <t>Large Office: 1980-2004</t>
  </si>
  <si>
    <t>Recreation Centre: 1980-2004</t>
  </si>
  <si>
    <t>Storage: pre 1960</t>
  </si>
  <si>
    <t>Storage: 1960-1979</t>
  </si>
  <si>
    <t>Storage: 1980-2004</t>
  </si>
  <si>
    <t>Storage: post 2005</t>
  </si>
  <si>
    <t>Training Bldg: pre 1960</t>
  </si>
  <si>
    <t>Training Bldg: 1980-2004</t>
  </si>
  <si>
    <t>Training Bldg post 2005</t>
  </si>
  <si>
    <t>Vehicle Garage: pre 1960</t>
  </si>
  <si>
    <t>Vehicle Garage: 1980-2004</t>
  </si>
  <si>
    <t>Elec Savings 2023 kWh</t>
  </si>
  <si>
    <t>Gas Savings 2023 m3</t>
  </si>
  <si>
    <t>Gas+Elec Savings 2023 kWh</t>
  </si>
  <si>
    <t>Base Total Elec Savings $</t>
  </si>
  <si>
    <t>Base Total Gas Savings $</t>
  </si>
  <si>
    <t>Capital Cost $</t>
  </si>
  <si>
    <t>Business As Usual</t>
  </si>
  <si>
    <t>15% Savings</t>
  </si>
  <si>
    <t>20% Savings</t>
  </si>
  <si>
    <t>30% Savings</t>
  </si>
  <si>
    <r>
      <t>Cost Savings $/m</t>
    </r>
    <r>
      <rPr>
        <vertAlign val="superscript"/>
        <sz val="11"/>
        <color theme="1"/>
        <rFont val="Calibri"/>
        <family val="2"/>
        <scheme val="minor"/>
      </rPr>
      <t>2</t>
    </r>
  </si>
  <si>
    <t>supply air temperature reset</t>
  </si>
  <si>
    <t>boiler/rooftop efficiency upgrade</t>
  </si>
  <si>
    <t>hot water loop temperature reset</t>
  </si>
  <si>
    <t>cooling DX upgrade to COP 3.5</t>
  </si>
  <si>
    <t>cold deck reset</t>
  </si>
  <si>
    <t>economizer control for free cooling</t>
  </si>
  <si>
    <t>additional RSI 2.68 roof insulation</t>
  </si>
  <si>
    <t>additional RSI 1.32 exterior wall  insulation</t>
  </si>
  <si>
    <t>upgrade windows to triple glazing</t>
  </si>
  <si>
    <t>exhaust fan operational controls</t>
  </si>
  <si>
    <t>heat recovery ventilation</t>
  </si>
  <si>
    <t>reduce lighting power by 30%</t>
  </si>
  <si>
    <t>reduce plug loads by 10% (unoccupied hours)</t>
  </si>
  <si>
    <t>convert motors to high efficiency</t>
  </si>
  <si>
    <t>convert 1 hp+ fans to variable frequency drives (VFD)</t>
  </si>
  <si>
    <t>convert 10 hp+ pumps to variable speed (VSP)</t>
  </si>
  <si>
    <t>air sealing+hot water loop+ setback+VSP</t>
  </si>
  <si>
    <t>air sealing+setback+VSP</t>
  </si>
  <si>
    <t>measures with less than 20 yr payback</t>
  </si>
  <si>
    <t>Natural Gas Cost: BAU</t>
  </si>
  <si>
    <t>Electricity Cost: BAU</t>
  </si>
  <si>
    <t>Natural Gas Cost: ECMs</t>
  </si>
  <si>
    <t>2015 Baseline Gas $/m2</t>
  </si>
  <si>
    <t>2015 Baseline Elec $/m2</t>
  </si>
  <si>
    <t>Electricity Cost: ECMs</t>
  </si>
  <si>
    <t>Total: ECM</t>
  </si>
  <si>
    <t>Total: BAU</t>
  </si>
  <si>
    <t>demand control ventilation (DCV)</t>
  </si>
  <si>
    <t>envelope air sealing to 0.27 air changes per hour (ACH)</t>
  </si>
  <si>
    <r>
      <t xml:space="preserve">2 </t>
    </r>
    <r>
      <rPr>
        <sz val="11"/>
        <color theme="1"/>
        <rFont val="Calibri"/>
        <family val="2"/>
      </rPr>
      <t xml:space="preserve">°C night temperature setback </t>
    </r>
  </si>
  <si>
    <t>lighting+DCV+VSP+motor upgrades+VFD+exhaust fan control</t>
  </si>
  <si>
    <t>solar hot water preheating</t>
  </si>
  <si>
    <t>GHG (tonnes)</t>
  </si>
  <si>
    <t>12% Savings</t>
  </si>
  <si>
    <t>Business as Usual</t>
  </si>
  <si>
    <t>20 Year Payback ECM Package</t>
  </si>
</sst>
</file>

<file path=xl/styles.xml><?xml version="1.0" encoding="utf-8"?>
<styleSheet xmlns="http://schemas.openxmlformats.org/spreadsheetml/2006/main">
  <numFmts count="5">
    <numFmt numFmtId="164" formatCode="#,##0.0"/>
    <numFmt numFmtId="165" formatCode="0.0%"/>
    <numFmt numFmtId="166" formatCode="0.0"/>
    <numFmt numFmtId="167" formatCode="0.000"/>
    <numFmt numFmtId="168" formatCode="0.0000"/>
  </numFmts>
  <fonts count="43">
    <font>
      <sz val="11"/>
      <color theme="1"/>
      <name val="Calibri"/>
      <family val="2"/>
      <scheme val="minor"/>
    </font>
    <font>
      <sz val="10"/>
      <name val="Arial"/>
      <family val="2"/>
    </font>
    <font>
      <b/>
      <sz val="10"/>
      <name val="Arial"/>
      <family val="2"/>
    </font>
    <font>
      <vertAlign val="superscript"/>
      <sz val="10"/>
      <name val="Arial"/>
      <family val="2"/>
    </font>
    <font>
      <b/>
      <sz val="8"/>
      <color indexed="81"/>
      <name val="Tahoma"/>
      <family val="2"/>
    </font>
    <font>
      <sz val="8"/>
      <color indexed="81"/>
      <name val="Tahoma"/>
      <family val="2"/>
    </font>
    <font>
      <b/>
      <sz val="9"/>
      <color indexed="81"/>
      <name val="Tahoma"/>
      <family val="2"/>
    </font>
    <font>
      <b/>
      <sz val="11"/>
      <color theme="1"/>
      <name val="Calibri"/>
      <family val="2"/>
      <scheme val="minor"/>
    </font>
    <font>
      <sz val="11"/>
      <name val="Calibri"/>
      <family val="2"/>
      <scheme val="minor"/>
    </font>
    <font>
      <vertAlign val="superscript"/>
      <sz val="11"/>
      <color theme="1"/>
      <name val="Calibri"/>
      <family val="2"/>
      <scheme val="minor"/>
    </font>
    <font>
      <b/>
      <sz val="14"/>
      <name val="Arial"/>
      <family val="2"/>
    </font>
    <font>
      <sz val="11"/>
      <color theme="1"/>
      <name val="Calibri"/>
      <family val="2"/>
    </font>
    <font>
      <b/>
      <sz val="14"/>
      <color theme="1"/>
      <name val="Calibri"/>
      <family val="2"/>
      <scheme val="minor"/>
    </font>
    <font>
      <vertAlign val="subscript"/>
      <sz val="11"/>
      <color theme="1"/>
      <name val="Calibri"/>
      <family val="2"/>
      <scheme val="minor"/>
    </font>
    <font>
      <sz val="10"/>
      <color theme="1"/>
      <name val="Calibri"/>
      <family val="2"/>
      <scheme val="minor"/>
    </font>
    <font>
      <sz val="11"/>
      <color rgb="FF000000"/>
      <name val="Calibri"/>
      <family val="2"/>
      <scheme val="minor"/>
    </font>
    <font>
      <sz val="12"/>
      <color theme="1"/>
      <name val="Calibri"/>
      <family val="2"/>
      <scheme val="minor"/>
    </font>
    <font>
      <sz val="11"/>
      <color theme="1"/>
      <name val="Symbol"/>
      <family val="1"/>
      <charset val="2"/>
    </font>
    <font>
      <sz val="7"/>
      <color theme="1"/>
      <name val="Times New Roman"/>
      <family val="1"/>
    </font>
    <font>
      <sz val="11"/>
      <color rgb="FF1F497D"/>
      <name val="Symbol"/>
      <family val="1"/>
      <charset val="2"/>
    </font>
    <font>
      <sz val="7"/>
      <color rgb="FF1F497D"/>
      <name val="Times New Roman"/>
      <family val="1"/>
    </font>
    <font>
      <b/>
      <sz val="12"/>
      <name val="Calibri"/>
      <family val="2"/>
      <scheme val="minor"/>
    </font>
    <font>
      <b/>
      <sz val="12"/>
      <color theme="1"/>
      <name val="Calibri"/>
      <family val="2"/>
      <scheme val="minor"/>
    </font>
    <font>
      <b/>
      <sz val="16"/>
      <color theme="1"/>
      <name val="Calibri"/>
      <family val="2"/>
      <scheme val="minor"/>
    </font>
    <font>
      <b/>
      <sz val="12"/>
      <color theme="1"/>
      <name val="Arial"/>
      <family val="2"/>
    </font>
    <font>
      <b/>
      <sz val="10"/>
      <color rgb="FF000000"/>
      <name val="Arial"/>
      <family val="2"/>
    </font>
    <font>
      <sz val="10"/>
      <color rgb="FF000000"/>
      <name val="Arial"/>
      <family val="2"/>
    </font>
    <font>
      <b/>
      <sz val="10"/>
      <color rgb="FF0000FF"/>
      <name val="Arial"/>
      <family val="2"/>
    </font>
    <font>
      <sz val="10"/>
      <color rgb="FF0000FF"/>
      <name val="Arial"/>
      <family val="2"/>
    </font>
    <font>
      <b/>
      <sz val="12"/>
      <color rgb="FF000000"/>
      <name val="Calibri"/>
      <family val="2"/>
      <scheme val="minor"/>
    </font>
    <font>
      <b/>
      <sz val="11"/>
      <name val="Calibri"/>
      <family val="2"/>
      <scheme val="minor"/>
    </font>
    <font>
      <sz val="11"/>
      <color rgb="FFFF0000"/>
      <name val="Calibri"/>
      <family val="2"/>
      <scheme val="minor"/>
    </font>
    <font>
      <i/>
      <sz val="11"/>
      <color theme="1"/>
      <name val="Calibri"/>
      <family val="2"/>
      <scheme val="minor"/>
    </font>
    <font>
      <b/>
      <sz val="11"/>
      <color theme="0"/>
      <name val="Calibri"/>
      <family val="2"/>
      <scheme val="minor"/>
    </font>
    <font>
      <sz val="12"/>
      <name val="Calibri"/>
      <family val="2"/>
      <scheme val="minor"/>
    </font>
    <font>
      <sz val="9"/>
      <color indexed="81"/>
      <name val="Tahoma"/>
      <family val="2"/>
    </font>
    <font>
      <b/>
      <sz val="10"/>
      <color theme="0"/>
      <name val="Arial"/>
      <family val="2"/>
    </font>
    <font>
      <b/>
      <sz val="11"/>
      <color rgb="FFFFFF00"/>
      <name val="Calibri"/>
      <family val="2"/>
      <scheme val="minor"/>
    </font>
    <font>
      <b/>
      <sz val="12"/>
      <color rgb="FFFFFF00"/>
      <name val="Calibri"/>
      <family val="2"/>
      <scheme val="minor"/>
    </font>
    <font>
      <sz val="11"/>
      <color rgb="FFFFFF00"/>
      <name val="Calibri"/>
      <family val="2"/>
      <scheme val="minor"/>
    </font>
    <font>
      <vertAlign val="superscript"/>
      <sz val="10"/>
      <color theme="1"/>
      <name val="Arial"/>
      <family val="2"/>
    </font>
    <font>
      <sz val="9"/>
      <color indexed="81"/>
      <name val="Tahoma"/>
      <charset val="1"/>
    </font>
    <font>
      <b/>
      <sz val="9"/>
      <color indexed="81"/>
      <name val="Tahoma"/>
      <charset val="1"/>
    </font>
  </fonts>
  <fills count="27">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rgb="FFFFFF00"/>
        <bgColor indexed="64"/>
      </patternFill>
    </fill>
    <fill>
      <patternFill patternType="solid">
        <fgColor theme="0"/>
        <bgColor indexed="64"/>
      </patternFill>
    </fill>
    <fill>
      <patternFill patternType="solid">
        <fgColor theme="3" tint="0.79998168889431442"/>
        <bgColor indexed="64"/>
      </patternFill>
    </fill>
    <fill>
      <patternFill patternType="solid">
        <fgColor rgb="FFFF0000"/>
        <bgColor indexed="64"/>
      </patternFill>
    </fill>
    <fill>
      <patternFill patternType="solid">
        <fgColor theme="1"/>
        <bgColor indexed="64"/>
      </patternFill>
    </fill>
    <fill>
      <patternFill patternType="solid">
        <fgColor rgb="FFC00000"/>
        <bgColor indexed="64"/>
      </patternFill>
    </fill>
    <fill>
      <patternFill patternType="solid">
        <fgColor theme="3" tint="0.39994506668294322"/>
        <bgColor indexed="64"/>
      </patternFill>
    </fill>
    <fill>
      <patternFill patternType="solid">
        <fgColor theme="3" tint="0.59996337778862885"/>
        <bgColor indexed="64"/>
      </patternFill>
    </fill>
    <fill>
      <patternFill patternType="solid">
        <fgColor theme="4" tint="0.39994506668294322"/>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theme="5" tint="-0.249977111117893"/>
        <bgColor indexed="64"/>
      </patternFill>
    </fill>
    <fill>
      <patternFill patternType="solid">
        <fgColor theme="6" tint="-0.499984740745262"/>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1" tint="4.9989318521683403E-2"/>
        <bgColor indexed="64"/>
      </patternFill>
    </fill>
    <fill>
      <patternFill patternType="solid">
        <fgColor theme="2" tint="-0.49998474074526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92D050"/>
        <bgColor indexed="64"/>
      </patternFill>
    </fill>
    <fill>
      <patternFill patternType="solid">
        <fgColor theme="3" tint="0.59999389629810485"/>
        <bgColor indexed="64"/>
      </patternFill>
    </fill>
    <fill>
      <patternFill patternType="solid">
        <fgColor theme="9"/>
        <bgColor indexed="64"/>
      </patternFill>
    </fill>
    <fill>
      <patternFill patternType="solid">
        <fgColor theme="9" tint="0.3999450666829432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8"/>
      </right>
      <top/>
      <bottom style="thin">
        <color indexed="8"/>
      </bottom>
      <diagonal/>
    </border>
    <border>
      <left style="medium">
        <color rgb="FF000000"/>
      </left>
      <right/>
      <top/>
      <bottom/>
      <diagonal/>
    </border>
    <border>
      <left/>
      <right style="thin">
        <color indexed="8"/>
      </right>
      <top style="thin">
        <color indexed="8"/>
      </top>
      <bottom style="thin">
        <color indexed="8"/>
      </bottom>
      <diagonal/>
    </border>
    <border>
      <left style="medium">
        <color rgb="FF000000"/>
      </left>
      <right style="medium">
        <color indexed="64"/>
      </right>
      <top style="medium">
        <color rgb="FF000000"/>
      </top>
      <bottom style="medium">
        <color indexed="64"/>
      </bottom>
      <diagonal/>
    </border>
    <border>
      <left/>
      <right style="medium">
        <color indexed="64"/>
      </right>
      <top style="medium">
        <color rgb="FF000000"/>
      </top>
      <bottom style="medium">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219">
    <xf numFmtId="0" fontId="0" fillId="0" borderId="0" xfId="0"/>
    <xf numFmtId="0" fontId="1" fillId="0" borderId="0" xfId="1"/>
    <xf numFmtId="0" fontId="2" fillId="0" borderId="0" xfId="1" applyFont="1"/>
    <xf numFmtId="0" fontId="2" fillId="0" borderId="0" xfId="1" applyFont="1" applyAlignment="1">
      <alignment horizontal="centerContinuous"/>
    </xf>
    <xf numFmtId="0" fontId="1" fillId="0" borderId="0" xfId="1" applyAlignment="1">
      <alignment horizontal="right"/>
    </xf>
    <xf numFmtId="0" fontId="1" fillId="0" borderId="0" xfId="1" applyAlignment="1">
      <alignment wrapText="1"/>
    </xf>
    <xf numFmtId="0" fontId="2" fillId="0" borderId="0" xfId="1" applyFont="1" applyAlignment="1">
      <alignment wrapText="1"/>
    </xf>
    <xf numFmtId="164" fontId="1" fillId="0" borderId="0" xfId="1" applyNumberFormat="1"/>
    <xf numFmtId="165" fontId="1" fillId="0" borderId="0" xfId="1" applyNumberFormat="1"/>
    <xf numFmtId="2" fontId="1" fillId="0" borderId="0" xfId="1" applyNumberFormat="1"/>
    <xf numFmtId="3" fontId="1" fillId="0" borderId="0" xfId="1" applyNumberFormat="1"/>
    <xf numFmtId="166" fontId="1" fillId="0" borderId="0" xfId="1" applyNumberFormat="1"/>
    <xf numFmtId="1" fontId="1" fillId="0" borderId="0" xfId="1" applyNumberFormat="1"/>
    <xf numFmtId="165" fontId="2" fillId="0" borderId="0" xfId="1" applyNumberFormat="1" applyFont="1"/>
    <xf numFmtId="166" fontId="1" fillId="0" borderId="0" xfId="1" applyNumberFormat="1" applyAlignment="1">
      <alignment wrapText="1"/>
    </xf>
    <xf numFmtId="0" fontId="1" fillId="3" borderId="0" xfId="1" applyFill="1" applyAlignment="1">
      <alignment horizontal="right"/>
    </xf>
    <xf numFmtId="0" fontId="1" fillId="3" borderId="0" xfId="1" applyFill="1"/>
    <xf numFmtId="166" fontId="1" fillId="3" borderId="0" xfId="1" applyNumberFormat="1" applyFill="1"/>
    <xf numFmtId="164" fontId="1" fillId="3" borderId="0" xfId="1" applyNumberFormat="1" applyFill="1"/>
    <xf numFmtId="165" fontId="1" fillId="3" borderId="0" xfId="1" applyNumberFormat="1" applyFill="1"/>
    <xf numFmtId="2" fontId="1" fillId="2" borderId="0" xfId="1" applyNumberFormat="1" applyFill="1"/>
    <xf numFmtId="2" fontId="1" fillId="0" borderId="0" xfId="1" applyNumberFormat="1" applyFill="1"/>
    <xf numFmtId="2" fontId="1" fillId="3" borderId="0" xfId="1" applyNumberFormat="1" applyFill="1"/>
    <xf numFmtId="0" fontId="1" fillId="0" borderId="0" xfId="1" applyAlignment="1">
      <alignment horizontal="right" wrapText="1"/>
    </xf>
    <xf numFmtId="0" fontId="0" fillId="0" borderId="0" xfId="0" applyAlignment="1">
      <alignment wrapText="1"/>
    </xf>
    <xf numFmtId="0" fontId="8" fillId="0" borderId="0" xfId="0" applyFont="1"/>
    <xf numFmtId="0" fontId="0" fillId="4" borderId="0" xfId="0" applyFill="1" applyAlignment="1">
      <alignment wrapText="1"/>
    </xf>
    <xf numFmtId="0" fontId="8" fillId="0" borderId="0" xfId="0" applyFont="1" applyAlignment="1">
      <alignment wrapText="1"/>
    </xf>
    <xf numFmtId="0" fontId="10" fillId="0" borderId="0" xfId="1" applyFont="1" applyAlignment="1">
      <alignment horizontal="left"/>
    </xf>
    <xf numFmtId="0" fontId="7" fillId="0" borderId="0" xfId="0" applyFont="1" applyAlignment="1">
      <alignment wrapText="1"/>
    </xf>
    <xf numFmtId="0" fontId="0" fillId="0" borderId="0" xfId="0" applyAlignment="1">
      <alignment horizontal="left" wrapText="1"/>
    </xf>
    <xf numFmtId="0" fontId="0" fillId="0" borderId="0" xfId="0" applyFont="1" applyAlignment="1">
      <alignment horizontal="left" wrapText="1"/>
    </xf>
    <xf numFmtId="0" fontId="0" fillId="0" borderId="0" xfId="0" applyAlignment="1">
      <alignment wrapText="1"/>
    </xf>
    <xf numFmtId="0" fontId="0" fillId="0" borderId="0" xfId="0" applyFont="1" applyAlignment="1">
      <alignment horizontal="center" vertical="center" wrapText="1"/>
    </xf>
    <xf numFmtId="0" fontId="0" fillId="0" borderId="0" xfId="0" applyFont="1" applyAlignment="1">
      <alignment horizontal="left" vertical="center" wrapText="1"/>
    </xf>
    <xf numFmtId="0" fontId="0" fillId="0" borderId="0" xfId="0" applyFont="1" applyBorder="1" applyAlignment="1">
      <alignment horizontal="left" vertical="center" wrapText="1"/>
    </xf>
    <xf numFmtId="0" fontId="8" fillId="0" borderId="0" xfId="0" applyFont="1" applyBorder="1" applyAlignment="1">
      <alignment horizontal="left" vertical="center" wrapText="1"/>
    </xf>
    <xf numFmtId="0" fontId="0" fillId="0" borderId="0" xfId="0" applyFont="1" applyAlignment="1">
      <alignment vertical="center" wrapText="1"/>
    </xf>
    <xf numFmtId="0" fontId="0" fillId="0" borderId="0" xfId="0" applyFont="1" applyAlignment="1">
      <alignment wrapText="1"/>
    </xf>
    <xf numFmtId="0" fontId="7" fillId="5" borderId="1" xfId="0" applyFont="1" applyFill="1" applyBorder="1" applyAlignment="1">
      <alignment wrapText="1"/>
    </xf>
    <xf numFmtId="0" fontId="7" fillId="0" borderId="1" xfId="0" applyFont="1" applyBorder="1" applyAlignment="1">
      <alignment wrapText="1"/>
    </xf>
    <xf numFmtId="0" fontId="0" fillId="0" borderId="2" xfId="0" applyBorder="1" applyAlignment="1">
      <alignment wrapText="1"/>
    </xf>
    <xf numFmtId="0" fontId="0" fillId="0" borderId="0" xfId="0" applyAlignment="1">
      <alignment wrapText="1"/>
    </xf>
    <xf numFmtId="0" fontId="15" fillId="0" borderId="0" xfId="0" applyFont="1" applyAlignment="1">
      <alignment horizontal="left" vertical="center" wrapText="1"/>
    </xf>
    <xf numFmtId="0" fontId="0" fillId="0" borderId="0" xfId="0" applyAlignment="1">
      <alignment wrapText="1"/>
    </xf>
    <xf numFmtId="0" fontId="0" fillId="0" borderId="0" xfId="0" applyAlignment="1">
      <alignment horizontal="center"/>
    </xf>
    <xf numFmtId="0" fontId="16" fillId="0" borderId="0" xfId="0" applyFont="1"/>
    <xf numFmtId="0" fontId="0" fillId="0" borderId="0" xfId="0" applyAlignment="1">
      <alignment vertical="center"/>
    </xf>
    <xf numFmtId="0" fontId="0" fillId="0" borderId="2" xfId="0" applyBorder="1" applyAlignment="1">
      <alignment horizontal="center" wrapText="1"/>
    </xf>
    <xf numFmtId="0" fontId="16" fillId="0" borderId="0" xfId="0" applyFont="1" applyAlignment="1">
      <alignment wrapText="1"/>
    </xf>
    <xf numFmtId="0" fontId="21" fillId="0" borderId="0" xfId="0" applyFont="1" applyAlignment="1">
      <alignment vertical="center"/>
    </xf>
    <xf numFmtId="0" fontId="22" fillId="0" borderId="0" xfId="0" applyFont="1" applyAlignment="1">
      <alignment vertical="center"/>
    </xf>
    <xf numFmtId="0" fontId="22" fillId="0" borderId="0" xfId="0" applyFont="1" applyAlignment="1">
      <alignment horizontal="left" vertical="center"/>
    </xf>
    <xf numFmtId="0" fontId="22" fillId="4" borderId="0" xfId="0" applyFont="1" applyFill="1" applyAlignment="1">
      <alignment vertical="center"/>
    </xf>
    <xf numFmtId="0" fontId="22" fillId="6" borderId="0" xfId="0" applyFont="1" applyFill="1" applyAlignment="1">
      <alignment horizontal="center" wrapText="1"/>
    </xf>
    <xf numFmtId="0" fontId="22" fillId="6" borderId="2" xfId="0" applyFont="1" applyFill="1" applyBorder="1" applyAlignment="1">
      <alignment horizontal="center" wrapText="1"/>
    </xf>
    <xf numFmtId="0" fontId="24" fillId="4" borderId="3" xfId="0" applyFont="1" applyFill="1" applyBorder="1" applyAlignment="1">
      <alignment horizontal="center" vertical="center"/>
    </xf>
    <xf numFmtId="0" fontId="22" fillId="6" borderId="4" xfId="0" applyFont="1" applyFill="1" applyBorder="1" applyAlignment="1">
      <alignment horizontal="center" wrapText="1"/>
    </xf>
    <xf numFmtId="0" fontId="26" fillId="0" borderId="7" xfId="0" applyFont="1" applyBorder="1" applyAlignment="1">
      <alignment horizontal="center" vertical="center" wrapText="1"/>
    </xf>
    <xf numFmtId="0" fontId="26" fillId="0" borderId="8" xfId="0" applyFont="1" applyBorder="1" applyAlignment="1">
      <alignment horizontal="center" vertical="center" wrapText="1"/>
    </xf>
    <xf numFmtId="0" fontId="25" fillId="0" borderId="7" xfId="0" applyFont="1" applyBorder="1" applyAlignment="1">
      <alignment horizontal="center" vertical="center" wrapText="1"/>
    </xf>
    <xf numFmtId="0" fontId="25" fillId="0" borderId="8" xfId="0" applyFont="1" applyBorder="1" applyAlignment="1">
      <alignment horizontal="center" vertical="center" wrapText="1"/>
    </xf>
    <xf numFmtId="0" fontId="17" fillId="0" borderId="0" xfId="0" applyFont="1" applyAlignment="1">
      <alignment wrapText="1"/>
    </xf>
    <xf numFmtId="0" fontId="0" fillId="0" borderId="0" xfId="0" applyAlignment="1">
      <alignment horizontal="left" vertical="center" wrapText="1"/>
    </xf>
    <xf numFmtId="0" fontId="0" fillId="0" borderId="0" xfId="0" applyAlignment="1">
      <alignment vertical="center" wrapText="1"/>
    </xf>
    <xf numFmtId="0" fontId="19" fillId="0" borderId="0" xfId="0" applyFont="1" applyAlignment="1">
      <alignment wrapText="1"/>
    </xf>
    <xf numFmtId="0" fontId="7" fillId="0" borderId="0" xfId="0" applyFont="1"/>
    <xf numFmtId="0" fontId="22" fillId="0" borderId="0" xfId="0" applyFont="1"/>
    <xf numFmtId="0" fontId="0" fillId="4" borderId="0" xfId="0" applyFill="1"/>
    <xf numFmtId="0" fontId="12" fillId="4" borderId="0" xfId="0" applyFont="1" applyFill="1"/>
    <xf numFmtId="0" fontId="22" fillId="4" borderId="0" xfId="0" applyFont="1" applyFill="1" applyAlignment="1">
      <alignment horizontal="center" wrapText="1"/>
    </xf>
    <xf numFmtId="0" fontId="25" fillId="4" borderId="6" xfId="0" applyFont="1" applyFill="1" applyBorder="1" applyAlignment="1">
      <alignment horizontal="center" vertical="center" wrapText="1"/>
    </xf>
    <xf numFmtId="0" fontId="27" fillId="0" borderId="0" xfId="0" applyFont="1" applyAlignment="1">
      <alignment vertical="center"/>
    </xf>
    <xf numFmtId="0" fontId="28" fillId="0" borderId="0" xfId="0" applyFont="1" applyAlignment="1">
      <alignment vertical="center"/>
    </xf>
    <xf numFmtId="0" fontId="1" fillId="0" borderId="0" xfId="0" applyFont="1" applyAlignment="1">
      <alignment vertical="center"/>
    </xf>
    <xf numFmtId="0" fontId="8" fillId="4" borderId="0" xfId="0" applyFont="1" applyFill="1" applyAlignment="1">
      <alignment vertical="center"/>
    </xf>
    <xf numFmtId="0" fontId="23" fillId="0" borderId="0" xfId="0" applyFont="1" applyAlignment="1">
      <alignment wrapText="1"/>
    </xf>
    <xf numFmtId="0" fontId="22" fillId="6" borderId="9" xfId="0" applyFont="1" applyFill="1" applyBorder="1" applyAlignment="1">
      <alignment horizontal="center" vertical="center" wrapText="1"/>
    </xf>
    <xf numFmtId="0" fontId="22" fillId="4" borderId="9" xfId="0" applyFont="1" applyFill="1" applyBorder="1" applyAlignment="1">
      <alignment horizontal="center" vertical="center" wrapText="1"/>
    </xf>
    <xf numFmtId="0" fontId="25" fillId="6" borderId="5" xfId="0" applyFont="1" applyFill="1" applyBorder="1" applyAlignment="1">
      <alignment horizontal="center" vertical="center" wrapText="1"/>
    </xf>
    <xf numFmtId="0" fontId="25" fillId="6" borderId="6" xfId="0" applyFont="1" applyFill="1" applyBorder="1" applyAlignment="1">
      <alignment horizontal="center" vertical="center" wrapText="1"/>
    </xf>
    <xf numFmtId="0" fontId="22" fillId="6" borderId="0" xfId="0" applyFont="1" applyFill="1" applyAlignment="1">
      <alignment horizontal="center" vertical="center" wrapText="1"/>
    </xf>
    <xf numFmtId="0" fontId="29" fillId="6" borderId="0" xfId="0" applyFont="1" applyFill="1" applyAlignment="1">
      <alignment horizontal="center" vertical="center" wrapText="1"/>
    </xf>
    <xf numFmtId="0" fontId="29" fillId="6" borderId="0" xfId="0" applyFont="1" applyFill="1" applyBorder="1" applyAlignment="1">
      <alignment horizontal="center" vertical="center" wrapText="1"/>
    </xf>
    <xf numFmtId="0" fontId="22" fillId="4" borderId="0" xfId="0" applyFont="1" applyFill="1" applyAlignment="1">
      <alignment horizontal="center" vertical="center" wrapText="1"/>
    </xf>
    <xf numFmtId="0" fontId="16" fillId="0" borderId="0" xfId="0" applyFont="1" applyAlignment="1">
      <alignment horizontal="center" vertical="center" wrapText="1"/>
    </xf>
    <xf numFmtId="0" fontId="30" fillId="0" borderId="0" xfId="0" applyFont="1" applyAlignment="1">
      <alignment vertical="center" wrapText="1"/>
    </xf>
    <xf numFmtId="0" fontId="8" fillId="0" borderId="0" xfId="0" applyFont="1" applyAlignment="1">
      <alignment vertical="center" wrapText="1"/>
    </xf>
    <xf numFmtId="0" fontId="1" fillId="0" borderId="0" xfId="1" applyFont="1"/>
    <xf numFmtId="0" fontId="22" fillId="0" borderId="0" xfId="0" applyFont="1" applyAlignment="1">
      <alignment wrapText="1"/>
    </xf>
    <xf numFmtId="0" fontId="16" fillId="4" borderId="0" xfId="0" applyFont="1" applyFill="1" applyAlignment="1">
      <alignment wrapText="1"/>
    </xf>
    <xf numFmtId="0" fontId="0" fillId="0" borderId="0" xfId="0" applyAlignment="1">
      <alignment wrapText="1"/>
    </xf>
    <xf numFmtId="0" fontId="0" fillId="0" borderId="0" xfId="0" applyFont="1" applyBorder="1" applyAlignment="1">
      <alignment horizontal="center"/>
    </xf>
    <xf numFmtId="0" fontId="8" fillId="2" borderId="0" xfId="0" applyFont="1" applyFill="1" applyBorder="1" applyAlignment="1">
      <alignment horizontal="center"/>
    </xf>
    <xf numFmtId="0" fontId="0" fillId="2" borderId="0" xfId="0" applyFont="1" applyFill="1" applyBorder="1" applyAlignment="1">
      <alignment horizontal="center"/>
    </xf>
    <xf numFmtId="0" fontId="0" fillId="0" borderId="0" xfId="0" applyFont="1"/>
    <xf numFmtId="0" fontId="31" fillId="0" borderId="0" xfId="0" applyFont="1"/>
    <xf numFmtId="0" fontId="32" fillId="0" borderId="0" xfId="0" applyFont="1"/>
    <xf numFmtId="0" fontId="8" fillId="4" borderId="0" xfId="0" applyFont="1" applyFill="1"/>
    <xf numFmtId="0" fontId="32" fillId="4" borderId="0" xfId="0" applyFont="1" applyFill="1"/>
    <xf numFmtId="0" fontId="0" fillId="0" borderId="0" xfId="0" applyFont="1" applyFill="1" applyBorder="1" applyAlignment="1">
      <alignment horizontal="center"/>
    </xf>
    <xf numFmtId="0" fontId="8" fillId="0" borderId="0" xfId="0" applyFont="1" applyFill="1" applyBorder="1" applyAlignment="1">
      <alignment horizontal="center"/>
    </xf>
    <xf numFmtId="2" fontId="0" fillId="0" borderId="0" xfId="0" applyNumberFormat="1" applyFont="1" applyFill="1" applyBorder="1" applyAlignment="1">
      <alignment horizontal="center"/>
    </xf>
    <xf numFmtId="1" fontId="0" fillId="0" borderId="0" xfId="0" applyNumberFormat="1" applyFont="1" applyFill="1" applyBorder="1" applyAlignment="1">
      <alignment horizontal="center"/>
    </xf>
    <xf numFmtId="0" fontId="34" fillId="0" borderId="0" xfId="0" applyFont="1" applyFill="1" applyBorder="1" applyAlignment="1">
      <alignment horizontal="left"/>
    </xf>
    <xf numFmtId="0" fontId="1" fillId="0" borderId="0" xfId="1" applyAlignment="1">
      <alignment horizontal="center"/>
    </xf>
    <xf numFmtId="0" fontId="33" fillId="0" borderId="0" xfId="0" applyFont="1" applyBorder="1" applyAlignment="1">
      <alignment horizontal="center"/>
    </xf>
    <xf numFmtId="167" fontId="0" fillId="0" borderId="0" xfId="0" applyNumberFormat="1" applyFont="1" applyFill="1" applyBorder="1" applyAlignment="1">
      <alignment horizontal="center"/>
    </xf>
    <xf numFmtId="167" fontId="8" fillId="0" borderId="0" xfId="0" applyNumberFormat="1" applyFont="1" applyFill="1" applyBorder="1" applyAlignment="1">
      <alignment horizontal="center"/>
    </xf>
    <xf numFmtId="167" fontId="8" fillId="0" borderId="0" xfId="0" applyNumberFormat="1" applyFont="1" applyFill="1" applyBorder="1" applyAlignment="1">
      <alignment horizontal="center" wrapText="1"/>
    </xf>
    <xf numFmtId="0" fontId="0" fillId="7" borderId="0" xfId="0" applyFont="1" applyFill="1" applyAlignment="1">
      <alignment horizontal="left" vertical="center" wrapText="1"/>
    </xf>
    <xf numFmtId="0" fontId="22" fillId="7" borderId="0" xfId="0" applyFont="1" applyFill="1" applyAlignment="1">
      <alignment horizontal="center" vertical="center" wrapText="1"/>
    </xf>
    <xf numFmtId="0" fontId="0" fillId="4" borderId="0" xfId="0" applyFill="1" applyAlignment="1">
      <alignment horizontal="left"/>
    </xf>
    <xf numFmtId="0" fontId="0" fillId="0" borderId="0" xfId="0" applyFont="1" applyFill="1" applyBorder="1" applyAlignment="1">
      <alignment horizontal="center" wrapText="1"/>
    </xf>
    <xf numFmtId="1" fontId="0" fillId="0" borderId="0" xfId="0" applyNumberFormat="1" applyFont="1" applyFill="1" applyBorder="1" applyAlignment="1">
      <alignment horizontal="left"/>
    </xf>
    <xf numFmtId="0" fontId="36" fillId="0" borderId="0" xfId="1" applyFont="1"/>
    <xf numFmtId="0" fontId="36" fillId="0" borderId="0" xfId="1" applyFont="1" applyAlignment="1">
      <alignment horizontal="center"/>
    </xf>
    <xf numFmtId="0" fontId="34" fillId="0" borderId="0" xfId="0" applyFont="1" applyFill="1" applyBorder="1" applyAlignment="1">
      <alignment horizontal="center"/>
    </xf>
    <xf numFmtId="166" fontId="0" fillId="0" borderId="0" xfId="0" applyNumberFormat="1" applyFont="1" applyBorder="1" applyAlignment="1">
      <alignment horizontal="center"/>
    </xf>
    <xf numFmtId="166" fontId="0" fillId="0" borderId="0" xfId="0" applyNumberFormat="1" applyFont="1" applyFill="1" applyBorder="1" applyAlignment="1">
      <alignment horizontal="center"/>
    </xf>
    <xf numFmtId="1" fontId="0" fillId="0" borderId="0" xfId="0" applyNumberFormat="1" applyFont="1" applyFill="1" applyBorder="1" applyAlignment="1">
      <alignment horizontal="left" wrapText="1"/>
    </xf>
    <xf numFmtId="0" fontId="0" fillId="0" borderId="0" xfId="0" applyAlignment="1"/>
    <xf numFmtId="0" fontId="8" fillId="2" borderId="0" xfId="0" applyFont="1" applyFill="1" applyBorder="1" applyAlignment="1"/>
    <xf numFmtId="0" fontId="0" fillId="2" borderId="0" xfId="0" applyFont="1" applyFill="1" applyBorder="1" applyAlignment="1"/>
    <xf numFmtId="0" fontId="0" fillId="0" borderId="0" xfId="0" applyFont="1" applyFill="1" applyBorder="1" applyAlignment="1"/>
    <xf numFmtId="2" fontId="0" fillId="0" borderId="0" xfId="0" applyNumberFormat="1" applyFont="1" applyBorder="1" applyAlignment="1">
      <alignment horizontal="center"/>
    </xf>
    <xf numFmtId="0" fontId="37" fillId="8" borderId="0" xfId="0" applyFont="1" applyFill="1" applyBorder="1" applyAlignment="1"/>
    <xf numFmtId="0" fontId="37" fillId="8" borderId="0" xfId="0" applyFont="1" applyFill="1" applyBorder="1" applyAlignment="1">
      <alignment horizontal="center"/>
    </xf>
    <xf numFmtId="0" fontId="38" fillId="8" borderId="0" xfId="0" applyFont="1" applyFill="1" applyBorder="1" applyAlignment="1">
      <alignment horizontal="center" wrapText="1"/>
    </xf>
    <xf numFmtId="3" fontId="38" fillId="8" borderId="0" xfId="0" applyNumberFormat="1" applyFont="1" applyFill="1" applyBorder="1" applyAlignment="1">
      <alignment horizontal="left" wrapText="1"/>
    </xf>
    <xf numFmtId="3" fontId="38" fillId="8" borderId="0" xfId="0" applyNumberFormat="1" applyFont="1" applyFill="1" applyBorder="1" applyAlignment="1">
      <alignment horizontal="center" wrapText="1"/>
    </xf>
    <xf numFmtId="0" fontId="0" fillId="0" borderId="0" xfId="0" applyFill="1"/>
    <xf numFmtId="0" fontId="0" fillId="0" borderId="0" xfId="0" applyFill="1" applyAlignment="1">
      <alignment horizontal="center"/>
    </xf>
    <xf numFmtId="0" fontId="0" fillId="0" borderId="0" xfId="0" applyFont="1" applyFill="1" applyBorder="1" applyAlignment="1">
      <alignment horizontal="left"/>
    </xf>
    <xf numFmtId="0" fontId="0" fillId="9" borderId="0" xfId="0" applyFill="1"/>
    <xf numFmtId="0" fontId="37" fillId="10" borderId="0" xfId="0" applyFont="1" applyFill="1" applyBorder="1" applyAlignment="1">
      <alignment horizontal="center"/>
    </xf>
    <xf numFmtId="167" fontId="8" fillId="11" borderId="0" xfId="0" applyNumberFormat="1" applyFont="1" applyFill="1" applyBorder="1" applyAlignment="1">
      <alignment horizontal="center"/>
    </xf>
    <xf numFmtId="167" fontId="8" fillId="12" borderId="0" xfId="0" applyNumberFormat="1" applyFont="1" applyFill="1" applyBorder="1" applyAlignment="1">
      <alignment horizontal="center"/>
    </xf>
    <xf numFmtId="167" fontId="0" fillId="12" borderId="0" xfId="0" applyNumberFormat="1" applyFont="1" applyFill="1" applyBorder="1" applyAlignment="1">
      <alignment horizontal="center"/>
    </xf>
    <xf numFmtId="0" fontId="0" fillId="0" borderId="0" xfId="0" applyBorder="1" applyAlignment="1">
      <alignment horizontal="center"/>
    </xf>
    <xf numFmtId="2" fontId="0" fillId="0" borderId="0" xfId="0" applyNumberFormat="1" applyFill="1" applyBorder="1" applyAlignment="1">
      <alignment horizontal="center"/>
    </xf>
    <xf numFmtId="0" fontId="38" fillId="8" borderId="0" xfId="0" applyFont="1" applyFill="1" applyBorder="1" applyAlignment="1">
      <alignment horizontal="center" vertical="center" wrapText="1"/>
    </xf>
    <xf numFmtId="0" fontId="37" fillId="8" borderId="0" xfId="0" applyFont="1" applyFill="1" applyBorder="1" applyAlignment="1">
      <alignment horizontal="center" vertical="center"/>
    </xf>
    <xf numFmtId="0" fontId="37" fillId="10" borderId="0" xfId="0" applyFont="1" applyFill="1" applyBorder="1" applyAlignment="1">
      <alignment horizontal="center" vertical="center"/>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lignment horizontal="center" vertical="center"/>
    </xf>
    <xf numFmtId="0" fontId="38" fillId="14" borderId="0" xfId="0" applyFont="1" applyFill="1" applyBorder="1" applyAlignment="1">
      <alignment horizontal="center" wrapText="1"/>
    </xf>
    <xf numFmtId="0" fontId="38" fillId="15" borderId="0" xfId="0" applyFont="1" applyFill="1" applyBorder="1" applyAlignment="1">
      <alignment horizontal="center" wrapText="1"/>
    </xf>
    <xf numFmtId="0" fontId="37" fillId="15" borderId="0" xfId="0" applyFont="1" applyFill="1" applyBorder="1" applyAlignment="1">
      <alignment horizontal="center"/>
    </xf>
    <xf numFmtId="0" fontId="37" fillId="14" borderId="0" xfId="0" applyFont="1" applyFill="1" applyBorder="1" applyAlignment="1">
      <alignment horizontal="center"/>
    </xf>
    <xf numFmtId="3" fontId="38" fillId="15" borderId="0" xfId="0" applyNumberFormat="1" applyFont="1" applyFill="1" applyBorder="1" applyAlignment="1">
      <alignment horizontal="center" wrapText="1"/>
    </xf>
    <xf numFmtId="3" fontId="38" fillId="16" borderId="0" xfId="0" applyNumberFormat="1" applyFont="1" applyFill="1" applyBorder="1" applyAlignment="1">
      <alignment horizontal="center" wrapText="1"/>
    </xf>
    <xf numFmtId="0" fontId="37" fillId="16" borderId="0" xfId="0" applyFont="1" applyFill="1" applyBorder="1" applyAlignment="1">
      <alignment horizontal="center"/>
    </xf>
    <xf numFmtId="0" fontId="39" fillId="15" borderId="0" xfId="0" applyFont="1" applyFill="1" applyBorder="1" applyAlignment="1">
      <alignment horizontal="center"/>
    </xf>
    <xf numFmtId="0" fontId="33" fillId="19" borderId="0" xfId="0" applyFont="1" applyFill="1" applyBorder="1" applyAlignment="1">
      <alignment horizontal="center"/>
    </xf>
    <xf numFmtId="0" fontId="39" fillId="7" borderId="0" xfId="0" applyFont="1" applyFill="1" applyBorder="1" applyAlignment="1">
      <alignment horizontal="center"/>
    </xf>
    <xf numFmtId="0" fontId="0" fillId="17" borderId="0" xfId="0" applyFill="1" applyAlignment="1">
      <alignment horizontal="center"/>
    </xf>
    <xf numFmtId="0" fontId="0" fillId="20" borderId="0" xfId="0" applyFill="1" applyAlignment="1">
      <alignment horizontal="center"/>
    </xf>
    <xf numFmtId="0" fontId="39" fillId="13" borderId="0" xfId="0" applyFont="1" applyFill="1" applyAlignment="1">
      <alignment horizontal="center"/>
    </xf>
    <xf numFmtId="0" fontId="0" fillId="18" borderId="0" xfId="0" applyFill="1"/>
    <xf numFmtId="0" fontId="0" fillId="0" borderId="0" xfId="0" applyFill="1" applyBorder="1" applyAlignment="1">
      <alignment horizontal="center"/>
    </xf>
    <xf numFmtId="0" fontId="0" fillId="0" borderId="0" xfId="0" applyAlignment="1">
      <alignment horizontal="center" wrapText="1"/>
    </xf>
    <xf numFmtId="0" fontId="7" fillId="21" borderId="0" xfId="0" applyFont="1" applyFill="1" applyBorder="1" applyAlignment="1">
      <alignment horizontal="center" wrapText="1"/>
    </xf>
    <xf numFmtId="0" fontId="7" fillId="0" borderId="0" xfId="0" applyFont="1" applyBorder="1" applyAlignment="1">
      <alignment horizontal="left"/>
    </xf>
    <xf numFmtId="0" fontId="8" fillId="0" borderId="0" xfId="0" applyFont="1" applyBorder="1" applyAlignment="1">
      <alignment horizontal="left" indent="1"/>
    </xf>
    <xf numFmtId="3" fontId="8" fillId="0" borderId="0" xfId="0" applyNumberFormat="1" applyFont="1" applyBorder="1" applyAlignment="1">
      <alignment horizontal="right" indent="1"/>
    </xf>
    <xf numFmtId="3" fontId="8" fillId="0" borderId="0" xfId="0" applyNumberFormat="1" applyFont="1" applyBorder="1" applyAlignment="1">
      <alignment horizontal="right"/>
    </xf>
    <xf numFmtId="3" fontId="7" fillId="0" borderId="0" xfId="0" applyNumberFormat="1" applyFont="1" applyBorder="1" applyAlignment="1">
      <alignment horizontal="right"/>
    </xf>
    <xf numFmtId="0" fontId="30" fillId="0" borderId="0" xfId="0" applyFont="1" applyBorder="1"/>
    <xf numFmtId="0" fontId="7" fillId="0" borderId="0" xfId="0" applyFont="1" applyFill="1" applyBorder="1" applyAlignment="1">
      <alignment horizontal="left"/>
    </xf>
    <xf numFmtId="3" fontId="30" fillId="0" borderId="0" xfId="0" applyNumberFormat="1" applyFont="1"/>
    <xf numFmtId="3" fontId="0" fillId="0" borderId="0" xfId="0" applyNumberFormat="1"/>
    <xf numFmtId="0" fontId="7" fillId="0" borderId="0" xfId="0" applyFont="1" applyBorder="1" applyAlignment="1">
      <alignment horizontal="center"/>
    </xf>
    <xf numFmtId="0" fontId="0" fillId="7" borderId="0" xfId="0" applyFill="1" applyAlignment="1">
      <alignment horizontal="center"/>
    </xf>
    <xf numFmtId="0" fontId="0" fillId="22" borderId="0" xfId="0" applyFill="1" applyAlignment="1">
      <alignment wrapText="1"/>
    </xf>
    <xf numFmtId="0" fontId="0" fillId="22" borderId="0" xfId="0" applyFill="1"/>
    <xf numFmtId="0" fontId="0" fillId="23" borderId="0" xfId="0" applyFill="1"/>
    <xf numFmtId="49" fontId="0" fillId="0" borderId="0" xfId="0" applyNumberFormat="1" applyAlignment="1">
      <alignment horizontal="center"/>
    </xf>
    <xf numFmtId="2" fontId="0" fillId="0" borderId="0" xfId="0" applyNumberFormat="1" applyAlignment="1">
      <alignment horizontal="center"/>
    </xf>
    <xf numFmtId="168" fontId="0" fillId="0" borderId="0" xfId="0" applyNumberFormat="1" applyAlignment="1">
      <alignment horizontal="center"/>
    </xf>
    <xf numFmtId="0" fontId="0" fillId="23" borderId="0" xfId="0" applyFill="1" applyAlignment="1">
      <alignment wrapText="1"/>
    </xf>
    <xf numFmtId="0" fontId="0" fillId="2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 fontId="0" fillId="0" borderId="0" xfId="0" applyNumberFormat="1"/>
    <xf numFmtId="1" fontId="0" fillId="0" borderId="0" xfId="0" applyNumberFormat="1" applyFill="1"/>
    <xf numFmtId="0" fontId="0" fillId="25" borderId="0" xfId="0" applyFill="1"/>
    <xf numFmtId="0" fontId="0" fillId="26" borderId="0" xfId="0" applyFill="1"/>
    <xf numFmtId="2" fontId="0" fillId="0" borderId="0" xfId="0" applyNumberFormat="1"/>
    <xf numFmtId="0" fontId="0" fillId="0" borderId="0" xfId="0" applyAlignment="1">
      <alignment wrapText="1"/>
    </xf>
    <xf numFmtId="1" fontId="0" fillId="22" borderId="0" xfId="0" applyNumberFormat="1" applyFill="1" applyAlignment="1">
      <alignment wrapText="1"/>
    </xf>
    <xf numFmtId="1" fontId="0" fillId="23" borderId="0" xfId="0" applyNumberFormat="1" applyFill="1" applyAlignment="1">
      <alignment wrapText="1"/>
    </xf>
    <xf numFmtId="0" fontId="0" fillId="0" borderId="0" xfId="0" applyAlignment="1">
      <alignment wrapText="1"/>
    </xf>
    <xf numFmtId="1" fontId="0" fillId="0" borderId="0" xfId="0" applyNumberFormat="1" applyFill="1" applyAlignment="1">
      <alignment wrapText="1"/>
    </xf>
    <xf numFmtId="2" fontId="0" fillId="25" borderId="0" xfId="0" applyNumberFormat="1" applyFill="1"/>
    <xf numFmtId="2" fontId="0" fillId="23" borderId="0" xfId="0" applyNumberFormat="1" applyFill="1"/>
    <xf numFmtId="1" fontId="0" fillId="0" borderId="0" xfId="0" applyNumberFormat="1" applyAlignment="1">
      <alignment wrapText="1"/>
    </xf>
    <xf numFmtId="2" fontId="0" fillId="0" borderId="0" xfId="0" applyNumberFormat="1" applyAlignment="1">
      <alignment wrapText="1"/>
    </xf>
    <xf numFmtId="0" fontId="0" fillId="20" borderId="0" xfId="0" applyFill="1" applyAlignment="1">
      <alignment wrapText="1"/>
    </xf>
    <xf numFmtId="2" fontId="0" fillId="23" borderId="0" xfId="0" applyNumberFormat="1" applyFill="1" applyAlignment="1">
      <alignment wrapText="1"/>
    </xf>
    <xf numFmtId="2" fontId="0" fillId="25" borderId="0" xfId="0" applyNumberFormat="1" applyFill="1" applyAlignment="1">
      <alignment wrapText="1"/>
    </xf>
    <xf numFmtId="0" fontId="0" fillId="0" borderId="0" xfId="0" applyFill="1" applyAlignment="1">
      <alignment wrapText="1"/>
    </xf>
    <xf numFmtId="0" fontId="0" fillId="0" borderId="0" xfId="0" applyFont="1" applyAlignment="1">
      <alignment horizontal="center" wrapText="1"/>
    </xf>
    <xf numFmtId="0" fontId="0" fillId="21" borderId="0" xfId="0" applyFont="1" applyFill="1" applyBorder="1" applyAlignment="1">
      <alignment horizontal="center" wrapText="1"/>
    </xf>
    <xf numFmtId="0" fontId="0" fillId="0" borderId="0" xfId="0" applyAlignment="1">
      <alignment horizontal="center" wrapText="1"/>
    </xf>
    <xf numFmtId="0" fontId="0" fillId="23" borderId="0" xfId="0" applyFill="1" applyAlignment="1">
      <alignment horizontal="center"/>
    </xf>
    <xf numFmtId="0" fontId="0" fillId="0" borderId="0" xfId="0" applyAlignment="1">
      <alignment wrapText="1"/>
    </xf>
    <xf numFmtId="2" fontId="0" fillId="0" borderId="0" xfId="0" applyNumberFormat="1" applyFill="1" applyAlignment="1">
      <alignment wrapText="1"/>
    </xf>
    <xf numFmtId="0" fontId="2" fillId="0" borderId="0" xfId="1" applyFont="1" applyAlignment="1">
      <alignment horizontal="right"/>
    </xf>
    <xf numFmtId="0" fontId="0" fillId="0" borderId="0" xfId="0" applyAlignment="1">
      <alignment wrapText="1"/>
    </xf>
    <xf numFmtId="0" fontId="12" fillId="0" borderId="0" xfId="0" applyFont="1" applyAlignment="1">
      <alignment horizontal="left" wrapText="1"/>
    </xf>
    <xf numFmtId="0" fontId="0" fillId="0" borderId="0" xfId="0" applyAlignment="1">
      <alignment horizontal="left" wrapText="1"/>
    </xf>
    <xf numFmtId="0" fontId="23" fillId="0" borderId="0" xfId="0" applyFont="1" applyAlignment="1">
      <alignment horizontal="left" vertical="center" wrapText="1"/>
    </xf>
    <xf numFmtId="0" fontId="0" fillId="0" borderId="0" xfId="0" applyAlignment="1">
      <alignment horizontal="left" vertical="center" wrapText="1"/>
    </xf>
    <xf numFmtId="0" fontId="22" fillId="6" borderId="0" xfId="0" applyFont="1" applyFill="1" applyAlignment="1">
      <alignment horizontal="center" wrapText="1"/>
    </xf>
    <xf numFmtId="0" fontId="0" fillId="0" borderId="0" xfId="0" applyAlignment="1">
      <alignment horizontal="center" wrapText="1"/>
    </xf>
  </cellXfs>
  <cellStyles count="2">
    <cellStyle name="Normal" xfId="0" builtinId="0"/>
    <cellStyle name="Normal 2" xfId="1"/>
  </cellStyles>
  <dxfs count="9">
    <dxf>
      <font>
        <b val="0"/>
        <i val="0"/>
        <strike val="0"/>
        <condense val="0"/>
        <extend val="0"/>
        <outline val="0"/>
        <shadow val="0"/>
        <u val="none"/>
        <vertAlign val="baseline"/>
        <sz val="11"/>
        <color theme="1"/>
        <name val="Calibri"/>
        <scheme val="minor"/>
      </font>
      <numFmt numFmtId="1" formatCode="0"/>
      <fill>
        <patternFill patternType="none">
          <fgColor indexed="64"/>
          <bgColor indexed="65"/>
        </patternFill>
      </fill>
      <alignment horizontal="left" vertical="bottom" textRotation="0" wrapText="0" indent="0" relativeIndent="255" justifyLastLine="0" shrinkToFit="0" readingOrder="0"/>
    </dxf>
    <dxf>
      <alignment horizontal="general" vertical="center" textRotation="0" wrapText="0" indent="0" relativeIndent="255" justifyLastLine="0" shrinkToFit="0" readingOrder="0"/>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0"/>
        <color auto="1"/>
        <name val="Arial"/>
        <scheme val="none"/>
      </font>
    </dxf>
    <dxf>
      <font>
        <b/>
        <i val="0"/>
        <strike val="0"/>
        <condense val="0"/>
        <extend val="0"/>
        <outline val="0"/>
        <shadow val="0"/>
        <u val="none"/>
        <vertAlign val="baseline"/>
        <sz val="10"/>
        <color theme="0"/>
        <name val="Arial"/>
        <scheme val="none"/>
      </font>
      <alignment horizontal="center" vertical="bottom" textRotation="0" wrapText="0" indent="0" relativeIndent="255"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chart1.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a:pPr>
            <a:r>
              <a:rPr lang="en-CA" sz="1400"/>
              <a:t>Energy Use Intensity (kWh/m</a:t>
            </a:r>
            <a:r>
              <a:rPr lang="en-CA" sz="1400" baseline="30000"/>
              <a:t>2</a:t>
            </a:r>
            <a:r>
              <a:rPr lang="en-CA" sz="1400"/>
              <a:t> of Floor</a:t>
            </a:r>
            <a:r>
              <a:rPr lang="en-CA" sz="1400" baseline="0"/>
              <a:t> Area)</a:t>
            </a:r>
            <a:endParaRPr lang="en-CA" sz="1400"/>
          </a:p>
        </c:rich>
      </c:tx>
    </c:title>
    <c:plotArea>
      <c:layout>
        <c:manualLayout>
          <c:layoutTarget val="inner"/>
          <c:xMode val="edge"/>
          <c:yMode val="edge"/>
          <c:x val="0.14497462817147866"/>
          <c:y val="0.17218759113444151"/>
          <c:w val="0.61860783027121646"/>
          <c:h val="0.7118325313502476"/>
        </c:manualLayout>
      </c:layout>
      <c:lineChart>
        <c:grouping val="standard"/>
        <c:ser>
          <c:idx val="0"/>
          <c:order val="0"/>
          <c:tx>
            <c:strRef>
              <c:f>'ChartsAfterThis!'!$B$1</c:f>
              <c:strCache>
                <c:ptCount val="1"/>
                <c:pt idx="0">
                  <c:v>20 Year Payback ECM Package</c:v>
                </c:pt>
              </c:strCache>
            </c:strRef>
          </c:tx>
          <c:spPr>
            <a:ln>
              <a:solidFill>
                <a:srgbClr val="00B05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'ChartsAfterThis!'!$B$2:$B$9</c:f>
              <c:numCache>
                <c:formatCode>General</c:formatCode>
                <c:ptCount val="8"/>
                <c:pt idx="0">
                  <c:v>424</c:v>
                </c:pt>
                <c:pt idx="1">
                  <c:v>409</c:v>
                </c:pt>
                <c:pt idx="2">
                  <c:v>388</c:v>
                </c:pt>
                <c:pt idx="3">
                  <c:v>164.33210065067601</c:v>
                </c:pt>
                <c:pt idx="4">
                  <c:v>159.64724401597257</c:v>
                </c:pt>
                <c:pt idx="5">
                  <c:v>159.64724401597257</c:v>
                </c:pt>
                <c:pt idx="6">
                  <c:v>159.64724401597257</c:v>
                </c:pt>
                <c:pt idx="7">
                  <c:v>159.64724401597257</c:v>
                </c:pt>
              </c:numCache>
            </c:numRef>
          </c:val>
        </c:ser>
        <c:ser>
          <c:idx val="1"/>
          <c:order val="1"/>
          <c:tx>
            <c:strRef>
              <c:f>'ChartsAfterThis!'!$C$1</c:f>
              <c:strCache>
                <c:ptCount val="1"/>
                <c:pt idx="0">
                  <c:v>Business as Usual</c:v>
                </c:pt>
              </c:strCache>
            </c:strRef>
          </c:tx>
          <c:spPr>
            <a:ln>
              <a:solidFill>
                <a:srgbClr val="FF0000"/>
              </a:solidFill>
            </a:ln>
          </c:spPr>
          <c:cat>
            <c:numRef>
              <c:f>'ChartsAfterThis!'!$A$2:$A$9</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'ChartsAfterThis!'!$C$2:$C$9</c:f>
              <c:numCache>
                <c:formatCode>General</c:formatCode>
                <c:ptCount val="8"/>
                <c:pt idx="0">
                  <c:v>424</c:v>
                </c:pt>
                <c:pt idx="1">
                  <c:v>409</c:v>
                </c:pt>
                <c:pt idx="2">
                  <c:v>388</c:v>
                </c:pt>
                <c:pt idx="3">
                  <c:v>336</c:v>
                </c:pt>
                <c:pt idx="4">
                  <c:v>336</c:v>
                </c:pt>
                <c:pt idx="5">
                  <c:v>336</c:v>
                </c:pt>
                <c:pt idx="6">
                  <c:v>336</c:v>
                </c:pt>
                <c:pt idx="7">
                  <c:v>336</c:v>
                </c:pt>
              </c:numCache>
            </c:numRef>
          </c:val>
        </c:ser>
        <c:marker val="1"/>
        <c:axId val="92004736"/>
        <c:axId val="92006272"/>
      </c:lineChart>
      <c:catAx>
        <c:axId val="92004736"/>
        <c:scaling>
          <c:orientation val="minMax"/>
        </c:scaling>
        <c:axPos val="b"/>
        <c:numFmt formatCode="General" sourceLinked="1"/>
        <c:tickLblPos val="nextTo"/>
        <c:crossAx val="92006272"/>
        <c:crosses val="autoZero"/>
        <c:auto val="1"/>
        <c:lblAlgn val="ctr"/>
        <c:lblOffset val="100"/>
      </c:catAx>
      <c:valAx>
        <c:axId val="92006272"/>
        <c:scaling>
          <c:orientation val="minMax"/>
        </c:scaling>
        <c:axPos val="l"/>
        <c:majorGridlines/>
        <c:title>
          <c:tx>
            <c:rich>
              <a:bodyPr rot="-5400000" vert="horz"/>
              <a:lstStyle/>
              <a:p>
                <a:pPr>
                  <a:defRPr sz="1000" baseline="0"/>
                </a:pPr>
                <a:r>
                  <a:rPr lang="en-US" sz="1000" baseline="0"/>
                  <a:t>Energy Use Intensity (kWh/m2)</a:t>
                </a:r>
              </a:p>
            </c:rich>
          </c:tx>
        </c:title>
        <c:numFmt formatCode="General" sourceLinked="1"/>
        <c:tickLblPos val="nextTo"/>
        <c:crossAx val="92004736"/>
        <c:crosses val="autoZero"/>
        <c:crossBetween val="between"/>
      </c:valAx>
    </c:plotArea>
    <c:legend>
      <c:legendPos val="r"/>
      <c:layout>
        <c:manualLayout>
          <c:xMode val="edge"/>
          <c:yMode val="edge"/>
          <c:x val="0.75879090113735781"/>
          <c:y val="0.26795895304753581"/>
          <c:w val="0.21898687664041994"/>
          <c:h val="0.47375765529308839"/>
        </c:manualLayout>
      </c:layout>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600" baseline="0"/>
            </a:pPr>
            <a:r>
              <a:rPr lang="en-US" sz="1600" baseline="0"/>
              <a:t>Energy Use Intensities Per Archetype</a:t>
            </a:r>
          </a:p>
        </c:rich>
      </c:tx>
      <c:layout>
        <c:manualLayout>
          <c:xMode val="edge"/>
          <c:yMode val="edge"/>
          <c:x val="0.26261479726171688"/>
          <c:y val="2.7136752136752151E-3"/>
        </c:manualLayout>
      </c:layout>
      <c:overlay val="1"/>
    </c:title>
    <c:plotArea>
      <c:layout>
        <c:manualLayout>
          <c:layoutTarget val="inner"/>
          <c:xMode val="edge"/>
          <c:yMode val="edge"/>
          <c:x val="0.16271975556536031"/>
          <c:y val="5.7899022464711618E-2"/>
          <c:w val="0.8987364391951006"/>
          <c:h val="0.87844358974358971"/>
        </c:manualLayout>
      </c:layout>
      <c:barChart>
        <c:barDir val="bar"/>
        <c:grouping val="clustered"/>
        <c:ser>
          <c:idx val="1"/>
          <c:order val="0"/>
          <c:tx>
            <c:v>2023 EUI after 20 Year Payback Package ECMs</c:v>
          </c:tx>
          <c:spPr>
            <a:solidFill>
              <a:srgbClr val="00B050"/>
            </a:solidFill>
          </c:spPr>
          <c:cat>
            <c:strRef>
              <c:f>'ChartsAfterThis!'!$A$20:$A$47</c:f>
              <c:strCache>
                <c:ptCount val="28"/>
                <c:pt idx="0">
                  <c:v>Barracks: pre 1960</c:v>
                </c:pt>
                <c:pt idx="1">
                  <c:v>Firehall: pre 1960</c:v>
                </c:pt>
                <c:pt idx="2">
                  <c:v>Food Services: pre 1960</c:v>
                </c:pt>
                <c:pt idx="3">
                  <c:v>Food Services: 2005-2014</c:v>
                </c:pt>
                <c:pt idx="4">
                  <c:v>Hanger: pre 1960</c:v>
                </c:pt>
                <c:pt idx="5">
                  <c:v>Hanger: 1960-1979</c:v>
                </c:pt>
                <c:pt idx="6">
                  <c:v>Hanger: 1980-2004</c:v>
                </c:pt>
                <c:pt idx="7">
                  <c:v>Small Main. Shop: pre 1960</c:v>
                </c:pt>
                <c:pt idx="8">
                  <c:v>Small Main. Shop: 1960-1979</c:v>
                </c:pt>
                <c:pt idx="9">
                  <c:v>Small Main. Shop: 1980-2004</c:v>
                </c:pt>
                <c:pt idx="10">
                  <c:v>Large Main. Shop: pre 1960</c:v>
                </c:pt>
                <c:pt idx="11">
                  <c:v>Large Main. Shop: 1980-2004</c:v>
                </c:pt>
                <c:pt idx="12">
                  <c:v>Small Office: 1960-1979</c:v>
                </c:pt>
                <c:pt idx="13">
                  <c:v>Small Office: 1980-2004</c:v>
                </c:pt>
                <c:pt idx="14">
                  <c:v>Small Office: post 2005</c:v>
                </c:pt>
                <c:pt idx="15">
                  <c:v>Large Office: pre 1960</c:v>
                </c:pt>
                <c:pt idx="16">
                  <c:v>Large Office: 1960-1979</c:v>
                </c:pt>
                <c:pt idx="17">
                  <c:v>Large Office: 1980-2004</c:v>
                </c:pt>
                <c:pt idx="18">
                  <c:v>Recreation Centre: 1980-2004</c:v>
                </c:pt>
                <c:pt idx="19">
                  <c:v>Storage: pre 1960</c:v>
                </c:pt>
                <c:pt idx="20">
                  <c:v>Storage: 1960-1979</c:v>
                </c:pt>
                <c:pt idx="21">
                  <c:v>Storage: 1980-2004</c:v>
                </c:pt>
                <c:pt idx="22">
                  <c:v>Storage: post 2005</c:v>
                </c:pt>
                <c:pt idx="23">
                  <c:v>Training Bldg: pre 1960</c:v>
                </c:pt>
                <c:pt idx="24">
                  <c:v>Training Bldg: 1980-2004</c:v>
                </c:pt>
                <c:pt idx="25">
                  <c:v>Training Bldg post 2005</c:v>
                </c:pt>
                <c:pt idx="26">
                  <c:v>Vehicle Garage: pre 1960</c:v>
                </c:pt>
                <c:pt idx="27">
                  <c:v>Vehicle Garage: 1980-2004</c:v>
                </c:pt>
              </c:strCache>
            </c:strRef>
          </c:cat>
          <c:val>
            <c:numRef>
              <c:f>'ChartsAfterThis!'!$C$20:$C$47</c:f>
              <c:numCache>
                <c:formatCode>General</c:formatCode>
                <c:ptCount val="28"/>
                <c:pt idx="0">
                  <c:v>72.234829039018678</c:v>
                </c:pt>
                <c:pt idx="1">
                  <c:v>340.10634460820216</c:v>
                </c:pt>
                <c:pt idx="2">
                  <c:v>283.89094466709224</c:v>
                </c:pt>
                <c:pt idx="3">
                  <c:v>268.66471650648703</c:v>
                </c:pt>
                <c:pt idx="4">
                  <c:v>214.01572821279936</c:v>
                </c:pt>
                <c:pt idx="5">
                  <c:v>215.65834859719121</c:v>
                </c:pt>
                <c:pt idx="6">
                  <c:v>183.51380296085827</c:v>
                </c:pt>
                <c:pt idx="7">
                  <c:v>344.7148379630828</c:v>
                </c:pt>
                <c:pt idx="8">
                  <c:v>326.24252872104267</c:v>
                </c:pt>
                <c:pt idx="9">
                  <c:v>241.34414551616243</c:v>
                </c:pt>
                <c:pt idx="10">
                  <c:v>199.70006586369021</c:v>
                </c:pt>
                <c:pt idx="11">
                  <c:v>144.95860798890277</c:v>
                </c:pt>
                <c:pt idx="12">
                  <c:v>50.808585927524305</c:v>
                </c:pt>
                <c:pt idx="13">
                  <c:v>38.009999627465476</c:v>
                </c:pt>
                <c:pt idx="14">
                  <c:v>34.057348741464075</c:v>
                </c:pt>
                <c:pt idx="15">
                  <c:v>175.44370376446741</c:v>
                </c:pt>
                <c:pt idx="16">
                  <c:v>198.96929231893745</c:v>
                </c:pt>
                <c:pt idx="17">
                  <c:v>162.89477310526823</c:v>
                </c:pt>
                <c:pt idx="18">
                  <c:v>375.70724168723268</c:v>
                </c:pt>
                <c:pt idx="19">
                  <c:v>225.54380706244612</c:v>
                </c:pt>
                <c:pt idx="20">
                  <c:v>279.1860167215828</c:v>
                </c:pt>
                <c:pt idx="21">
                  <c:v>214.49201734944214</c:v>
                </c:pt>
                <c:pt idx="22">
                  <c:v>197.66815547353269</c:v>
                </c:pt>
                <c:pt idx="23">
                  <c:v>185.67143878120731</c:v>
                </c:pt>
                <c:pt idx="24">
                  <c:v>152.74328214389024</c:v>
                </c:pt>
                <c:pt idx="25">
                  <c:v>135.70899166886605</c:v>
                </c:pt>
                <c:pt idx="26">
                  <c:v>52.41499953896458</c:v>
                </c:pt>
                <c:pt idx="27">
                  <c:v>47.887517816530085</c:v>
                </c:pt>
              </c:numCache>
            </c:numRef>
          </c:val>
        </c:ser>
        <c:ser>
          <c:idx val="0"/>
          <c:order val="1"/>
          <c:tx>
            <c:v>2015 EUI Business as Usual</c:v>
          </c:tx>
          <c:spPr>
            <a:solidFill>
              <a:schemeClr val="accent2"/>
            </a:solidFill>
          </c:spPr>
          <c:val>
            <c:numRef>
              <c:f>'ChartsAfterThis!'!$B$20:$B$47</c:f>
              <c:numCache>
                <c:formatCode>General</c:formatCode>
                <c:ptCount val="28"/>
                <c:pt idx="0">
                  <c:v>133.44228566505163</c:v>
                </c:pt>
                <c:pt idx="1">
                  <c:v>736.43347355995718</c:v>
                </c:pt>
                <c:pt idx="2">
                  <c:v>784.94170401012786</c:v>
                </c:pt>
                <c:pt idx="3">
                  <c:v>486.95221786805138</c:v>
                </c:pt>
                <c:pt idx="4">
                  <c:v>543.98768415620748</c:v>
                </c:pt>
                <c:pt idx="5">
                  <c:v>529.62981427851935</c:v>
                </c:pt>
                <c:pt idx="6">
                  <c:v>361.5386180367347</c:v>
                </c:pt>
                <c:pt idx="7">
                  <c:v>892.50134540776628</c:v>
                </c:pt>
                <c:pt idx="8">
                  <c:v>834.66107765201707</c:v>
                </c:pt>
                <c:pt idx="9">
                  <c:v>478.01061102494657</c:v>
                </c:pt>
                <c:pt idx="10">
                  <c:v>653.2777748217112</c:v>
                </c:pt>
                <c:pt idx="11">
                  <c:v>393.22277705007139</c:v>
                </c:pt>
                <c:pt idx="12">
                  <c:v>93.698606153898126</c:v>
                </c:pt>
                <c:pt idx="13">
                  <c:v>62.108348233898013</c:v>
                </c:pt>
                <c:pt idx="14">
                  <c:v>43.371942985405305</c:v>
                </c:pt>
                <c:pt idx="15">
                  <c:v>599.95004196727552</c:v>
                </c:pt>
                <c:pt idx="16">
                  <c:v>567.69041716882373</c:v>
                </c:pt>
                <c:pt idx="17">
                  <c:v>409.13219179657733</c:v>
                </c:pt>
                <c:pt idx="18">
                  <c:v>475.11281184912553</c:v>
                </c:pt>
                <c:pt idx="19">
                  <c:v>452.06533959713278</c:v>
                </c:pt>
                <c:pt idx="20">
                  <c:v>415.8615621107424</c:v>
                </c:pt>
                <c:pt idx="21">
                  <c:v>267.32061974060724</c:v>
                </c:pt>
                <c:pt idx="22">
                  <c:v>175.42490098006175</c:v>
                </c:pt>
                <c:pt idx="23">
                  <c:v>600.93304013964485</c:v>
                </c:pt>
                <c:pt idx="24">
                  <c:v>374.42705338644384</c:v>
                </c:pt>
                <c:pt idx="25">
                  <c:v>275.42636082665422</c:v>
                </c:pt>
                <c:pt idx="26">
                  <c:v>149.2886285138934</c:v>
                </c:pt>
                <c:pt idx="27">
                  <c:v>106.36838951912934</c:v>
                </c:pt>
              </c:numCache>
            </c:numRef>
          </c:val>
        </c:ser>
        <c:axId val="92521216"/>
        <c:axId val="92522752"/>
      </c:barChart>
      <c:catAx>
        <c:axId val="92521216"/>
        <c:scaling>
          <c:orientation val="minMax"/>
        </c:scaling>
        <c:axPos val="l"/>
        <c:tickLblPos val="nextTo"/>
        <c:txPr>
          <a:bodyPr rot="0" vert="horz"/>
          <a:lstStyle/>
          <a:p>
            <a:pPr>
              <a:defRPr sz="800" baseline="0"/>
            </a:pPr>
            <a:endParaRPr lang="en-US"/>
          </a:p>
        </c:txPr>
        <c:crossAx val="92522752"/>
        <c:crosses val="autoZero"/>
        <c:lblAlgn val="ctr"/>
        <c:lblOffset val="100"/>
      </c:catAx>
      <c:valAx>
        <c:axId val="92522752"/>
        <c:scaling>
          <c:orientation val="minMax"/>
        </c:scaling>
        <c:axPos val="b"/>
        <c:majorGridlines/>
        <c:title>
          <c:tx>
            <c:rich>
              <a:bodyPr rot="0" vert="horz"/>
              <a:lstStyle/>
              <a:p>
                <a:pPr>
                  <a:defRPr/>
                </a:pPr>
                <a:r>
                  <a:rPr lang="en-US" baseline="0"/>
                  <a:t>Energy</a:t>
                </a:r>
                <a:r>
                  <a:rPr lang="en-US"/>
                  <a:t> Use Intensities (kWh/m</a:t>
                </a:r>
                <a:r>
                  <a:rPr lang="en-US" baseline="30000"/>
                  <a:t>2</a:t>
                </a:r>
                <a:r>
                  <a:rPr lang="en-US"/>
                  <a:t>)</a:t>
                </a:r>
              </a:p>
            </c:rich>
          </c:tx>
        </c:title>
        <c:numFmt formatCode="General" sourceLinked="1"/>
        <c:tickLblPos val="nextTo"/>
        <c:crossAx val="92521216"/>
        <c:crosses val="autoZero"/>
        <c:crossBetween val="between"/>
      </c:valAx>
    </c:plotArea>
    <c:legend>
      <c:legendPos val="r"/>
      <c:layout>
        <c:manualLayout>
          <c:xMode val="edge"/>
          <c:yMode val="edge"/>
          <c:x val="0.79770068161968"/>
          <c:y val="9.8985851275198045E-2"/>
          <c:w val="0.18325502660747894"/>
          <c:h val="0.11577572488478315"/>
        </c:manualLayout>
      </c:layout>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400" baseline="0"/>
              <a:t>Energy Use Intensity After Retro-Commissioning</a:t>
            </a:r>
          </a:p>
        </c:rich>
      </c:tx>
      <c:layout>
        <c:manualLayout>
          <c:xMode val="edge"/>
          <c:yMode val="edge"/>
          <c:x val="0.16262489063867017"/>
          <c:y val="6.2615119448708526E-2"/>
        </c:manualLayout>
      </c:layout>
      <c:overlay val="1"/>
    </c:title>
    <c:plotArea>
      <c:layout>
        <c:manualLayout>
          <c:layoutTarget val="inner"/>
          <c:xMode val="edge"/>
          <c:yMode val="edge"/>
          <c:x val="0.15330796150481191"/>
          <c:y val="0.15576141754366032"/>
          <c:w val="0.82446981627296589"/>
          <c:h val="0.7552714593093085"/>
        </c:manualLayout>
      </c:layout>
      <c:lineChart>
        <c:grouping val="standard"/>
        <c:ser>
          <c:idx val="0"/>
          <c:order val="0"/>
          <c:tx>
            <c:strRef>
              <c:f>'ChartsAfterThis!'!$B$49</c:f>
              <c:strCache>
                <c:ptCount val="1"/>
                <c:pt idx="0">
                  <c:v>Business As Usual</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'ChartsAfterThis!'!$B$50:$B$54</c:f>
              <c:numCache>
                <c:formatCode>General</c:formatCode>
                <c:ptCount val="5"/>
                <c:pt idx="0">
                  <c:v>437.6287230650629</c:v>
                </c:pt>
                <c:pt idx="1">
                  <c:v>438.68011970428034</c:v>
                </c:pt>
                <c:pt idx="2">
                  <c:v>424.13264785985632</c:v>
                </c:pt>
                <c:pt idx="3">
                  <c:v>383.59336521319528</c:v>
                </c:pt>
                <c:pt idx="4">
                  <c:v>372.65770556464406</c:v>
                </c:pt>
              </c:numCache>
            </c:numRef>
          </c:val>
        </c:ser>
        <c:ser>
          <c:idx val="1"/>
          <c:order val="1"/>
          <c:tx>
            <c:strRef>
              <c:f>'ChartsAfterThis!'!$C$49</c:f>
              <c:strCache>
                <c:ptCount val="1"/>
                <c:pt idx="0">
                  <c:v>12%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'ChartsAfterThis!'!$C$50:$C$54</c:f>
              <c:numCache>
                <c:formatCode>General</c:formatCode>
                <c:ptCount val="5"/>
                <c:pt idx="0">
                  <c:v>437.6287230650629</c:v>
                </c:pt>
                <c:pt idx="1">
                  <c:v>391.67867830739311</c:v>
                </c:pt>
                <c:pt idx="2">
                  <c:v>378.68986416058596</c:v>
                </c:pt>
                <c:pt idx="3">
                  <c:v>342.49407608321002</c:v>
                </c:pt>
                <c:pt idx="4">
                  <c:v>332.73009425414648</c:v>
                </c:pt>
              </c:numCache>
            </c:numRef>
          </c:val>
        </c:ser>
        <c:ser>
          <c:idx val="2"/>
          <c:order val="2"/>
          <c:tx>
            <c:strRef>
              <c:f>'ChartsAfterThis!'!$D$49</c:f>
              <c:strCache>
                <c:ptCount val="1"/>
                <c:pt idx="0">
                  <c:v>15%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'ChartsAfterThis!'!$D$50:$D$54</c:f>
              <c:numCache>
                <c:formatCode>General</c:formatCode>
                <c:ptCount val="5"/>
                <c:pt idx="0">
                  <c:v>437.6287230650629</c:v>
                </c:pt>
                <c:pt idx="1">
                  <c:v>381.460973655896</c:v>
                </c:pt>
                <c:pt idx="2">
                  <c:v>368.81099813900551</c:v>
                </c:pt>
                <c:pt idx="3">
                  <c:v>333.55944801147416</c:v>
                </c:pt>
                <c:pt idx="4">
                  <c:v>324.05017875186445</c:v>
                </c:pt>
              </c:numCache>
            </c:numRef>
          </c:val>
        </c:ser>
        <c:ser>
          <c:idx val="3"/>
          <c:order val="3"/>
          <c:tx>
            <c:strRef>
              <c:f>'ChartsAfterThis!'!$E$49</c:f>
              <c:strCache>
                <c:ptCount val="1"/>
                <c:pt idx="0">
                  <c:v>20%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'ChartsAfterThis!'!$E$50:$E$54</c:f>
              <c:numCache>
                <c:formatCode>General</c:formatCode>
                <c:ptCount val="5"/>
                <c:pt idx="0">
                  <c:v>437.6287230650629</c:v>
                </c:pt>
                <c:pt idx="1">
                  <c:v>365.56676642023365</c:v>
                </c:pt>
                <c:pt idx="2">
                  <c:v>353.44387321654693</c:v>
                </c:pt>
                <c:pt idx="3">
                  <c:v>319.66113767766274</c:v>
                </c:pt>
                <c:pt idx="4">
                  <c:v>310.54808797053676</c:v>
                </c:pt>
              </c:numCache>
            </c:numRef>
          </c:val>
        </c:ser>
        <c:ser>
          <c:idx val="4"/>
          <c:order val="4"/>
          <c:tx>
            <c:strRef>
              <c:f>'ChartsAfterThis!'!$F$49</c:f>
              <c:strCache>
                <c:ptCount val="1"/>
                <c:pt idx="0">
                  <c:v>30% Savings</c:v>
                </c:pt>
              </c:strCache>
            </c:strRef>
          </c:tx>
          <c:marker>
            <c:symbol val="none"/>
          </c:marker>
          <c:cat>
            <c:numRef>
              <c:f>'ChartsAfterThis!'!$A$50:$A$54</c:f>
              <c:numCache>
                <c:formatCode>General</c:formatCode>
                <c:ptCount val="5"/>
                <c:pt idx="0">
                  <c:v>2015</c:v>
                </c:pt>
                <c:pt idx="1">
                  <c:v>2018</c:v>
                </c:pt>
                <c:pt idx="2">
                  <c:v>2020</c:v>
                </c:pt>
                <c:pt idx="3">
                  <c:v>2023</c:v>
                </c:pt>
                <c:pt idx="4">
                  <c:v>2025</c:v>
                </c:pt>
              </c:numCache>
            </c:numRef>
          </c:cat>
          <c:val>
            <c:numRef>
              <c:f>'ChartsAfterThis!'!$F$50:$F$54</c:f>
              <c:numCache>
                <c:formatCode>General</c:formatCode>
                <c:ptCount val="5"/>
                <c:pt idx="0">
                  <c:v>437.6287230650629</c:v>
                </c:pt>
                <c:pt idx="1">
                  <c:v>337.4462459263695</c:v>
                </c:pt>
                <c:pt idx="2">
                  <c:v>326.25588296912025</c:v>
                </c:pt>
                <c:pt idx="3">
                  <c:v>295.07181939476561</c:v>
                </c:pt>
                <c:pt idx="4">
                  <c:v>286.65977351126463</c:v>
                </c:pt>
              </c:numCache>
            </c:numRef>
          </c:val>
        </c:ser>
        <c:marker val="1"/>
        <c:axId val="92561408"/>
        <c:axId val="92562944"/>
      </c:lineChart>
      <c:catAx>
        <c:axId val="92561408"/>
        <c:scaling>
          <c:orientation val="minMax"/>
        </c:scaling>
        <c:axPos val="b"/>
        <c:numFmt formatCode="General" sourceLinked="1"/>
        <c:tickLblPos val="nextTo"/>
        <c:crossAx val="92562944"/>
        <c:crosses val="autoZero"/>
        <c:auto val="1"/>
        <c:lblAlgn val="ctr"/>
        <c:lblOffset val="100"/>
      </c:catAx>
      <c:valAx>
        <c:axId val="92562944"/>
        <c:scaling>
          <c:orientation val="minMax"/>
        </c:scaling>
        <c:axPos val="l"/>
        <c:majorGridlines/>
        <c:title>
          <c:tx>
            <c:rich>
              <a:bodyPr rot="-5400000" vert="horz"/>
              <a:lstStyle/>
              <a:p>
                <a:pPr>
                  <a:defRPr sz="1000" baseline="0"/>
                </a:pPr>
                <a:r>
                  <a:rPr lang="en-US" sz="1000" baseline="0"/>
                  <a:t>Energy Use Intensity (kWh/m2)</a:t>
                </a:r>
              </a:p>
            </c:rich>
          </c:tx>
          <c:layout>
            <c:manualLayout>
              <c:xMode val="edge"/>
              <c:yMode val="edge"/>
              <c:x val="2.7777777777777811E-2"/>
              <c:y val="0.28142821147345648"/>
            </c:manualLayout>
          </c:layout>
        </c:title>
        <c:numFmt formatCode="General" sourceLinked="1"/>
        <c:tickLblPos val="nextTo"/>
        <c:crossAx val="92561408"/>
        <c:crosses val="autoZero"/>
        <c:crossBetween val="between"/>
      </c:valAx>
    </c:plotArea>
    <c:legend>
      <c:legendPos val="r"/>
      <c:layout>
        <c:manualLayout>
          <c:xMode val="edge"/>
          <c:yMode val="edge"/>
          <c:x val="0.68102690288713907"/>
          <c:y val="0.55258814477404417"/>
          <c:w val="0.28286198600174994"/>
          <c:h val="0.34942838432146844"/>
        </c:manualLayout>
      </c:layout>
      <c:overlay val="1"/>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600" baseline="0"/>
              <a:t>Energy Cost Savings per Energy Conservation Measures in 2015 $</a:t>
            </a:r>
          </a:p>
          <a:p>
            <a:pPr>
              <a:defRPr/>
            </a:pPr>
            <a:endParaRPr lang="en-US"/>
          </a:p>
          <a:p>
            <a:pPr>
              <a:defRPr/>
            </a:pPr>
            <a:endParaRPr lang="en-US"/>
          </a:p>
          <a:p>
            <a:pPr>
              <a:defRPr/>
            </a:pPr>
            <a:endParaRPr lang="en-US"/>
          </a:p>
        </c:rich>
      </c:tx>
    </c:title>
    <c:plotArea>
      <c:layout>
        <c:manualLayout>
          <c:layoutTarget val="inner"/>
          <c:xMode val="edge"/>
          <c:yMode val="edge"/>
          <c:x val="0.39853303170642512"/>
          <c:y val="0.11851159847956858"/>
          <c:w val="0.58681627296587924"/>
          <c:h val="0.76907261074891742"/>
        </c:manualLayout>
      </c:layout>
      <c:barChart>
        <c:barDir val="bar"/>
        <c:grouping val="clustered"/>
        <c:ser>
          <c:idx val="0"/>
          <c:order val="0"/>
          <c:tx>
            <c:v>Energy Cost Savings ($/m2)</c:v>
          </c:tx>
          <c:spPr>
            <a:solidFill>
              <a:srgbClr val="00B050"/>
            </a:solidFill>
          </c:spPr>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'ChartsAfterThis!'!$B$59:$B$83</c:f>
              <c:numCache>
                <c:formatCode>General</c:formatCode>
                <c:ptCount val="25"/>
                <c:pt idx="0">
                  <c:v>0.33828574846339227</c:v>
                </c:pt>
                <c:pt idx="1">
                  <c:v>0.49244453741197725</c:v>
                </c:pt>
                <c:pt idx="2">
                  <c:v>2.1061369986472624</c:v>
                </c:pt>
                <c:pt idx="3">
                  <c:v>0.81162954192390657</c:v>
                </c:pt>
                <c:pt idx="4">
                  <c:v>0.8653395663773511</c:v>
                </c:pt>
                <c:pt idx="5">
                  <c:v>0.39310629709291678</c:v>
                </c:pt>
                <c:pt idx="6">
                  <c:v>0.41303826425024681</c:v>
                </c:pt>
                <c:pt idx="7">
                  <c:v>0.43278061916336352</c:v>
                </c:pt>
                <c:pt idx="8">
                  <c:v>0.22327121817364962</c:v>
                </c:pt>
                <c:pt idx="9">
                  <c:v>-6.2037534033312358E-3</c:v>
                </c:pt>
                <c:pt idx="10">
                  <c:v>2.0386014825190517</c:v>
                </c:pt>
                <c:pt idx="11">
                  <c:v>0.40721207265365256</c:v>
                </c:pt>
                <c:pt idx="12">
                  <c:v>0.49774719282324409</c:v>
                </c:pt>
                <c:pt idx="13">
                  <c:v>2.6279107608276173</c:v>
                </c:pt>
                <c:pt idx="14">
                  <c:v>1.2173594311049141</c:v>
                </c:pt>
                <c:pt idx="15">
                  <c:v>0.35214607455158481</c:v>
                </c:pt>
                <c:pt idx="16">
                  <c:v>-6.5611338485984258E-2</c:v>
                </c:pt>
                <c:pt idx="17">
                  <c:v>0.60609636710816317</c:v>
                </c:pt>
                <c:pt idx="18">
                  <c:v>4.4754895000791217</c:v>
                </c:pt>
                <c:pt idx="19">
                  <c:v>3.9218455008126343</c:v>
                </c:pt>
                <c:pt idx="20">
                  <c:v>3.0450030261471794</c:v>
                </c:pt>
                <c:pt idx="21">
                  <c:v>2.7599476138955903</c:v>
                </c:pt>
                <c:pt idx="22">
                  <c:v>0.93767479113920116</c:v>
                </c:pt>
                <c:pt idx="23">
                  <c:v>0.15646937486982915</c:v>
                </c:pt>
                <c:pt idx="24">
                  <c:v>6.5820763978237586</c:v>
                </c:pt>
              </c:numCache>
            </c:numRef>
          </c:val>
        </c:ser>
        <c:axId val="92584576"/>
        <c:axId val="113713536"/>
      </c:barChart>
      <c:catAx>
        <c:axId val="92584576"/>
        <c:scaling>
          <c:orientation val="minMax"/>
        </c:scaling>
        <c:axPos val="l"/>
        <c:tickLblPos val="low"/>
        <c:spPr>
          <a:ln>
            <a:solidFill>
              <a:schemeClr val="tx1"/>
            </a:solidFill>
          </a:ln>
        </c:spPr>
        <c:txPr>
          <a:bodyPr anchor="ctr" anchorCtr="1"/>
          <a:lstStyle/>
          <a:p>
            <a:pPr>
              <a:defRPr sz="800" baseline="0"/>
            </a:pPr>
            <a:endParaRPr lang="en-US"/>
          </a:p>
        </c:txPr>
        <c:crossAx val="113713536"/>
        <c:crosses val="autoZero"/>
        <c:auto val="1"/>
        <c:lblAlgn val="ctr"/>
        <c:lblOffset val="100"/>
      </c:catAx>
      <c:valAx>
        <c:axId val="113713536"/>
        <c:scaling>
          <c:orientation val="minMax"/>
          <c:min val="0"/>
        </c:scaling>
        <c:axPos val="b"/>
        <c:majorGridlines/>
        <c:title>
          <c:tx>
            <c:rich>
              <a:bodyPr/>
              <a:lstStyle/>
              <a:p>
                <a:pPr>
                  <a:defRPr/>
                </a:pPr>
                <a:r>
                  <a:rPr lang="en-US"/>
                  <a:t>Energy Cost Savings ($/m</a:t>
                </a:r>
                <a:r>
                  <a:rPr lang="en-US" baseline="30000"/>
                  <a:t>2</a:t>
                </a:r>
                <a:r>
                  <a:rPr lang="en-US"/>
                  <a:t> of floor area)</a:t>
                </a:r>
              </a:p>
            </c:rich>
          </c:tx>
        </c:title>
        <c:numFmt formatCode="General" sourceLinked="1"/>
        <c:tickLblPos val="nextTo"/>
        <c:crossAx val="92584576"/>
        <c:crosses val="autoZero"/>
        <c:crossBetween val="between"/>
      </c:valAx>
      <c:spPr>
        <a:noFill/>
      </c:spPr>
    </c:plotArea>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baseline="0"/>
            </a:pPr>
            <a:r>
              <a:rPr lang="en-CA" sz="1400" baseline="0"/>
              <a:t>Energy Cost Index for Business as Usual versus ECM Application in 2023 (40% Reduction)</a:t>
            </a:r>
          </a:p>
        </c:rich>
      </c:tx>
      <c:layout>
        <c:manualLayout>
          <c:xMode val="edge"/>
          <c:yMode val="edge"/>
          <c:x val="0.13464409645423545"/>
          <c:y val="1.1183507721912133E-2"/>
        </c:manualLayout>
      </c:layout>
      <c:overlay val="1"/>
    </c:title>
    <c:plotArea>
      <c:layout>
        <c:manualLayout>
          <c:layoutTarget val="inner"/>
          <c:xMode val="edge"/>
          <c:yMode val="edge"/>
          <c:x val="0.134351745357673"/>
          <c:y val="0.18703850697908045"/>
          <c:w val="0.6533842918757965"/>
          <c:h val="0.73917835742230364"/>
        </c:manualLayout>
      </c:layout>
      <c:lineChart>
        <c:grouping val="standard"/>
        <c:ser>
          <c:idx val="0"/>
          <c:order val="0"/>
          <c:tx>
            <c:strRef>
              <c:f>'ChartsAfterThis!'!$A$96</c:f>
              <c:strCache>
                <c:ptCount val="1"/>
                <c:pt idx="0">
                  <c:v>Natural Gas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'ChartsAfterThis!'!$B$96:$I$96</c:f>
              <c:numCache>
                <c:formatCode>General</c:formatCode>
                <c:ptCount val="8"/>
                <c:pt idx="0">
                  <c:v>5.7919298535881607</c:v>
                </c:pt>
                <c:pt idx="1">
                  <c:v>6.1464422960665841</c:v>
                </c:pt>
                <c:pt idx="2">
                  <c:v>6.3947585648276739</c:v>
                </c:pt>
                <c:pt idx="3">
                  <c:v>6.7861689470636462</c:v>
                </c:pt>
                <c:pt idx="4">
                  <c:v>7.0603301725250178</c:v>
                </c:pt>
                <c:pt idx="5">
                  <c:v>7.7951750077386164</c:v>
                </c:pt>
                <c:pt idx="6">
                  <c:v>8.272302079612281</c:v>
                </c:pt>
                <c:pt idx="7">
                  <c:v>8.6065030836286169</c:v>
                </c:pt>
              </c:numCache>
            </c:numRef>
          </c:val>
        </c:ser>
        <c:ser>
          <c:idx val="1"/>
          <c:order val="1"/>
          <c:tx>
            <c:strRef>
              <c:f>'ChartsAfterThis!'!$A$97</c:f>
              <c:strCache>
                <c:ptCount val="1"/>
                <c:pt idx="0">
                  <c:v>Electricity Cost: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'ChartsAfterThis!'!$B$97:$I$97</c:f>
              <c:numCache>
                <c:formatCode>General</c:formatCode>
                <c:ptCount val="8"/>
                <c:pt idx="0">
                  <c:v>9.0515473449038275</c:v>
                </c:pt>
                <c:pt idx="1">
                  <c:v>10.1817597525779</c:v>
                </c:pt>
                <c:pt idx="2">
                  <c:v>11.012591348388257</c:v>
                </c:pt>
                <c:pt idx="3">
                  <c:v>12.38766755451341</c:v>
                </c:pt>
                <c:pt idx="4">
                  <c:v>13.398501226961706</c:v>
                </c:pt>
                <c:pt idx="5">
                  <c:v>16.301325405592927</c:v>
                </c:pt>
                <c:pt idx="6">
                  <c:v>18.336774101036884</c:v>
                </c:pt>
                <c:pt idx="7">
                  <c:v>19.833054867681497</c:v>
                </c:pt>
              </c:numCache>
            </c:numRef>
          </c:val>
        </c:ser>
        <c:ser>
          <c:idx val="2"/>
          <c:order val="2"/>
          <c:tx>
            <c:strRef>
              <c:f>'ChartsAfterThis!'!$A$98</c:f>
              <c:strCache>
                <c:ptCount val="1"/>
                <c:pt idx="0">
                  <c:v>Natural Gas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'ChartsAfterThis!'!$B$98:$I$98</c:f>
              <c:numCache>
                <c:formatCode>General</c:formatCode>
                <c:ptCount val="8"/>
                <c:pt idx="0">
                  <c:v>5.7919298535881607</c:v>
                </c:pt>
                <c:pt idx="1">
                  <c:v>6.1464422960665841</c:v>
                </c:pt>
                <c:pt idx="2">
                  <c:v>6.3947585648276739</c:v>
                </c:pt>
                <c:pt idx="3">
                  <c:v>2.295278106895474</c:v>
                </c:pt>
                <c:pt idx="4">
                  <c:v>2.3880073424140509</c:v>
                </c:pt>
                <c:pt idx="5">
                  <c:v>2.6365530646600028</c:v>
                </c:pt>
                <c:pt idx="6">
                  <c:v>2.7979312046417122</c:v>
                </c:pt>
                <c:pt idx="7">
                  <c:v>2.9109676253092371</c:v>
                </c:pt>
              </c:numCache>
            </c:numRef>
          </c:val>
        </c:ser>
        <c:ser>
          <c:idx val="3"/>
          <c:order val="3"/>
          <c:tx>
            <c:strRef>
              <c:f>'ChartsAfterThis!'!$A$99</c:f>
              <c:strCache>
                <c:ptCount val="1"/>
                <c:pt idx="0">
                  <c:v>Electricity Cost: ECMs</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'ChartsAfterThis!'!$B$99:$I$99</c:f>
              <c:numCache>
                <c:formatCode>General</c:formatCode>
                <c:ptCount val="8"/>
                <c:pt idx="0">
                  <c:v>9.0515473449038275</c:v>
                </c:pt>
                <c:pt idx="1">
                  <c:v>10.1817597525779</c:v>
                </c:pt>
                <c:pt idx="2">
                  <c:v>11.012591348388257</c:v>
                </c:pt>
                <c:pt idx="3">
                  <c:v>6.8599932013909246</c:v>
                </c:pt>
                <c:pt idx="4">
                  <c:v>7.4197686466244246</c:v>
                </c:pt>
                <c:pt idx="5">
                  <c:v>9.0272830590521291</c:v>
                </c:pt>
                <c:pt idx="6">
                  <c:v>10.154465730937615</c:v>
                </c:pt>
                <c:pt idx="7">
                  <c:v>10.983070134582125</c:v>
                </c:pt>
              </c:numCache>
            </c:numRef>
          </c:val>
        </c:ser>
        <c:ser>
          <c:idx val="4"/>
          <c:order val="4"/>
          <c:tx>
            <c:strRef>
              <c:f>'ChartsAfterThis!'!$A$100</c:f>
              <c:strCache>
                <c:ptCount val="1"/>
                <c:pt idx="0">
                  <c:v>Total: BAU</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'ChartsAfterThis!'!$B$100:$I$100</c:f>
              <c:numCache>
                <c:formatCode>General</c:formatCode>
                <c:ptCount val="8"/>
                <c:pt idx="0">
                  <c:v>14.843477198491989</c:v>
                </c:pt>
                <c:pt idx="1">
                  <c:v>16.328202048644485</c:v>
                </c:pt>
                <c:pt idx="2">
                  <c:v>17.407349913215931</c:v>
                </c:pt>
                <c:pt idx="3">
                  <c:v>19.173836501577057</c:v>
                </c:pt>
                <c:pt idx="4">
                  <c:v>20.458831399486723</c:v>
                </c:pt>
                <c:pt idx="5">
                  <c:v>24.096500413331544</c:v>
                </c:pt>
                <c:pt idx="6">
                  <c:v>26.609076180649165</c:v>
                </c:pt>
                <c:pt idx="7">
                  <c:v>28.439557951310114</c:v>
                </c:pt>
              </c:numCache>
            </c:numRef>
          </c:val>
        </c:ser>
        <c:ser>
          <c:idx val="5"/>
          <c:order val="5"/>
          <c:tx>
            <c:strRef>
              <c:f>'ChartsAfterThis!'!$A$101</c:f>
              <c:strCache>
                <c:ptCount val="1"/>
                <c:pt idx="0">
                  <c:v>Total: ECM</c:v>
                </c:pt>
              </c:strCache>
            </c:strRef>
          </c:tx>
          <c:cat>
            <c:numRef>
              <c:f>'ChartsAfterThis!'!$B$95:$I$95</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'ChartsAfterThis!'!$B$101:$I$101</c:f>
              <c:numCache>
                <c:formatCode>General</c:formatCode>
                <c:ptCount val="8"/>
                <c:pt idx="0">
                  <c:v>14.843477198491989</c:v>
                </c:pt>
                <c:pt idx="1">
                  <c:v>16.328202048644485</c:v>
                </c:pt>
                <c:pt idx="2">
                  <c:v>17.407349913215931</c:v>
                </c:pt>
                <c:pt idx="3">
                  <c:v>14.682945661408883</c:v>
                </c:pt>
                <c:pt idx="4">
                  <c:v>15.786508569375757</c:v>
                </c:pt>
                <c:pt idx="5">
                  <c:v>18.937878470252929</c:v>
                </c:pt>
                <c:pt idx="6">
                  <c:v>21.134705305678597</c:v>
                </c:pt>
                <c:pt idx="7">
                  <c:v>22.744022492990734</c:v>
                </c:pt>
              </c:numCache>
            </c:numRef>
          </c:val>
        </c:ser>
        <c:marker val="1"/>
        <c:axId val="113766400"/>
        <c:axId val="113767936"/>
      </c:lineChart>
      <c:catAx>
        <c:axId val="113766400"/>
        <c:scaling>
          <c:orientation val="minMax"/>
        </c:scaling>
        <c:axPos val="b"/>
        <c:numFmt formatCode="General" sourceLinked="1"/>
        <c:tickLblPos val="nextTo"/>
        <c:crossAx val="113767936"/>
        <c:crosses val="autoZero"/>
        <c:auto val="1"/>
        <c:lblAlgn val="ctr"/>
        <c:lblOffset val="100"/>
      </c:catAx>
      <c:valAx>
        <c:axId val="113767936"/>
        <c:scaling>
          <c:orientation val="minMax"/>
        </c:scaling>
        <c:axPos val="l"/>
        <c:majorGridlines/>
        <c:title>
          <c:tx>
            <c:rich>
              <a:bodyPr rot="-5400000" vert="horz"/>
              <a:lstStyle/>
              <a:p>
                <a:pPr>
                  <a:defRPr/>
                </a:pPr>
                <a:r>
                  <a:rPr lang="en-US"/>
                  <a:t>Energy Cost Index ($/m</a:t>
                </a:r>
                <a:r>
                  <a:rPr lang="en-US" baseline="30000"/>
                  <a:t>2</a:t>
                </a:r>
                <a:r>
                  <a:rPr lang="en-US"/>
                  <a:t>)</a:t>
                </a:r>
              </a:p>
            </c:rich>
          </c:tx>
          <c:layout>
            <c:manualLayout>
              <c:xMode val="edge"/>
              <c:yMode val="edge"/>
              <c:x val="1.4024988449477523E-2"/>
              <c:y val="0.25184238551650689"/>
            </c:manualLayout>
          </c:layout>
        </c:title>
        <c:numFmt formatCode="&quot;$&quot;#,##0" sourceLinked="0"/>
        <c:tickLblPos val="nextTo"/>
        <c:crossAx val="113766400"/>
        <c:crosses val="autoZero"/>
        <c:crossBetween val="between"/>
      </c:valAx>
    </c:plotArea>
    <c:legend>
      <c:legendPos val="r"/>
      <c:layout>
        <c:manualLayout>
          <c:xMode val="edge"/>
          <c:yMode val="edge"/>
          <c:x val="0.79913268151422556"/>
          <c:y val="0.23912119611246693"/>
          <c:w val="0.18965091351885111"/>
          <c:h val="0.53107259356158765"/>
        </c:manualLayout>
      </c:layout>
      <c:txPr>
        <a:bodyPr/>
        <a:lstStyle/>
        <a:p>
          <a:pPr>
            <a:defRPr sz="800" baseline="0"/>
          </a:pPr>
          <a:endParaRPr lang="en-US"/>
        </a:p>
      </c:txPr>
    </c:legend>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sz="1400" baseline="0"/>
            </a:pPr>
            <a:r>
              <a:rPr lang="en-US" sz="1400" baseline="0"/>
              <a:t>Total Energy Costs: Business as Usual versus ECM Application in 2023</a:t>
            </a:r>
          </a:p>
        </c:rich>
      </c:tx>
      <c:layout>
        <c:manualLayout>
          <c:xMode val="edge"/>
          <c:yMode val="edge"/>
          <c:x val="0.11603477690288719"/>
          <c:y val="3.2407407407407426E-2"/>
        </c:manualLayout>
      </c:layout>
      <c:overlay val="1"/>
    </c:title>
    <c:plotArea>
      <c:layout>
        <c:manualLayout>
          <c:layoutTarget val="inner"/>
          <c:xMode val="edge"/>
          <c:yMode val="edge"/>
          <c:x val="0.22876095445060071"/>
          <c:y val="0.22196842605356823"/>
          <c:w val="0.60100230107730257"/>
          <c:h val="0.67891523945263554"/>
        </c:manualLayout>
      </c:layout>
      <c:lineChart>
        <c:grouping val="standard"/>
        <c:ser>
          <c:idx val="0"/>
          <c:order val="0"/>
          <c:tx>
            <c:strRef>
              <c:f>'ChartsAfterThis!'!$A$114</c:f>
              <c:strCache>
                <c:ptCount val="1"/>
                <c:pt idx="0">
                  <c:v>Total: BAU</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'ChartsAfterThis!'!$B$114:$I$114</c:f>
              <c:numCache>
                <c:formatCode>General</c:formatCode>
                <c:ptCount val="8"/>
                <c:pt idx="0">
                  <c:v>3435181.3976154057</c:v>
                </c:pt>
                <c:pt idx="1">
                  <c:v>3787865.2958506937</c:v>
                </c:pt>
                <c:pt idx="2">
                  <c:v>3904294.5120352013</c:v>
                </c:pt>
                <c:pt idx="3">
                  <c:v>3889451.0820179093</c:v>
                </c:pt>
                <c:pt idx="4">
                  <c:v>4031801.445065449</c:v>
                </c:pt>
                <c:pt idx="5">
                  <c:v>4748673.2399548339</c:v>
                </c:pt>
                <c:pt idx="6">
                  <c:v>5243824.0338443499</c:v>
                </c:pt>
                <c:pt idx="7">
                  <c:v>5604555.245906733</c:v>
                </c:pt>
              </c:numCache>
            </c:numRef>
          </c:val>
        </c:ser>
        <c:ser>
          <c:idx val="1"/>
          <c:order val="1"/>
          <c:tx>
            <c:strRef>
              <c:f>'ChartsAfterThis!'!$A$115</c:f>
              <c:strCache>
                <c:ptCount val="1"/>
                <c:pt idx="0">
                  <c:v>Total: ECM</c:v>
                </c:pt>
              </c:strCache>
            </c:strRef>
          </c:tx>
          <c:cat>
            <c:numRef>
              <c:f>'ChartsAfterThis!'!$B$113:$I$113</c:f>
              <c:numCache>
                <c:formatCode>General</c:formatCode>
                <c:ptCount val="8"/>
                <c:pt idx="0">
                  <c:v>2015</c:v>
                </c:pt>
                <c:pt idx="1">
                  <c:v>2018</c:v>
                </c:pt>
                <c:pt idx="2">
                  <c:v>2020</c:v>
                </c:pt>
                <c:pt idx="3">
                  <c:v>2023</c:v>
                </c:pt>
                <c:pt idx="4">
                  <c:v>2025</c:v>
                </c:pt>
                <c:pt idx="5">
                  <c:v>2030</c:v>
                </c:pt>
                <c:pt idx="6">
                  <c:v>2033</c:v>
                </c:pt>
                <c:pt idx="7">
                  <c:v>2035</c:v>
                </c:pt>
              </c:numCache>
            </c:numRef>
          </c:cat>
          <c:val>
            <c:numRef>
              <c:f>'ChartsAfterThis!'!$B$115:$I$115</c:f>
              <c:numCache>
                <c:formatCode>General</c:formatCode>
                <c:ptCount val="8"/>
                <c:pt idx="0">
                  <c:v>3435181.3976154057</c:v>
                </c:pt>
                <c:pt idx="1">
                  <c:v>3787865.2958506937</c:v>
                </c:pt>
                <c:pt idx="2">
                  <c:v>3904294.5120352013</c:v>
                </c:pt>
                <c:pt idx="3">
                  <c:v>2978464.8933081147</c:v>
                </c:pt>
                <c:pt idx="4">
                  <c:v>3111031.4572583111</c:v>
                </c:pt>
                <c:pt idx="5">
                  <c:v>3732068.7722542747</c:v>
                </c:pt>
                <c:pt idx="6">
                  <c:v>4164995.2398847756</c:v>
                </c:pt>
                <c:pt idx="7">
                  <c:v>4482141.7686711913</c:v>
                </c:pt>
              </c:numCache>
            </c:numRef>
          </c:val>
        </c:ser>
        <c:marker val="1"/>
        <c:axId val="114772224"/>
        <c:axId val="114790400"/>
      </c:lineChart>
      <c:catAx>
        <c:axId val="114772224"/>
        <c:scaling>
          <c:orientation val="minMax"/>
        </c:scaling>
        <c:axPos val="b"/>
        <c:numFmt formatCode="General" sourceLinked="1"/>
        <c:tickLblPos val="nextTo"/>
        <c:crossAx val="114790400"/>
        <c:crosses val="autoZero"/>
        <c:auto val="1"/>
        <c:lblAlgn val="ctr"/>
        <c:lblOffset val="100"/>
      </c:catAx>
      <c:valAx>
        <c:axId val="114790400"/>
        <c:scaling>
          <c:orientation val="minMax"/>
        </c:scaling>
        <c:axPos val="l"/>
        <c:majorGridlines/>
        <c:title>
          <c:tx>
            <c:rich>
              <a:bodyPr rot="-5400000" vert="horz"/>
              <a:lstStyle/>
              <a:p>
                <a:pPr>
                  <a:defRPr/>
                </a:pPr>
                <a:r>
                  <a:rPr lang="en-US"/>
                  <a:t>Annual Energy Cost </a:t>
                </a:r>
              </a:p>
            </c:rich>
          </c:tx>
          <c:layout>
            <c:manualLayout>
              <c:xMode val="edge"/>
              <c:yMode val="edge"/>
              <c:x val="3.5541557305336834E-2"/>
              <c:y val="0.39030818477067258"/>
            </c:manualLayout>
          </c:layout>
        </c:title>
        <c:numFmt formatCode="&quot;$&quot;#,##0" sourceLinked="0"/>
        <c:tickLblPos val="nextTo"/>
        <c:crossAx val="114772224"/>
        <c:crosses val="autoZero"/>
        <c:crossBetween val="between"/>
      </c:valAx>
    </c:plotArea>
    <c:legend>
      <c:legendPos val="r"/>
      <c:txPr>
        <a:bodyPr/>
        <a:lstStyle/>
        <a:p>
          <a:pPr>
            <a:defRPr sz="800" baseline="0"/>
          </a:pPr>
          <a:endParaRPr lang="en-US"/>
        </a:p>
      </c:txPr>
    </c:legend>
    <c:plotVisOnly val="1"/>
    <c:dispBlanksAs val="gap"/>
  </c:chart>
  <c:printSettings>
    <c:headerFooter/>
    <c:pageMargins b="0.75000000000000033" l="0.70000000000000029" r="0.70000000000000029" t="0.75000000000000033" header="0.30000000000000016" footer="0.30000000000000016"/>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CA"/>
  <c:chart>
    <c:title>
      <c:tx>
        <c:rich>
          <a:bodyPr/>
          <a:lstStyle/>
          <a:p>
            <a:pPr>
              <a:defRPr/>
            </a:pPr>
            <a:r>
              <a:rPr lang="en-US" sz="1600" baseline="0"/>
              <a:t>GHG Savings per Energy Conservation Measures </a:t>
            </a:r>
          </a:p>
          <a:p>
            <a:pPr>
              <a:defRPr/>
            </a:pPr>
            <a:endParaRPr lang="en-US"/>
          </a:p>
          <a:p>
            <a:pPr>
              <a:defRPr/>
            </a:pPr>
            <a:endParaRPr lang="en-US"/>
          </a:p>
          <a:p>
            <a:pPr>
              <a:defRPr/>
            </a:pPr>
            <a:endParaRPr lang="en-US"/>
          </a:p>
        </c:rich>
      </c:tx>
      <c:layout>
        <c:manualLayout>
          <c:xMode val="edge"/>
          <c:yMode val="edge"/>
          <c:x val="0.14258525329216723"/>
          <c:y val="8.948545861297539E-3"/>
        </c:manualLayout>
      </c:layout>
    </c:title>
    <c:plotArea>
      <c:layout>
        <c:manualLayout>
          <c:layoutTarget val="inner"/>
          <c:xMode val="edge"/>
          <c:yMode val="edge"/>
          <c:x val="0.39853303170642512"/>
          <c:y val="0.11851159847956858"/>
          <c:w val="0.58681627296587924"/>
          <c:h val="0.76907261074891742"/>
        </c:manualLayout>
      </c:layout>
      <c:barChart>
        <c:barDir val="bar"/>
        <c:grouping val="clustered"/>
        <c:ser>
          <c:idx val="1"/>
          <c:order val="0"/>
          <c:cat>
            <c:strRef>
              <c:f>'ChartsAfterThis!'!$A$59:$A$83</c:f>
              <c:strCache>
                <c:ptCount val="25"/>
                <c:pt idx="0">
                  <c:v>supply air temperature reset</c:v>
                </c:pt>
                <c:pt idx="1">
                  <c:v>boiler/rooftop efficiency upgrade</c:v>
                </c:pt>
                <c:pt idx="2">
                  <c:v>hot water loop temperature reset</c:v>
                </c:pt>
                <c:pt idx="3">
                  <c:v>cooling DX upgrade to COP 3.5</c:v>
                </c:pt>
                <c:pt idx="4">
                  <c:v>demand control ventilation (DCV)</c:v>
                </c:pt>
                <c:pt idx="5">
                  <c:v>cold deck reset</c:v>
                </c:pt>
                <c:pt idx="6">
                  <c:v>economizer control for free cooling</c:v>
                </c:pt>
                <c:pt idx="7">
                  <c:v>additional RSI 2.68 roof insulation</c:v>
                </c:pt>
                <c:pt idx="8">
                  <c:v>additional RSI 1.32 exterior wall  insulation</c:v>
                </c:pt>
                <c:pt idx="9">
                  <c:v>upgrade windows to triple glazing</c:v>
                </c:pt>
                <c:pt idx="10">
                  <c:v>exhaust fan operational controls</c:v>
                </c:pt>
                <c:pt idx="11">
                  <c:v>convert 1 hp+ fans to variable frequency drives (VFD)</c:v>
                </c:pt>
                <c:pt idx="12">
                  <c:v>heat recovery ventilation</c:v>
                </c:pt>
                <c:pt idx="13">
                  <c:v>envelope air sealing to 0.27 air changes per hour (ACH)</c:v>
                </c:pt>
                <c:pt idx="14">
                  <c:v>reduce lighting power by 30%</c:v>
                </c:pt>
                <c:pt idx="15">
                  <c:v>2 °C night temperature setback </c:v>
                </c:pt>
                <c:pt idx="16">
                  <c:v>reduce plug loads by 10% (unoccupied hours)</c:v>
                </c:pt>
                <c:pt idx="17">
                  <c:v>convert motors to high efficiency</c:v>
                </c:pt>
                <c:pt idx="18">
                  <c:v>convert 10 hp+ pumps to variable speed (VSP)</c:v>
                </c:pt>
                <c:pt idx="19">
                  <c:v>air sealing+hot water loop+ setback+VSP</c:v>
                </c:pt>
                <c:pt idx="20">
                  <c:v>air sealing+setback+VSP</c:v>
                </c:pt>
                <c:pt idx="21">
                  <c:v>lighting+DCV+VSP+motor upgrades+VFD+exhaust fan control</c:v>
                </c:pt>
                <c:pt idx="22">
                  <c:v>retro-commissioning</c:v>
                </c:pt>
                <c:pt idx="23">
                  <c:v>solar hot water preheating</c:v>
                </c:pt>
                <c:pt idx="24">
                  <c:v>measures with less than 20 yr payback</c:v>
                </c:pt>
              </c:strCache>
            </c:strRef>
          </c:cat>
          <c:val>
            <c:numRef>
              <c:f>'ChartsAfterThis!'!$C$59:$C$83</c:f>
              <c:numCache>
                <c:formatCode>0.00</c:formatCode>
                <c:ptCount val="25"/>
                <c:pt idx="0">
                  <c:v>666.72472342592675</c:v>
                </c:pt>
                <c:pt idx="1">
                  <c:v>928.49162204408844</c:v>
                </c:pt>
                <c:pt idx="2">
                  <c:v>4300.3904799177517</c:v>
                </c:pt>
                <c:pt idx="3">
                  <c:v>1491.1031896154675</c:v>
                </c:pt>
                <c:pt idx="4">
                  <c:v>2009.9367401544205</c:v>
                </c:pt>
                <c:pt idx="5">
                  <c:v>837.14203304460023</c:v>
                </c:pt>
                <c:pt idx="6" formatCode="General">
                  <c:v>793.04369101371412</c:v>
                </c:pt>
                <c:pt idx="7" formatCode="General">
                  <c:v>926.9487274206632</c:v>
                </c:pt>
                <c:pt idx="8" formatCode="General">
                  <c:v>491.19752169544506</c:v>
                </c:pt>
                <c:pt idx="9" formatCode="General">
                  <c:v>42.818942370309834</c:v>
                </c:pt>
                <c:pt idx="10" formatCode="General">
                  <c:v>3622.7424376392978</c:v>
                </c:pt>
                <c:pt idx="11" formatCode="General">
                  <c:v>782.50585505121092</c:v>
                </c:pt>
                <c:pt idx="12" formatCode="General">
                  <c:v>1430.1090230642519</c:v>
                </c:pt>
                <c:pt idx="13" formatCode="General">
                  <c:v>5436.3154124663779</c:v>
                </c:pt>
                <c:pt idx="14" formatCode="General">
                  <c:v>1794.8503038213612</c:v>
                </c:pt>
                <c:pt idx="15" formatCode="General">
                  <c:v>857.00504258019453</c:v>
                </c:pt>
                <c:pt idx="16" formatCode="General">
                  <c:v>-83.88754833920737</c:v>
                </c:pt>
                <c:pt idx="17" formatCode="General">
                  <c:v>1094.9565134388499</c:v>
                </c:pt>
                <c:pt idx="18" formatCode="General">
                  <c:v>8064.1967933518536</c:v>
                </c:pt>
                <c:pt idx="19" formatCode="General">
                  <c:v>8170.4682543053068</c:v>
                </c:pt>
                <c:pt idx="20" formatCode="General">
                  <c:v>6292.3416161508439</c:v>
                </c:pt>
                <c:pt idx="21" formatCode="General">
                  <c:v>4841.3188159981664</c:v>
                </c:pt>
                <c:pt idx="22" formatCode="General">
                  <c:v>1870.8715338178802</c:v>
                </c:pt>
                <c:pt idx="23" formatCode="General">
                  <c:v>275.91123758046746</c:v>
                </c:pt>
                <c:pt idx="24" formatCode="General">
                  <c:v>12746.086184958373</c:v>
                </c:pt>
              </c:numCache>
            </c:numRef>
          </c:val>
        </c:ser>
        <c:axId val="114970624"/>
        <c:axId val="114972160"/>
      </c:barChart>
      <c:catAx>
        <c:axId val="114970624"/>
        <c:scaling>
          <c:orientation val="minMax"/>
        </c:scaling>
        <c:axPos val="l"/>
        <c:tickLblPos val="low"/>
        <c:spPr>
          <a:ln>
            <a:solidFill>
              <a:schemeClr val="tx1"/>
            </a:solidFill>
          </a:ln>
        </c:spPr>
        <c:txPr>
          <a:bodyPr anchor="ctr" anchorCtr="1"/>
          <a:lstStyle/>
          <a:p>
            <a:pPr>
              <a:defRPr sz="800" baseline="0"/>
            </a:pPr>
            <a:endParaRPr lang="en-US"/>
          </a:p>
        </c:txPr>
        <c:crossAx val="114972160"/>
        <c:crosses val="autoZero"/>
        <c:auto val="1"/>
        <c:lblAlgn val="ctr"/>
        <c:lblOffset val="100"/>
      </c:catAx>
      <c:valAx>
        <c:axId val="114972160"/>
        <c:scaling>
          <c:orientation val="minMax"/>
          <c:min val="0"/>
        </c:scaling>
        <c:axPos val="b"/>
        <c:majorGridlines/>
        <c:title>
          <c:tx>
            <c:rich>
              <a:bodyPr/>
              <a:lstStyle/>
              <a:p>
                <a:pPr>
                  <a:defRPr/>
                </a:pPr>
                <a:r>
                  <a:rPr lang="en-US"/>
                  <a:t>GHG Savings (tonnes/yr)</a:t>
                </a:r>
              </a:p>
            </c:rich>
          </c:tx>
        </c:title>
        <c:numFmt formatCode="0" sourceLinked="0"/>
        <c:tickLblPos val="nextTo"/>
        <c:crossAx val="114970624"/>
        <c:crosses val="autoZero"/>
        <c:crossBetween val="between"/>
      </c:valAx>
      <c:spPr>
        <a:noFill/>
      </c:spPr>
    </c:plotArea>
    <c:plotVisOnly val="1"/>
    <c:dispBlanksAs val="gap"/>
  </c:chart>
  <c:printSettings>
    <c:headerFooter/>
    <c:pageMargins b="0.75000000000000033" l="0.70000000000000029" r="0.70000000000000029" t="0.75000000000000033" header="0.30000000000000016" footer="0.3000000000000001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CA"/>
  <c:pivotSource>
    <c:name>[campus_modelling_assumptions.xlsx]ECM Base Cost Savings Intensity!PivotTable6</c:name>
    <c:fmtId val="0"/>
  </c:pivotSource>
  <c:chart>
    <c:title>
      <c:tx>
        <c:rich>
          <a:bodyPr/>
          <a:lstStyle/>
          <a:p>
            <a:pPr>
              <a:defRPr/>
            </a:pPr>
            <a:r>
              <a:rPr lang="en-US"/>
              <a:t>ECM Base Cost Savings Intensity $/M^2 </a:t>
            </a:r>
          </a:p>
        </c:rich>
      </c:tx>
    </c:title>
    <c:pivotFmts>
      <c:pivotFmt>
        <c:idx val="0"/>
        <c:marker>
          <c:symbol val="none"/>
        </c:marker>
      </c:pivotFmt>
      <c:pivotFmt>
        <c:idx val="1"/>
        <c:marker>
          <c:symbol val="none"/>
        </c:marker>
      </c:pivotFmt>
    </c:pivotFmts>
    <c:plotArea>
      <c:layout/>
      <c:barChart>
        <c:barDir val="col"/>
        <c:grouping val="clustered"/>
        <c:ser>
          <c:idx val="0"/>
          <c:order val="0"/>
          <c:tx>
            <c:strRef>
              <c:f>'ECM Base Cost Savings Intensity'!$B$1</c:f>
              <c:strCache>
                <c:ptCount val="1"/>
                <c:pt idx="0">
                  <c:v>Total</c:v>
                </c:pt>
              </c:strCache>
            </c:strRef>
          </c:tx>
          <c:cat>
            <c:strRef>
              <c:f>'ECM Base Cost Savings Intensity'!$A$2:$A$22</c:f>
              <c:strCache>
                <c:ptCount val="20"/>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strCache>
            </c:strRef>
          </c:cat>
          <c:val>
            <c:numRef>
              <c:f>'ECM Base Cost Savings Intensity'!$B$2:$B$22</c:f>
              <c:numCache>
                <c:formatCode>General</c:formatCode>
                <c:ptCount val="20"/>
                <c:pt idx="0">
                  <c:v>0.33638893752674531</c:v>
                </c:pt>
                <c:pt idx="1">
                  <c:v>0</c:v>
                </c:pt>
                <c:pt idx="2">
                  <c:v>0.50569150899177295</c:v>
                </c:pt>
                <c:pt idx="3">
                  <c:v>2.0559446715980862</c:v>
                </c:pt>
                <c:pt idx="4">
                  <c:v>0.82849434434123459</c:v>
                </c:pt>
                <c:pt idx="5">
                  <c:v>0.86132818458458416</c:v>
                </c:pt>
                <c:pt idx="6">
                  <c:v>0.38160024335141729</c:v>
                </c:pt>
                <c:pt idx="7">
                  <c:v>0.42553423887594494</c:v>
                </c:pt>
                <c:pt idx="8">
                  <c:v>0.43204639432229658</c:v>
                </c:pt>
                <c:pt idx="9">
                  <c:v>0.22271765653193767</c:v>
                </c:pt>
                <c:pt idx="10">
                  <c:v>-5.2807880084476122E-3</c:v>
                </c:pt>
                <c:pt idx="11">
                  <c:v>2.0305326216005213</c:v>
                </c:pt>
                <c:pt idx="12">
                  <c:v>0.42045987456536343</c:v>
                </c:pt>
                <c:pt idx="13">
                  <c:v>0.4941636742844307</c:v>
                </c:pt>
                <c:pt idx="14">
                  <c:v>2.6121533704270385</c:v>
                </c:pt>
                <c:pt idx="15">
                  <c:v>1.2165502592545721</c:v>
                </c:pt>
                <c:pt idx="16">
                  <c:v>0.34945274371265722</c:v>
                </c:pt>
                <c:pt idx="17">
                  <c:v>-6.5156726968862377E-2</c:v>
                </c:pt>
                <c:pt idx="18">
                  <c:v>0.619960676751938</c:v>
                </c:pt>
                <c:pt idx="19">
                  <c:v>4.48197643466108</c:v>
                </c:pt>
              </c:numCache>
            </c:numRef>
          </c:val>
        </c:ser>
        <c:axId val="115004928"/>
        <c:axId val="115006464"/>
      </c:barChart>
      <c:catAx>
        <c:axId val="115004928"/>
        <c:scaling>
          <c:orientation val="minMax"/>
        </c:scaling>
        <c:axPos val="b"/>
        <c:tickLblPos val="nextTo"/>
        <c:txPr>
          <a:bodyPr rot="-5400000" vert="horz"/>
          <a:lstStyle/>
          <a:p>
            <a:pPr>
              <a:defRPr/>
            </a:pPr>
            <a:endParaRPr lang="en-US"/>
          </a:p>
        </c:txPr>
        <c:crossAx val="115006464"/>
        <c:crosses val="autoZero"/>
        <c:auto val="1"/>
        <c:lblAlgn val="ctr"/>
        <c:lblOffset val="100"/>
      </c:catAx>
      <c:valAx>
        <c:axId val="115006464"/>
        <c:scaling>
          <c:orientation val="minMax"/>
        </c:scaling>
        <c:axPos val="l"/>
        <c:majorGridlines/>
        <c:numFmt formatCode="General" sourceLinked="1"/>
        <c:majorTickMark val="none"/>
        <c:tickLblPos val="nextTo"/>
        <c:crossAx val="115004928"/>
        <c:crosses val="autoZero"/>
        <c:crossBetween val="between"/>
      </c:valAx>
    </c:plotArea>
    <c:plotVisOnly val="1"/>
    <c:dispBlanksAs val="gap"/>
  </c:chart>
  <c:printSettings>
    <c:headerFooter/>
    <c:pageMargins b="0.75000000000000033" l="0.70000000000000029" r="0.70000000000000029" t="0.75000000000000033" header="0.30000000000000016" footer="0.30000000000000016"/>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lang val="en-CA"/>
  <c:pivotSource>
    <c:name>[campus_modelling_assumptions.xlsx]ECMBaseEnergySavingIntensity!PivotTable7</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s>
    <c:plotArea>
      <c:layout>
        <c:manualLayout>
          <c:layoutTarget val="inner"/>
          <c:xMode val="edge"/>
          <c:yMode val="edge"/>
          <c:x val="2.9573681167279642E-2"/>
          <c:y val="0.20212910886139246"/>
          <c:w val="0.70278548124041751"/>
          <c:h val="0.6672976294629841"/>
        </c:manualLayout>
      </c:layout>
      <c:barChart>
        <c:barDir val="col"/>
        <c:grouping val="stacked"/>
        <c:ser>
          <c:idx val="0"/>
          <c:order val="0"/>
          <c:tx>
            <c:strRef>
              <c:f>ECMBaseEnergySavingIntensity!$B$1</c:f>
              <c:strCache>
                <c:ptCount val="1"/>
                <c:pt idx="0">
                  <c:v>Sum of Savings Electricity-Heating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ECMBaseEnergySavingIntensity!$B$2:$B$23</c:f>
              <c:numCache>
                <c:formatCode>General</c:formatCode>
                <c:ptCount val="20"/>
                <c:pt idx="0">
                  <c:v>0.17253087026191005</c:v>
                </c:pt>
                <c:pt idx="1">
                  <c:v>0</c:v>
                </c:pt>
                <c:pt idx="2">
                  <c:v>1.3896962634690757E-2</c:v>
                </c:pt>
                <c:pt idx="3">
                  <c:v>-2.8973225147709281E-3</c:v>
                </c:pt>
                <c:pt idx="4">
                  <c:v>-2.8973225147709281E-3</c:v>
                </c:pt>
                <c:pt idx="5">
                  <c:v>2.2458809132759439E-2</c:v>
                </c:pt>
                <c:pt idx="6">
                  <c:v>-0.14446515068391586</c:v>
                </c:pt>
                <c:pt idx="7">
                  <c:v>-3.0932973729266289E-3</c:v>
                </c:pt>
                <c:pt idx="8">
                  <c:v>3.0391647477303385E-2</c:v>
                </c:pt>
                <c:pt idx="9">
                  <c:v>-7.2105173628453367E-2</c:v>
                </c:pt>
                <c:pt idx="10">
                  <c:v>-0.12529118128475714</c:v>
                </c:pt>
                <c:pt idx="11">
                  <c:v>0.83273947266115045</c:v>
                </c:pt>
                <c:pt idx="12">
                  <c:v>-2.9537960711016886E-3</c:v>
                </c:pt>
                <c:pt idx="13">
                  <c:v>5.2442962430582107E-2</c:v>
                </c:pt>
                <c:pt idx="14">
                  <c:v>0.25076349642934281</c:v>
                </c:pt>
                <c:pt idx="15">
                  <c:v>-6.3314891139585439E-2</c:v>
                </c:pt>
                <c:pt idx="16">
                  <c:v>-0.26162446237507009</c:v>
                </c:pt>
                <c:pt idx="17">
                  <c:v>-2.4408141258365212E-3</c:v>
                </c:pt>
                <c:pt idx="18">
                  <c:v>-2.8973225147709281E-3</c:v>
                </c:pt>
                <c:pt idx="19">
                  <c:v>1.3912037623779683E-2</c:v>
                </c:pt>
              </c:numCache>
            </c:numRef>
          </c:val>
        </c:ser>
        <c:ser>
          <c:idx val="1"/>
          <c:order val="1"/>
          <c:tx>
            <c:strRef>
              <c:f>ECMBaseEnergySavingIntensity!$C$1</c:f>
              <c:strCache>
                <c:ptCount val="1"/>
                <c:pt idx="0">
                  <c:v>Sum of Savings Natural Gas-Heating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ECMBaseEnergySavingIntensity!$C$2:$C$23</c:f>
              <c:numCache>
                <c:formatCode>General</c:formatCode>
                <c:ptCount val="20"/>
                <c:pt idx="0">
                  <c:v>12.540337929774353</c:v>
                </c:pt>
                <c:pt idx="1">
                  <c:v>0</c:v>
                </c:pt>
                <c:pt idx="2">
                  <c:v>14.773585007200609</c:v>
                </c:pt>
                <c:pt idx="3">
                  <c:v>92.188499660399998</c:v>
                </c:pt>
                <c:pt idx="4">
                  <c:v>20.718263939784265</c:v>
                </c:pt>
                <c:pt idx="5">
                  <c:v>59.653015323251566</c:v>
                </c:pt>
                <c:pt idx="6">
                  <c:v>19.922378623040288</c:v>
                </c:pt>
                <c:pt idx="7">
                  <c:v>13.712648681113876</c:v>
                </c:pt>
                <c:pt idx="8">
                  <c:v>22.757532517191009</c:v>
                </c:pt>
                <c:pt idx="9">
                  <c:v>12.874998559618007</c:v>
                </c:pt>
                <c:pt idx="10">
                  <c:v>4.7454547297301133</c:v>
                </c:pt>
                <c:pt idx="11">
                  <c:v>36.03289006617365</c:v>
                </c:pt>
                <c:pt idx="12">
                  <c:v>13.595288406809289</c:v>
                </c:pt>
                <c:pt idx="13">
                  <c:v>59.085883118763377</c:v>
                </c:pt>
                <c:pt idx="14">
                  <c:v>120.53899013935558</c:v>
                </c:pt>
                <c:pt idx="15">
                  <c:v>-9.6715019939472882</c:v>
                </c:pt>
                <c:pt idx="16">
                  <c:v>28.0937370896375</c:v>
                </c:pt>
                <c:pt idx="17">
                  <c:v>1.6696318820771694</c:v>
                </c:pt>
                <c:pt idx="18">
                  <c:v>13.769993801410521</c:v>
                </c:pt>
                <c:pt idx="19">
                  <c:v>95.928382643097279</c:v>
                </c:pt>
              </c:numCache>
            </c:numRef>
          </c:val>
        </c:ser>
        <c:ser>
          <c:idx val="2"/>
          <c:order val="2"/>
          <c:tx>
            <c:strRef>
              <c:f>ECMBaseEnergySavingIntensity!$D$1</c:f>
              <c:strCache>
                <c:ptCount val="1"/>
                <c:pt idx="0">
                  <c:v>Sum of Savings Electricity-Cooling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ECMBaseEnergySavingIntensity!$D$2:$D$23</c:f>
              <c:numCache>
                <c:formatCode>General</c:formatCode>
                <c:ptCount val="20"/>
                <c:pt idx="0">
                  <c:v>-0.66882355280999084</c:v>
                </c:pt>
                <c:pt idx="1">
                  <c:v>0</c:v>
                </c:pt>
                <c:pt idx="2">
                  <c:v>-0.60583495549613531</c:v>
                </c:pt>
                <c:pt idx="3">
                  <c:v>-0.63974187477616251</c:v>
                </c:pt>
                <c:pt idx="4">
                  <c:v>0.20774680836590464</c:v>
                </c:pt>
                <c:pt idx="5">
                  <c:v>-0.87053626688532759</c:v>
                </c:pt>
                <c:pt idx="6">
                  <c:v>0.84435803539773779</c:v>
                </c:pt>
                <c:pt idx="7">
                  <c:v>-0.51407059136435151</c:v>
                </c:pt>
                <c:pt idx="8">
                  <c:v>-0.41505654413753401</c:v>
                </c:pt>
                <c:pt idx="9">
                  <c:v>-0.5649449232301178</c:v>
                </c:pt>
                <c:pt idx="10">
                  <c:v>-0.66856680326359408</c:v>
                </c:pt>
                <c:pt idx="11">
                  <c:v>-0.43362797451269541</c:v>
                </c:pt>
                <c:pt idx="12">
                  <c:v>-0.6369772446699784</c:v>
                </c:pt>
                <c:pt idx="13">
                  <c:v>-1.0488942928667737</c:v>
                </c:pt>
                <c:pt idx="14">
                  <c:v>-0.54896297388502102</c:v>
                </c:pt>
                <c:pt idx="15">
                  <c:v>-8.9955375188587983E-2</c:v>
                </c:pt>
                <c:pt idx="16">
                  <c:v>-0.83046039158449902</c:v>
                </c:pt>
                <c:pt idx="17">
                  <c:v>-0.61159518541944413</c:v>
                </c:pt>
                <c:pt idx="18">
                  <c:v>-0.63974187477616251</c:v>
                </c:pt>
                <c:pt idx="19">
                  <c:v>-0.26918743009746038</c:v>
                </c:pt>
              </c:numCache>
            </c:numRef>
          </c:val>
        </c:ser>
        <c:ser>
          <c:idx val="3"/>
          <c:order val="3"/>
          <c:tx>
            <c:strRef>
              <c:f>ECMBaseEnergySavingIntensity!$E$1</c:f>
              <c:strCache>
                <c:ptCount val="1"/>
                <c:pt idx="0">
                  <c:v>Sum of Savings Electricity-Water Systems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ECMBaseEnergySavingIntensity!$E$2:$E$23</c:f>
              <c:numCache>
                <c:formatCode>General</c:formatCode>
                <c:ptCount val="20"/>
                <c:pt idx="0">
                  <c:v>-1.5498303745165032E-4</c:v>
                </c:pt>
                <c:pt idx="1">
                  <c:v>0</c:v>
                </c:pt>
                <c:pt idx="2">
                  <c:v>7.0142335067265638E-2</c:v>
                </c:pt>
                <c:pt idx="3">
                  <c:v>1.7641914419108673E-5</c:v>
                </c:pt>
                <c:pt idx="4">
                  <c:v>5.5294967977092657E-2</c:v>
                </c:pt>
                <c:pt idx="5">
                  <c:v>1.7641914419108673E-5</c:v>
                </c:pt>
                <c:pt idx="6">
                  <c:v>-5.9223132086216879E-4</c:v>
                </c:pt>
                <c:pt idx="7">
                  <c:v>1.7641914419108673E-5</c:v>
                </c:pt>
                <c:pt idx="8">
                  <c:v>2.259938957469565E-4</c:v>
                </c:pt>
                <c:pt idx="9">
                  <c:v>3.1285023368221587E-4</c:v>
                </c:pt>
                <c:pt idx="10">
                  <c:v>1.7641914419108673E-5</c:v>
                </c:pt>
                <c:pt idx="11">
                  <c:v>0.12405802523089582</c:v>
                </c:pt>
                <c:pt idx="12">
                  <c:v>1.7641914419108673E-5</c:v>
                </c:pt>
                <c:pt idx="13">
                  <c:v>1.7641914419108673E-5</c:v>
                </c:pt>
                <c:pt idx="14">
                  <c:v>6.5443678608476219E-2</c:v>
                </c:pt>
                <c:pt idx="15">
                  <c:v>-6.3020640421740381E-5</c:v>
                </c:pt>
                <c:pt idx="16">
                  <c:v>-2.2744264165108774E-4</c:v>
                </c:pt>
                <c:pt idx="17">
                  <c:v>1.7641914419108673E-5</c:v>
                </c:pt>
                <c:pt idx="18">
                  <c:v>1.7641914419108673E-5</c:v>
                </c:pt>
                <c:pt idx="19">
                  <c:v>2.5150418404739749</c:v>
                </c:pt>
              </c:numCache>
            </c:numRef>
          </c:val>
        </c:ser>
        <c:ser>
          <c:idx val="4"/>
          <c:order val="4"/>
          <c:tx>
            <c:strRef>
              <c:f>ECMBaseEnergySavingIntensity!$F$1</c:f>
              <c:strCache>
                <c:ptCount val="1"/>
                <c:pt idx="0">
                  <c:v>Sum of Savings Natural Gas-Water Systems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ECMBaseEnergySavingIntensity!$F$2:$F$23</c:f>
              <c:numCache>
                <c:formatCode>General</c:formatCode>
                <c:ptCount val="20"/>
                <c:pt idx="0">
                  <c:v>6.634520578501224E-4</c:v>
                </c:pt>
                <c:pt idx="1">
                  <c:v>0</c:v>
                </c:pt>
                <c:pt idx="2">
                  <c:v>3.0149978176297054E-5</c:v>
                </c:pt>
                <c:pt idx="3">
                  <c:v>3.0149978176297054E-5</c:v>
                </c:pt>
                <c:pt idx="4">
                  <c:v>3.0149978176297054E-5</c:v>
                </c:pt>
                <c:pt idx="5">
                  <c:v>4.5224967266221938E-5</c:v>
                </c:pt>
                <c:pt idx="6">
                  <c:v>9.381258991680852E-5</c:v>
                </c:pt>
                <c:pt idx="7">
                  <c:v>3.0149978176297054E-5</c:v>
                </c:pt>
                <c:pt idx="8">
                  <c:v>1.8089986906666411E-4</c:v>
                </c:pt>
                <c:pt idx="9">
                  <c:v>1.6582487997673923E-4</c:v>
                </c:pt>
                <c:pt idx="10">
                  <c:v>1.6582487997673923E-4</c:v>
                </c:pt>
                <c:pt idx="11">
                  <c:v>3.2812638530772134</c:v>
                </c:pt>
                <c:pt idx="12">
                  <c:v>3.0149978176297054E-5</c:v>
                </c:pt>
                <c:pt idx="13">
                  <c:v>7.5514649735097805E-5</c:v>
                </c:pt>
                <c:pt idx="14">
                  <c:v>3.7715547053451814E-4</c:v>
                </c:pt>
                <c:pt idx="15">
                  <c:v>-4.5224967267998295E-5</c:v>
                </c:pt>
                <c:pt idx="16">
                  <c:v>4.7377665993586504E-4</c:v>
                </c:pt>
                <c:pt idx="17">
                  <c:v>1.5074989088148527E-5</c:v>
                </c:pt>
                <c:pt idx="18">
                  <c:v>3.0149978176297054E-5</c:v>
                </c:pt>
                <c:pt idx="19">
                  <c:v>1.9804682513875349</c:v>
                </c:pt>
              </c:numCache>
            </c:numRef>
          </c:val>
        </c:ser>
        <c:ser>
          <c:idx val="5"/>
          <c:order val="5"/>
          <c:tx>
            <c:strRef>
              <c:f>ECMBaseEnergySavingIntensity!$G$1</c:f>
              <c:strCache>
                <c:ptCount val="1"/>
                <c:pt idx="0">
                  <c:v>Sum of Savings Electricity-Interior Lighting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ECMBaseEnergySavingIntensity!$G$2:$G$23</c:f>
              <c:numCache>
                <c:formatCode>General</c:formatCode>
                <c:ptCount val="20"/>
                <c:pt idx="0">
                  <c:v>1.8263770015153398</c:v>
                </c:pt>
                <c:pt idx="1">
                  <c:v>0</c:v>
                </c:pt>
                <c:pt idx="2">
                  <c:v>2.160969651921306</c:v>
                </c:pt>
                <c:pt idx="3">
                  <c:v>1.8263770015153398</c:v>
                </c:pt>
                <c:pt idx="4">
                  <c:v>2.6031635676397968</c:v>
                </c:pt>
                <c:pt idx="5">
                  <c:v>0</c:v>
                </c:pt>
                <c:pt idx="6">
                  <c:v>0</c:v>
                </c:pt>
                <c:pt idx="7">
                  <c:v>1.8263770015153398</c:v>
                </c:pt>
                <c:pt idx="8">
                  <c:v>0</c:v>
                </c:pt>
                <c:pt idx="9">
                  <c:v>0</c:v>
                </c:pt>
                <c:pt idx="10">
                  <c:v>0</c:v>
                </c:pt>
                <c:pt idx="11">
                  <c:v>5.0626100624268204</c:v>
                </c:pt>
                <c:pt idx="12">
                  <c:v>1.8263770015153398</c:v>
                </c:pt>
                <c:pt idx="13">
                  <c:v>0</c:v>
                </c:pt>
                <c:pt idx="14">
                  <c:v>0.41016838557134605</c:v>
                </c:pt>
                <c:pt idx="15">
                  <c:v>12.551964845310515</c:v>
                </c:pt>
                <c:pt idx="16">
                  <c:v>0</c:v>
                </c:pt>
                <c:pt idx="17">
                  <c:v>0</c:v>
                </c:pt>
                <c:pt idx="18">
                  <c:v>1.8263770015153398</c:v>
                </c:pt>
                <c:pt idx="19">
                  <c:v>11.24104300392322</c:v>
                </c:pt>
              </c:numCache>
            </c:numRef>
          </c:val>
        </c:ser>
        <c:ser>
          <c:idx val="6"/>
          <c:order val="6"/>
          <c:tx>
            <c:strRef>
              <c:f>ECMBaseEnergySavingIntensity!$H$1</c:f>
              <c:strCache>
                <c:ptCount val="1"/>
                <c:pt idx="0">
                  <c:v>Sum of Savings Electricity-Interior Equipment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ECMBaseEnergySavingIntensity!$H$2:$H$23</c:f>
              <c:numCache>
                <c:formatCode>General</c:formatCode>
                <c:ptCount val="20"/>
                <c:pt idx="0">
                  <c:v>0.16919366313487139</c:v>
                </c:pt>
                <c:pt idx="1">
                  <c:v>0</c:v>
                </c:pt>
                <c:pt idx="2">
                  <c:v>0.24931669932341016</c:v>
                </c:pt>
                <c:pt idx="3">
                  <c:v>0.16919366313487139</c:v>
                </c:pt>
                <c:pt idx="4">
                  <c:v>0.33671401414093349</c:v>
                </c:pt>
                <c:pt idx="5">
                  <c:v>0</c:v>
                </c:pt>
                <c:pt idx="6">
                  <c:v>0</c:v>
                </c:pt>
                <c:pt idx="7">
                  <c:v>0.16919366313487139</c:v>
                </c:pt>
                <c:pt idx="8">
                  <c:v>0</c:v>
                </c:pt>
                <c:pt idx="9">
                  <c:v>0</c:v>
                </c:pt>
                <c:pt idx="10">
                  <c:v>0</c:v>
                </c:pt>
                <c:pt idx="11">
                  <c:v>0.84934282716427312</c:v>
                </c:pt>
                <c:pt idx="12">
                  <c:v>0.16919366313487139</c:v>
                </c:pt>
                <c:pt idx="13">
                  <c:v>0</c:v>
                </c:pt>
                <c:pt idx="14">
                  <c:v>8.855058019858042E-2</c:v>
                </c:pt>
                <c:pt idx="15">
                  <c:v>0</c:v>
                </c:pt>
                <c:pt idx="16">
                  <c:v>0</c:v>
                </c:pt>
                <c:pt idx="17">
                  <c:v>0</c:v>
                </c:pt>
                <c:pt idx="18">
                  <c:v>0.16919366313487139</c:v>
                </c:pt>
                <c:pt idx="19">
                  <c:v>1.7983231082627418</c:v>
                </c:pt>
              </c:numCache>
            </c:numRef>
          </c:val>
        </c:ser>
        <c:ser>
          <c:idx val="7"/>
          <c:order val="7"/>
          <c:tx>
            <c:strRef>
              <c:f>ECMBaseEnergySavingIntensity!$I$1</c:f>
              <c:strCache>
                <c:ptCount val="1"/>
                <c:pt idx="0">
                  <c:v>Sum of Savings District Heating-Interior Equipment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ECMBaseEnergySavingIntensity!$I$2:$I$23</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0.34803627309544122</c:v>
                </c:pt>
                <c:pt idx="12">
                  <c:v>0</c:v>
                </c:pt>
                <c:pt idx="13">
                  <c:v>0</c:v>
                </c:pt>
                <c:pt idx="14">
                  <c:v>0</c:v>
                </c:pt>
                <c:pt idx="15">
                  <c:v>0</c:v>
                </c:pt>
                <c:pt idx="16">
                  <c:v>0</c:v>
                </c:pt>
                <c:pt idx="17">
                  <c:v>0</c:v>
                </c:pt>
                <c:pt idx="18">
                  <c:v>0</c:v>
                </c:pt>
                <c:pt idx="19">
                  <c:v>0</c:v>
                </c:pt>
              </c:numCache>
            </c:numRef>
          </c:val>
        </c:ser>
        <c:ser>
          <c:idx val="8"/>
          <c:order val="8"/>
          <c:tx>
            <c:strRef>
              <c:f>ECMBaseEnergySavingIntensity!$J$1</c:f>
              <c:strCache>
                <c:ptCount val="1"/>
                <c:pt idx="0">
                  <c:v>Sum of Savings Electricity-Fans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ECMBaseEnergySavingIntensity!$J$2:$J$23</c:f>
              <c:numCache>
                <c:formatCode>General</c:formatCode>
                <c:ptCount val="20"/>
                <c:pt idx="0">
                  <c:v>0.18430879335000583</c:v>
                </c:pt>
                <c:pt idx="1">
                  <c:v>0</c:v>
                </c:pt>
                <c:pt idx="2">
                  <c:v>0.53866145506798091</c:v>
                </c:pt>
                <c:pt idx="3">
                  <c:v>0.36508054046179872</c:v>
                </c:pt>
                <c:pt idx="4">
                  <c:v>0.78251934821514801</c:v>
                </c:pt>
                <c:pt idx="5">
                  <c:v>-0.11339630373795195</c:v>
                </c:pt>
                <c:pt idx="6">
                  <c:v>-0.17755639685785951</c:v>
                </c:pt>
                <c:pt idx="7">
                  <c:v>0.364744850555903</c:v>
                </c:pt>
                <c:pt idx="8">
                  <c:v>0.58718724412286072</c:v>
                </c:pt>
                <c:pt idx="9">
                  <c:v>0.39942825279157468</c:v>
                </c:pt>
                <c:pt idx="10">
                  <c:v>3.4047857549484917E-2</c:v>
                </c:pt>
                <c:pt idx="11">
                  <c:v>5.1948459048886644</c:v>
                </c:pt>
                <c:pt idx="12">
                  <c:v>0.48074337337056683</c:v>
                </c:pt>
                <c:pt idx="13">
                  <c:v>-0.11295604418016758</c:v>
                </c:pt>
                <c:pt idx="14">
                  <c:v>2.9654677849478297</c:v>
                </c:pt>
                <c:pt idx="15">
                  <c:v>-0.11724654256202349</c:v>
                </c:pt>
                <c:pt idx="16">
                  <c:v>7.7783496672690688E-2</c:v>
                </c:pt>
                <c:pt idx="17">
                  <c:v>-0.128679319835177</c:v>
                </c:pt>
                <c:pt idx="18">
                  <c:v>0.36508054046179872</c:v>
                </c:pt>
                <c:pt idx="19">
                  <c:v>5.1359024584030095</c:v>
                </c:pt>
              </c:numCache>
            </c:numRef>
          </c:val>
        </c:ser>
        <c:ser>
          <c:idx val="9"/>
          <c:order val="9"/>
          <c:tx>
            <c:strRef>
              <c:f>ECMBaseEnergySavingIntensity!$K$1</c:f>
              <c:strCache>
                <c:ptCount val="1"/>
                <c:pt idx="0">
                  <c:v>Sum of Savings Electricity-Pumps KWh/m2</c:v>
                </c:pt>
              </c:strCache>
            </c:strRef>
          </c:tx>
          <c:cat>
            <c:multiLvlStrRef>
              <c:f>ECMBaseEnergySavingIntensity!$A$2:$A$23</c:f>
              <c:multiLvlStrCache>
                <c:ptCount val="20"/>
                <c:lvl>
                  <c:pt idx="0">
                    <c:v>air_temp_reset_enabled</c:v>
                  </c:pt>
                  <c:pt idx="1">
                    <c:v>baseline</c:v>
                  </c:pt>
                  <c:pt idx="2">
                    <c:v>boiler_eff_upgrade</c:v>
                  </c:pt>
                  <c:pt idx="3">
                    <c:v>boiler_reset</c:v>
                  </c:pt>
                  <c:pt idx="4">
                    <c:v>cooling_cop_3_0</c:v>
                  </c:pt>
                  <c:pt idx="5">
                    <c:v>dcv_enabled</c:v>
                  </c:pt>
                  <c:pt idx="6">
                    <c:v>ecm_cold_deck_reset_control</c:v>
                  </c:pt>
                  <c:pt idx="7">
                    <c:v>economizers_enabled</c:v>
                  </c:pt>
                  <c:pt idx="8">
                    <c:v>envelope_ecm_roof</c:v>
                  </c:pt>
                  <c:pt idx="9">
                    <c:v>envelope_ecm_wall</c:v>
                  </c:pt>
                  <c:pt idx="10">
                    <c:v>envelope_ecm_windows</c:v>
                  </c:pt>
                  <c:pt idx="11">
                    <c:v>exhaust_fans_occ_control</c:v>
                  </c:pt>
                  <c:pt idx="12">
                    <c:v>fans_to_variable</c:v>
                  </c:pt>
                  <c:pt idx="13">
                    <c:v>hrv_enabled</c:v>
                  </c:pt>
                  <c:pt idx="14">
                    <c:v>infil_reduce</c:v>
                  </c:pt>
                  <c:pt idx="15">
                    <c:v>lights_reduce_70p</c:v>
                  </c:pt>
                  <c:pt idx="16">
                    <c:v>occupancy_setback</c:v>
                  </c:pt>
                  <c:pt idx="17">
                    <c:v>plug_loads_90_percent</c:v>
                  </c:pt>
                  <c:pt idx="18">
                    <c:v>pump_fan_eff_</c:v>
                  </c:pt>
                  <c:pt idx="19">
                    <c:v>pumps_to_variable</c:v>
                  </c:pt>
                </c:lvl>
                <c:lvl>
                  <c:pt idx="0">
                    <c:v>2013</c:v>
                  </c:pt>
                </c:lvl>
              </c:multiLvlStrCache>
            </c:multiLvlStrRef>
          </c:cat>
          <c:val>
            <c:numRef>
              <c:f>ECMBaseEnergySavingIntensity!$K$2:$K$23</c:f>
              <c:numCache>
                <c:formatCode>General</c:formatCode>
                <c:ptCount val="20"/>
                <c:pt idx="0">
                  <c:v>-0.50445201240527204</c:v>
                </c:pt>
                <c:pt idx="1">
                  <c:v>0</c:v>
                </c:pt>
                <c:pt idx="2">
                  <c:v>-6.9993356965627029E-2</c:v>
                </c:pt>
                <c:pt idx="3">
                  <c:v>3.2597622853968939</c:v>
                </c:pt>
                <c:pt idx="4">
                  <c:v>0.37903366119432924</c:v>
                </c:pt>
                <c:pt idx="5">
                  <c:v>3.1797745270251809E-2</c:v>
                </c:pt>
                <c:pt idx="6">
                  <c:v>-8.9301853325984837E-4</c:v>
                </c:pt>
                <c:pt idx="7">
                  <c:v>-4.3268013407558925E-2</c:v>
                </c:pt>
                <c:pt idx="8">
                  <c:v>0.35806083533121047</c:v>
                </c:pt>
                <c:pt idx="9">
                  <c:v>0.36244167970119356</c:v>
                </c:pt>
                <c:pt idx="10">
                  <c:v>3.2714246207181219E-2</c:v>
                </c:pt>
                <c:pt idx="11">
                  <c:v>0.65326301386222774</c:v>
                </c:pt>
                <c:pt idx="12">
                  <c:v>-6.4580161801139013E-2</c:v>
                </c:pt>
                <c:pt idx="13">
                  <c:v>3.6758981139426439E-2</c:v>
                </c:pt>
                <c:pt idx="14">
                  <c:v>2.6041055105263986</c:v>
                </c:pt>
                <c:pt idx="15">
                  <c:v>-0.12891312019593393</c:v>
                </c:pt>
                <c:pt idx="16">
                  <c:v>7.9365328058075946E-2</c:v>
                </c:pt>
                <c:pt idx="17">
                  <c:v>-7.3275841767021177E-2</c:v>
                </c:pt>
                <c:pt idx="18">
                  <c:v>1.7942383922064611</c:v>
                </c:pt>
                <c:pt idx="19">
                  <c:v>5.1919831245118466</c:v>
                </c:pt>
              </c:numCache>
            </c:numRef>
          </c:val>
        </c:ser>
        <c:overlap val="100"/>
        <c:axId val="115340416"/>
        <c:axId val="115341952"/>
      </c:barChart>
      <c:catAx>
        <c:axId val="115340416"/>
        <c:scaling>
          <c:orientation val="minMax"/>
        </c:scaling>
        <c:axPos val="b"/>
        <c:tickLblPos val="nextTo"/>
        <c:crossAx val="115341952"/>
        <c:crosses val="autoZero"/>
        <c:auto val="1"/>
        <c:lblAlgn val="ctr"/>
        <c:lblOffset val="100"/>
      </c:catAx>
      <c:valAx>
        <c:axId val="115341952"/>
        <c:scaling>
          <c:orientation val="minMax"/>
        </c:scaling>
        <c:axPos val="l"/>
        <c:majorGridlines/>
        <c:numFmt formatCode="General" sourceLinked="1"/>
        <c:tickLblPos val="nextTo"/>
        <c:crossAx val="115340416"/>
        <c:crosses val="autoZero"/>
        <c:crossBetween val="between"/>
      </c:valAx>
    </c:plotArea>
    <c:legend>
      <c:legendPos val="r"/>
    </c:legend>
    <c:plotVisOnly val="1"/>
    <c:dispBlanksAs val="gap"/>
  </c:chart>
  <c:printSettings>
    <c:headerFooter/>
    <c:pageMargins b="0.75000000000000033" l="0.70000000000000029" r="0.70000000000000029" t="0.75000000000000033" header="0.30000000000000016" footer="0.30000000000000016"/>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285750</xdr:colOff>
      <xdr:row>0</xdr:row>
      <xdr:rowOff>19050</xdr:rowOff>
    </xdr:from>
    <xdr:to>
      <xdr:col>10</xdr:col>
      <xdr:colOff>590550</xdr:colOff>
      <xdr:row>14</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504825</xdr:colOff>
      <xdr:row>6</xdr:row>
      <xdr:rowOff>66675</xdr:rowOff>
    </xdr:from>
    <xdr:to>
      <xdr:col>25</xdr:col>
      <xdr:colOff>299850</xdr:colOff>
      <xdr:row>44</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114300</xdr:colOff>
      <xdr:row>46</xdr:row>
      <xdr:rowOff>104775</xdr:rowOff>
    </xdr:from>
    <xdr:to>
      <xdr:col>14</xdr:col>
      <xdr:colOff>419100</xdr:colOff>
      <xdr:row>63</xdr:row>
      <xdr:rowOff>123824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523875</xdr:colOff>
      <xdr:row>64</xdr:row>
      <xdr:rowOff>0</xdr:rowOff>
    </xdr:from>
    <xdr:to>
      <xdr:col>18</xdr:col>
      <xdr:colOff>323850</xdr:colOff>
      <xdr:row>93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342901</xdr:colOff>
      <xdr:row>97</xdr:row>
      <xdr:rowOff>180975</xdr:rowOff>
    </xdr:from>
    <xdr:to>
      <xdr:col>17</xdr:col>
      <xdr:colOff>552451</xdr:colOff>
      <xdr:row>116</xdr:row>
      <xdr:rowOff>95250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400051</xdr:colOff>
      <xdr:row>117</xdr:row>
      <xdr:rowOff>95250</xdr:rowOff>
    </xdr:from>
    <xdr:to>
      <xdr:col>18</xdr:col>
      <xdr:colOff>9525</xdr:colOff>
      <xdr:row>134</xdr:row>
      <xdr:rowOff>66675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28575</xdr:colOff>
      <xdr:row>64</xdr:row>
      <xdr:rowOff>152400</xdr:rowOff>
    </xdr:from>
    <xdr:to>
      <xdr:col>31</xdr:col>
      <xdr:colOff>438150</xdr:colOff>
      <xdr:row>94</xdr:row>
      <xdr:rowOff>114300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361951</xdr:colOff>
      <xdr:row>38</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0</xdr:row>
      <xdr:rowOff>66676</xdr:rowOff>
    </xdr:from>
    <xdr:to>
      <xdr:col>4</xdr:col>
      <xdr:colOff>3095626</xdr:colOff>
      <xdr:row>36</xdr:row>
      <xdr:rowOff>104776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0.45669</cdr:x>
      <cdr:y>0.09116</cdr:y>
    </cdr:from>
    <cdr:to>
      <cdr:x>0.60988</cdr:x>
      <cdr:y>0.16989</cdr:y>
    </cdr:to>
    <cdr:sp macro="" textlink="">
      <cdr:nvSpPr>
        <cdr:cNvPr id="2" name="TextBox 1"/>
        <cdr:cNvSpPr txBox="1"/>
      </cdr:nvSpPr>
      <cdr:spPr>
        <a:xfrm xmlns:a="http://schemas.openxmlformats.org/drawingml/2006/main">
          <a:off x="6076950" y="628649"/>
          <a:ext cx="2038350" cy="5429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a:p>
      </cdr:txBody>
    </cdr:sp>
  </cdr:relSizeAnchor>
  <cdr:relSizeAnchor xmlns:cdr="http://schemas.openxmlformats.org/drawingml/2006/chartDrawing">
    <cdr:from>
      <cdr:x>0.44596</cdr:x>
      <cdr:y>0.09116</cdr:y>
    </cdr:from>
    <cdr:to>
      <cdr:x>0.51467</cdr:x>
      <cdr:y>0.22376</cdr:y>
    </cdr:to>
    <cdr:sp macro="" textlink="">
      <cdr:nvSpPr>
        <cdr:cNvPr id="3" name="TextBox 2"/>
        <cdr:cNvSpPr txBox="1"/>
      </cdr:nvSpPr>
      <cdr:spPr>
        <a:xfrm xmlns:a="http://schemas.openxmlformats.org/drawingml/2006/main">
          <a:off x="5934075" y="62864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CA" sz="2000"/>
            <a:t>ECM Base Energy</a:t>
          </a:r>
          <a:r>
            <a:rPr lang="en-CA" sz="2000" baseline="0"/>
            <a:t> Saving Intensity</a:t>
          </a:r>
          <a:endParaRPr lang="en-CA" sz="20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new/cl_modelling_assumptions_mik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tions"/>
      <sheetName val="Infiltration Rates Reference"/>
      <sheetName val="Simulation Assumptions"/>
      <sheetName val="Proposed ECMs"/>
      <sheetName val="District Heating"/>
      <sheetName val="Demolition and New Construction"/>
      <sheetName val="Costs"/>
      <sheetName val="Planning"/>
      <sheetName val="Project team - assumptions"/>
      <sheetName val="baseline_modelling_assumptions"/>
      <sheetName val="Infiltration Rates"/>
      <sheetName val="Indexes"/>
      <sheetName val="Equipment_Efficiencies"/>
      <sheetName val="Schedules"/>
      <sheetName val="ecm_exhaust_fans_occ_sens"/>
      <sheetName val="ecm_occ_temp_setback"/>
      <sheetName val="b_ecm_supply_air_temp_reset"/>
      <sheetName val="ecm_cold_deck_reset_control"/>
      <sheetName val="ecm_envelope"/>
      <sheetName val="ecm_hrv"/>
      <sheetName val="ecm_economizers"/>
      <sheetName val="ecm_boiler_reset"/>
      <sheetName val="ecm_pump_fan_eff"/>
      <sheetName val="ecm_pumps_to_variable"/>
      <sheetName val="ecm_scale_plug_load"/>
      <sheetName val="ecm_set_fans_to_variable"/>
      <sheetName val="ecm_lighting_reduction"/>
      <sheetName val="ecm_infiltration"/>
      <sheetName val="ecm_dcv"/>
      <sheetName val="ecm_cooling_cop"/>
      <sheetName val="ecm_boiler_ef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opez, Phylroy" refreshedDate="41984.637996296296" createdVersion="4" refreshedVersion="4" minRefreshableVersion="3" recordCount="20">
  <cacheSource type="worksheet">
    <worksheetSource ref="A1:AD21" sheet="base_energy_ecm"/>
  </cacheSource>
  <cacheFields count="29">
    <cacheField name="year" numFmtId="0">
      <sharedItems containsSemiMixedTypes="0" containsString="0" containsNumber="1" containsInteger="1" minValue="2013" maxValue="2013" count="1">
        <n v="2013"/>
      </sharedItems>
    </cacheField>
    <cacheField name="measure_id" numFmtId="0">
      <sharedItems count="20">
        <s v="air_temp_reset_enabled"/>
        <s v="baseline"/>
        <s v="boiler_eff_upgrade"/>
        <s v="boiler_reset"/>
        <s v="cooling_cop_3_0"/>
        <s v="dcv_enabled"/>
        <s v="ecm_cold_deck_reset_control"/>
        <s v="economizers_enabled"/>
        <s v="envelope_ecm_roof"/>
        <s v="envelope_ecm_wall"/>
        <s v="envelope_ecm_windows"/>
        <s v="exhaust_fans_occ_control"/>
        <s v="fans_to_variable"/>
        <s v="hrv_enabled"/>
        <s v="infil_reduce"/>
        <s v="lights_reduce_70p"/>
        <s v="occupancy_setback"/>
        <s v="plug_loads_90_percent"/>
        <s v="pump_fan_eff_"/>
        <s v="pumps_to_variable"/>
      </sharedItems>
    </cacheField>
    <cacheField name="Electricity-Heating KWh/m2" numFmtId="0">
      <sharedItems containsSemiMixedTypes="0" containsString="0" containsNumber="1" minValue="1.6794285149461682E-2" maxValue="1.1111582201856822"/>
    </cacheField>
    <cacheField name="Natural Gas-Heating KWh/m2" numFmtId="0">
      <sharedItems containsSemiMixedTypes="0" containsString="0" containsNumber="1" minValue="223.0013846361519" maxValue="353.21187676945476"/>
    </cacheField>
    <cacheField name="Electricity-Cooling KWh/m2" numFmtId="0">
      <sharedItems containsSemiMixedTypes="0" containsString="0" containsNumber="1" minValue="2.2097092201790853" maxValue="4.1029615484435968"/>
    </cacheField>
    <cacheField name="Electricity-Water Systems KWh/m2" numFmtId="0">
      <sharedItems containsSemiMixedTypes="0" containsString="0" containsNumber="1" minValue="0.42376297102690391" maxValue="2.9393970428217409"/>
    </cacheField>
    <cacheField name="Natural Gas-Water Systems KWh/m2" numFmtId="0">
      <sharedItems containsSemiMixedTypes="0" containsString="0" containsNumber="1" minValue="8.6216414564479571" maxValue="11.902950534492438"/>
    </cacheField>
    <cacheField name="Electricity-Interior Lighting KWh/m2" numFmtId="0">
      <sharedItems containsSemiMixedTypes="0" containsString="0" containsNumber="1" minValue="29.288693819798858" maxValue="41.840658665109373"/>
    </cacheField>
    <cacheField name="Electricity-Interior Equipment KWh/m2" numFmtId="0">
      <sharedItems containsSemiMixedTypes="0" containsString="0" containsNumber="1" minValue="4.8983305457974362" maxValue="6.696653654060178"/>
    </cacheField>
    <cacheField name="District Heating-Interior Equipment KWh/m2" numFmtId="0">
      <sharedItems containsSemiMixedTypes="0" containsString="0" containsNumber="1" minValue="0" maxValue="0.34803627309544122"/>
    </cacheField>
    <cacheField name="Electricity-Fans KWh/m2" numFmtId="0">
      <sharedItems containsSemiMixedTypes="0" containsString="0" containsNumber="1" minValue="10.345307689041753" maxValue="15.717709990788277"/>
    </cacheField>
    <cacheField name="Electricity-Pumps KWh/m2" numFmtId="0">
      <sharedItems containsSemiMixedTypes="0" containsString="0" containsNumber="1" minValue="3.2948501030070481" maxValue="8.9912852399241672"/>
    </cacheField>
    <cacheField name="Electricity-Heat Recovery KWh/m2" numFmtId="0">
      <sharedItems containsSemiMixedTypes="0" containsString="0" containsNumber="1" minValue="0" maxValue="3.024969740268121"/>
    </cacheField>
    <cacheField name="Savings Electricity-Heating KWh/m2" numFmtId="0">
      <sharedItems containsSemiMixedTypes="0" containsString="0" containsNumber="1" minValue="-0.26162446237507009" maxValue="0.83273947266115045"/>
    </cacheField>
    <cacheField name="Savings Natural Gas-Heating KWh/m2" numFmtId="0">
      <sharedItems containsSemiMixedTypes="0" containsString="0" containsNumber="1" minValue="-9.6715019939472882" maxValue="120.53899013935558"/>
    </cacheField>
    <cacheField name="Savings Electricity-Cooling KWh/m2" numFmtId="0">
      <sharedItems containsSemiMixedTypes="0" containsString="0" containsNumber="1" minValue="-1.0488942928667737" maxValue="0.84435803539773779"/>
    </cacheField>
    <cacheField name="Savings Electricity-Water Systems KWh/m2" numFmtId="0">
      <sharedItems containsSemiMixedTypes="0" containsString="0" containsNumber="1" minValue="-5.9223132086216879E-4" maxValue="2.5150418404739749"/>
    </cacheField>
    <cacheField name="Savings Natural Gas-Water Systems KWh/m2" numFmtId="0">
      <sharedItems containsSemiMixedTypes="0" containsString="0" containsNumber="1" minValue="-4.5224967267998295E-5" maxValue="3.2812638530772134"/>
    </cacheField>
    <cacheField name="Savings Electricity-Interior Lighting KWh/m2" numFmtId="0">
      <sharedItems containsSemiMixedTypes="0" containsString="0" containsNumber="1" minValue="0" maxValue="12.551964845310515"/>
    </cacheField>
    <cacheField name="Savings Electricity-Interior Equipment KWh/m2" numFmtId="0">
      <sharedItems containsSemiMixedTypes="0" containsString="0" containsNumber="1" minValue="0" maxValue="1.7983231082627418"/>
    </cacheField>
    <cacheField name="Savings District Heating-Interior Equipment KWh/m2" numFmtId="0">
      <sharedItems containsSemiMixedTypes="0" containsString="0" containsNumber="1" minValue="0" maxValue="0.34803627309544122"/>
    </cacheField>
    <cacheField name="Savings Electricity-Fans KWh/m2" numFmtId="0">
      <sharedItems containsSemiMixedTypes="0" containsString="0" containsNumber="1" minValue="-0.17755639685785951" maxValue="5.1948459048886644"/>
    </cacheField>
    <cacheField name="Savings Electricity-Pumps KWh/m2" numFmtId="0">
      <sharedItems containsSemiMixedTypes="0" containsString="0" containsNumber="1" minValue="-0.50445201240527204" maxValue="5.1919831245118466"/>
    </cacheField>
    <cacheField name="Savings Electricity-Heat Recovery KWh/m2" numFmtId="0">
      <sharedItems containsSemiMixedTypes="0" containsString="0" containsNumber="1" minValue="-3.024969740268121" maxValue="0"/>
    </cacheField>
    <cacheField name="Electrical Energy Savings Intensity KWh/M2" numFmtId="0">
      <sharedItems containsSemiMixedTypes="0" containsString="0" containsNumber="1" minValue="-4.0976004918306348" maxValue="25.627018143101111"/>
    </cacheField>
    <cacheField name="Natural Gas Energy Savings Intensity Kwh/M2" numFmtId="0">
      <sharedItems containsSemiMixedTypes="0" containsString="0" containsNumber="1" minValue="-9.6715472189145562" maxValue="120.53936729482611"/>
    </cacheField>
    <cacheField name="Electrical Cost Savings Intensity $/M2" numFmtId="0">
      <sharedItems containsSemiMixedTypes="0" containsString="0" containsNumber="1" minValue="-0.46302885557686174" maxValue="2.8958530501704258"/>
    </cacheField>
    <cacheField name="Gas Cost Savings Intensity $/M2" numFmtId="0">
      <sharedItems containsSemiMixedTypes="0" containsString="0" containsNumber="1" minValue="-0.15667906494641581" maxValue="1.9527377501761829"/>
    </cacheField>
    <cacheField name="Net Cost Savings Intensity $/M2" numFmtId="0">
      <sharedItems containsSemiMixedTypes="0" containsString="0" containsNumber="1" minValue="-6.5156726968862377E-2" maxValue="4.48197643466108" count="20">
        <n v="0.33638893752674531"/>
        <n v="0"/>
        <n v="0.50569150899177295"/>
        <n v="2.0559446715980862"/>
        <n v="0.82849434434123459"/>
        <n v="0.86132818458458416"/>
        <n v="0.38160024335141729"/>
        <n v="0.42553423887594494"/>
        <n v="0.43204639432229658"/>
        <n v="0.22271765653193767"/>
        <n v="-5.2807880084476122E-3"/>
        <n v="2.0305326216005213"/>
        <n v="0.42045987456536343"/>
        <n v="0.4941636742844307"/>
        <n v="2.6121533704270385"/>
        <n v="1.2165502592545721"/>
        <n v="0.34945274371265722"/>
        <n v="-6.5156726968862377E-2"/>
        <n v="0.619960676751938"/>
        <n v="4.4819764346610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
  <r>
    <x v="0"/>
    <x v="0"/>
    <n v="0.67700288754870208"/>
    <n v="331.00003684573312"/>
    <n v="3.722890808386814"/>
    <n v="2.9389597945383303"/>
    <n v="11.90224185746732"/>
    <n v="40.014281663594033"/>
    <n v="6.5274599909253066"/>
    <n v="0.34803627309544122"/>
    <n v="15.355844800580412"/>
    <n v="8.9912852399241672"/>
    <n v="0"/>
    <n v="0.17253087026191005"/>
    <n v="12.540337929774353"/>
    <n v="-0.66882355280999084"/>
    <n v="-1.5498303745165032E-4"/>
    <n v="6.634520578501224E-4"/>
    <n v="1.8263770015153398"/>
    <n v="0.16919366313487139"/>
    <n v="0"/>
    <n v="0.18430879335000583"/>
    <n v="-0.50445201240527204"/>
    <n v="0"/>
    <n v="1.1789797800094126"/>
    <n v="12.541001381832203"/>
    <n v="0.13322471514106363"/>
    <n v="0.20316422238568169"/>
    <x v="0"/>
  </r>
  <r>
    <x v="0"/>
    <x v="1"/>
    <n v="0.84953375781061213"/>
    <n v="343.54037477550747"/>
    <n v="3.0540672555768231"/>
    <n v="2.9388048115008787"/>
    <n v="11.90290530952517"/>
    <n v="41.840658665109373"/>
    <n v="6.696653654060178"/>
    <n v="0.34803627309544122"/>
    <n v="15.540153593930418"/>
    <n v="8.4868332275188951"/>
    <n v="0"/>
    <n v="0"/>
    <n v="0"/>
    <n v="0"/>
    <n v="0"/>
    <n v="0"/>
    <n v="0"/>
    <n v="0"/>
    <n v="0"/>
    <n v="0"/>
    <n v="0"/>
    <n v="0"/>
    <n v="0"/>
    <n v="0"/>
    <n v="0"/>
    <n v="0"/>
    <x v="1"/>
  </r>
  <r>
    <x v="0"/>
    <x v="2"/>
    <n v="0.83563679517592138"/>
    <n v="328.76678976830686"/>
    <n v="3.6599022110729584"/>
    <n v="2.8686624764336131"/>
    <n v="11.902875159546994"/>
    <n v="39.679689013188067"/>
    <n v="6.4473369547367678"/>
    <n v="0.34803627309544122"/>
    <n v="15.001492138862437"/>
    <n v="8.5568265844845222"/>
    <n v="0"/>
    <n v="1.3896962634690757E-2"/>
    <n v="14.773585007200609"/>
    <n v="-0.60583495549613531"/>
    <n v="7.0142335067265638E-2"/>
    <n v="3.0149978176297054E-5"/>
    <n v="2.160969651921306"/>
    <n v="0.24931669932341016"/>
    <n v="0"/>
    <n v="0.53866145506798091"/>
    <n v="-6.9993356965627029E-2"/>
    <n v="0"/>
    <n v="2.3571587915528909"/>
    <n v="14.773615157178785"/>
    <n v="0.26635894344547667"/>
    <n v="0.23933256554629631"/>
    <x v="2"/>
  </r>
  <r>
    <x v="0"/>
    <x v="3"/>
    <n v="0.85243108032538306"/>
    <n v="251.35187511510748"/>
    <n v="3.6938091303529856"/>
    <n v="2.9387871695864596"/>
    <n v="11.902875159546994"/>
    <n v="40.014281663594033"/>
    <n v="6.5274599909253066"/>
    <n v="0.34803627309544122"/>
    <n v="15.175073053468619"/>
    <n v="5.2270709421220012"/>
    <n v="0"/>
    <n v="-2.8973225147709281E-3"/>
    <n v="92.188499660399998"/>
    <n v="-0.63974187477616251"/>
    <n v="1.7641914419108673E-5"/>
    <n v="3.0149978176297054E-5"/>
    <n v="1.8263770015153398"/>
    <n v="0.16919366313487139"/>
    <n v="0"/>
    <n v="0.36508054046179872"/>
    <n v="3.2597622853968939"/>
    <n v="0"/>
    <n v="4.9777919351323892"/>
    <n v="92.188529810378171"/>
    <n v="0.56249048866995999"/>
    <n v="1.4934541829281263"/>
    <x v="3"/>
  </r>
  <r>
    <x v="0"/>
    <x v="4"/>
    <n v="0.85243108032538306"/>
    <n v="322.82211083572321"/>
    <n v="2.8463204472109185"/>
    <n v="2.883509843523786"/>
    <n v="11.902875159546994"/>
    <n v="39.237495097469576"/>
    <n v="6.3599396399192445"/>
    <n v="0.34803627309544122"/>
    <n v="14.75763424571527"/>
    <n v="8.1077995663245659"/>
    <n v="0"/>
    <n v="-2.8973225147709281E-3"/>
    <n v="20.718263939784265"/>
    <n v="0.20774680836590464"/>
    <n v="5.5294967977092657E-2"/>
    <n v="3.0149978176297054E-5"/>
    <n v="2.6031635676397968"/>
    <n v="0.33671401414093349"/>
    <n v="0"/>
    <n v="0.78251934821514801"/>
    <n v="0.37903366119432924"/>
    <n v="0"/>
    <n v="4.3615750450184336"/>
    <n v="20.718294089762441"/>
    <n v="0.49285798008708304"/>
    <n v="0.33563636425415155"/>
    <x v="4"/>
  </r>
  <r>
    <x v="0"/>
    <x v="5"/>
    <n v="0.82707494867785269"/>
    <n v="283.88735945225591"/>
    <n v="3.9246035224621507"/>
    <n v="2.9387871695864596"/>
    <n v="11.902860084557904"/>
    <n v="41.840658665109373"/>
    <n v="6.696653654060178"/>
    <n v="0.34803627309544122"/>
    <n v="15.65354989766837"/>
    <n v="8.4550354822486433"/>
    <n v="0"/>
    <n v="2.2458809132759439E-2"/>
    <n v="59.653015323251566"/>
    <n v="-0.87053626688532759"/>
    <n v="1.7641914419108673E-5"/>
    <n v="4.5224967266221938E-5"/>
    <n v="0"/>
    <n v="0"/>
    <n v="0"/>
    <n v="-0.11339630373795195"/>
    <n v="3.1797745270251809E-2"/>
    <n v="0"/>
    <n v="-0.92965837430584919"/>
    <n v="59.653060548218832"/>
    <n v="-0.10505139629656096"/>
    <n v="0.96637958088114506"/>
    <x v="5"/>
  </r>
  <r>
    <x v="0"/>
    <x v="6"/>
    <n v="0.99399890849452799"/>
    <n v="323.61799615246719"/>
    <n v="2.2097092201790853"/>
    <n v="2.9393970428217409"/>
    <n v="11.902811496935254"/>
    <n v="41.840658665109373"/>
    <n v="6.696653654060178"/>
    <n v="0.34803627309544122"/>
    <n v="15.717709990788277"/>
    <n v="8.487726246052155"/>
    <n v="0"/>
    <n v="-0.14446515068391586"/>
    <n v="19.922378623040288"/>
    <n v="0.84435803539773779"/>
    <n v="-5.9223132086216879E-4"/>
    <n v="9.381258991680852E-5"/>
    <n v="0"/>
    <n v="0"/>
    <n v="0"/>
    <n v="-0.17755639685785951"/>
    <n v="-8.9301853325984837E-4"/>
    <n v="0"/>
    <n v="0.52085123800184041"/>
    <n v="19.922472435630205"/>
    <n v="5.8856189894207968E-2"/>
    <n v="0.3227440534572093"/>
    <x v="6"/>
  </r>
  <r>
    <x v="0"/>
    <x v="7"/>
    <n v="0.85262705518353876"/>
    <n v="329.8277260943936"/>
    <n v="3.5681378469411746"/>
    <n v="2.9387871695864596"/>
    <n v="11.902875159546994"/>
    <n v="40.014281663594033"/>
    <n v="6.5274599909253066"/>
    <n v="0.34803627309544122"/>
    <n v="15.175408743374515"/>
    <n v="8.5301012409264541"/>
    <n v="0"/>
    <n v="-3.0932973729266289E-3"/>
    <n v="13.712648681113876"/>
    <n v="-0.51407059136435151"/>
    <n v="1.7641914419108673E-5"/>
    <n v="3.0149978176297054E-5"/>
    <n v="1.8263770015153398"/>
    <n v="0.16919366313487139"/>
    <n v="0"/>
    <n v="0.364744850555903"/>
    <n v="-4.3268013407558925E-2"/>
    <n v="0"/>
    <n v="1.7999012549756963"/>
    <n v="13.712678831092052"/>
    <n v="0.2033888418122537"/>
    <n v="0.22214539706369124"/>
    <x v="7"/>
  </r>
  <r>
    <x v="0"/>
    <x v="8"/>
    <n v="0.81914211033330875"/>
    <n v="320.78284225831646"/>
    <n v="3.4691237997143571"/>
    <n v="2.9385788176051317"/>
    <n v="11.902724409656104"/>
    <n v="41.840658665109373"/>
    <n v="6.696653654060178"/>
    <n v="0.34803627309544122"/>
    <n v="14.952966349807557"/>
    <n v="8.1287723921876847"/>
    <n v="0"/>
    <n v="3.0391647477303385E-2"/>
    <n v="22.757532517191009"/>
    <n v="-0.41505654413753401"/>
    <n v="2.259938957469565E-4"/>
    <n v="1.8089986906666411E-4"/>
    <n v="0"/>
    <n v="0"/>
    <n v="0"/>
    <n v="0.58718724412286072"/>
    <n v="0.35806083533121047"/>
    <n v="0"/>
    <n v="0.56080917668958752"/>
    <n v="22.757713417060074"/>
    <n v="6.3371436965923386E-2"/>
    <n v="0.36867495735637318"/>
    <x v="8"/>
  </r>
  <r>
    <x v="0"/>
    <x v="9"/>
    <n v="0.9216389314390655"/>
    <n v="330.66537621588947"/>
    <n v="3.6190121788069409"/>
    <n v="2.9384919612671965"/>
    <n v="11.902739484645194"/>
    <n v="41.840658665109373"/>
    <n v="6.696653654060178"/>
    <n v="0.34803627309544122"/>
    <n v="15.140725341138843"/>
    <n v="8.1243915478177016"/>
    <n v="0"/>
    <n v="-7.2105173628453367E-2"/>
    <n v="12.874998559618007"/>
    <n v="-0.5649449232301178"/>
    <n v="3.1285023368221587E-4"/>
    <n v="1.6582487997673923E-4"/>
    <n v="0"/>
    <n v="0"/>
    <n v="0"/>
    <n v="0.39942825279157468"/>
    <n v="0.36244167970119356"/>
    <n v="0"/>
    <n v="0.12513268586787929"/>
    <n v="12.875164384497984"/>
    <n v="1.413999350307036E-2"/>
    <n v="0.20857766302886732"/>
    <x v="9"/>
  </r>
  <r>
    <x v="0"/>
    <x v="10"/>
    <n v="0.97482493909536927"/>
    <n v="338.79492004577736"/>
    <n v="3.7226340588404172"/>
    <n v="2.9387871695864596"/>
    <n v="11.902739484645194"/>
    <n v="41.840658665109373"/>
    <n v="6.696653654060178"/>
    <n v="0.34803627309544122"/>
    <n v="15.506105736380933"/>
    <n v="8.4541189813117139"/>
    <n v="0"/>
    <n v="-0.12529118128475714"/>
    <n v="4.7454547297301133"/>
    <n v="-0.66856680326359408"/>
    <n v="1.7641914419108673E-5"/>
    <n v="1.6582487997673923E-4"/>
    <n v="0"/>
    <n v="0"/>
    <n v="0"/>
    <n v="3.4047857549484917E-2"/>
    <n v="3.2714246207181219E-2"/>
    <n v="0"/>
    <n v="-0.72707823887726597"/>
    <n v="4.74562055461009"/>
    <n v="-8.2159840993131061E-2"/>
    <n v="7.6879052984683449E-2"/>
    <x v="10"/>
  </r>
  <r>
    <x v="0"/>
    <x v="11"/>
    <n v="1.6794285149461682E-2"/>
    <n v="307.50748470933382"/>
    <n v="3.4876952300895185"/>
    <n v="2.8147467862699829"/>
    <n v="8.6216414564479571"/>
    <n v="36.778048602682553"/>
    <n v="5.8473108268959049"/>
    <n v="0"/>
    <n v="10.345307689041753"/>
    <n v="7.8335702136566674"/>
    <n v="0"/>
    <n v="0.83273947266115045"/>
    <n v="36.03289006617365"/>
    <n v="-0.43362797451269541"/>
    <n v="0.12405802523089582"/>
    <n v="3.2812638530772134"/>
    <n v="5.0626100624268204"/>
    <n v="0.84934282716427312"/>
    <n v="0.34803627309544122"/>
    <n v="5.1948459048886644"/>
    <n v="0.65326301386222774"/>
    <n v="0"/>
    <n v="12.283231331721337"/>
    <n v="39.662190192346301"/>
    <n v="1.3880051404845111"/>
    <n v="0.6425274811160101"/>
    <x v="11"/>
  </r>
  <r>
    <x v="0"/>
    <x v="12"/>
    <n v="0.85248755388171382"/>
    <n v="329.94508636869818"/>
    <n v="3.6910445002468015"/>
    <n v="2.9387871695864596"/>
    <n v="11.902875159546994"/>
    <n v="40.014281663594033"/>
    <n v="6.5274599909253066"/>
    <n v="0.34803627309544122"/>
    <n v="15.059410220559851"/>
    <n v="8.5514133893200341"/>
    <n v="0"/>
    <n v="-2.9537960711016886E-3"/>
    <n v="13.595288406809289"/>
    <n v="-0.6369772446699784"/>
    <n v="1.7641914419108673E-5"/>
    <n v="3.0149978176297054E-5"/>
    <n v="1.8263770015153398"/>
    <n v="0.16919366313487139"/>
    <n v="0"/>
    <n v="0.48074337337056683"/>
    <n v="-6.4580161801139013E-2"/>
    <n v="0"/>
    <n v="1.771820477392978"/>
    <n v="13.595318556787465"/>
    <n v="0.20021571394540652"/>
    <n v="0.22024416061995691"/>
    <x v="12"/>
  </r>
  <r>
    <x v="0"/>
    <x v="13"/>
    <n v="0.79709079538003003"/>
    <n v="284.4544916567441"/>
    <n v="4.1029615484435968"/>
    <n v="2.9387871695864596"/>
    <n v="11.902829794875435"/>
    <n v="41.840658665109373"/>
    <n v="6.696653654060178"/>
    <n v="0.34803627309544122"/>
    <n v="15.653109638110585"/>
    <n v="8.4500742463794687"/>
    <n v="3.024969740268121"/>
    <n v="5.2442962430582107E-2"/>
    <n v="59.085883118763377"/>
    <n v="-1.0488942928667737"/>
    <n v="1.7641914419108673E-5"/>
    <n v="7.5514649735097805E-5"/>
    <n v="0"/>
    <n v="0"/>
    <n v="0"/>
    <n v="-0.11295604418016758"/>
    <n v="3.6758981139426439E-2"/>
    <n v="-3.024969740268121"/>
    <n v="-4.0976004918306348"/>
    <n v="59.085958633413114"/>
    <n v="-0.46302885557686174"/>
    <n v="0.95719252986129244"/>
    <x v="13"/>
  </r>
  <r>
    <x v="0"/>
    <x v="14"/>
    <n v="0.59877026138126932"/>
    <n v="223.0013846361519"/>
    <n v="3.6030302294618441"/>
    <n v="2.8733611328924025"/>
    <n v="11.902528154054636"/>
    <n v="41.430490279538027"/>
    <n v="6.6081030738615976"/>
    <n v="0.34803627309544122"/>
    <n v="12.574685808982588"/>
    <n v="5.8827277169924965"/>
    <n v="0"/>
    <n v="0.25076349642934281"/>
    <n v="120.53899013935558"/>
    <n v="-0.54896297388502102"/>
    <n v="6.5443678608476219E-2"/>
    <n v="3.7715547053451814E-4"/>
    <n v="0.41016838557134605"/>
    <n v="8.855058019858042E-2"/>
    <n v="0"/>
    <n v="2.9654677849478297"/>
    <n v="2.6041055105263986"/>
    <n v="0"/>
    <n v="5.835536462396953"/>
    <n v="120.53936729482611"/>
    <n v="0.65941562025085576"/>
    <n v="1.9527377501761829"/>
    <x v="14"/>
  </r>
  <r>
    <x v="0"/>
    <x v="15"/>
    <n v="0.91284864895019757"/>
    <n v="353.21187676945476"/>
    <n v="3.1440226307654111"/>
    <n v="2.9388678321413004"/>
    <n v="11.902950534492438"/>
    <n v="29.288693819798858"/>
    <n v="6.696653654060178"/>
    <n v="0.34803627309544122"/>
    <n v="15.657400136492441"/>
    <n v="8.6157463477148291"/>
    <n v="0"/>
    <n v="-6.3314891139585439E-2"/>
    <n v="-9.6715019939472882"/>
    <n v="-8.9955375188587983E-2"/>
    <n v="-6.3020640421740381E-5"/>
    <n v="-4.5224967267998295E-5"/>
    <n v="12.551964845310515"/>
    <n v="0"/>
    <n v="0"/>
    <n v="-0.11724654256202349"/>
    <n v="-0.12891312019593393"/>
    <n v="0"/>
    <n v="12.152471895583963"/>
    <n v="-9.6715472189145562"/>
    <n v="1.3732293242009879"/>
    <n v="-0.15667906494641581"/>
    <x v="15"/>
  </r>
  <r>
    <x v="0"/>
    <x v="16"/>
    <n v="1.1111582201856822"/>
    <n v="315.44663768586997"/>
    <n v="3.8845276471613222"/>
    <n v="2.9390322541425298"/>
    <n v="11.902431532865235"/>
    <n v="41.840658665109373"/>
    <n v="6.696653654060178"/>
    <n v="0.34803627309544122"/>
    <n v="15.462370097257727"/>
    <n v="8.4074678994608192"/>
    <n v="0"/>
    <n v="-0.26162446237507009"/>
    <n v="28.0937370896375"/>
    <n v="-0.83046039158449902"/>
    <n v="-2.2744264165108774E-4"/>
    <n v="4.7377665993586504E-4"/>
    <n v="0"/>
    <n v="0"/>
    <n v="0"/>
    <n v="7.7783496672690688E-2"/>
    <n v="7.9365328058075946E-2"/>
    <n v="0"/>
    <n v="-0.93516347187045357"/>
    <n v="28.094210866297438"/>
    <n v="-0.10567347232136126"/>
    <n v="0.45512621603401848"/>
    <x v="16"/>
  </r>
  <r>
    <x v="0"/>
    <x v="17"/>
    <n v="0.85197457193644865"/>
    <n v="341.8707428934303"/>
    <n v="3.6656624409962673"/>
    <n v="2.9387871695864596"/>
    <n v="11.902890234536082"/>
    <n v="41.840658665109373"/>
    <n v="6.696653654060178"/>
    <n v="0.34803627309544122"/>
    <n v="15.668832913765595"/>
    <n v="8.5601090692859163"/>
    <n v="0"/>
    <n v="-2.4408141258365212E-3"/>
    <n v="1.6696318820771694"/>
    <n v="-0.61159518541944413"/>
    <n v="1.7641914419108673E-5"/>
    <n v="1.5074989088148527E-5"/>
    <n v="0"/>
    <n v="0"/>
    <n v="0"/>
    <n v="-0.128679319835177"/>
    <n v="-7.3275841767021177E-2"/>
    <n v="0"/>
    <n v="-0.81597351923305972"/>
    <n v="1.6696469570662575"/>
    <n v="-9.2205007673335754E-2"/>
    <n v="2.7048280704473369E-2"/>
    <x v="17"/>
  </r>
  <r>
    <x v="0"/>
    <x v="18"/>
    <n v="0.85243108032538306"/>
    <n v="329.77038097409695"/>
    <n v="3.6938091303529856"/>
    <n v="2.9387871695864596"/>
    <n v="11.902875159546994"/>
    <n v="40.014281663594033"/>
    <n v="6.5274599909253066"/>
    <n v="0.34803627309544122"/>
    <n v="15.175073053468619"/>
    <n v="6.692594835312434"/>
    <n v="0"/>
    <n v="-2.8973225147709281E-3"/>
    <n v="13.769993801410521"/>
    <n v="-0.63974187477616251"/>
    <n v="1.7641914419108673E-5"/>
    <n v="3.0149978176297054E-5"/>
    <n v="1.8263770015153398"/>
    <n v="0.16919366313487139"/>
    <n v="0"/>
    <n v="0.36508054046179872"/>
    <n v="1.7942383922064611"/>
    <n v="0"/>
    <n v="3.5122680419419567"/>
    <n v="13.770023951388698"/>
    <n v="0.3968862887394411"/>
    <n v="0.2230743880124969"/>
    <x v="18"/>
  </r>
  <r>
    <x v="0"/>
    <x v="19"/>
    <n v="0.83562172018683245"/>
    <n v="247.61199213241019"/>
    <n v="3.3232546856742835"/>
    <n v="0.42376297102690391"/>
    <n v="9.9224370581376355"/>
    <n v="30.599615661186153"/>
    <n v="4.8983305457974362"/>
    <n v="0.34803627309544122"/>
    <n v="10.404251135527408"/>
    <n v="3.2948501030070481"/>
    <n v="0"/>
    <n v="1.3912037623779683E-2"/>
    <n v="95.928382643097279"/>
    <n v="-0.26918743009746038"/>
    <n v="2.5150418404739749"/>
    <n v="1.9804682513875349"/>
    <n v="11.24104300392322"/>
    <n v="1.7983231082627418"/>
    <n v="0"/>
    <n v="5.1359024584030095"/>
    <n v="5.1919831245118466"/>
    <n v="0"/>
    <n v="25.627018143101111"/>
    <n v="97.908850894484814"/>
    <n v="2.8958530501704258"/>
    <n v="1.5861233844906539"/>
    <x v="1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B22" firstHeaderRow="1" firstDataRow="1" firstDataCol="1"/>
  <pivotFields count="29">
    <pivotField showAll="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Net Cost Savings Intensity $/M2" fld="2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K23" firstHeaderRow="0" firstDataRow="1" firstDataCol="1"/>
  <pivotFields count="29">
    <pivotField axis="axisRow" showAll="0">
      <items count="2">
        <item x="0"/>
        <item t="default"/>
      </items>
    </pivotField>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s>
  <rowFields count="2">
    <field x="0"/>
    <field x="1"/>
  </rowFields>
  <rowItems count="22">
    <i>
      <x/>
    </i>
    <i r="1">
      <x/>
    </i>
    <i r="1">
      <x v="1"/>
    </i>
    <i r="1">
      <x v="2"/>
    </i>
    <i r="1">
      <x v="3"/>
    </i>
    <i r="1">
      <x v="4"/>
    </i>
    <i r="1">
      <x v="5"/>
    </i>
    <i r="1">
      <x v="6"/>
    </i>
    <i r="1">
      <x v="7"/>
    </i>
    <i r="1">
      <x v="8"/>
    </i>
    <i r="1">
      <x v="9"/>
    </i>
    <i r="1">
      <x v="10"/>
    </i>
    <i r="1">
      <x v="11"/>
    </i>
    <i r="1">
      <x v="12"/>
    </i>
    <i r="1">
      <x v="13"/>
    </i>
    <i r="1">
      <x v="14"/>
    </i>
    <i r="1">
      <x v="15"/>
    </i>
    <i r="1">
      <x v="16"/>
    </i>
    <i r="1">
      <x v="17"/>
    </i>
    <i r="1">
      <x v="18"/>
    </i>
    <i r="1">
      <x v="19"/>
    </i>
    <i t="grand">
      <x/>
    </i>
  </rowItems>
  <colFields count="1">
    <field x="-2"/>
  </colFields>
  <colItems count="10">
    <i>
      <x/>
    </i>
    <i i="1">
      <x v="1"/>
    </i>
    <i i="2">
      <x v="2"/>
    </i>
    <i i="3">
      <x v="3"/>
    </i>
    <i i="4">
      <x v="4"/>
    </i>
    <i i="5">
      <x v="5"/>
    </i>
    <i i="6">
      <x v="6"/>
    </i>
    <i i="7">
      <x v="7"/>
    </i>
    <i i="8">
      <x v="8"/>
    </i>
    <i i="9">
      <x v="9"/>
    </i>
  </colItems>
  <dataFields count="10">
    <dataField name="Sum of Savings Electricity-Heating KWh/m2" fld="13" baseField="0" baseItem="0"/>
    <dataField name="Sum of Savings Natural Gas-Heating KWh/m2" fld="14" baseField="0" baseItem="0"/>
    <dataField name="Sum of Savings Electricity-Cooling KWh/m2" fld="15" baseField="0" baseItem="0"/>
    <dataField name="Sum of Savings Electricity-Water Systems KWh/m2" fld="16" baseField="0" baseItem="0"/>
    <dataField name="Sum of Savings Natural Gas-Water Systems KWh/m2" fld="17" baseField="0" baseItem="0"/>
    <dataField name="Sum of Savings Electricity-Interior Lighting KWh/m2" fld="18" baseField="0" baseItem="0"/>
    <dataField name="Sum of Savings Electricity-Interior Equipment KWh/m2" fld="19" baseField="0" baseItem="0"/>
    <dataField name="Sum of Savings District Heating-Interior Equipment KWh/m2" fld="20" baseField="0" baseItem="0"/>
    <dataField name="Sum of Savings Electricity-Fans KWh/m2" fld="21" baseField="0" baseItem="0"/>
    <dataField name="Sum of Savings Electricity-Pumps KWh/m2" fld="22" baseField="0" baseItem="0"/>
  </dataFields>
  <chartFormats count="1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5"/>
          </reference>
        </references>
      </pivotArea>
    </chartFormat>
    <chartFormat chart="0" format="7" series="1">
      <pivotArea type="data" outline="0" fieldPosition="0">
        <references count="1">
          <reference field="4294967294" count="1" selected="0">
            <x v="6"/>
          </reference>
        </references>
      </pivotArea>
    </chartFormat>
    <chartFormat chart="0" format="8" series="1">
      <pivotArea type="data" outline="0" fieldPosition="0">
        <references count="1">
          <reference field="4294967294" count="1" selected="0">
            <x v="7"/>
          </reference>
        </references>
      </pivotArea>
    </chartFormat>
    <chartFormat chart="0" format="9" series="1">
      <pivotArea type="data" outline="0" fieldPosition="0">
        <references count="1">
          <reference field="4294967294" count="1" selected="0">
            <x v="8"/>
          </reference>
        </references>
      </pivotArea>
    </chartFormat>
    <chartFormat chart="0" format="10"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7" name="Table7" displayName="Table7" ref="A5:E30" totalsRowShown="0" headerRowDxfId="8" headerRowCellStyle="Normal 2" dataCellStyle="Normal 2">
  <autoFilter ref="A5:E30"/>
  <tableColumns count="5">
    <tableColumn id="1" name="Infiltration Building Type" dataDxfId="7" dataCellStyle="Normal 2"/>
    <tableColumn id="2" name="2005-2014" dataCellStyle="Normal 2"/>
    <tableColumn id="3" name="1980-2004" dataCellStyle="Normal 2"/>
    <tableColumn id="4" name="1960-1979" dataCellStyle="Normal 2"/>
    <tableColumn id="5" name="1959-pre" dataCellStyle="Normal 2"/>
  </tableColumns>
  <tableStyleInfo name="TableStyleMedium1" showFirstColumn="0" showLastColumn="0" showRowStripes="1" showColumnStripes="0"/>
</table>
</file>

<file path=xl/tables/table2.xml><?xml version="1.0" encoding="utf-8"?>
<table xmlns="http://schemas.openxmlformats.org/spreadsheetml/2006/main" id="4" name="Table4" displayName="Table4" ref="A1:C13" totalsRowShown="0" headerRowDxfId="6">
  <autoFilter ref="A1:C13"/>
  <tableColumns count="3">
    <tableColumn id="1" name="building_type"/>
    <tableColumn id="2" name="building_source"/>
    <tableColumn id="3" name="model_file_name"/>
  </tableColumns>
  <tableStyleInfo name="TableStyleMedium1" showFirstColumn="0" showLastColumn="0" showRowStripes="1" showColumnStripes="0"/>
</table>
</file>

<file path=xl/tables/table3.xml><?xml version="1.0" encoding="utf-8"?>
<table xmlns="http://schemas.openxmlformats.org/spreadsheetml/2006/main" id="5" name="Table5" displayName="Table5" ref="A15:A19" totalsRowShown="0" headerRowDxfId="5">
  <autoFilter ref="A15:A19"/>
  <sortState ref="A16:A19">
    <sortCondition ref="A16:A19"/>
  </sortState>
  <tableColumns count="1">
    <tableColumn id="1" name="Cold Lake Vintages"/>
  </tableColumns>
  <tableStyleInfo name="TableStyleMedium1" showFirstColumn="0" showLastColumn="0" showRowStripes="1" showColumnStripes="0"/>
</table>
</file>

<file path=xl/tables/table4.xml><?xml version="1.0" encoding="utf-8"?>
<table xmlns="http://schemas.openxmlformats.org/spreadsheetml/2006/main" id="6" name="Table6" displayName="Table6" ref="A22:A25" totalsRowShown="0" headerRowDxfId="4">
  <autoFilter ref="A22:A25"/>
  <tableColumns count="1">
    <tableColumn id="1" name="BTAP Construction Sets"/>
  </tableColumns>
  <tableStyleInfo name="TableStyleMedium1" showFirstColumn="0" showLastColumn="0" showRowStripes="1" showColumnStripes="0"/>
</table>
</file>

<file path=xl/tables/table5.xml><?xml version="1.0" encoding="utf-8"?>
<table xmlns="http://schemas.openxmlformats.org/spreadsheetml/2006/main" id="8" name="Table8" displayName="Table8" ref="A27:A39" totalsRowShown="0">
  <autoFilter ref="A27:A39"/>
  <sortState ref="A28:A39">
    <sortCondition ref="A28"/>
  </sortState>
  <tableColumns count="1">
    <tableColumn id="1" name="Boiler Fuel Types"/>
  </tableColumns>
  <tableStyleInfo name="TableStyleMedium1" showFirstColumn="0" showLastColumn="0" showRowStripes="1" showColumnStripes="0"/>
</table>
</file>

<file path=xl/tables/table6.xml><?xml version="1.0" encoding="utf-8"?>
<table xmlns="http://schemas.openxmlformats.org/spreadsheetml/2006/main" id="10" name="Table811" displayName="Table811" ref="A41:A54" totalsRowShown="0">
  <autoFilter ref="A41:A54"/>
  <sortState ref="A42:A54">
    <sortCondition ref="A42"/>
  </sortState>
  <tableColumns count="1">
    <tableColumn id="1" name="SHW Fuel Types"/>
  </tableColumns>
  <tableStyleInfo name="TableStyleMedium1" showFirstColumn="0" showLastColumn="0" showRowStripes="1" showColumnStripes="0"/>
</table>
</file>

<file path=xl/tables/table7.xml><?xml version="1.0" encoding="utf-8"?>
<table xmlns="http://schemas.openxmlformats.org/spreadsheetml/2006/main" id="3" name="Table3" displayName="Table3" ref="A1:E5" totalsRowShown="0" headerRowDxfId="3">
  <autoFilter ref="A1:E5"/>
  <tableColumns count="5">
    <tableColumn id="1" name="Reference Info" dataDxfId="2"/>
    <tableColumn id="2" name="1959-pre"/>
    <tableColumn id="3" name="1960-1979"/>
    <tableColumn id="4" name="1980-2004"/>
    <tableColumn id="5" name="2005-2014"/>
  </tableColumns>
  <tableStyleInfo name="TableStyleMedium1" showFirstColumn="0" showLastColumn="0" showRowStripes="1" showColumnStripes="0"/>
</table>
</file>

<file path=xl/tables/table8.xml><?xml version="1.0" encoding="utf-8"?>
<table xmlns="http://schemas.openxmlformats.org/spreadsheetml/2006/main" id="9" name="Table9" displayName="Table9" ref="A1:B5" totalsRowShown="0">
  <autoFilter ref="A1:B5"/>
  <tableColumns count="2">
    <tableColumn id="1" name="schedule_name" dataDxfId="1"/>
    <tableColumn id="2" name="schedule_string"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7.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7.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xml"/><Relationship Id="rId1" Type="http://schemas.openxmlformats.org/officeDocument/2006/relationships/printerSettings" Target="../printerSettings/printerSettings24.bin"/><Relationship Id="rId4" Type="http://schemas.openxmlformats.org/officeDocument/2006/relationships/comments" Target="../comments1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sheetPr>
    <tabColor rgb="FFFFFF00"/>
  </sheetPr>
  <dimension ref="A1:D24"/>
  <sheetViews>
    <sheetView workbookViewId="0">
      <selection activeCell="B11" sqref="B11"/>
    </sheetView>
  </sheetViews>
  <sheetFormatPr defaultColWidth="9.109375" defaultRowHeight="14.4"/>
  <cols>
    <col min="1" max="1" width="28.5546875" style="42" customWidth="1"/>
    <col min="2" max="2" width="86" style="42" customWidth="1"/>
    <col min="3" max="3" width="27.6640625" style="42" customWidth="1"/>
    <col min="4" max="4" width="61" style="42" customWidth="1"/>
    <col min="5" max="16384" width="9.109375" style="42"/>
  </cols>
  <sheetData>
    <row r="1" spans="1:4" s="44" customFormat="1" ht="50.25" customHeight="1">
      <c r="A1" s="76" t="s">
        <v>500</v>
      </c>
    </row>
    <row r="2" spans="1:4" ht="48.75" customHeight="1">
      <c r="A2" s="77" t="s">
        <v>532</v>
      </c>
      <c r="B2" s="77" t="s">
        <v>512</v>
      </c>
      <c r="C2" s="78" t="s">
        <v>523</v>
      </c>
      <c r="D2" s="78" t="s">
        <v>493</v>
      </c>
    </row>
    <row r="3" spans="1:4" s="49" customFormat="1" ht="49.5" customHeight="1">
      <c r="A3" s="89" t="s">
        <v>528</v>
      </c>
      <c r="B3" s="49" t="s">
        <v>496</v>
      </c>
    </row>
    <row r="4" spans="1:4" s="49" customFormat="1" ht="42" customHeight="1">
      <c r="A4" s="89" t="s">
        <v>421</v>
      </c>
      <c r="B4" s="49" t="s">
        <v>497</v>
      </c>
    </row>
    <row r="5" spans="1:4" s="49" customFormat="1" ht="42" customHeight="1">
      <c r="A5" s="89" t="s">
        <v>498</v>
      </c>
      <c r="B5" s="49" t="s">
        <v>521</v>
      </c>
    </row>
    <row r="6" spans="1:4" ht="42" customHeight="1">
      <c r="A6" s="89" t="s">
        <v>529</v>
      </c>
      <c r="B6" s="49" t="s">
        <v>522</v>
      </c>
    </row>
    <row r="7" spans="1:4" ht="42" customHeight="1">
      <c r="A7" s="29" t="s">
        <v>530</v>
      </c>
      <c r="B7" s="42" t="s">
        <v>534</v>
      </c>
    </row>
    <row r="8" spans="1:4" s="44" customFormat="1" ht="42" customHeight="1">
      <c r="A8" s="29" t="s">
        <v>531</v>
      </c>
      <c r="B8" s="44" t="s">
        <v>535</v>
      </c>
    </row>
    <row r="9" spans="1:4" ht="42" customHeight="1">
      <c r="A9" s="81"/>
      <c r="B9" s="81" t="s">
        <v>527</v>
      </c>
    </row>
    <row r="10" spans="1:4" ht="52.5" customHeight="1">
      <c r="A10" s="29" t="s">
        <v>533</v>
      </c>
      <c r="B10" s="90" t="s">
        <v>536</v>
      </c>
    </row>
    <row r="11" spans="1:4" ht="44.25" customHeight="1"/>
    <row r="12" spans="1:4" ht="44.25" customHeight="1"/>
    <row r="13" spans="1:4" ht="44.25" customHeight="1"/>
    <row r="14" spans="1:4" ht="44.25" customHeight="1"/>
    <row r="15" spans="1:4" ht="44.25" customHeight="1"/>
    <row r="16" spans="1:4" ht="44.25" customHeight="1"/>
    <row r="17" ht="44.25" customHeight="1"/>
    <row r="18" ht="44.25" customHeight="1"/>
    <row r="19" ht="44.25" customHeight="1"/>
    <row r="20" ht="44.25" customHeight="1"/>
    <row r="21" ht="44.25" customHeight="1"/>
    <row r="22" ht="44.25" customHeight="1"/>
    <row r="23" ht="44.25" customHeight="1"/>
    <row r="24" ht="44.25" customHeight="1"/>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pageSetUpPr fitToPage="1"/>
  </sheetPr>
  <dimension ref="A1:S88"/>
  <sheetViews>
    <sheetView workbookViewId="0">
      <selection activeCell="H28" sqref="H28"/>
    </sheetView>
  </sheetViews>
  <sheetFormatPr defaultRowHeight="13.2"/>
  <cols>
    <col min="1" max="1" width="36.88671875" style="1" customWidth="1"/>
    <col min="2" max="2" width="10" style="1" customWidth="1"/>
    <col min="3" max="3" width="12.6640625" style="1" customWidth="1"/>
    <col min="4" max="4" width="11.33203125" style="1" customWidth="1"/>
    <col min="5" max="5" width="11.88671875" style="1" customWidth="1"/>
    <col min="6" max="6" width="9.109375" style="1" customWidth="1"/>
    <col min="7" max="8" width="16.33203125" style="1" customWidth="1"/>
    <col min="9" max="9" width="33.88671875" style="1" customWidth="1"/>
    <col min="10" max="13" width="16.33203125" style="1" customWidth="1"/>
    <col min="14" max="14" width="24.6640625" style="1" customWidth="1"/>
    <col min="15" max="15" width="7.6640625" style="1" customWidth="1"/>
    <col min="16" max="18" width="9.109375" style="1"/>
    <col min="19" max="19" width="10.33203125" style="1" customWidth="1"/>
    <col min="20" max="23" width="16.33203125" style="1" customWidth="1"/>
    <col min="24" max="259" width="9.109375" style="1"/>
    <col min="260" max="260" width="27.5546875" style="1" customWidth="1"/>
    <col min="261" max="261" width="6.109375" style="1" customWidth="1"/>
    <col min="262" max="262" width="7.6640625" style="1" customWidth="1"/>
    <col min="263" max="263" width="9.44140625" style="1" customWidth="1"/>
    <col min="264" max="264" width="9.109375" style="1"/>
    <col min="265" max="265" width="8.88671875" style="1" customWidth="1"/>
    <col min="266" max="269" width="16.33203125" style="1" customWidth="1"/>
    <col min="270" max="270" width="24.6640625" style="1" customWidth="1"/>
    <col min="271" max="271" width="7.6640625" style="1" customWidth="1"/>
    <col min="272" max="274" width="9.109375" style="1"/>
    <col min="275" max="275" width="10.33203125" style="1" customWidth="1"/>
    <col min="276" max="279" width="16.33203125" style="1" customWidth="1"/>
    <col min="280" max="515" width="9.109375" style="1"/>
    <col min="516" max="516" width="27.5546875" style="1" customWidth="1"/>
    <col min="517" max="517" width="6.109375" style="1" customWidth="1"/>
    <col min="518" max="518" width="7.6640625" style="1" customWidth="1"/>
    <col min="519" max="519" width="9.44140625" style="1" customWidth="1"/>
    <col min="520" max="520" width="9.109375" style="1"/>
    <col min="521" max="521" width="8.88671875" style="1" customWidth="1"/>
    <col min="522" max="525" width="16.33203125" style="1" customWidth="1"/>
    <col min="526" max="526" width="24.6640625" style="1" customWidth="1"/>
    <col min="527" max="527" width="7.6640625" style="1" customWidth="1"/>
    <col min="528" max="530" width="9.109375" style="1"/>
    <col min="531" max="531" width="10.33203125" style="1" customWidth="1"/>
    <col min="532" max="535" width="16.33203125" style="1" customWidth="1"/>
    <col min="536" max="771" width="9.109375" style="1"/>
    <col min="772" max="772" width="27.5546875" style="1" customWidth="1"/>
    <col min="773" max="773" width="6.109375" style="1" customWidth="1"/>
    <col min="774" max="774" width="7.6640625" style="1" customWidth="1"/>
    <col min="775" max="775" width="9.44140625" style="1" customWidth="1"/>
    <col min="776" max="776" width="9.109375" style="1"/>
    <col min="777" max="777" width="8.88671875" style="1" customWidth="1"/>
    <col min="778" max="781" width="16.33203125" style="1" customWidth="1"/>
    <col min="782" max="782" width="24.6640625" style="1" customWidth="1"/>
    <col min="783" max="783" width="7.6640625" style="1" customWidth="1"/>
    <col min="784" max="786" width="9.109375" style="1"/>
    <col min="787" max="787" width="10.33203125" style="1" customWidth="1"/>
    <col min="788" max="791" width="16.33203125" style="1" customWidth="1"/>
    <col min="792" max="1027" width="9.109375" style="1"/>
    <col min="1028" max="1028" width="27.5546875" style="1" customWidth="1"/>
    <col min="1029" max="1029" width="6.109375" style="1" customWidth="1"/>
    <col min="1030" max="1030" width="7.6640625" style="1" customWidth="1"/>
    <col min="1031" max="1031" width="9.44140625" style="1" customWidth="1"/>
    <col min="1032" max="1032" width="9.109375" style="1"/>
    <col min="1033" max="1033" width="8.88671875" style="1" customWidth="1"/>
    <col min="1034" max="1037" width="16.33203125" style="1" customWidth="1"/>
    <col min="1038" max="1038" width="24.6640625" style="1" customWidth="1"/>
    <col min="1039" max="1039" width="7.6640625" style="1" customWidth="1"/>
    <col min="1040" max="1042" width="9.109375" style="1"/>
    <col min="1043" max="1043" width="10.33203125" style="1" customWidth="1"/>
    <col min="1044" max="1047" width="16.33203125" style="1" customWidth="1"/>
    <col min="1048" max="1283" width="9.109375" style="1"/>
    <col min="1284" max="1284" width="27.5546875" style="1" customWidth="1"/>
    <col min="1285" max="1285" width="6.109375" style="1" customWidth="1"/>
    <col min="1286" max="1286" width="7.6640625" style="1" customWidth="1"/>
    <col min="1287" max="1287" width="9.44140625" style="1" customWidth="1"/>
    <col min="1288" max="1288" width="9.109375" style="1"/>
    <col min="1289" max="1289" width="8.88671875" style="1" customWidth="1"/>
    <col min="1290" max="1293" width="16.33203125" style="1" customWidth="1"/>
    <col min="1294" max="1294" width="24.6640625" style="1" customWidth="1"/>
    <col min="1295" max="1295" width="7.6640625" style="1" customWidth="1"/>
    <col min="1296" max="1298" width="9.109375" style="1"/>
    <col min="1299" max="1299" width="10.33203125" style="1" customWidth="1"/>
    <col min="1300" max="1303" width="16.33203125" style="1" customWidth="1"/>
    <col min="1304" max="1539" width="9.109375" style="1"/>
    <col min="1540" max="1540" width="27.5546875" style="1" customWidth="1"/>
    <col min="1541" max="1541" width="6.109375" style="1" customWidth="1"/>
    <col min="1542" max="1542" width="7.6640625" style="1" customWidth="1"/>
    <col min="1543" max="1543" width="9.44140625" style="1" customWidth="1"/>
    <col min="1544" max="1544" width="9.109375" style="1"/>
    <col min="1545" max="1545" width="8.88671875" style="1" customWidth="1"/>
    <col min="1546" max="1549" width="16.33203125" style="1" customWidth="1"/>
    <col min="1550" max="1550" width="24.6640625" style="1" customWidth="1"/>
    <col min="1551" max="1551" width="7.6640625" style="1" customWidth="1"/>
    <col min="1552" max="1554" width="9.109375" style="1"/>
    <col min="1555" max="1555" width="10.33203125" style="1" customWidth="1"/>
    <col min="1556" max="1559" width="16.33203125" style="1" customWidth="1"/>
    <col min="1560" max="1795" width="9.109375" style="1"/>
    <col min="1796" max="1796" width="27.5546875" style="1" customWidth="1"/>
    <col min="1797" max="1797" width="6.109375" style="1" customWidth="1"/>
    <col min="1798" max="1798" width="7.6640625" style="1" customWidth="1"/>
    <col min="1799" max="1799" width="9.44140625" style="1" customWidth="1"/>
    <col min="1800" max="1800" width="9.109375" style="1"/>
    <col min="1801" max="1801" width="8.88671875" style="1" customWidth="1"/>
    <col min="1802" max="1805" width="16.33203125" style="1" customWidth="1"/>
    <col min="1806" max="1806" width="24.6640625" style="1" customWidth="1"/>
    <col min="1807" max="1807" width="7.6640625" style="1" customWidth="1"/>
    <col min="1808" max="1810" width="9.109375" style="1"/>
    <col min="1811" max="1811" width="10.33203125" style="1" customWidth="1"/>
    <col min="1812" max="1815" width="16.33203125" style="1" customWidth="1"/>
    <col min="1816" max="2051" width="9.109375" style="1"/>
    <col min="2052" max="2052" width="27.5546875" style="1" customWidth="1"/>
    <col min="2053" max="2053" width="6.109375" style="1" customWidth="1"/>
    <col min="2054" max="2054" width="7.6640625" style="1" customWidth="1"/>
    <col min="2055" max="2055" width="9.44140625" style="1" customWidth="1"/>
    <col min="2056" max="2056" width="9.109375" style="1"/>
    <col min="2057" max="2057" width="8.88671875" style="1" customWidth="1"/>
    <col min="2058" max="2061" width="16.33203125" style="1" customWidth="1"/>
    <col min="2062" max="2062" width="24.6640625" style="1" customWidth="1"/>
    <col min="2063" max="2063" width="7.6640625" style="1" customWidth="1"/>
    <col min="2064" max="2066" width="9.109375" style="1"/>
    <col min="2067" max="2067" width="10.33203125" style="1" customWidth="1"/>
    <col min="2068" max="2071" width="16.33203125" style="1" customWidth="1"/>
    <col min="2072" max="2307" width="9.109375" style="1"/>
    <col min="2308" max="2308" width="27.5546875" style="1" customWidth="1"/>
    <col min="2309" max="2309" width="6.109375" style="1" customWidth="1"/>
    <col min="2310" max="2310" width="7.6640625" style="1" customWidth="1"/>
    <col min="2311" max="2311" width="9.44140625" style="1" customWidth="1"/>
    <col min="2312" max="2312" width="9.109375" style="1"/>
    <col min="2313" max="2313" width="8.88671875" style="1" customWidth="1"/>
    <col min="2314" max="2317" width="16.33203125" style="1" customWidth="1"/>
    <col min="2318" max="2318" width="24.6640625" style="1" customWidth="1"/>
    <col min="2319" max="2319" width="7.6640625" style="1" customWidth="1"/>
    <col min="2320" max="2322" width="9.109375" style="1"/>
    <col min="2323" max="2323" width="10.33203125" style="1" customWidth="1"/>
    <col min="2324" max="2327" width="16.33203125" style="1" customWidth="1"/>
    <col min="2328" max="2563" width="9.109375" style="1"/>
    <col min="2564" max="2564" width="27.5546875" style="1" customWidth="1"/>
    <col min="2565" max="2565" width="6.109375" style="1" customWidth="1"/>
    <col min="2566" max="2566" width="7.6640625" style="1" customWidth="1"/>
    <col min="2567" max="2567" width="9.44140625" style="1" customWidth="1"/>
    <col min="2568" max="2568" width="9.109375" style="1"/>
    <col min="2569" max="2569" width="8.88671875" style="1" customWidth="1"/>
    <col min="2570" max="2573" width="16.33203125" style="1" customWidth="1"/>
    <col min="2574" max="2574" width="24.6640625" style="1" customWidth="1"/>
    <col min="2575" max="2575" width="7.6640625" style="1" customWidth="1"/>
    <col min="2576" max="2578" width="9.109375" style="1"/>
    <col min="2579" max="2579" width="10.33203125" style="1" customWidth="1"/>
    <col min="2580" max="2583" width="16.33203125" style="1" customWidth="1"/>
    <col min="2584" max="2819" width="9.109375" style="1"/>
    <col min="2820" max="2820" width="27.5546875" style="1" customWidth="1"/>
    <col min="2821" max="2821" width="6.109375" style="1" customWidth="1"/>
    <col min="2822" max="2822" width="7.6640625" style="1" customWidth="1"/>
    <col min="2823" max="2823" width="9.44140625" style="1" customWidth="1"/>
    <col min="2824" max="2824" width="9.109375" style="1"/>
    <col min="2825" max="2825" width="8.88671875" style="1" customWidth="1"/>
    <col min="2826" max="2829" width="16.33203125" style="1" customWidth="1"/>
    <col min="2830" max="2830" width="24.6640625" style="1" customWidth="1"/>
    <col min="2831" max="2831" width="7.6640625" style="1" customWidth="1"/>
    <col min="2832" max="2834" width="9.109375" style="1"/>
    <col min="2835" max="2835" width="10.33203125" style="1" customWidth="1"/>
    <col min="2836" max="2839" width="16.33203125" style="1" customWidth="1"/>
    <col min="2840" max="3075" width="9.109375" style="1"/>
    <col min="3076" max="3076" width="27.5546875" style="1" customWidth="1"/>
    <col min="3077" max="3077" width="6.109375" style="1" customWidth="1"/>
    <col min="3078" max="3078" width="7.6640625" style="1" customWidth="1"/>
    <col min="3079" max="3079" width="9.44140625" style="1" customWidth="1"/>
    <col min="3080" max="3080" width="9.109375" style="1"/>
    <col min="3081" max="3081" width="8.88671875" style="1" customWidth="1"/>
    <col min="3082" max="3085" width="16.33203125" style="1" customWidth="1"/>
    <col min="3086" max="3086" width="24.6640625" style="1" customWidth="1"/>
    <col min="3087" max="3087" width="7.6640625" style="1" customWidth="1"/>
    <col min="3088" max="3090" width="9.109375" style="1"/>
    <col min="3091" max="3091" width="10.33203125" style="1" customWidth="1"/>
    <col min="3092" max="3095" width="16.33203125" style="1" customWidth="1"/>
    <col min="3096" max="3331" width="9.109375" style="1"/>
    <col min="3332" max="3332" width="27.5546875" style="1" customWidth="1"/>
    <col min="3333" max="3333" width="6.109375" style="1" customWidth="1"/>
    <col min="3334" max="3334" width="7.6640625" style="1" customWidth="1"/>
    <col min="3335" max="3335" width="9.44140625" style="1" customWidth="1"/>
    <col min="3336" max="3336" width="9.109375" style="1"/>
    <col min="3337" max="3337" width="8.88671875" style="1" customWidth="1"/>
    <col min="3338" max="3341" width="16.33203125" style="1" customWidth="1"/>
    <col min="3342" max="3342" width="24.6640625" style="1" customWidth="1"/>
    <col min="3343" max="3343" width="7.6640625" style="1" customWidth="1"/>
    <col min="3344" max="3346" width="9.109375" style="1"/>
    <col min="3347" max="3347" width="10.33203125" style="1" customWidth="1"/>
    <col min="3348" max="3351" width="16.33203125" style="1" customWidth="1"/>
    <col min="3352" max="3587" width="9.109375" style="1"/>
    <col min="3588" max="3588" width="27.5546875" style="1" customWidth="1"/>
    <col min="3589" max="3589" width="6.109375" style="1" customWidth="1"/>
    <col min="3590" max="3590" width="7.6640625" style="1" customWidth="1"/>
    <col min="3591" max="3591" width="9.44140625" style="1" customWidth="1"/>
    <col min="3592" max="3592" width="9.109375" style="1"/>
    <col min="3593" max="3593" width="8.88671875" style="1" customWidth="1"/>
    <col min="3594" max="3597" width="16.33203125" style="1" customWidth="1"/>
    <col min="3598" max="3598" width="24.6640625" style="1" customWidth="1"/>
    <col min="3599" max="3599" width="7.6640625" style="1" customWidth="1"/>
    <col min="3600" max="3602" width="9.109375" style="1"/>
    <col min="3603" max="3603" width="10.33203125" style="1" customWidth="1"/>
    <col min="3604" max="3607" width="16.33203125" style="1" customWidth="1"/>
    <col min="3608" max="3843" width="9.109375" style="1"/>
    <col min="3844" max="3844" width="27.5546875" style="1" customWidth="1"/>
    <col min="3845" max="3845" width="6.109375" style="1" customWidth="1"/>
    <col min="3846" max="3846" width="7.6640625" style="1" customWidth="1"/>
    <col min="3847" max="3847" width="9.44140625" style="1" customWidth="1"/>
    <col min="3848" max="3848" width="9.109375" style="1"/>
    <col min="3849" max="3849" width="8.88671875" style="1" customWidth="1"/>
    <col min="3850" max="3853" width="16.33203125" style="1" customWidth="1"/>
    <col min="3854" max="3854" width="24.6640625" style="1" customWidth="1"/>
    <col min="3855" max="3855" width="7.6640625" style="1" customWidth="1"/>
    <col min="3856" max="3858" width="9.109375" style="1"/>
    <col min="3859" max="3859" width="10.33203125" style="1" customWidth="1"/>
    <col min="3860" max="3863" width="16.33203125" style="1" customWidth="1"/>
    <col min="3864" max="4099" width="9.109375" style="1"/>
    <col min="4100" max="4100" width="27.5546875" style="1" customWidth="1"/>
    <col min="4101" max="4101" width="6.109375" style="1" customWidth="1"/>
    <col min="4102" max="4102" width="7.6640625" style="1" customWidth="1"/>
    <col min="4103" max="4103" width="9.44140625" style="1" customWidth="1"/>
    <col min="4104" max="4104" width="9.109375" style="1"/>
    <col min="4105" max="4105" width="8.88671875" style="1" customWidth="1"/>
    <col min="4106" max="4109" width="16.33203125" style="1" customWidth="1"/>
    <col min="4110" max="4110" width="24.6640625" style="1" customWidth="1"/>
    <col min="4111" max="4111" width="7.6640625" style="1" customWidth="1"/>
    <col min="4112" max="4114" width="9.109375" style="1"/>
    <col min="4115" max="4115" width="10.33203125" style="1" customWidth="1"/>
    <col min="4116" max="4119" width="16.33203125" style="1" customWidth="1"/>
    <col min="4120" max="4355" width="9.109375" style="1"/>
    <col min="4356" max="4356" width="27.5546875" style="1" customWidth="1"/>
    <col min="4357" max="4357" width="6.109375" style="1" customWidth="1"/>
    <col min="4358" max="4358" width="7.6640625" style="1" customWidth="1"/>
    <col min="4359" max="4359" width="9.44140625" style="1" customWidth="1"/>
    <col min="4360" max="4360" width="9.109375" style="1"/>
    <col min="4361" max="4361" width="8.88671875" style="1" customWidth="1"/>
    <col min="4362" max="4365" width="16.33203125" style="1" customWidth="1"/>
    <col min="4366" max="4366" width="24.6640625" style="1" customWidth="1"/>
    <col min="4367" max="4367" width="7.6640625" style="1" customWidth="1"/>
    <col min="4368" max="4370" width="9.109375" style="1"/>
    <col min="4371" max="4371" width="10.33203125" style="1" customWidth="1"/>
    <col min="4372" max="4375" width="16.33203125" style="1" customWidth="1"/>
    <col min="4376" max="4611" width="9.109375" style="1"/>
    <col min="4612" max="4612" width="27.5546875" style="1" customWidth="1"/>
    <col min="4613" max="4613" width="6.109375" style="1" customWidth="1"/>
    <col min="4614" max="4614" width="7.6640625" style="1" customWidth="1"/>
    <col min="4615" max="4615" width="9.44140625" style="1" customWidth="1"/>
    <col min="4616" max="4616" width="9.109375" style="1"/>
    <col min="4617" max="4617" width="8.88671875" style="1" customWidth="1"/>
    <col min="4618" max="4621" width="16.33203125" style="1" customWidth="1"/>
    <col min="4622" max="4622" width="24.6640625" style="1" customWidth="1"/>
    <col min="4623" max="4623" width="7.6640625" style="1" customWidth="1"/>
    <col min="4624" max="4626" width="9.109375" style="1"/>
    <col min="4627" max="4627" width="10.33203125" style="1" customWidth="1"/>
    <col min="4628" max="4631" width="16.33203125" style="1" customWidth="1"/>
    <col min="4632" max="4867" width="9.109375" style="1"/>
    <col min="4868" max="4868" width="27.5546875" style="1" customWidth="1"/>
    <col min="4869" max="4869" width="6.109375" style="1" customWidth="1"/>
    <col min="4870" max="4870" width="7.6640625" style="1" customWidth="1"/>
    <col min="4871" max="4871" width="9.44140625" style="1" customWidth="1"/>
    <col min="4872" max="4872" width="9.109375" style="1"/>
    <col min="4873" max="4873" width="8.88671875" style="1" customWidth="1"/>
    <col min="4874" max="4877" width="16.33203125" style="1" customWidth="1"/>
    <col min="4878" max="4878" width="24.6640625" style="1" customWidth="1"/>
    <col min="4879" max="4879" width="7.6640625" style="1" customWidth="1"/>
    <col min="4880" max="4882" width="9.109375" style="1"/>
    <col min="4883" max="4883" width="10.33203125" style="1" customWidth="1"/>
    <col min="4884" max="4887" width="16.33203125" style="1" customWidth="1"/>
    <col min="4888" max="5123" width="9.109375" style="1"/>
    <col min="5124" max="5124" width="27.5546875" style="1" customWidth="1"/>
    <col min="5125" max="5125" width="6.109375" style="1" customWidth="1"/>
    <col min="5126" max="5126" width="7.6640625" style="1" customWidth="1"/>
    <col min="5127" max="5127" width="9.44140625" style="1" customWidth="1"/>
    <col min="5128" max="5128" width="9.109375" style="1"/>
    <col min="5129" max="5129" width="8.88671875" style="1" customWidth="1"/>
    <col min="5130" max="5133" width="16.33203125" style="1" customWidth="1"/>
    <col min="5134" max="5134" width="24.6640625" style="1" customWidth="1"/>
    <col min="5135" max="5135" width="7.6640625" style="1" customWidth="1"/>
    <col min="5136" max="5138" width="9.109375" style="1"/>
    <col min="5139" max="5139" width="10.33203125" style="1" customWidth="1"/>
    <col min="5140" max="5143" width="16.33203125" style="1" customWidth="1"/>
    <col min="5144" max="5379" width="9.109375" style="1"/>
    <col min="5380" max="5380" width="27.5546875" style="1" customWidth="1"/>
    <col min="5381" max="5381" width="6.109375" style="1" customWidth="1"/>
    <col min="5382" max="5382" width="7.6640625" style="1" customWidth="1"/>
    <col min="5383" max="5383" width="9.44140625" style="1" customWidth="1"/>
    <col min="5384" max="5384" width="9.109375" style="1"/>
    <col min="5385" max="5385" width="8.88671875" style="1" customWidth="1"/>
    <col min="5386" max="5389" width="16.33203125" style="1" customWidth="1"/>
    <col min="5390" max="5390" width="24.6640625" style="1" customWidth="1"/>
    <col min="5391" max="5391" width="7.6640625" style="1" customWidth="1"/>
    <col min="5392" max="5394" width="9.109375" style="1"/>
    <col min="5395" max="5395" width="10.33203125" style="1" customWidth="1"/>
    <col min="5396" max="5399" width="16.33203125" style="1" customWidth="1"/>
    <col min="5400" max="5635" width="9.109375" style="1"/>
    <col min="5636" max="5636" width="27.5546875" style="1" customWidth="1"/>
    <col min="5637" max="5637" width="6.109375" style="1" customWidth="1"/>
    <col min="5638" max="5638" width="7.6640625" style="1" customWidth="1"/>
    <col min="5639" max="5639" width="9.44140625" style="1" customWidth="1"/>
    <col min="5640" max="5640" width="9.109375" style="1"/>
    <col min="5641" max="5641" width="8.88671875" style="1" customWidth="1"/>
    <col min="5642" max="5645" width="16.33203125" style="1" customWidth="1"/>
    <col min="5646" max="5646" width="24.6640625" style="1" customWidth="1"/>
    <col min="5647" max="5647" width="7.6640625" style="1" customWidth="1"/>
    <col min="5648" max="5650" width="9.109375" style="1"/>
    <col min="5651" max="5651" width="10.33203125" style="1" customWidth="1"/>
    <col min="5652" max="5655" width="16.33203125" style="1" customWidth="1"/>
    <col min="5656" max="5891" width="9.109375" style="1"/>
    <col min="5892" max="5892" width="27.5546875" style="1" customWidth="1"/>
    <col min="5893" max="5893" width="6.109375" style="1" customWidth="1"/>
    <col min="5894" max="5894" width="7.6640625" style="1" customWidth="1"/>
    <col min="5895" max="5895" width="9.44140625" style="1" customWidth="1"/>
    <col min="5896" max="5896" width="9.109375" style="1"/>
    <col min="5897" max="5897" width="8.88671875" style="1" customWidth="1"/>
    <col min="5898" max="5901" width="16.33203125" style="1" customWidth="1"/>
    <col min="5902" max="5902" width="24.6640625" style="1" customWidth="1"/>
    <col min="5903" max="5903" width="7.6640625" style="1" customWidth="1"/>
    <col min="5904" max="5906" width="9.109375" style="1"/>
    <col min="5907" max="5907" width="10.33203125" style="1" customWidth="1"/>
    <col min="5908" max="5911" width="16.33203125" style="1" customWidth="1"/>
    <col min="5912" max="6147" width="9.109375" style="1"/>
    <col min="6148" max="6148" width="27.5546875" style="1" customWidth="1"/>
    <col min="6149" max="6149" width="6.109375" style="1" customWidth="1"/>
    <col min="6150" max="6150" width="7.6640625" style="1" customWidth="1"/>
    <col min="6151" max="6151" width="9.44140625" style="1" customWidth="1"/>
    <col min="6152" max="6152" width="9.109375" style="1"/>
    <col min="6153" max="6153" width="8.88671875" style="1" customWidth="1"/>
    <col min="6154" max="6157" width="16.33203125" style="1" customWidth="1"/>
    <col min="6158" max="6158" width="24.6640625" style="1" customWidth="1"/>
    <col min="6159" max="6159" width="7.6640625" style="1" customWidth="1"/>
    <col min="6160" max="6162" width="9.109375" style="1"/>
    <col min="6163" max="6163" width="10.33203125" style="1" customWidth="1"/>
    <col min="6164" max="6167" width="16.33203125" style="1" customWidth="1"/>
    <col min="6168" max="6403" width="9.109375" style="1"/>
    <col min="6404" max="6404" width="27.5546875" style="1" customWidth="1"/>
    <col min="6405" max="6405" width="6.109375" style="1" customWidth="1"/>
    <col min="6406" max="6406" width="7.6640625" style="1" customWidth="1"/>
    <col min="6407" max="6407" width="9.44140625" style="1" customWidth="1"/>
    <col min="6408" max="6408" width="9.109375" style="1"/>
    <col min="6409" max="6409" width="8.88671875" style="1" customWidth="1"/>
    <col min="6410" max="6413" width="16.33203125" style="1" customWidth="1"/>
    <col min="6414" max="6414" width="24.6640625" style="1" customWidth="1"/>
    <col min="6415" max="6415" width="7.6640625" style="1" customWidth="1"/>
    <col min="6416" max="6418" width="9.109375" style="1"/>
    <col min="6419" max="6419" width="10.33203125" style="1" customWidth="1"/>
    <col min="6420" max="6423" width="16.33203125" style="1" customWidth="1"/>
    <col min="6424" max="6659" width="9.109375" style="1"/>
    <col min="6660" max="6660" width="27.5546875" style="1" customWidth="1"/>
    <col min="6661" max="6661" width="6.109375" style="1" customWidth="1"/>
    <col min="6662" max="6662" width="7.6640625" style="1" customWidth="1"/>
    <col min="6663" max="6663" width="9.44140625" style="1" customWidth="1"/>
    <col min="6664" max="6664" width="9.109375" style="1"/>
    <col min="6665" max="6665" width="8.88671875" style="1" customWidth="1"/>
    <col min="6666" max="6669" width="16.33203125" style="1" customWidth="1"/>
    <col min="6670" max="6670" width="24.6640625" style="1" customWidth="1"/>
    <col min="6671" max="6671" width="7.6640625" style="1" customWidth="1"/>
    <col min="6672" max="6674" width="9.109375" style="1"/>
    <col min="6675" max="6675" width="10.33203125" style="1" customWidth="1"/>
    <col min="6676" max="6679" width="16.33203125" style="1" customWidth="1"/>
    <col min="6680" max="6915" width="9.109375" style="1"/>
    <col min="6916" max="6916" width="27.5546875" style="1" customWidth="1"/>
    <col min="6917" max="6917" width="6.109375" style="1" customWidth="1"/>
    <col min="6918" max="6918" width="7.6640625" style="1" customWidth="1"/>
    <col min="6919" max="6919" width="9.44140625" style="1" customWidth="1"/>
    <col min="6920" max="6920" width="9.109375" style="1"/>
    <col min="6921" max="6921" width="8.88671875" style="1" customWidth="1"/>
    <col min="6922" max="6925" width="16.33203125" style="1" customWidth="1"/>
    <col min="6926" max="6926" width="24.6640625" style="1" customWidth="1"/>
    <col min="6927" max="6927" width="7.6640625" style="1" customWidth="1"/>
    <col min="6928" max="6930" width="9.109375" style="1"/>
    <col min="6931" max="6931" width="10.33203125" style="1" customWidth="1"/>
    <col min="6932" max="6935" width="16.33203125" style="1" customWidth="1"/>
    <col min="6936" max="7171" width="9.109375" style="1"/>
    <col min="7172" max="7172" width="27.5546875" style="1" customWidth="1"/>
    <col min="7173" max="7173" width="6.109375" style="1" customWidth="1"/>
    <col min="7174" max="7174" width="7.6640625" style="1" customWidth="1"/>
    <col min="7175" max="7175" width="9.44140625" style="1" customWidth="1"/>
    <col min="7176" max="7176" width="9.109375" style="1"/>
    <col min="7177" max="7177" width="8.88671875" style="1" customWidth="1"/>
    <col min="7178" max="7181" width="16.33203125" style="1" customWidth="1"/>
    <col min="7182" max="7182" width="24.6640625" style="1" customWidth="1"/>
    <col min="7183" max="7183" width="7.6640625" style="1" customWidth="1"/>
    <col min="7184" max="7186" width="9.109375" style="1"/>
    <col min="7187" max="7187" width="10.33203125" style="1" customWidth="1"/>
    <col min="7188" max="7191" width="16.33203125" style="1" customWidth="1"/>
    <col min="7192" max="7427" width="9.109375" style="1"/>
    <col min="7428" max="7428" width="27.5546875" style="1" customWidth="1"/>
    <col min="7429" max="7429" width="6.109375" style="1" customWidth="1"/>
    <col min="7430" max="7430" width="7.6640625" style="1" customWidth="1"/>
    <col min="7431" max="7431" width="9.44140625" style="1" customWidth="1"/>
    <col min="7432" max="7432" width="9.109375" style="1"/>
    <col min="7433" max="7433" width="8.88671875" style="1" customWidth="1"/>
    <col min="7434" max="7437" width="16.33203125" style="1" customWidth="1"/>
    <col min="7438" max="7438" width="24.6640625" style="1" customWidth="1"/>
    <col min="7439" max="7439" width="7.6640625" style="1" customWidth="1"/>
    <col min="7440" max="7442" width="9.109375" style="1"/>
    <col min="7443" max="7443" width="10.33203125" style="1" customWidth="1"/>
    <col min="7444" max="7447" width="16.33203125" style="1" customWidth="1"/>
    <col min="7448" max="7683" width="9.109375" style="1"/>
    <col min="7684" max="7684" width="27.5546875" style="1" customWidth="1"/>
    <col min="7685" max="7685" width="6.109375" style="1" customWidth="1"/>
    <col min="7686" max="7686" width="7.6640625" style="1" customWidth="1"/>
    <col min="7687" max="7687" width="9.44140625" style="1" customWidth="1"/>
    <col min="7688" max="7688" width="9.109375" style="1"/>
    <col min="7689" max="7689" width="8.88671875" style="1" customWidth="1"/>
    <col min="7690" max="7693" width="16.33203125" style="1" customWidth="1"/>
    <col min="7694" max="7694" width="24.6640625" style="1" customWidth="1"/>
    <col min="7695" max="7695" width="7.6640625" style="1" customWidth="1"/>
    <col min="7696" max="7698" width="9.109375" style="1"/>
    <col min="7699" max="7699" width="10.33203125" style="1" customWidth="1"/>
    <col min="7700" max="7703" width="16.33203125" style="1" customWidth="1"/>
    <col min="7704" max="7939" width="9.109375" style="1"/>
    <col min="7940" max="7940" width="27.5546875" style="1" customWidth="1"/>
    <col min="7941" max="7941" width="6.109375" style="1" customWidth="1"/>
    <col min="7942" max="7942" width="7.6640625" style="1" customWidth="1"/>
    <col min="7943" max="7943" width="9.44140625" style="1" customWidth="1"/>
    <col min="7944" max="7944" width="9.109375" style="1"/>
    <col min="7945" max="7945" width="8.88671875" style="1" customWidth="1"/>
    <col min="7946" max="7949" width="16.33203125" style="1" customWidth="1"/>
    <col min="7950" max="7950" width="24.6640625" style="1" customWidth="1"/>
    <col min="7951" max="7951" width="7.6640625" style="1" customWidth="1"/>
    <col min="7952" max="7954" width="9.109375" style="1"/>
    <col min="7955" max="7955" width="10.33203125" style="1" customWidth="1"/>
    <col min="7956" max="7959" width="16.33203125" style="1" customWidth="1"/>
    <col min="7960" max="8195" width="9.109375" style="1"/>
    <col min="8196" max="8196" width="27.5546875" style="1" customWidth="1"/>
    <col min="8197" max="8197" width="6.109375" style="1" customWidth="1"/>
    <col min="8198" max="8198" width="7.6640625" style="1" customWidth="1"/>
    <col min="8199" max="8199" width="9.44140625" style="1" customWidth="1"/>
    <col min="8200" max="8200" width="9.109375" style="1"/>
    <col min="8201" max="8201" width="8.88671875" style="1" customWidth="1"/>
    <col min="8202" max="8205" width="16.33203125" style="1" customWidth="1"/>
    <col min="8206" max="8206" width="24.6640625" style="1" customWidth="1"/>
    <col min="8207" max="8207" width="7.6640625" style="1" customWidth="1"/>
    <col min="8208" max="8210" width="9.109375" style="1"/>
    <col min="8211" max="8211" width="10.33203125" style="1" customWidth="1"/>
    <col min="8212" max="8215" width="16.33203125" style="1" customWidth="1"/>
    <col min="8216" max="8451" width="9.109375" style="1"/>
    <col min="8452" max="8452" width="27.5546875" style="1" customWidth="1"/>
    <col min="8453" max="8453" width="6.109375" style="1" customWidth="1"/>
    <col min="8454" max="8454" width="7.6640625" style="1" customWidth="1"/>
    <col min="8455" max="8455" width="9.44140625" style="1" customWidth="1"/>
    <col min="8456" max="8456" width="9.109375" style="1"/>
    <col min="8457" max="8457" width="8.88671875" style="1" customWidth="1"/>
    <col min="8458" max="8461" width="16.33203125" style="1" customWidth="1"/>
    <col min="8462" max="8462" width="24.6640625" style="1" customWidth="1"/>
    <col min="8463" max="8463" width="7.6640625" style="1" customWidth="1"/>
    <col min="8464" max="8466" width="9.109375" style="1"/>
    <col min="8467" max="8467" width="10.33203125" style="1" customWidth="1"/>
    <col min="8468" max="8471" width="16.33203125" style="1" customWidth="1"/>
    <col min="8472" max="8707" width="9.109375" style="1"/>
    <col min="8708" max="8708" width="27.5546875" style="1" customWidth="1"/>
    <col min="8709" max="8709" width="6.109375" style="1" customWidth="1"/>
    <col min="8710" max="8710" width="7.6640625" style="1" customWidth="1"/>
    <col min="8711" max="8711" width="9.44140625" style="1" customWidth="1"/>
    <col min="8712" max="8712" width="9.109375" style="1"/>
    <col min="8713" max="8713" width="8.88671875" style="1" customWidth="1"/>
    <col min="8714" max="8717" width="16.33203125" style="1" customWidth="1"/>
    <col min="8718" max="8718" width="24.6640625" style="1" customWidth="1"/>
    <col min="8719" max="8719" width="7.6640625" style="1" customWidth="1"/>
    <col min="8720" max="8722" width="9.109375" style="1"/>
    <col min="8723" max="8723" width="10.33203125" style="1" customWidth="1"/>
    <col min="8724" max="8727" width="16.33203125" style="1" customWidth="1"/>
    <col min="8728" max="8963" width="9.109375" style="1"/>
    <col min="8964" max="8964" width="27.5546875" style="1" customWidth="1"/>
    <col min="8965" max="8965" width="6.109375" style="1" customWidth="1"/>
    <col min="8966" max="8966" width="7.6640625" style="1" customWidth="1"/>
    <col min="8967" max="8967" width="9.44140625" style="1" customWidth="1"/>
    <col min="8968" max="8968" width="9.109375" style="1"/>
    <col min="8969" max="8969" width="8.88671875" style="1" customWidth="1"/>
    <col min="8970" max="8973" width="16.33203125" style="1" customWidth="1"/>
    <col min="8974" max="8974" width="24.6640625" style="1" customWidth="1"/>
    <col min="8975" max="8975" width="7.6640625" style="1" customWidth="1"/>
    <col min="8976" max="8978" width="9.109375" style="1"/>
    <col min="8979" max="8979" width="10.33203125" style="1" customWidth="1"/>
    <col min="8980" max="8983" width="16.33203125" style="1" customWidth="1"/>
    <col min="8984" max="9219" width="9.109375" style="1"/>
    <col min="9220" max="9220" width="27.5546875" style="1" customWidth="1"/>
    <col min="9221" max="9221" width="6.109375" style="1" customWidth="1"/>
    <col min="9222" max="9222" width="7.6640625" style="1" customWidth="1"/>
    <col min="9223" max="9223" width="9.44140625" style="1" customWidth="1"/>
    <col min="9224" max="9224" width="9.109375" style="1"/>
    <col min="9225" max="9225" width="8.88671875" style="1" customWidth="1"/>
    <col min="9226" max="9229" width="16.33203125" style="1" customWidth="1"/>
    <col min="9230" max="9230" width="24.6640625" style="1" customWidth="1"/>
    <col min="9231" max="9231" width="7.6640625" style="1" customWidth="1"/>
    <col min="9232" max="9234" width="9.109375" style="1"/>
    <col min="9235" max="9235" width="10.33203125" style="1" customWidth="1"/>
    <col min="9236" max="9239" width="16.33203125" style="1" customWidth="1"/>
    <col min="9240" max="9475" width="9.109375" style="1"/>
    <col min="9476" max="9476" width="27.5546875" style="1" customWidth="1"/>
    <col min="9477" max="9477" width="6.109375" style="1" customWidth="1"/>
    <col min="9478" max="9478" width="7.6640625" style="1" customWidth="1"/>
    <col min="9479" max="9479" width="9.44140625" style="1" customWidth="1"/>
    <col min="9480" max="9480" width="9.109375" style="1"/>
    <col min="9481" max="9481" width="8.88671875" style="1" customWidth="1"/>
    <col min="9482" max="9485" width="16.33203125" style="1" customWidth="1"/>
    <col min="9486" max="9486" width="24.6640625" style="1" customWidth="1"/>
    <col min="9487" max="9487" width="7.6640625" style="1" customWidth="1"/>
    <col min="9488" max="9490" width="9.109375" style="1"/>
    <col min="9491" max="9491" width="10.33203125" style="1" customWidth="1"/>
    <col min="9492" max="9495" width="16.33203125" style="1" customWidth="1"/>
    <col min="9496" max="9731" width="9.109375" style="1"/>
    <col min="9732" max="9732" width="27.5546875" style="1" customWidth="1"/>
    <col min="9733" max="9733" width="6.109375" style="1" customWidth="1"/>
    <col min="9734" max="9734" width="7.6640625" style="1" customWidth="1"/>
    <col min="9735" max="9735" width="9.44140625" style="1" customWidth="1"/>
    <col min="9736" max="9736" width="9.109375" style="1"/>
    <col min="9737" max="9737" width="8.88671875" style="1" customWidth="1"/>
    <col min="9738" max="9741" width="16.33203125" style="1" customWidth="1"/>
    <col min="9742" max="9742" width="24.6640625" style="1" customWidth="1"/>
    <col min="9743" max="9743" width="7.6640625" style="1" customWidth="1"/>
    <col min="9744" max="9746" width="9.109375" style="1"/>
    <col min="9747" max="9747" width="10.33203125" style="1" customWidth="1"/>
    <col min="9748" max="9751" width="16.33203125" style="1" customWidth="1"/>
    <col min="9752" max="9987" width="9.109375" style="1"/>
    <col min="9988" max="9988" width="27.5546875" style="1" customWidth="1"/>
    <col min="9989" max="9989" width="6.109375" style="1" customWidth="1"/>
    <col min="9990" max="9990" width="7.6640625" style="1" customWidth="1"/>
    <col min="9991" max="9991" width="9.44140625" style="1" customWidth="1"/>
    <col min="9992" max="9992" width="9.109375" style="1"/>
    <col min="9993" max="9993" width="8.88671875" style="1" customWidth="1"/>
    <col min="9994" max="9997" width="16.33203125" style="1" customWidth="1"/>
    <col min="9998" max="9998" width="24.6640625" style="1" customWidth="1"/>
    <col min="9999" max="9999" width="7.6640625" style="1" customWidth="1"/>
    <col min="10000" max="10002" width="9.109375" style="1"/>
    <col min="10003" max="10003" width="10.33203125" style="1" customWidth="1"/>
    <col min="10004" max="10007" width="16.33203125" style="1" customWidth="1"/>
    <col min="10008" max="10243" width="9.109375" style="1"/>
    <col min="10244" max="10244" width="27.5546875" style="1" customWidth="1"/>
    <col min="10245" max="10245" width="6.109375" style="1" customWidth="1"/>
    <col min="10246" max="10246" width="7.6640625" style="1" customWidth="1"/>
    <col min="10247" max="10247" width="9.44140625" style="1" customWidth="1"/>
    <col min="10248" max="10248" width="9.109375" style="1"/>
    <col min="10249" max="10249" width="8.88671875" style="1" customWidth="1"/>
    <col min="10250" max="10253" width="16.33203125" style="1" customWidth="1"/>
    <col min="10254" max="10254" width="24.6640625" style="1" customWidth="1"/>
    <col min="10255" max="10255" width="7.6640625" style="1" customWidth="1"/>
    <col min="10256" max="10258" width="9.109375" style="1"/>
    <col min="10259" max="10259" width="10.33203125" style="1" customWidth="1"/>
    <col min="10260" max="10263" width="16.33203125" style="1" customWidth="1"/>
    <col min="10264" max="10499" width="9.109375" style="1"/>
    <col min="10500" max="10500" width="27.5546875" style="1" customWidth="1"/>
    <col min="10501" max="10501" width="6.109375" style="1" customWidth="1"/>
    <col min="10502" max="10502" width="7.6640625" style="1" customWidth="1"/>
    <col min="10503" max="10503" width="9.44140625" style="1" customWidth="1"/>
    <col min="10504" max="10504" width="9.109375" style="1"/>
    <col min="10505" max="10505" width="8.88671875" style="1" customWidth="1"/>
    <col min="10506" max="10509" width="16.33203125" style="1" customWidth="1"/>
    <col min="10510" max="10510" width="24.6640625" style="1" customWidth="1"/>
    <col min="10511" max="10511" width="7.6640625" style="1" customWidth="1"/>
    <col min="10512" max="10514" width="9.109375" style="1"/>
    <col min="10515" max="10515" width="10.33203125" style="1" customWidth="1"/>
    <col min="10516" max="10519" width="16.33203125" style="1" customWidth="1"/>
    <col min="10520" max="10755" width="9.109375" style="1"/>
    <col min="10756" max="10756" width="27.5546875" style="1" customWidth="1"/>
    <col min="10757" max="10757" width="6.109375" style="1" customWidth="1"/>
    <col min="10758" max="10758" width="7.6640625" style="1" customWidth="1"/>
    <col min="10759" max="10759" width="9.44140625" style="1" customWidth="1"/>
    <col min="10760" max="10760" width="9.109375" style="1"/>
    <col min="10761" max="10761" width="8.88671875" style="1" customWidth="1"/>
    <col min="10762" max="10765" width="16.33203125" style="1" customWidth="1"/>
    <col min="10766" max="10766" width="24.6640625" style="1" customWidth="1"/>
    <col min="10767" max="10767" width="7.6640625" style="1" customWidth="1"/>
    <col min="10768" max="10770" width="9.109375" style="1"/>
    <col min="10771" max="10771" width="10.33203125" style="1" customWidth="1"/>
    <col min="10772" max="10775" width="16.33203125" style="1" customWidth="1"/>
    <col min="10776" max="11011" width="9.109375" style="1"/>
    <col min="11012" max="11012" width="27.5546875" style="1" customWidth="1"/>
    <col min="11013" max="11013" width="6.109375" style="1" customWidth="1"/>
    <col min="11014" max="11014" width="7.6640625" style="1" customWidth="1"/>
    <col min="11015" max="11015" width="9.44140625" style="1" customWidth="1"/>
    <col min="11016" max="11016" width="9.109375" style="1"/>
    <col min="11017" max="11017" width="8.88671875" style="1" customWidth="1"/>
    <col min="11018" max="11021" width="16.33203125" style="1" customWidth="1"/>
    <col min="11022" max="11022" width="24.6640625" style="1" customWidth="1"/>
    <col min="11023" max="11023" width="7.6640625" style="1" customWidth="1"/>
    <col min="11024" max="11026" width="9.109375" style="1"/>
    <col min="11027" max="11027" width="10.33203125" style="1" customWidth="1"/>
    <col min="11028" max="11031" width="16.33203125" style="1" customWidth="1"/>
    <col min="11032" max="11267" width="9.109375" style="1"/>
    <col min="11268" max="11268" width="27.5546875" style="1" customWidth="1"/>
    <col min="11269" max="11269" width="6.109375" style="1" customWidth="1"/>
    <col min="11270" max="11270" width="7.6640625" style="1" customWidth="1"/>
    <col min="11271" max="11271" width="9.44140625" style="1" customWidth="1"/>
    <col min="11272" max="11272" width="9.109375" style="1"/>
    <col min="11273" max="11273" width="8.88671875" style="1" customWidth="1"/>
    <col min="11274" max="11277" width="16.33203125" style="1" customWidth="1"/>
    <col min="11278" max="11278" width="24.6640625" style="1" customWidth="1"/>
    <col min="11279" max="11279" width="7.6640625" style="1" customWidth="1"/>
    <col min="11280" max="11282" width="9.109375" style="1"/>
    <col min="11283" max="11283" width="10.33203125" style="1" customWidth="1"/>
    <col min="11284" max="11287" width="16.33203125" style="1" customWidth="1"/>
    <col min="11288" max="11523" width="9.109375" style="1"/>
    <col min="11524" max="11524" width="27.5546875" style="1" customWidth="1"/>
    <col min="11525" max="11525" width="6.109375" style="1" customWidth="1"/>
    <col min="11526" max="11526" width="7.6640625" style="1" customWidth="1"/>
    <col min="11527" max="11527" width="9.44140625" style="1" customWidth="1"/>
    <col min="11528" max="11528" width="9.109375" style="1"/>
    <col min="11529" max="11529" width="8.88671875" style="1" customWidth="1"/>
    <col min="11530" max="11533" width="16.33203125" style="1" customWidth="1"/>
    <col min="11534" max="11534" width="24.6640625" style="1" customWidth="1"/>
    <col min="11535" max="11535" width="7.6640625" style="1" customWidth="1"/>
    <col min="11536" max="11538" width="9.109375" style="1"/>
    <col min="11539" max="11539" width="10.33203125" style="1" customWidth="1"/>
    <col min="11540" max="11543" width="16.33203125" style="1" customWidth="1"/>
    <col min="11544" max="11779" width="9.109375" style="1"/>
    <col min="11780" max="11780" width="27.5546875" style="1" customWidth="1"/>
    <col min="11781" max="11781" width="6.109375" style="1" customWidth="1"/>
    <col min="11782" max="11782" width="7.6640625" style="1" customWidth="1"/>
    <col min="11783" max="11783" width="9.44140625" style="1" customWidth="1"/>
    <col min="11784" max="11784" width="9.109375" style="1"/>
    <col min="11785" max="11785" width="8.88671875" style="1" customWidth="1"/>
    <col min="11786" max="11789" width="16.33203125" style="1" customWidth="1"/>
    <col min="11790" max="11790" width="24.6640625" style="1" customWidth="1"/>
    <col min="11791" max="11791" width="7.6640625" style="1" customWidth="1"/>
    <col min="11792" max="11794" width="9.109375" style="1"/>
    <col min="11795" max="11795" width="10.33203125" style="1" customWidth="1"/>
    <col min="11796" max="11799" width="16.33203125" style="1" customWidth="1"/>
    <col min="11800" max="12035" width="9.109375" style="1"/>
    <col min="12036" max="12036" width="27.5546875" style="1" customWidth="1"/>
    <col min="12037" max="12037" width="6.109375" style="1" customWidth="1"/>
    <col min="12038" max="12038" width="7.6640625" style="1" customWidth="1"/>
    <col min="12039" max="12039" width="9.44140625" style="1" customWidth="1"/>
    <col min="12040" max="12040" width="9.109375" style="1"/>
    <col min="12041" max="12041" width="8.88671875" style="1" customWidth="1"/>
    <col min="12042" max="12045" width="16.33203125" style="1" customWidth="1"/>
    <col min="12046" max="12046" width="24.6640625" style="1" customWidth="1"/>
    <col min="12047" max="12047" width="7.6640625" style="1" customWidth="1"/>
    <col min="12048" max="12050" width="9.109375" style="1"/>
    <col min="12051" max="12051" width="10.33203125" style="1" customWidth="1"/>
    <col min="12052" max="12055" width="16.33203125" style="1" customWidth="1"/>
    <col min="12056" max="12291" width="9.109375" style="1"/>
    <col min="12292" max="12292" width="27.5546875" style="1" customWidth="1"/>
    <col min="12293" max="12293" width="6.109375" style="1" customWidth="1"/>
    <col min="12294" max="12294" width="7.6640625" style="1" customWidth="1"/>
    <col min="12295" max="12295" width="9.44140625" style="1" customWidth="1"/>
    <col min="12296" max="12296" width="9.109375" style="1"/>
    <col min="12297" max="12297" width="8.88671875" style="1" customWidth="1"/>
    <col min="12298" max="12301" width="16.33203125" style="1" customWidth="1"/>
    <col min="12302" max="12302" width="24.6640625" style="1" customWidth="1"/>
    <col min="12303" max="12303" width="7.6640625" style="1" customWidth="1"/>
    <col min="12304" max="12306" width="9.109375" style="1"/>
    <col min="12307" max="12307" width="10.33203125" style="1" customWidth="1"/>
    <col min="12308" max="12311" width="16.33203125" style="1" customWidth="1"/>
    <col min="12312" max="12547" width="9.109375" style="1"/>
    <col min="12548" max="12548" width="27.5546875" style="1" customWidth="1"/>
    <col min="12549" max="12549" width="6.109375" style="1" customWidth="1"/>
    <col min="12550" max="12550" width="7.6640625" style="1" customWidth="1"/>
    <col min="12551" max="12551" width="9.44140625" style="1" customWidth="1"/>
    <col min="12552" max="12552" width="9.109375" style="1"/>
    <col min="12553" max="12553" width="8.88671875" style="1" customWidth="1"/>
    <col min="12554" max="12557" width="16.33203125" style="1" customWidth="1"/>
    <col min="12558" max="12558" width="24.6640625" style="1" customWidth="1"/>
    <col min="12559" max="12559" width="7.6640625" style="1" customWidth="1"/>
    <col min="12560" max="12562" width="9.109375" style="1"/>
    <col min="12563" max="12563" width="10.33203125" style="1" customWidth="1"/>
    <col min="12564" max="12567" width="16.33203125" style="1" customWidth="1"/>
    <col min="12568" max="12803" width="9.109375" style="1"/>
    <col min="12804" max="12804" width="27.5546875" style="1" customWidth="1"/>
    <col min="12805" max="12805" width="6.109375" style="1" customWidth="1"/>
    <col min="12806" max="12806" width="7.6640625" style="1" customWidth="1"/>
    <col min="12807" max="12807" width="9.44140625" style="1" customWidth="1"/>
    <col min="12808" max="12808" width="9.109375" style="1"/>
    <col min="12809" max="12809" width="8.88671875" style="1" customWidth="1"/>
    <col min="12810" max="12813" width="16.33203125" style="1" customWidth="1"/>
    <col min="12814" max="12814" width="24.6640625" style="1" customWidth="1"/>
    <col min="12815" max="12815" width="7.6640625" style="1" customWidth="1"/>
    <col min="12816" max="12818" width="9.109375" style="1"/>
    <col min="12819" max="12819" width="10.33203125" style="1" customWidth="1"/>
    <col min="12820" max="12823" width="16.33203125" style="1" customWidth="1"/>
    <col min="12824" max="13059" width="9.109375" style="1"/>
    <col min="13060" max="13060" width="27.5546875" style="1" customWidth="1"/>
    <col min="13061" max="13061" width="6.109375" style="1" customWidth="1"/>
    <col min="13062" max="13062" width="7.6640625" style="1" customWidth="1"/>
    <col min="13063" max="13063" width="9.44140625" style="1" customWidth="1"/>
    <col min="13064" max="13064" width="9.109375" style="1"/>
    <col min="13065" max="13065" width="8.88671875" style="1" customWidth="1"/>
    <col min="13066" max="13069" width="16.33203125" style="1" customWidth="1"/>
    <col min="13070" max="13070" width="24.6640625" style="1" customWidth="1"/>
    <col min="13071" max="13071" width="7.6640625" style="1" customWidth="1"/>
    <col min="13072" max="13074" width="9.109375" style="1"/>
    <col min="13075" max="13075" width="10.33203125" style="1" customWidth="1"/>
    <col min="13076" max="13079" width="16.33203125" style="1" customWidth="1"/>
    <col min="13080" max="13315" width="9.109375" style="1"/>
    <col min="13316" max="13316" width="27.5546875" style="1" customWidth="1"/>
    <col min="13317" max="13317" width="6.109375" style="1" customWidth="1"/>
    <col min="13318" max="13318" width="7.6640625" style="1" customWidth="1"/>
    <col min="13319" max="13319" width="9.44140625" style="1" customWidth="1"/>
    <col min="13320" max="13320" width="9.109375" style="1"/>
    <col min="13321" max="13321" width="8.88671875" style="1" customWidth="1"/>
    <col min="13322" max="13325" width="16.33203125" style="1" customWidth="1"/>
    <col min="13326" max="13326" width="24.6640625" style="1" customWidth="1"/>
    <col min="13327" max="13327" width="7.6640625" style="1" customWidth="1"/>
    <col min="13328" max="13330" width="9.109375" style="1"/>
    <col min="13331" max="13331" width="10.33203125" style="1" customWidth="1"/>
    <col min="13332" max="13335" width="16.33203125" style="1" customWidth="1"/>
    <col min="13336" max="13571" width="9.109375" style="1"/>
    <col min="13572" max="13572" width="27.5546875" style="1" customWidth="1"/>
    <col min="13573" max="13573" width="6.109375" style="1" customWidth="1"/>
    <col min="13574" max="13574" width="7.6640625" style="1" customWidth="1"/>
    <col min="13575" max="13575" width="9.44140625" style="1" customWidth="1"/>
    <col min="13576" max="13576" width="9.109375" style="1"/>
    <col min="13577" max="13577" width="8.88671875" style="1" customWidth="1"/>
    <col min="13578" max="13581" width="16.33203125" style="1" customWidth="1"/>
    <col min="13582" max="13582" width="24.6640625" style="1" customWidth="1"/>
    <col min="13583" max="13583" width="7.6640625" style="1" customWidth="1"/>
    <col min="13584" max="13586" width="9.109375" style="1"/>
    <col min="13587" max="13587" width="10.33203125" style="1" customWidth="1"/>
    <col min="13588" max="13591" width="16.33203125" style="1" customWidth="1"/>
    <col min="13592" max="13827" width="9.109375" style="1"/>
    <col min="13828" max="13828" width="27.5546875" style="1" customWidth="1"/>
    <col min="13829" max="13829" width="6.109375" style="1" customWidth="1"/>
    <col min="13830" max="13830" width="7.6640625" style="1" customWidth="1"/>
    <col min="13831" max="13831" width="9.44140625" style="1" customWidth="1"/>
    <col min="13832" max="13832" width="9.109375" style="1"/>
    <col min="13833" max="13833" width="8.88671875" style="1" customWidth="1"/>
    <col min="13834" max="13837" width="16.33203125" style="1" customWidth="1"/>
    <col min="13838" max="13838" width="24.6640625" style="1" customWidth="1"/>
    <col min="13839" max="13839" width="7.6640625" style="1" customWidth="1"/>
    <col min="13840" max="13842" width="9.109375" style="1"/>
    <col min="13843" max="13843" width="10.33203125" style="1" customWidth="1"/>
    <col min="13844" max="13847" width="16.33203125" style="1" customWidth="1"/>
    <col min="13848" max="14083" width="9.109375" style="1"/>
    <col min="14084" max="14084" width="27.5546875" style="1" customWidth="1"/>
    <col min="14085" max="14085" width="6.109375" style="1" customWidth="1"/>
    <col min="14086" max="14086" width="7.6640625" style="1" customWidth="1"/>
    <col min="14087" max="14087" width="9.44140625" style="1" customWidth="1"/>
    <col min="14088" max="14088" width="9.109375" style="1"/>
    <col min="14089" max="14089" width="8.88671875" style="1" customWidth="1"/>
    <col min="14090" max="14093" width="16.33203125" style="1" customWidth="1"/>
    <col min="14094" max="14094" width="24.6640625" style="1" customWidth="1"/>
    <col min="14095" max="14095" width="7.6640625" style="1" customWidth="1"/>
    <col min="14096" max="14098" width="9.109375" style="1"/>
    <col min="14099" max="14099" width="10.33203125" style="1" customWidth="1"/>
    <col min="14100" max="14103" width="16.33203125" style="1" customWidth="1"/>
    <col min="14104" max="14339" width="9.109375" style="1"/>
    <col min="14340" max="14340" width="27.5546875" style="1" customWidth="1"/>
    <col min="14341" max="14341" width="6.109375" style="1" customWidth="1"/>
    <col min="14342" max="14342" width="7.6640625" style="1" customWidth="1"/>
    <col min="14343" max="14343" width="9.44140625" style="1" customWidth="1"/>
    <col min="14344" max="14344" width="9.109375" style="1"/>
    <col min="14345" max="14345" width="8.88671875" style="1" customWidth="1"/>
    <col min="14346" max="14349" width="16.33203125" style="1" customWidth="1"/>
    <col min="14350" max="14350" width="24.6640625" style="1" customWidth="1"/>
    <col min="14351" max="14351" width="7.6640625" style="1" customWidth="1"/>
    <col min="14352" max="14354" width="9.109375" style="1"/>
    <col min="14355" max="14355" width="10.33203125" style="1" customWidth="1"/>
    <col min="14356" max="14359" width="16.33203125" style="1" customWidth="1"/>
    <col min="14360" max="14595" width="9.109375" style="1"/>
    <col min="14596" max="14596" width="27.5546875" style="1" customWidth="1"/>
    <col min="14597" max="14597" width="6.109375" style="1" customWidth="1"/>
    <col min="14598" max="14598" width="7.6640625" style="1" customWidth="1"/>
    <col min="14599" max="14599" width="9.44140625" style="1" customWidth="1"/>
    <col min="14600" max="14600" width="9.109375" style="1"/>
    <col min="14601" max="14601" width="8.88671875" style="1" customWidth="1"/>
    <col min="14602" max="14605" width="16.33203125" style="1" customWidth="1"/>
    <col min="14606" max="14606" width="24.6640625" style="1" customWidth="1"/>
    <col min="14607" max="14607" width="7.6640625" style="1" customWidth="1"/>
    <col min="14608" max="14610" width="9.109375" style="1"/>
    <col min="14611" max="14611" width="10.33203125" style="1" customWidth="1"/>
    <col min="14612" max="14615" width="16.33203125" style="1" customWidth="1"/>
    <col min="14616" max="14851" width="9.109375" style="1"/>
    <col min="14852" max="14852" width="27.5546875" style="1" customWidth="1"/>
    <col min="14853" max="14853" width="6.109375" style="1" customWidth="1"/>
    <col min="14854" max="14854" width="7.6640625" style="1" customWidth="1"/>
    <col min="14855" max="14855" width="9.44140625" style="1" customWidth="1"/>
    <col min="14856" max="14856" width="9.109375" style="1"/>
    <col min="14857" max="14857" width="8.88671875" style="1" customWidth="1"/>
    <col min="14858" max="14861" width="16.33203125" style="1" customWidth="1"/>
    <col min="14862" max="14862" width="24.6640625" style="1" customWidth="1"/>
    <col min="14863" max="14863" width="7.6640625" style="1" customWidth="1"/>
    <col min="14864" max="14866" width="9.109375" style="1"/>
    <col min="14867" max="14867" width="10.33203125" style="1" customWidth="1"/>
    <col min="14868" max="14871" width="16.33203125" style="1" customWidth="1"/>
    <col min="14872" max="15107" width="9.109375" style="1"/>
    <col min="15108" max="15108" width="27.5546875" style="1" customWidth="1"/>
    <col min="15109" max="15109" width="6.109375" style="1" customWidth="1"/>
    <col min="15110" max="15110" width="7.6640625" style="1" customWidth="1"/>
    <col min="15111" max="15111" width="9.44140625" style="1" customWidth="1"/>
    <col min="15112" max="15112" width="9.109375" style="1"/>
    <col min="15113" max="15113" width="8.88671875" style="1" customWidth="1"/>
    <col min="15114" max="15117" width="16.33203125" style="1" customWidth="1"/>
    <col min="15118" max="15118" width="24.6640625" style="1" customWidth="1"/>
    <col min="15119" max="15119" width="7.6640625" style="1" customWidth="1"/>
    <col min="15120" max="15122" width="9.109375" style="1"/>
    <col min="15123" max="15123" width="10.33203125" style="1" customWidth="1"/>
    <col min="15124" max="15127" width="16.33203125" style="1" customWidth="1"/>
    <col min="15128" max="15363" width="9.109375" style="1"/>
    <col min="15364" max="15364" width="27.5546875" style="1" customWidth="1"/>
    <col min="15365" max="15365" width="6.109375" style="1" customWidth="1"/>
    <col min="15366" max="15366" width="7.6640625" style="1" customWidth="1"/>
    <col min="15367" max="15367" width="9.44140625" style="1" customWidth="1"/>
    <col min="15368" max="15368" width="9.109375" style="1"/>
    <col min="15369" max="15369" width="8.88671875" style="1" customWidth="1"/>
    <col min="15370" max="15373" width="16.33203125" style="1" customWidth="1"/>
    <col min="15374" max="15374" width="24.6640625" style="1" customWidth="1"/>
    <col min="15375" max="15375" width="7.6640625" style="1" customWidth="1"/>
    <col min="15376" max="15378" width="9.109375" style="1"/>
    <col min="15379" max="15379" width="10.33203125" style="1" customWidth="1"/>
    <col min="15380" max="15383" width="16.33203125" style="1" customWidth="1"/>
    <col min="15384" max="15619" width="9.109375" style="1"/>
    <col min="15620" max="15620" width="27.5546875" style="1" customWidth="1"/>
    <col min="15621" max="15621" width="6.109375" style="1" customWidth="1"/>
    <col min="15622" max="15622" width="7.6640625" style="1" customWidth="1"/>
    <col min="15623" max="15623" width="9.44140625" style="1" customWidth="1"/>
    <col min="15624" max="15624" width="9.109375" style="1"/>
    <col min="15625" max="15625" width="8.88671875" style="1" customWidth="1"/>
    <col min="15626" max="15629" width="16.33203125" style="1" customWidth="1"/>
    <col min="15630" max="15630" width="24.6640625" style="1" customWidth="1"/>
    <col min="15631" max="15631" width="7.6640625" style="1" customWidth="1"/>
    <col min="15632" max="15634" width="9.109375" style="1"/>
    <col min="15635" max="15635" width="10.33203125" style="1" customWidth="1"/>
    <col min="15636" max="15639" width="16.33203125" style="1" customWidth="1"/>
    <col min="15640" max="15875" width="9.109375" style="1"/>
    <col min="15876" max="15876" width="27.5546875" style="1" customWidth="1"/>
    <col min="15877" max="15877" width="6.109375" style="1" customWidth="1"/>
    <col min="15878" max="15878" width="7.6640625" style="1" customWidth="1"/>
    <col min="15879" max="15879" width="9.44140625" style="1" customWidth="1"/>
    <col min="15880" max="15880" width="9.109375" style="1"/>
    <col min="15881" max="15881" width="8.88671875" style="1" customWidth="1"/>
    <col min="15882" max="15885" width="16.33203125" style="1" customWidth="1"/>
    <col min="15886" max="15886" width="24.6640625" style="1" customWidth="1"/>
    <col min="15887" max="15887" width="7.6640625" style="1" customWidth="1"/>
    <col min="15888" max="15890" width="9.109375" style="1"/>
    <col min="15891" max="15891" width="10.33203125" style="1" customWidth="1"/>
    <col min="15892" max="15895" width="16.33203125" style="1" customWidth="1"/>
    <col min="15896" max="16131" width="9.109375" style="1"/>
    <col min="16132" max="16132" width="27.5546875" style="1" customWidth="1"/>
    <col min="16133" max="16133" width="6.109375" style="1" customWidth="1"/>
    <col min="16134" max="16134" width="7.6640625" style="1" customWidth="1"/>
    <col min="16135" max="16135" width="9.44140625" style="1" customWidth="1"/>
    <col min="16136" max="16136" width="9.109375" style="1"/>
    <col min="16137" max="16137" width="8.88671875" style="1" customWidth="1"/>
    <col min="16138" max="16141" width="16.33203125" style="1" customWidth="1"/>
    <col min="16142" max="16142" width="24.6640625" style="1" customWidth="1"/>
    <col min="16143" max="16143" width="7.6640625" style="1" customWidth="1"/>
    <col min="16144" max="16146" width="9.109375" style="1"/>
    <col min="16147" max="16147" width="10.33203125" style="1" customWidth="1"/>
    <col min="16148" max="16151" width="16.33203125" style="1" customWidth="1"/>
    <col min="16152" max="16384" width="9.109375" style="1"/>
  </cols>
  <sheetData>
    <row r="1" spans="1:5" ht="17.25" customHeight="1">
      <c r="A1" s="28" t="s">
        <v>106</v>
      </c>
    </row>
    <row r="2" spans="1:5" ht="17.25" customHeight="1"/>
    <row r="3" spans="1:5" ht="17.25" customHeight="1"/>
    <row r="4" spans="1:5" ht="17.25" customHeight="1">
      <c r="A4" s="2" t="s">
        <v>701</v>
      </c>
    </row>
    <row r="5" spans="1:5" ht="17.25" customHeight="1">
      <c r="A5" s="1" t="s">
        <v>708</v>
      </c>
      <c r="B5" s="105" t="s">
        <v>546</v>
      </c>
      <c r="C5" s="105" t="s">
        <v>14</v>
      </c>
      <c r="D5" s="105" t="s">
        <v>13</v>
      </c>
      <c r="E5" s="105" t="s">
        <v>12</v>
      </c>
    </row>
    <row r="6" spans="1:5" ht="17.25" customHeight="1">
      <c r="A6" s="1" t="s">
        <v>52</v>
      </c>
      <c r="B6" s="1">
        <v>2.0000000000000001E-4</v>
      </c>
      <c r="C6" s="1">
        <v>3.5E-4</v>
      </c>
      <c r="D6" s="1">
        <v>5.0000000000000001E-4</v>
      </c>
      <c r="E6" s="1">
        <v>6.9999999999999999E-4</v>
      </c>
    </row>
    <row r="7" spans="1:5" ht="17.25" customHeight="1">
      <c r="A7" s="1" t="s">
        <v>46</v>
      </c>
      <c r="B7" s="1">
        <v>2.0000000000000001E-4</v>
      </c>
      <c r="C7" s="1">
        <v>3.5E-4</v>
      </c>
      <c r="D7" s="1">
        <v>5.0000000000000001E-4</v>
      </c>
      <c r="E7" s="1">
        <v>6.9999999999999999E-4</v>
      </c>
    </row>
    <row r="8" spans="1:5" ht="17.25" customHeight="1">
      <c r="A8" s="1" t="s">
        <v>76</v>
      </c>
      <c r="B8" s="1">
        <v>2.0000000000000001E-4</v>
      </c>
      <c r="C8" s="1">
        <v>3.5E-4</v>
      </c>
      <c r="D8" s="1">
        <v>5.0000000000000001E-4</v>
      </c>
      <c r="E8" s="1">
        <v>6.9999999999999999E-4</v>
      </c>
    </row>
    <row r="9" spans="1:5" ht="17.25" customHeight="1">
      <c r="A9" s="1" t="s">
        <v>78</v>
      </c>
      <c r="B9" s="1">
        <v>2.9999999999999997E-4</v>
      </c>
      <c r="C9" s="1">
        <v>4.4999999999999999E-4</v>
      </c>
      <c r="D9" s="1">
        <v>7.5000000000000002E-4</v>
      </c>
      <c r="E9" s="1">
        <v>8.0000000000000004E-4</v>
      </c>
    </row>
    <row r="10" spans="1:5" ht="17.25" customHeight="1">
      <c r="A10" s="1" t="s">
        <v>63</v>
      </c>
      <c r="B10" s="1">
        <v>2.0000000000000001E-4</v>
      </c>
      <c r="C10" s="1">
        <v>3.5E-4</v>
      </c>
      <c r="D10" s="1">
        <v>5.0000000000000001E-4</v>
      </c>
      <c r="E10" s="1">
        <v>6.9999999999999999E-4</v>
      </c>
    </row>
    <row r="11" spans="1:5" ht="17.25" customHeight="1">
      <c r="A11" s="1" t="s">
        <v>61</v>
      </c>
      <c r="B11" s="1">
        <v>2.0000000000000001E-4</v>
      </c>
      <c r="C11" s="1">
        <v>3.5E-4</v>
      </c>
      <c r="D11" s="1">
        <v>5.0000000000000001E-4</v>
      </c>
      <c r="E11" s="1">
        <v>6.9999999999999999E-4</v>
      </c>
    </row>
    <row r="12" spans="1:5" ht="17.25" customHeight="1">
      <c r="A12" s="1" t="s">
        <v>65</v>
      </c>
      <c r="B12" s="1">
        <v>2.0000000000000001E-4</v>
      </c>
      <c r="C12" s="1">
        <v>3.5E-4</v>
      </c>
      <c r="D12" s="1">
        <v>5.0000000000000001E-4</v>
      </c>
      <c r="E12" s="1">
        <v>6.9999999999999999E-4</v>
      </c>
    </row>
    <row r="13" spans="1:5" ht="17.25" customHeight="1">
      <c r="A13" s="1" t="s">
        <v>36</v>
      </c>
      <c r="B13" s="1">
        <v>2.0000000000000001E-4</v>
      </c>
      <c r="C13" s="1">
        <v>3.5E-4</v>
      </c>
      <c r="D13" s="1">
        <v>5.0000000000000001E-4</v>
      </c>
      <c r="E13" s="1">
        <v>6.9999999999999999E-4</v>
      </c>
    </row>
    <row r="14" spans="1:5" ht="17.25" customHeight="1">
      <c r="A14" s="1" t="s">
        <v>3</v>
      </c>
      <c r="B14" s="1">
        <v>2.9999999999999997E-4</v>
      </c>
      <c r="C14" s="1">
        <v>4.4999999999999999E-4</v>
      </c>
      <c r="D14" s="1">
        <v>7.5000000000000002E-4</v>
      </c>
      <c r="E14" s="1">
        <v>8.0000000000000004E-4</v>
      </c>
    </row>
    <row r="15" spans="1:5" ht="17.25" customHeight="1">
      <c r="A15" s="1" t="s">
        <v>706</v>
      </c>
      <c r="B15" s="1">
        <v>2.9999999999999997E-4</v>
      </c>
      <c r="C15" s="1">
        <v>4.4999999999999999E-4</v>
      </c>
      <c r="D15" s="1">
        <v>7.5000000000000002E-4</v>
      </c>
      <c r="E15" s="1">
        <v>8.0000000000000004E-4</v>
      </c>
    </row>
    <row r="16" spans="1:5" ht="17.25" customHeight="1">
      <c r="A16" s="1" t="s">
        <v>42</v>
      </c>
      <c r="B16" s="1">
        <v>2.0000000000000001E-4</v>
      </c>
      <c r="C16" s="1">
        <v>3.5E-4</v>
      </c>
      <c r="D16" s="1">
        <v>5.0000000000000001E-4</v>
      </c>
      <c r="E16" s="1">
        <v>6.9999999999999999E-4</v>
      </c>
    </row>
    <row r="17" spans="1:5" ht="17.25" customHeight="1">
      <c r="A17" s="1" t="s">
        <v>704</v>
      </c>
      <c r="B17" s="1">
        <v>2.0000000000000001E-4</v>
      </c>
      <c r="C17" s="1">
        <v>3.5E-4</v>
      </c>
      <c r="D17" s="1">
        <v>5.0000000000000001E-4</v>
      </c>
      <c r="E17" s="1">
        <v>6.9999999999999999E-4</v>
      </c>
    </row>
    <row r="18" spans="1:5" ht="17.25" customHeight="1">
      <c r="A18" s="1" t="s">
        <v>702</v>
      </c>
      <c r="B18" s="1">
        <v>2.0000000000000001E-4</v>
      </c>
      <c r="C18" s="1">
        <v>3.5E-4</v>
      </c>
      <c r="D18" s="1">
        <v>5.0000000000000001E-4</v>
      </c>
      <c r="E18" s="1">
        <v>6.9999999999999999E-4</v>
      </c>
    </row>
    <row r="19" spans="1:5" ht="17.25" customHeight="1">
      <c r="A19" s="1" t="s">
        <v>57</v>
      </c>
      <c r="B19" s="1">
        <v>2.0000000000000001E-4</v>
      </c>
      <c r="C19" s="1">
        <v>3.5E-4</v>
      </c>
      <c r="D19" s="1">
        <v>5.0000000000000001E-4</v>
      </c>
      <c r="E19" s="1">
        <v>6.9999999999999999E-4</v>
      </c>
    </row>
    <row r="20" spans="1:5" ht="17.25" customHeight="1">
      <c r="A20" s="1" t="s">
        <v>80</v>
      </c>
      <c r="B20" s="1">
        <v>2.0000000000000001E-4</v>
      </c>
      <c r="C20" s="1">
        <v>3.5E-4</v>
      </c>
      <c r="D20" s="1">
        <v>5.0000000000000001E-4</v>
      </c>
      <c r="E20" s="1">
        <v>6.9999999999999999E-4</v>
      </c>
    </row>
    <row r="21" spans="1:5" ht="17.25" customHeight="1">
      <c r="A21" s="1" t="s">
        <v>34</v>
      </c>
      <c r="B21" s="1">
        <v>2.0000000000000001E-4</v>
      </c>
      <c r="C21" s="1">
        <v>3.5E-4</v>
      </c>
      <c r="D21" s="1">
        <v>5.0000000000000001E-4</v>
      </c>
      <c r="E21" s="1">
        <v>6.9999999999999999E-4</v>
      </c>
    </row>
    <row r="22" spans="1:5" ht="17.25" customHeight="1">
      <c r="A22" s="1" t="s">
        <v>32</v>
      </c>
      <c r="B22" s="1">
        <v>2.0000000000000001E-4</v>
      </c>
      <c r="C22" s="1">
        <v>3.5E-4</v>
      </c>
      <c r="D22" s="1">
        <v>5.0000000000000001E-4</v>
      </c>
      <c r="E22" s="1">
        <v>6.9999999999999999E-4</v>
      </c>
    </row>
    <row r="23" spans="1:5" ht="17.25" customHeight="1">
      <c r="A23" s="1" t="s">
        <v>75</v>
      </c>
      <c r="B23" s="1">
        <v>2.0000000000000001E-4</v>
      </c>
      <c r="C23" s="1">
        <v>3.5E-4</v>
      </c>
      <c r="D23" s="1">
        <v>5.0000000000000001E-4</v>
      </c>
      <c r="E23" s="1">
        <v>6.9999999999999999E-4</v>
      </c>
    </row>
    <row r="24" spans="1:5" ht="17.25" customHeight="1">
      <c r="A24" s="1" t="s">
        <v>73</v>
      </c>
      <c r="B24" s="1">
        <v>2.0000000000000001E-4</v>
      </c>
      <c r="C24" s="1">
        <v>3.5E-4</v>
      </c>
      <c r="D24" s="1">
        <v>5.0000000000000001E-4</v>
      </c>
      <c r="E24" s="1">
        <v>6.9999999999999999E-4</v>
      </c>
    </row>
    <row r="25" spans="1:5" ht="17.25" customHeight="1">
      <c r="A25" s="1" t="s">
        <v>30</v>
      </c>
      <c r="B25" s="1">
        <v>2.0000000000000001E-4</v>
      </c>
      <c r="C25" s="1">
        <v>3.5E-4</v>
      </c>
      <c r="D25" s="1">
        <v>5.0000000000000001E-4</v>
      </c>
      <c r="E25" s="1">
        <v>6.9999999999999999E-4</v>
      </c>
    </row>
    <row r="26" spans="1:5" ht="17.25" customHeight="1">
      <c r="A26" s="1" t="s">
        <v>703</v>
      </c>
      <c r="B26" s="1">
        <v>2.0000000000000001E-4</v>
      </c>
      <c r="C26" s="1">
        <v>3.5E-4</v>
      </c>
      <c r="D26" s="1">
        <v>5.0000000000000001E-4</v>
      </c>
      <c r="E26" s="1">
        <v>6.9999999999999999E-4</v>
      </c>
    </row>
    <row r="27" spans="1:5" ht="17.25" customHeight="1">
      <c r="A27" s="1" t="s">
        <v>22</v>
      </c>
      <c r="B27" s="1">
        <v>2.0000000000000001E-4</v>
      </c>
      <c r="C27" s="1">
        <v>3.5E-4</v>
      </c>
      <c r="D27" s="1">
        <v>5.0000000000000001E-4</v>
      </c>
      <c r="E27" s="1">
        <v>6.9999999999999999E-4</v>
      </c>
    </row>
    <row r="28" spans="1:5" ht="17.25" customHeight="1">
      <c r="A28" s="1" t="s">
        <v>705</v>
      </c>
      <c r="B28" s="1">
        <v>2.0000000000000001E-4</v>
      </c>
      <c r="C28" s="1">
        <v>3.5E-4</v>
      </c>
      <c r="D28" s="1">
        <v>5.0000000000000001E-4</v>
      </c>
      <c r="E28" s="1">
        <v>6.9999999999999999E-4</v>
      </c>
    </row>
    <row r="29" spans="1:5" ht="17.25" customHeight="1">
      <c r="A29" s="1" t="s">
        <v>707</v>
      </c>
      <c r="B29" s="1">
        <v>2.9999999999999997E-4</v>
      </c>
      <c r="C29" s="1">
        <v>4.4999999999999999E-4</v>
      </c>
      <c r="D29" s="1">
        <v>7.5000000000000002E-4</v>
      </c>
      <c r="E29" s="1">
        <v>8.0000000000000004E-4</v>
      </c>
    </row>
    <row r="30" spans="1:5" ht="17.25" customHeight="1">
      <c r="A30" s="1" t="s">
        <v>40</v>
      </c>
      <c r="B30" s="1">
        <v>2.9999999999999997E-4</v>
      </c>
      <c r="C30" s="1">
        <v>4.4999999999999999E-4</v>
      </c>
      <c r="D30" s="1">
        <v>7.5000000000000002E-4</v>
      </c>
      <c r="E30" s="1">
        <v>8.0000000000000004E-4</v>
      </c>
    </row>
    <row r="31" spans="1:5" ht="17.25" customHeight="1"/>
    <row r="32" spans="1:5" ht="17.25" customHeight="1"/>
    <row r="33" spans="1:14" ht="17.25" customHeight="1"/>
    <row r="34" spans="1:14">
      <c r="A34" s="2" t="s">
        <v>4</v>
      </c>
      <c r="G34" s="3" t="s">
        <v>5</v>
      </c>
      <c r="H34" s="3"/>
      <c r="I34" s="3"/>
      <c r="J34" s="3"/>
      <c r="K34" s="3"/>
      <c r="L34" s="3"/>
      <c r="M34" s="3"/>
    </row>
    <row r="35" spans="1:14" ht="27.75" customHeight="1">
      <c r="A35" s="4" t="s">
        <v>6</v>
      </c>
      <c r="B35" s="1" t="s">
        <v>7</v>
      </c>
      <c r="C35" s="5" t="s">
        <v>8</v>
      </c>
      <c r="D35" s="5" t="s">
        <v>9</v>
      </c>
      <c r="E35" s="5" t="s">
        <v>10</v>
      </c>
      <c r="F35" s="5" t="s">
        <v>11</v>
      </c>
      <c r="G35" s="6" t="s">
        <v>12</v>
      </c>
      <c r="H35" s="6"/>
      <c r="I35" s="6" t="s">
        <v>13</v>
      </c>
      <c r="J35" s="6"/>
      <c r="K35" s="6" t="s">
        <v>14</v>
      </c>
      <c r="L35" s="6"/>
      <c r="M35" s="6" t="s">
        <v>15</v>
      </c>
    </row>
    <row r="36" spans="1:14" ht="18.75" customHeight="1">
      <c r="A36" s="4"/>
      <c r="C36" s="5"/>
      <c r="D36" s="5"/>
      <c r="E36" s="5"/>
      <c r="F36" s="5"/>
      <c r="G36" s="5" t="s">
        <v>700</v>
      </c>
      <c r="H36" s="1" t="s">
        <v>699</v>
      </c>
      <c r="I36" s="5" t="s">
        <v>700</v>
      </c>
      <c r="J36" s="1" t="s">
        <v>699</v>
      </c>
      <c r="K36" s="5" t="s">
        <v>700</v>
      </c>
      <c r="L36" s="1" t="s">
        <v>699</v>
      </c>
      <c r="M36" s="5" t="s">
        <v>700</v>
      </c>
      <c r="N36" s="1" t="s">
        <v>699</v>
      </c>
    </row>
    <row r="37" spans="1:14">
      <c r="A37" s="4" t="s">
        <v>3</v>
      </c>
      <c r="B37" s="4" t="s">
        <v>17</v>
      </c>
      <c r="C37" s="5">
        <v>3</v>
      </c>
      <c r="D37" s="5">
        <v>435</v>
      </c>
      <c r="E37" s="7">
        <f t="shared" ref="E37:E49" si="0">C37*D37</f>
        <v>1305</v>
      </c>
      <c r="F37" s="8">
        <f t="shared" ref="F37:F50" si="1">E37/E$50</f>
        <v>3.6868051926037891E-2</v>
      </c>
      <c r="G37" s="9">
        <v>1.5</v>
      </c>
      <c r="H37" s="9">
        <v>0.8</v>
      </c>
      <c r="I37" s="9">
        <v>1</v>
      </c>
      <c r="J37" s="9">
        <v>0.75</v>
      </c>
      <c r="K37" s="9">
        <v>0.66</v>
      </c>
      <c r="L37" s="9">
        <v>0.45</v>
      </c>
      <c r="M37" s="9">
        <v>0.4</v>
      </c>
      <c r="N37" s="1">
        <v>0.3</v>
      </c>
    </row>
    <row r="38" spans="1:14">
      <c r="A38" s="4" t="s">
        <v>22</v>
      </c>
      <c r="B38" s="4" t="s">
        <v>23</v>
      </c>
      <c r="C38" s="1">
        <v>3</v>
      </c>
      <c r="D38" s="1">
        <v>292.2</v>
      </c>
      <c r="E38" s="7">
        <f t="shared" si="0"/>
        <v>876.59999999999991</v>
      </c>
      <c r="F38" s="8">
        <f t="shared" si="1"/>
        <v>2.4765160397214415E-2</v>
      </c>
      <c r="G38" s="9">
        <v>1</v>
      </c>
      <c r="H38" s="9">
        <v>0.7</v>
      </c>
      <c r="I38" s="9">
        <v>0.6</v>
      </c>
      <c r="J38" s="9">
        <v>0.5</v>
      </c>
      <c r="K38" s="9">
        <v>0.44</v>
      </c>
      <c r="L38" s="9">
        <v>0.35</v>
      </c>
      <c r="M38" s="9">
        <v>0.27</v>
      </c>
      <c r="N38" s="1">
        <v>0.2</v>
      </c>
    </row>
    <row r="39" spans="1:14">
      <c r="A39" s="4" t="s">
        <v>28</v>
      </c>
      <c r="B39" s="4" t="s">
        <v>29</v>
      </c>
      <c r="C39" s="1">
        <v>30</v>
      </c>
      <c r="D39" s="1">
        <v>382.4</v>
      </c>
      <c r="E39" s="7">
        <f t="shared" si="0"/>
        <v>11472</v>
      </c>
      <c r="F39" s="8">
        <f t="shared" si="1"/>
        <v>0.32409984037969863</v>
      </c>
      <c r="G39" s="9">
        <v>1.5</v>
      </c>
      <c r="H39" s="9">
        <v>0.8</v>
      </c>
      <c r="I39" s="9">
        <v>1</v>
      </c>
      <c r="J39" s="9">
        <v>0.75</v>
      </c>
      <c r="K39" s="9">
        <v>0.66</v>
      </c>
      <c r="L39" s="9">
        <v>0.45</v>
      </c>
      <c r="M39" s="9">
        <v>0.4</v>
      </c>
      <c r="N39" s="1">
        <v>0.3</v>
      </c>
    </row>
    <row r="40" spans="1:14">
      <c r="A40" s="4" t="s">
        <v>30</v>
      </c>
      <c r="B40" s="4" t="s">
        <v>31</v>
      </c>
      <c r="C40" s="1">
        <v>15</v>
      </c>
      <c r="D40" s="1">
        <v>133.80000000000001</v>
      </c>
      <c r="E40" s="7">
        <f t="shared" si="0"/>
        <v>2007.0000000000002</v>
      </c>
      <c r="F40" s="8">
        <f t="shared" si="1"/>
        <v>5.6700521237975525E-2</v>
      </c>
      <c r="G40" s="9">
        <v>1</v>
      </c>
      <c r="H40" s="9">
        <v>0.7</v>
      </c>
      <c r="I40" s="9">
        <v>0.6</v>
      </c>
      <c r="J40" s="9">
        <v>0.5</v>
      </c>
      <c r="K40" s="9">
        <v>0.44</v>
      </c>
      <c r="L40" s="9">
        <v>0.35</v>
      </c>
      <c r="M40" s="9">
        <v>0.27</v>
      </c>
      <c r="N40" s="1">
        <v>0.2</v>
      </c>
    </row>
    <row r="41" spans="1:14">
      <c r="A41" s="4" t="s">
        <v>32</v>
      </c>
      <c r="B41" s="4" t="s">
        <v>33</v>
      </c>
      <c r="C41" s="1">
        <v>10</v>
      </c>
      <c r="D41" s="1">
        <v>300.60000000000002</v>
      </c>
      <c r="E41" s="7">
        <f t="shared" si="0"/>
        <v>3006</v>
      </c>
      <c r="F41" s="8">
        <f t="shared" si="1"/>
        <v>8.4923650643425219E-2</v>
      </c>
      <c r="G41" s="9">
        <v>1</v>
      </c>
      <c r="H41" s="9">
        <v>0.7</v>
      </c>
      <c r="I41" s="9">
        <v>0.6</v>
      </c>
      <c r="J41" s="9">
        <v>0.5</v>
      </c>
      <c r="K41" s="9">
        <v>0.44</v>
      </c>
      <c r="L41" s="9">
        <v>0.35</v>
      </c>
      <c r="M41" s="9">
        <v>0.27</v>
      </c>
      <c r="N41" s="1">
        <v>0.2</v>
      </c>
    </row>
    <row r="42" spans="1:14">
      <c r="A42" s="4" t="s">
        <v>34</v>
      </c>
      <c r="B42" s="4" t="s">
        <v>35</v>
      </c>
      <c r="C42" s="1">
        <v>11</v>
      </c>
      <c r="D42" s="1">
        <v>323.8</v>
      </c>
      <c r="E42" s="7">
        <f t="shared" si="0"/>
        <v>3561.8</v>
      </c>
      <c r="F42" s="8">
        <f t="shared" si="1"/>
        <v>0.10062576808441515</v>
      </c>
      <c r="G42" s="9">
        <v>1</v>
      </c>
      <c r="H42" s="9">
        <v>0.7</v>
      </c>
      <c r="I42" s="9">
        <v>0.6</v>
      </c>
      <c r="J42" s="9">
        <v>0.5</v>
      </c>
      <c r="K42" s="9">
        <v>0.44</v>
      </c>
      <c r="L42" s="9">
        <v>0.35</v>
      </c>
      <c r="M42" s="9">
        <v>0.27</v>
      </c>
      <c r="N42" s="1">
        <v>0.2</v>
      </c>
    </row>
    <row r="43" spans="1:14">
      <c r="A43" s="4" t="s">
        <v>36</v>
      </c>
      <c r="B43" s="4" t="s">
        <v>37</v>
      </c>
      <c r="C43" s="1">
        <v>2</v>
      </c>
      <c r="D43" s="1">
        <v>290.8</v>
      </c>
      <c r="E43" s="7">
        <f t="shared" si="0"/>
        <v>581.6</v>
      </c>
      <c r="F43" s="8">
        <f t="shared" si="1"/>
        <v>1.643100306527482E-2</v>
      </c>
      <c r="G43" s="9">
        <v>1</v>
      </c>
      <c r="H43" s="9">
        <v>0.7</v>
      </c>
      <c r="I43" s="9">
        <v>0.6</v>
      </c>
      <c r="J43" s="9">
        <v>0.5</v>
      </c>
      <c r="K43" s="9">
        <v>0.44</v>
      </c>
      <c r="L43" s="9">
        <v>0.35</v>
      </c>
      <c r="M43" s="9">
        <v>0.27</v>
      </c>
      <c r="N43" s="1">
        <v>0.2</v>
      </c>
    </row>
    <row r="44" spans="1:14">
      <c r="A44" s="4" t="s">
        <v>38</v>
      </c>
      <c r="B44" s="4" t="s">
        <v>39</v>
      </c>
      <c r="C44" s="10">
        <v>16</v>
      </c>
      <c r="D44" s="11">
        <v>310</v>
      </c>
      <c r="E44" s="7">
        <f t="shared" si="0"/>
        <v>4960</v>
      </c>
      <c r="F44" s="8">
        <f t="shared" si="1"/>
        <v>0.14012684869973022</v>
      </c>
      <c r="G44" s="9">
        <v>1</v>
      </c>
      <c r="H44" s="9">
        <v>0.7</v>
      </c>
      <c r="I44" s="9">
        <v>0.6</v>
      </c>
      <c r="J44" s="9">
        <v>0.5</v>
      </c>
      <c r="K44" s="9">
        <v>0.44</v>
      </c>
      <c r="L44" s="9">
        <v>0.35</v>
      </c>
      <c r="M44" s="9">
        <v>0.27</v>
      </c>
      <c r="N44" s="1">
        <v>0.2</v>
      </c>
    </row>
    <row r="45" spans="1:14">
      <c r="A45" s="4" t="s">
        <v>40</v>
      </c>
      <c r="B45" s="4" t="s">
        <v>41</v>
      </c>
      <c r="C45" s="10">
        <v>6</v>
      </c>
      <c r="D45" s="11">
        <v>240.1</v>
      </c>
      <c r="E45" s="7">
        <f t="shared" si="0"/>
        <v>1440.6</v>
      </c>
      <c r="F45" s="8">
        <f t="shared" si="1"/>
        <v>4.0698939160651482E-2</v>
      </c>
      <c r="G45" s="9">
        <v>1.5</v>
      </c>
      <c r="H45" s="9">
        <v>0.8</v>
      </c>
      <c r="I45" s="9">
        <v>1</v>
      </c>
      <c r="J45" s="9">
        <v>0.75</v>
      </c>
      <c r="K45" s="9">
        <v>0.66</v>
      </c>
      <c r="L45" s="9">
        <v>0.45</v>
      </c>
      <c r="M45" s="9">
        <v>0.4</v>
      </c>
      <c r="N45" s="1">
        <v>0.3</v>
      </c>
    </row>
    <row r="46" spans="1:14">
      <c r="A46" s="4" t="s">
        <v>42</v>
      </c>
      <c r="B46" s="4" t="s">
        <v>43</v>
      </c>
      <c r="C46" s="10">
        <v>1</v>
      </c>
      <c r="D46" s="11">
        <v>278.7</v>
      </c>
      <c r="E46" s="7">
        <f t="shared" si="0"/>
        <v>278.7</v>
      </c>
      <c r="F46" s="8">
        <f t="shared" si="1"/>
        <v>7.8736598251239534E-3</v>
      </c>
      <c r="G46" s="9">
        <v>1</v>
      </c>
      <c r="H46" s="9">
        <v>0.7</v>
      </c>
      <c r="I46" s="9">
        <v>0.6</v>
      </c>
      <c r="J46" s="9">
        <v>0.5</v>
      </c>
      <c r="K46" s="9">
        <v>0.44</v>
      </c>
      <c r="L46" s="9">
        <v>0.35</v>
      </c>
      <c r="M46" s="9">
        <v>0.27</v>
      </c>
      <c r="N46" s="1">
        <v>0.2</v>
      </c>
    </row>
    <row r="47" spans="1:14">
      <c r="A47" s="4" t="s">
        <v>44</v>
      </c>
      <c r="B47" s="4" t="s">
        <v>45</v>
      </c>
      <c r="C47" s="10">
        <v>1</v>
      </c>
      <c r="D47" s="11">
        <v>407</v>
      </c>
      <c r="E47" s="7">
        <f t="shared" si="0"/>
        <v>407</v>
      </c>
      <c r="F47" s="8">
        <f t="shared" si="1"/>
        <v>1.1498311979998024E-2</v>
      </c>
      <c r="G47" s="9">
        <v>1</v>
      </c>
      <c r="H47" s="9">
        <v>0.7</v>
      </c>
      <c r="I47" s="9">
        <v>0.6</v>
      </c>
      <c r="J47" s="9">
        <v>0.5</v>
      </c>
      <c r="K47" s="9">
        <v>0.44</v>
      </c>
      <c r="L47" s="9">
        <v>0.35</v>
      </c>
      <c r="M47" s="9">
        <v>0.27</v>
      </c>
      <c r="N47" s="1">
        <v>0.2</v>
      </c>
    </row>
    <row r="48" spans="1:14">
      <c r="A48" s="4" t="s">
        <v>46</v>
      </c>
      <c r="B48" s="4" t="s">
        <v>47</v>
      </c>
      <c r="C48" s="10">
        <v>6</v>
      </c>
      <c r="D48" s="11">
        <v>260.60000000000002</v>
      </c>
      <c r="E48" s="7">
        <f t="shared" si="0"/>
        <v>1563.6000000000001</v>
      </c>
      <c r="F48" s="8">
        <f t="shared" si="1"/>
        <v>4.4173858997358512E-2</v>
      </c>
      <c r="G48" s="9">
        <v>1</v>
      </c>
      <c r="H48" s="9">
        <v>0.7</v>
      </c>
      <c r="I48" s="9">
        <v>0.6</v>
      </c>
      <c r="J48" s="9">
        <v>0.5</v>
      </c>
      <c r="K48" s="9">
        <v>0.44</v>
      </c>
      <c r="L48" s="9">
        <v>0.35</v>
      </c>
      <c r="M48" s="9">
        <v>0.27</v>
      </c>
      <c r="N48" s="1">
        <v>0.2</v>
      </c>
    </row>
    <row r="49" spans="1:19" ht="25.5" customHeight="1">
      <c r="A49" s="4" t="s">
        <v>48</v>
      </c>
      <c r="B49" s="1">
        <v>15</v>
      </c>
      <c r="C49" s="12">
        <v>162</v>
      </c>
      <c r="D49" s="11">
        <v>24.3</v>
      </c>
      <c r="E49" s="7">
        <f t="shared" si="0"/>
        <v>3936.6</v>
      </c>
      <c r="F49" s="8">
        <f t="shared" si="1"/>
        <v>0.11121438560309638</v>
      </c>
      <c r="G49" s="9" t="s">
        <v>24</v>
      </c>
      <c r="H49" s="9">
        <v>0.7</v>
      </c>
      <c r="I49" s="9">
        <v>0.6</v>
      </c>
      <c r="J49" s="9">
        <v>0.5</v>
      </c>
      <c r="K49" s="9" t="s">
        <v>26</v>
      </c>
      <c r="L49" s="9">
        <v>0.35</v>
      </c>
      <c r="M49" s="9">
        <v>0.27</v>
      </c>
      <c r="N49" s="1">
        <v>0.2</v>
      </c>
    </row>
    <row r="50" spans="1:19">
      <c r="C50" s="7"/>
      <c r="D50" s="8"/>
      <c r="E50" s="7">
        <f>SUM(E37:E49)</f>
        <v>35396.499999999993</v>
      </c>
      <c r="F50" s="8">
        <f t="shared" si="1"/>
        <v>1</v>
      </c>
      <c r="G50" s="8"/>
      <c r="H50" s="8"/>
      <c r="I50" s="8"/>
      <c r="J50" s="8"/>
      <c r="K50" s="8"/>
      <c r="L50" s="8"/>
    </row>
    <row r="51" spans="1:19">
      <c r="A51" s="211" t="s">
        <v>49</v>
      </c>
      <c r="B51" s="211"/>
      <c r="C51" s="211"/>
      <c r="D51" s="211"/>
      <c r="E51" s="13">
        <f>E50/(E50+E79)</f>
        <v>0.10503080852284068</v>
      </c>
      <c r="F51" s="8"/>
      <c r="G51" s="8"/>
      <c r="H51" s="8"/>
      <c r="I51" s="8"/>
      <c r="J51" s="8"/>
      <c r="K51" s="8"/>
      <c r="L51" s="8"/>
    </row>
    <row r="52" spans="1:19">
      <c r="C52" s="7"/>
      <c r="D52" s="8"/>
    </row>
    <row r="53" spans="1:19">
      <c r="C53" s="7">
        <f>SUM(C37:C48)</f>
        <v>104</v>
      </c>
      <c r="D53" s="8"/>
      <c r="E53" s="7">
        <f>SUM(E37:E48)</f>
        <v>31459.899999999994</v>
      </c>
    </row>
    <row r="54" spans="1:19">
      <c r="C54" s="7"/>
      <c r="D54" s="8"/>
      <c r="E54" s="7"/>
    </row>
    <row r="55" spans="1:19">
      <c r="C55" s="7"/>
      <c r="D55" s="8"/>
    </row>
    <row r="56" spans="1:19">
      <c r="A56" s="2" t="s">
        <v>50</v>
      </c>
      <c r="G56" s="3" t="s">
        <v>5</v>
      </c>
      <c r="H56" s="3"/>
      <c r="I56" s="3"/>
      <c r="J56" s="3"/>
      <c r="K56" s="3"/>
      <c r="L56" s="3"/>
      <c r="M56" s="3"/>
    </row>
    <row r="57" spans="1:19" ht="40.200000000000003">
      <c r="A57" s="4" t="s">
        <v>6</v>
      </c>
      <c r="B57" s="1" t="s">
        <v>7</v>
      </c>
      <c r="C57" s="5" t="s">
        <v>8</v>
      </c>
      <c r="D57" s="5" t="s">
        <v>9</v>
      </c>
      <c r="E57" s="5" t="s">
        <v>10</v>
      </c>
      <c r="F57" s="5" t="s">
        <v>11</v>
      </c>
      <c r="G57" s="6" t="s">
        <v>12</v>
      </c>
      <c r="H57" s="6"/>
      <c r="I57" s="6" t="s">
        <v>13</v>
      </c>
      <c r="J57" s="6"/>
      <c r="K57" s="6" t="s">
        <v>14</v>
      </c>
      <c r="L57" s="6"/>
      <c r="M57" s="6" t="s">
        <v>15</v>
      </c>
    </row>
    <row r="58" spans="1:19">
      <c r="A58" s="4"/>
      <c r="C58" s="5"/>
      <c r="D58" s="5"/>
      <c r="E58" s="5"/>
      <c r="F58" s="5"/>
      <c r="G58" s="5" t="s">
        <v>16</v>
      </c>
      <c r="H58" s="5"/>
      <c r="I58" s="5" t="s">
        <v>16</v>
      </c>
      <c r="J58" s="5"/>
      <c r="K58" s="5" t="s">
        <v>16</v>
      </c>
      <c r="L58" s="5"/>
      <c r="M58" s="5" t="s">
        <v>16</v>
      </c>
      <c r="R58" s="7"/>
      <c r="S58" s="8"/>
    </row>
    <row r="59" spans="1:19">
      <c r="A59" s="4" t="s">
        <v>3</v>
      </c>
      <c r="B59" s="4" t="s">
        <v>51</v>
      </c>
      <c r="C59" s="5">
        <v>9</v>
      </c>
      <c r="D59" s="14">
        <v>9710.5</v>
      </c>
      <c r="E59" s="7">
        <f t="shared" ref="E59:E78" si="2">C59*D59</f>
        <v>87394.5</v>
      </c>
      <c r="F59" s="8">
        <f t="shared" ref="F59:F79" si="3">E59/E$79</f>
        <v>0.28975597762094307</v>
      </c>
      <c r="G59" s="9" t="s">
        <v>18</v>
      </c>
      <c r="H59" s="9"/>
      <c r="I59" s="9" t="s">
        <v>19</v>
      </c>
      <c r="J59" s="9"/>
      <c r="K59" s="9" t="s">
        <v>20</v>
      </c>
      <c r="L59" s="9"/>
      <c r="M59" s="9" t="s">
        <v>21</v>
      </c>
    </row>
    <row r="60" spans="1:19">
      <c r="A60" s="4" t="s">
        <v>52</v>
      </c>
      <c r="B60" s="4" t="s">
        <v>53</v>
      </c>
      <c r="C60" s="5">
        <v>1</v>
      </c>
      <c r="D60" s="14">
        <v>3086</v>
      </c>
      <c r="E60" s="7">
        <f t="shared" si="2"/>
        <v>3086</v>
      </c>
      <c r="F60" s="8">
        <f t="shared" si="3"/>
        <v>1.0231615798914467E-2</v>
      </c>
      <c r="G60" s="9" t="s">
        <v>24</v>
      </c>
      <c r="H60" s="9"/>
      <c r="I60" s="9" t="s">
        <v>25</v>
      </c>
      <c r="J60" s="9"/>
      <c r="K60" s="9" t="s">
        <v>26</v>
      </c>
      <c r="L60" s="9"/>
      <c r="M60" s="9" t="s">
        <v>27</v>
      </c>
    </row>
    <row r="61" spans="1:19">
      <c r="A61" s="4" t="s">
        <v>22</v>
      </c>
      <c r="B61" s="4" t="s">
        <v>54</v>
      </c>
      <c r="C61" s="1">
        <v>4</v>
      </c>
      <c r="D61" s="11">
        <v>4204.6000000000004</v>
      </c>
      <c r="E61" s="7">
        <f t="shared" si="2"/>
        <v>16818.400000000001</v>
      </c>
      <c r="F61" s="8">
        <f t="shared" si="3"/>
        <v>5.5761311455756024E-2</v>
      </c>
      <c r="G61" s="9" t="s">
        <v>24</v>
      </c>
      <c r="H61" s="9"/>
      <c r="I61" s="9" t="s">
        <v>25</v>
      </c>
      <c r="J61" s="9"/>
      <c r="K61" s="9" t="s">
        <v>26</v>
      </c>
      <c r="L61" s="9"/>
      <c r="M61" s="9" t="s">
        <v>27</v>
      </c>
    </row>
    <row r="62" spans="1:19">
      <c r="A62" s="4" t="s">
        <v>55</v>
      </c>
      <c r="B62" s="4" t="s">
        <v>56</v>
      </c>
      <c r="C62" s="1">
        <v>8</v>
      </c>
      <c r="D62" s="11">
        <v>2202.6</v>
      </c>
      <c r="E62" s="7">
        <f t="shared" si="2"/>
        <v>17620.8</v>
      </c>
      <c r="F62" s="8">
        <f t="shared" si="3"/>
        <v>5.8421664183250822E-2</v>
      </c>
      <c r="G62" s="9" t="s">
        <v>18</v>
      </c>
      <c r="H62" s="9"/>
      <c r="I62" s="9" t="s">
        <v>19</v>
      </c>
      <c r="J62" s="9"/>
      <c r="K62" s="9" t="s">
        <v>20</v>
      </c>
      <c r="L62" s="9"/>
      <c r="M62" s="9" t="s">
        <v>21</v>
      </c>
    </row>
    <row r="63" spans="1:19">
      <c r="A63" s="4" t="s">
        <v>57</v>
      </c>
      <c r="B63" s="4" t="s">
        <v>58</v>
      </c>
      <c r="C63" s="1">
        <v>2</v>
      </c>
      <c r="D63" s="11">
        <v>4497.6000000000004</v>
      </c>
      <c r="E63" s="7">
        <f t="shared" si="2"/>
        <v>8995.2000000000007</v>
      </c>
      <c r="F63" s="8">
        <f t="shared" si="3"/>
        <v>2.9823535461566891E-2</v>
      </c>
      <c r="G63" s="9" t="s">
        <v>24</v>
      </c>
      <c r="H63" s="9"/>
      <c r="I63" s="9" t="s">
        <v>25</v>
      </c>
      <c r="J63" s="9"/>
      <c r="K63" s="9" t="s">
        <v>26</v>
      </c>
      <c r="L63" s="9"/>
      <c r="M63" s="9" t="s">
        <v>27</v>
      </c>
    </row>
    <row r="64" spans="1:19">
      <c r="A64" s="4" t="s">
        <v>59</v>
      </c>
      <c r="B64" s="4" t="s">
        <v>60</v>
      </c>
      <c r="C64" s="1">
        <v>5</v>
      </c>
      <c r="D64" s="11">
        <v>2814.6</v>
      </c>
      <c r="E64" s="7">
        <f t="shared" si="2"/>
        <v>14073</v>
      </c>
      <c r="F64" s="8">
        <f t="shared" si="3"/>
        <v>4.6658953058367883E-2</v>
      </c>
      <c r="G64" s="9" t="s">
        <v>24</v>
      </c>
      <c r="H64" s="9"/>
      <c r="I64" s="9" t="s">
        <v>25</v>
      </c>
      <c r="J64" s="9"/>
      <c r="K64" s="9" t="s">
        <v>26</v>
      </c>
      <c r="L64" s="9"/>
      <c r="M64" s="9" t="s">
        <v>27</v>
      </c>
    </row>
    <row r="65" spans="1:13">
      <c r="A65" s="4" t="s">
        <v>30</v>
      </c>
      <c r="B65" s="4" t="s">
        <v>31</v>
      </c>
      <c r="C65" s="1">
        <v>4</v>
      </c>
      <c r="D65" s="11">
        <v>710</v>
      </c>
      <c r="E65" s="7">
        <f t="shared" si="2"/>
        <v>2840</v>
      </c>
      <c r="F65" s="8">
        <f t="shared" si="3"/>
        <v>9.4160041700962691E-3</v>
      </c>
      <c r="G65" s="9" t="s">
        <v>24</v>
      </c>
      <c r="H65" s="9"/>
      <c r="I65" s="9" t="s">
        <v>25</v>
      </c>
      <c r="J65" s="9"/>
      <c r="K65" s="9" t="s">
        <v>26</v>
      </c>
      <c r="L65" s="9"/>
      <c r="M65" s="9" t="s">
        <v>27</v>
      </c>
    </row>
    <row r="66" spans="1:13">
      <c r="A66" s="4" t="s">
        <v>61</v>
      </c>
      <c r="B66" s="4" t="s">
        <v>62</v>
      </c>
      <c r="C66" s="1">
        <v>2</v>
      </c>
      <c r="D66" s="11">
        <v>3119.1</v>
      </c>
      <c r="E66" s="7">
        <f t="shared" si="2"/>
        <v>6238.2</v>
      </c>
      <c r="F66" s="8">
        <f t="shared" si="3"/>
        <v>2.0682717328836107E-2</v>
      </c>
      <c r="G66" s="9" t="s">
        <v>24</v>
      </c>
      <c r="H66" s="9"/>
      <c r="I66" s="9" t="s">
        <v>25</v>
      </c>
      <c r="J66" s="9"/>
      <c r="K66" s="9" t="s">
        <v>26</v>
      </c>
      <c r="L66" s="9"/>
      <c r="M66" s="9" t="s">
        <v>27</v>
      </c>
    </row>
    <row r="67" spans="1:13">
      <c r="A67" s="4" t="s">
        <v>63</v>
      </c>
      <c r="B67" s="4" t="s">
        <v>64</v>
      </c>
      <c r="C67" s="1">
        <v>1</v>
      </c>
      <c r="D67" s="11">
        <v>3414.4</v>
      </c>
      <c r="E67" s="7">
        <f t="shared" si="2"/>
        <v>3414.4</v>
      </c>
      <c r="F67" s="8">
        <f t="shared" si="3"/>
        <v>1.13204241684425E-2</v>
      </c>
      <c r="G67" s="9" t="s">
        <v>24</v>
      </c>
      <c r="H67" s="9"/>
      <c r="I67" s="9" t="s">
        <v>25</v>
      </c>
      <c r="J67" s="9"/>
      <c r="K67" s="9" t="s">
        <v>26</v>
      </c>
      <c r="L67" s="9"/>
      <c r="M67" s="9" t="s">
        <v>27</v>
      </c>
    </row>
    <row r="68" spans="1:13">
      <c r="A68" s="4" t="s">
        <v>65</v>
      </c>
      <c r="B68" s="4" t="s">
        <v>66</v>
      </c>
      <c r="C68" s="1">
        <v>1</v>
      </c>
      <c r="D68" s="11">
        <v>3042.2</v>
      </c>
      <c r="E68" s="7">
        <f t="shared" si="2"/>
        <v>3042.2</v>
      </c>
      <c r="F68" s="8">
        <f t="shared" si="3"/>
        <v>1.0086397143051713E-2</v>
      </c>
      <c r="G68" s="9" t="s">
        <v>24</v>
      </c>
      <c r="H68" s="9"/>
      <c r="I68" s="9" t="s">
        <v>25</v>
      </c>
      <c r="J68" s="9"/>
      <c r="K68" s="9" t="s">
        <v>26</v>
      </c>
      <c r="L68" s="9"/>
      <c r="M68" s="9" t="s">
        <v>27</v>
      </c>
    </row>
    <row r="69" spans="1:13">
      <c r="A69" s="15" t="s">
        <v>34</v>
      </c>
      <c r="B69" s="15" t="s">
        <v>67</v>
      </c>
      <c r="C69" s="16">
        <v>14</v>
      </c>
      <c r="D69" s="17">
        <v>3549.7</v>
      </c>
      <c r="E69" s="18">
        <f t="shared" si="2"/>
        <v>49695.799999999996</v>
      </c>
      <c r="F69" s="19">
        <f t="shared" si="3"/>
        <v>0.16476614790009511</v>
      </c>
      <c r="G69" s="20" t="s">
        <v>24</v>
      </c>
      <c r="H69" s="20"/>
      <c r="I69" s="21" t="s">
        <v>25</v>
      </c>
      <c r="J69" s="21"/>
      <c r="K69" s="21" t="s">
        <v>26</v>
      </c>
      <c r="L69" s="21"/>
      <c r="M69" s="22" t="s">
        <v>27</v>
      </c>
    </row>
    <row r="70" spans="1:13">
      <c r="A70" s="4" t="s">
        <v>36</v>
      </c>
      <c r="B70" s="4" t="s">
        <v>68</v>
      </c>
      <c r="C70" s="1">
        <v>3</v>
      </c>
      <c r="D70" s="11">
        <v>4701.8999999999996</v>
      </c>
      <c r="E70" s="7">
        <f t="shared" si="2"/>
        <v>14105.699999999999</v>
      </c>
      <c r="F70" s="8">
        <f t="shared" si="3"/>
        <v>4.676736972610103E-2</v>
      </c>
      <c r="G70" s="9" t="s">
        <v>24</v>
      </c>
      <c r="H70" s="9"/>
      <c r="I70" s="9" t="s">
        <v>25</v>
      </c>
      <c r="J70" s="9"/>
      <c r="K70" s="9" t="s">
        <v>26</v>
      </c>
      <c r="L70" s="9"/>
      <c r="M70" s="9" t="s">
        <v>27</v>
      </c>
    </row>
    <row r="71" spans="1:13" ht="26.4">
      <c r="A71" s="23" t="s">
        <v>69</v>
      </c>
      <c r="B71" s="4" t="s">
        <v>70</v>
      </c>
      <c r="C71" s="1">
        <v>2</v>
      </c>
      <c r="D71" s="11">
        <v>808.1</v>
      </c>
      <c r="E71" s="7">
        <f t="shared" si="2"/>
        <v>1616.2</v>
      </c>
      <c r="F71" s="8">
        <f t="shared" si="3"/>
        <v>5.3585020914470385E-3</v>
      </c>
      <c r="G71" s="9" t="s">
        <v>18</v>
      </c>
      <c r="H71" s="9"/>
      <c r="I71" s="9" t="s">
        <v>19</v>
      </c>
      <c r="J71" s="9"/>
      <c r="K71" s="9" t="s">
        <v>20</v>
      </c>
      <c r="L71" s="9"/>
      <c r="M71" s="9" t="s">
        <v>21</v>
      </c>
    </row>
    <row r="72" spans="1:13">
      <c r="A72" s="4" t="s">
        <v>40</v>
      </c>
      <c r="B72" s="4" t="s">
        <v>71</v>
      </c>
      <c r="C72" s="10">
        <v>20</v>
      </c>
      <c r="D72" s="11">
        <v>2696.1</v>
      </c>
      <c r="E72" s="7">
        <f t="shared" si="2"/>
        <v>53922</v>
      </c>
      <c r="F72" s="8">
        <f t="shared" si="3"/>
        <v>0.17877809044363768</v>
      </c>
      <c r="G72" s="9" t="s">
        <v>18</v>
      </c>
      <c r="H72" s="9"/>
      <c r="I72" s="9" t="s">
        <v>19</v>
      </c>
      <c r="J72" s="9"/>
      <c r="K72" s="9" t="s">
        <v>20</v>
      </c>
      <c r="L72" s="9"/>
      <c r="M72" s="9" t="s">
        <v>21</v>
      </c>
    </row>
    <row r="73" spans="1:13">
      <c r="A73" s="4" t="s">
        <v>42</v>
      </c>
      <c r="B73" s="4" t="s">
        <v>72</v>
      </c>
      <c r="C73" s="10">
        <v>1</v>
      </c>
      <c r="D73" s="11">
        <v>3344.5</v>
      </c>
      <c r="E73" s="7">
        <f t="shared" si="2"/>
        <v>3344.5</v>
      </c>
      <c r="F73" s="8">
        <f t="shared" si="3"/>
        <v>1.1088671108058792E-2</v>
      </c>
      <c r="G73" s="9" t="s">
        <v>24</v>
      </c>
      <c r="H73" s="9"/>
      <c r="I73" s="9" t="s">
        <v>25</v>
      </c>
      <c r="J73" s="9"/>
      <c r="K73" s="9" t="s">
        <v>26</v>
      </c>
      <c r="L73" s="9"/>
      <c r="M73" s="9" t="s">
        <v>27</v>
      </c>
    </row>
    <row r="74" spans="1:13">
      <c r="A74" s="4" t="s">
        <v>73</v>
      </c>
      <c r="B74" s="4" t="s">
        <v>74</v>
      </c>
      <c r="C74" s="10">
        <v>2</v>
      </c>
      <c r="D74" s="11">
        <v>1576.9</v>
      </c>
      <c r="E74" s="7">
        <f t="shared" si="2"/>
        <v>3153.8</v>
      </c>
      <c r="F74" s="8">
        <f t="shared" si="3"/>
        <v>1.0456406321003385E-2</v>
      </c>
      <c r="G74" s="9" t="s">
        <v>24</v>
      </c>
      <c r="H74" s="9"/>
      <c r="I74" s="9" t="s">
        <v>25</v>
      </c>
      <c r="J74" s="9"/>
      <c r="K74" s="9" t="s">
        <v>26</v>
      </c>
      <c r="L74" s="9"/>
      <c r="M74" s="9" t="s">
        <v>27</v>
      </c>
    </row>
    <row r="75" spans="1:13">
      <c r="A75" s="4" t="s">
        <v>75</v>
      </c>
      <c r="B75" s="1">
        <v>12</v>
      </c>
      <c r="C75" s="10">
        <v>1</v>
      </c>
      <c r="D75" s="11">
        <v>1169.2</v>
      </c>
      <c r="E75" s="7">
        <f t="shared" si="2"/>
        <v>1169.2</v>
      </c>
      <c r="F75" s="8">
        <f t="shared" si="3"/>
        <v>3.8764760829847035E-3</v>
      </c>
      <c r="G75" s="9" t="s">
        <v>24</v>
      </c>
      <c r="H75" s="9"/>
      <c r="I75" s="9" t="s">
        <v>25</v>
      </c>
      <c r="J75" s="9"/>
      <c r="K75" s="9" t="s">
        <v>26</v>
      </c>
      <c r="L75" s="9"/>
      <c r="M75" s="9" t="s">
        <v>27</v>
      </c>
    </row>
    <row r="76" spans="1:13">
      <c r="A76" s="4" t="s">
        <v>76</v>
      </c>
      <c r="B76" s="4" t="s">
        <v>77</v>
      </c>
      <c r="C76" s="10">
        <v>1</v>
      </c>
      <c r="D76" s="11">
        <v>1294</v>
      </c>
      <c r="E76" s="7">
        <f t="shared" si="2"/>
        <v>1294</v>
      </c>
      <c r="F76" s="8">
        <f t="shared" si="3"/>
        <v>4.2902497873607646E-3</v>
      </c>
      <c r="G76" s="9" t="s">
        <v>24</v>
      </c>
      <c r="H76" s="9"/>
      <c r="I76" s="9" t="s">
        <v>25</v>
      </c>
      <c r="J76" s="9"/>
      <c r="K76" s="9" t="s">
        <v>26</v>
      </c>
      <c r="L76" s="9"/>
      <c r="M76" s="9" t="s">
        <v>27</v>
      </c>
    </row>
    <row r="77" spans="1:13">
      <c r="A77" s="4" t="s">
        <v>78</v>
      </c>
      <c r="B77" s="4" t="s">
        <v>79</v>
      </c>
      <c r="C77" s="10">
        <v>1</v>
      </c>
      <c r="D77" s="11">
        <v>1146.54</v>
      </c>
      <c r="E77" s="7">
        <f t="shared" si="2"/>
        <v>1146.54</v>
      </c>
      <c r="F77" s="8">
        <f t="shared" si="3"/>
        <v>3.8013469792894986E-3</v>
      </c>
      <c r="G77" s="9" t="s">
        <v>18</v>
      </c>
      <c r="H77" s="9"/>
      <c r="I77" s="9" t="s">
        <v>19</v>
      </c>
      <c r="J77" s="9"/>
      <c r="K77" s="9" t="s">
        <v>20</v>
      </c>
      <c r="L77" s="9"/>
      <c r="M77" s="9" t="s">
        <v>21</v>
      </c>
    </row>
    <row r="78" spans="1:13">
      <c r="A78" s="4" t="s">
        <v>80</v>
      </c>
      <c r="B78" s="1">
        <v>14</v>
      </c>
      <c r="C78" s="1">
        <v>1</v>
      </c>
      <c r="D78" s="11">
        <v>8643.7000000000007</v>
      </c>
      <c r="E78" s="7">
        <f t="shared" si="2"/>
        <v>8643.7000000000007</v>
      </c>
      <c r="F78" s="8">
        <f t="shared" si="3"/>
        <v>2.8658139170796171E-2</v>
      </c>
      <c r="G78" s="9" t="s">
        <v>24</v>
      </c>
      <c r="H78" s="9"/>
      <c r="I78" s="9" t="s">
        <v>25</v>
      </c>
      <c r="J78" s="9"/>
      <c r="K78" s="9" t="s">
        <v>26</v>
      </c>
      <c r="L78" s="9"/>
      <c r="M78" s="9" t="s">
        <v>27</v>
      </c>
    </row>
    <row r="79" spans="1:13">
      <c r="C79" s="1">
        <f>SUM(C59:C78)</f>
        <v>83</v>
      </c>
      <c r="E79" s="7">
        <f>SUM(E59:E78)</f>
        <v>301614.14</v>
      </c>
      <c r="F79" s="8">
        <f t="shared" si="3"/>
        <v>1</v>
      </c>
    </row>
    <row r="82" spans="1:2">
      <c r="A82" s="1" t="s">
        <v>81</v>
      </c>
    </row>
    <row r="83" spans="1:2">
      <c r="A83" s="1" t="s">
        <v>82</v>
      </c>
    </row>
    <row r="84" spans="1:2">
      <c r="A84" s="1" t="s">
        <v>83</v>
      </c>
    </row>
    <row r="85" spans="1:2">
      <c r="A85" s="1" t="s">
        <v>84</v>
      </c>
    </row>
    <row r="88" spans="1:2" ht="14.4">
      <c r="A88" s="88" t="s">
        <v>526</v>
      </c>
      <c r="B88" s="25" t="s">
        <v>100</v>
      </c>
    </row>
  </sheetData>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35"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sheetPr>
    <pageSetUpPr fitToPage="1"/>
  </sheetPr>
  <dimension ref="A1:C92"/>
  <sheetViews>
    <sheetView zoomScale="110" zoomScaleNormal="110" workbookViewId="0">
      <selection activeCell="B29" sqref="B29"/>
    </sheetView>
  </sheetViews>
  <sheetFormatPr defaultColWidth="9.109375" defaultRowHeight="14.4"/>
  <cols>
    <col min="1" max="1" width="32.6640625" style="24" customWidth="1"/>
    <col min="2" max="2" width="75.44140625" style="24" customWidth="1"/>
    <col min="3" max="3" width="52.33203125" style="24" customWidth="1"/>
    <col min="4" max="4" width="13.6640625" style="24" customWidth="1"/>
    <col min="5" max="5" width="12.109375" style="24" bestFit="1" customWidth="1"/>
    <col min="6" max="6" width="11.109375" style="24" bestFit="1" customWidth="1"/>
    <col min="7" max="16384" width="9.109375" style="24"/>
  </cols>
  <sheetData>
    <row r="1" spans="1:3" ht="30.75" customHeight="1">
      <c r="A1" s="213" t="s">
        <v>410</v>
      </c>
      <c r="B1" s="214"/>
    </row>
    <row r="2" spans="1:3" ht="81.75" customHeight="1">
      <c r="A2" s="212" t="s">
        <v>321</v>
      </c>
      <c r="B2" s="212"/>
      <c r="C2" s="212"/>
    </row>
    <row r="3" spans="1:3" ht="19.5" customHeight="1"/>
    <row r="4" spans="1:3" ht="29.25" customHeight="1">
      <c r="A4" s="54" t="s">
        <v>117</v>
      </c>
      <c r="B4" s="54" t="s">
        <v>501</v>
      </c>
      <c r="C4" s="70" t="s">
        <v>491</v>
      </c>
    </row>
    <row r="5" spans="1:3" ht="30" customHeight="1">
      <c r="A5" s="29" t="s">
        <v>110</v>
      </c>
      <c r="B5" s="24" t="s">
        <v>118</v>
      </c>
    </row>
    <row r="6" spans="1:3" ht="26.25" customHeight="1">
      <c r="A6" s="29"/>
    </row>
    <row r="7" spans="1:3" ht="26.25" customHeight="1">
      <c r="A7" s="39" t="s">
        <v>102</v>
      </c>
    </row>
    <row r="8" spans="1:3" ht="26.25" customHeight="1">
      <c r="A8" s="30" t="s">
        <v>131</v>
      </c>
      <c r="B8" s="24" t="s">
        <v>138</v>
      </c>
    </row>
    <row r="9" spans="1:3" ht="26.25" customHeight="1">
      <c r="A9" s="30" t="s">
        <v>132</v>
      </c>
      <c r="B9" s="24" t="s">
        <v>103</v>
      </c>
    </row>
    <row r="10" spans="1:3" ht="26.25" customHeight="1"/>
    <row r="11" spans="1:3" ht="26.25" customHeight="1">
      <c r="A11" s="39" t="s">
        <v>104</v>
      </c>
    </row>
    <row r="12" spans="1:3" ht="29.25" customHeight="1">
      <c r="A12" s="30" t="s">
        <v>133</v>
      </c>
      <c r="B12" s="24" t="s">
        <v>129</v>
      </c>
    </row>
    <row r="13" spans="1:3" ht="29.25" customHeight="1">
      <c r="A13" s="30" t="s">
        <v>134</v>
      </c>
      <c r="B13" s="24" t="s">
        <v>130</v>
      </c>
    </row>
    <row r="14" spans="1:3" ht="26.25" customHeight="1">
      <c r="A14" s="29" t="s">
        <v>101</v>
      </c>
      <c r="C14" s="24" t="s">
        <v>101</v>
      </c>
    </row>
    <row r="15" spans="1:3" ht="26.25" customHeight="1">
      <c r="A15" s="39" t="s">
        <v>85</v>
      </c>
    </row>
    <row r="16" spans="1:3" ht="29.25" customHeight="1">
      <c r="A16" s="30" t="s">
        <v>136</v>
      </c>
      <c r="B16" s="24" t="s">
        <v>284</v>
      </c>
      <c r="C16" s="24" t="s">
        <v>101</v>
      </c>
    </row>
    <row r="17" spans="1:3" ht="29.25" customHeight="1">
      <c r="A17" s="30" t="s">
        <v>304</v>
      </c>
      <c r="B17" s="24" t="s">
        <v>111</v>
      </c>
    </row>
    <row r="18" spans="1:3" ht="46.5" customHeight="1">
      <c r="A18" s="31" t="s">
        <v>137</v>
      </c>
      <c r="B18" s="24" t="s">
        <v>135</v>
      </c>
      <c r="C18" s="24" t="s">
        <v>101</v>
      </c>
    </row>
    <row r="19" spans="1:3" ht="29.25" customHeight="1">
      <c r="A19" s="30" t="s">
        <v>95</v>
      </c>
      <c r="B19" s="24" t="s">
        <v>105</v>
      </c>
    </row>
    <row r="20" spans="1:3" ht="26.25" customHeight="1"/>
    <row r="21" spans="1:3" ht="26.25" customHeight="1">
      <c r="A21" s="39" t="s">
        <v>109</v>
      </c>
      <c r="B21" s="42" t="s">
        <v>101</v>
      </c>
      <c r="C21" s="24" t="s">
        <v>101</v>
      </c>
    </row>
    <row r="22" spans="1:3" ht="26.25" customHeight="1">
      <c r="A22" s="24" t="s">
        <v>303</v>
      </c>
      <c r="B22" s="24" t="s">
        <v>112</v>
      </c>
      <c r="C22" s="24" t="s">
        <v>101</v>
      </c>
    </row>
    <row r="23" spans="1:3" ht="26.25" customHeight="1">
      <c r="A23" s="24" t="s">
        <v>95</v>
      </c>
      <c r="B23" s="24" t="s">
        <v>112</v>
      </c>
    </row>
    <row r="24" spans="1:3" ht="26.25" customHeight="1"/>
    <row r="25" spans="1:3" ht="26.25" customHeight="1">
      <c r="A25" s="40" t="s">
        <v>297</v>
      </c>
    </row>
    <row r="26" spans="1:3" ht="30" customHeight="1">
      <c r="A26" s="24" t="s">
        <v>87</v>
      </c>
      <c r="B26" s="24" t="s">
        <v>286</v>
      </c>
      <c r="C26" s="24" t="s">
        <v>101</v>
      </c>
    </row>
    <row r="27" spans="1:3" ht="30.75" customHeight="1">
      <c r="A27" s="24" t="s">
        <v>296</v>
      </c>
      <c r="B27" s="24" t="s">
        <v>301</v>
      </c>
      <c r="C27" s="24" t="s">
        <v>101</v>
      </c>
    </row>
    <row r="28" spans="1:3" ht="26.25" customHeight="1">
      <c r="A28" s="24" t="s">
        <v>305</v>
      </c>
      <c r="B28" s="24" t="s">
        <v>828</v>
      </c>
    </row>
    <row r="29" spans="1:3" ht="26.25" customHeight="1">
      <c r="A29" s="24" t="s">
        <v>89</v>
      </c>
      <c r="B29" s="24" t="s">
        <v>285</v>
      </c>
    </row>
    <row r="30" spans="1:3" ht="26.25" customHeight="1">
      <c r="A30" s="24" t="s">
        <v>90</v>
      </c>
      <c r="B30" s="24" t="s">
        <v>294</v>
      </c>
    </row>
    <row r="31" spans="1:3" ht="26.25" customHeight="1">
      <c r="A31" s="27" t="s">
        <v>295</v>
      </c>
      <c r="B31" s="27" t="s">
        <v>121</v>
      </c>
    </row>
    <row r="32" spans="1:3" ht="26.25" customHeight="1">
      <c r="A32" s="24" t="s">
        <v>120</v>
      </c>
      <c r="B32" s="24" t="s">
        <v>119</v>
      </c>
    </row>
    <row r="33" spans="1:3" ht="26.25" customHeight="1">
      <c r="A33" s="24" t="s">
        <v>116</v>
      </c>
      <c r="B33" s="24" t="s">
        <v>139</v>
      </c>
      <c r="C33" s="24" t="s">
        <v>101</v>
      </c>
    </row>
    <row r="34" spans="1:3" ht="32.25" customHeight="1">
      <c r="A34" t="s">
        <v>312</v>
      </c>
      <c r="B34" s="44" t="s">
        <v>468</v>
      </c>
    </row>
    <row r="35" spans="1:3" s="32" customFormat="1" ht="26.25" customHeight="1"/>
    <row r="36" spans="1:3" s="32" customFormat="1" ht="29.25" customHeight="1">
      <c r="A36" s="39" t="s">
        <v>291</v>
      </c>
      <c r="B36"/>
    </row>
    <row r="37" spans="1:3" ht="26.25" customHeight="1">
      <c r="A37" s="38" t="s">
        <v>308</v>
      </c>
      <c r="B37" s="32" t="s">
        <v>285</v>
      </c>
    </row>
    <row r="38" spans="1:3" ht="26.25" customHeight="1">
      <c r="A38" s="24" t="s">
        <v>97</v>
      </c>
      <c r="B38" s="24" t="s">
        <v>122</v>
      </c>
    </row>
    <row r="39" spans="1:3" ht="26.25" customHeight="1">
      <c r="A39" s="24" t="s">
        <v>306</v>
      </c>
      <c r="B39" s="24" t="s">
        <v>307</v>
      </c>
    </row>
    <row r="40" spans="1:3" s="32" customFormat="1" ht="26.25" customHeight="1"/>
    <row r="41" spans="1:3" s="32" customFormat="1" ht="26.25" customHeight="1">
      <c r="A41" s="39" t="s">
        <v>298</v>
      </c>
    </row>
    <row r="42" spans="1:3" ht="30.75" customHeight="1">
      <c r="A42" s="24" t="s">
        <v>88</v>
      </c>
      <c r="B42" s="32" t="s">
        <v>286</v>
      </c>
      <c r="C42" s="24" t="s">
        <v>101</v>
      </c>
    </row>
    <row r="43" spans="1:3" ht="26.25" customHeight="1">
      <c r="A43" s="24" t="s">
        <v>305</v>
      </c>
      <c r="B43" s="24" t="s">
        <v>115</v>
      </c>
    </row>
    <row r="44" spans="1:3" ht="33.75" customHeight="1">
      <c r="A44" s="32" t="s">
        <v>299</v>
      </c>
      <c r="B44" s="24" t="s">
        <v>300</v>
      </c>
    </row>
    <row r="45" spans="1:3" ht="30" customHeight="1">
      <c r="A45" s="24" t="s">
        <v>107</v>
      </c>
      <c r="B45" s="24" t="s">
        <v>309</v>
      </c>
    </row>
    <row r="46" spans="1:3" ht="29.25" customHeight="1">
      <c r="A46" s="24" t="s">
        <v>108</v>
      </c>
      <c r="B46" s="24" t="s">
        <v>302</v>
      </c>
    </row>
    <row r="47" spans="1:3" s="32" customFormat="1" ht="29.25" customHeight="1"/>
    <row r="48" spans="1:3" s="32" customFormat="1" ht="30.75" customHeight="1">
      <c r="A48" s="39" t="s">
        <v>151</v>
      </c>
      <c r="B48" s="32" t="s">
        <v>310</v>
      </c>
    </row>
    <row r="49" spans="1:3" s="32" customFormat="1" ht="33.75" customHeight="1">
      <c r="A49" s="38" t="s">
        <v>311</v>
      </c>
      <c r="B49" s="32" t="s">
        <v>313</v>
      </c>
    </row>
    <row r="50" spans="1:3" ht="26.25" customHeight="1">
      <c r="A50" s="24" t="s">
        <v>290</v>
      </c>
      <c r="B50" s="24" t="s">
        <v>123</v>
      </c>
    </row>
    <row r="51" spans="1:3" ht="33.75" customHeight="1">
      <c r="A51" s="24" t="s">
        <v>96</v>
      </c>
      <c r="B51" s="24" t="s">
        <v>122</v>
      </c>
    </row>
    <row r="52" spans="1:3" ht="26.25" customHeight="1">
      <c r="A52" s="24" t="s">
        <v>287</v>
      </c>
      <c r="B52" s="24" t="s">
        <v>316</v>
      </c>
    </row>
    <row r="53" spans="1:3" ht="47.25" customHeight="1">
      <c r="A53" s="24" t="s">
        <v>315</v>
      </c>
      <c r="B53" s="24" t="s">
        <v>314</v>
      </c>
      <c r="C53" s="24" t="s">
        <v>101</v>
      </c>
    </row>
    <row r="54" spans="1:3" s="32" customFormat="1" ht="29.25" customHeight="1">
      <c r="A54" s="24" t="s">
        <v>289</v>
      </c>
      <c r="B54" s="24" t="s">
        <v>288</v>
      </c>
    </row>
    <row r="55" spans="1:3" s="32" customFormat="1" ht="29.25" customHeight="1"/>
    <row r="56" spans="1:3" ht="26.25" customHeight="1">
      <c r="A56" s="39" t="s">
        <v>124</v>
      </c>
    </row>
    <row r="57" spans="1:3" ht="26.25" customHeight="1">
      <c r="A57" s="24" t="s">
        <v>283</v>
      </c>
      <c r="B57" s="24" t="s">
        <v>125</v>
      </c>
      <c r="C57" s="44"/>
    </row>
    <row r="58" spans="1:3" ht="26.25" customHeight="1">
      <c r="A58" s="24" t="s">
        <v>93</v>
      </c>
      <c r="B58" s="24" t="s">
        <v>126</v>
      </c>
      <c r="C58" s="44" t="s">
        <v>101</v>
      </c>
    </row>
    <row r="59" spans="1:3" ht="32.25" customHeight="1">
      <c r="A59" s="24" t="s">
        <v>94</v>
      </c>
      <c r="B59" s="24" t="s">
        <v>127</v>
      </c>
      <c r="C59" s="44"/>
    </row>
    <row r="60" spans="1:3" ht="26.25" customHeight="1">
      <c r="A60" s="24" t="s">
        <v>95</v>
      </c>
      <c r="B60" s="24" t="s">
        <v>140</v>
      </c>
    </row>
    <row r="61" spans="1:3" ht="26.25" customHeight="1">
      <c r="A61" s="24" t="s">
        <v>293</v>
      </c>
      <c r="B61" s="24" t="s">
        <v>292</v>
      </c>
    </row>
    <row r="62" spans="1:3" ht="26.25" customHeight="1">
      <c r="A62" s="24" t="s">
        <v>98</v>
      </c>
      <c r="B62" s="24" t="s">
        <v>99</v>
      </c>
    </row>
    <row r="63" spans="1:3" s="32" customFormat="1" ht="26.25" customHeight="1"/>
    <row r="64" spans="1:3" s="32" customFormat="1" ht="29.25" customHeight="1">
      <c r="A64" s="39" t="s">
        <v>317</v>
      </c>
    </row>
    <row r="65" spans="1:2" ht="26.25" customHeight="1">
      <c r="A65" s="24" t="s">
        <v>86</v>
      </c>
      <c r="B65" s="24" t="s">
        <v>114</v>
      </c>
    </row>
    <row r="66" spans="1:2" ht="29.25" customHeight="1">
      <c r="A66" s="24" t="s">
        <v>319</v>
      </c>
      <c r="B66" s="24" t="s">
        <v>318</v>
      </c>
    </row>
    <row r="67" spans="1:2" ht="30.75" customHeight="1">
      <c r="A67" s="24" t="s">
        <v>320</v>
      </c>
      <c r="B67" s="24" t="s">
        <v>113</v>
      </c>
    </row>
    <row r="68" spans="1:2" ht="32.25" customHeight="1">
      <c r="A68" s="38" t="s">
        <v>323</v>
      </c>
      <c r="B68" s="24" t="s">
        <v>325</v>
      </c>
    </row>
    <row r="69" spans="1:2" ht="32.25" customHeight="1">
      <c r="A69" s="38" t="s">
        <v>324</v>
      </c>
      <c r="B69" s="24" t="s">
        <v>322</v>
      </c>
    </row>
    <row r="70" spans="1:2" ht="26.25" customHeight="1"/>
    <row r="82" spans="1:1" ht="28.5" customHeight="1"/>
    <row r="84" spans="1:1" ht="30" customHeight="1">
      <c r="A84" s="47"/>
    </row>
    <row r="85" spans="1:1">
      <c r="A85" s="47"/>
    </row>
    <row r="86" spans="1:1" ht="30" customHeight="1">
      <c r="A86" s="47"/>
    </row>
    <row r="88" spans="1:1" ht="33" customHeight="1"/>
    <row r="90" spans="1:1" ht="33.75" customHeight="1"/>
    <row r="92" spans="1:1" ht="39" customHeight="1"/>
  </sheetData>
  <mergeCells count="2">
    <mergeCell ref="A2:C2"/>
    <mergeCell ref="A1:B1"/>
  </mergeCells>
  <pageMargins left="0.7" right="0.7" top="0.75" bottom="0.75" header="0.3" footer="0.3"/>
  <pageSetup scale="56" fitToHeight="0" orientation="landscape" r:id="rId1"/>
</worksheet>
</file>

<file path=xl/worksheets/sheet4.xml><?xml version="1.0" encoding="utf-8"?>
<worksheet xmlns="http://schemas.openxmlformats.org/spreadsheetml/2006/main" xmlns:r="http://schemas.openxmlformats.org/officeDocument/2006/relationships">
  <dimension ref="A1:Q24"/>
  <sheetViews>
    <sheetView topLeftCell="A17" workbookViewId="0">
      <selection activeCell="K21" sqref="K21"/>
    </sheetView>
  </sheetViews>
  <sheetFormatPr defaultColWidth="9.109375" defaultRowHeight="14.4"/>
  <cols>
    <col min="1" max="1" width="2.88671875" style="34" customWidth="1"/>
    <col min="2" max="2" width="11.6640625" style="34" customWidth="1"/>
    <col min="3" max="3" width="55.88671875" style="34" customWidth="1"/>
    <col min="4" max="4" width="72.33203125" style="34" customWidth="1"/>
    <col min="5" max="5" width="11.33203125" style="33" customWidth="1"/>
    <col min="6" max="6" width="14.109375" style="33" hidden="1" customWidth="1"/>
    <col min="7" max="7" width="26.5546875" style="34" customWidth="1"/>
    <col min="8" max="8" width="22.88671875" style="34" customWidth="1"/>
    <col min="9" max="9" width="22.88671875" style="110" customWidth="1"/>
    <col min="10" max="10" width="50.33203125" style="34" customWidth="1"/>
    <col min="11" max="11" width="61.6640625" style="34" customWidth="1"/>
    <col min="12" max="12" width="62.88671875" style="34" customWidth="1"/>
    <col min="13" max="13" width="54.5546875" style="34" customWidth="1"/>
    <col min="14" max="14" width="18.6640625" style="34" customWidth="1"/>
    <col min="15" max="15" width="48.44140625" style="34" customWidth="1"/>
    <col min="16" max="16" width="45" style="34" customWidth="1"/>
    <col min="17" max="17" width="55.5546875" style="34" customWidth="1"/>
    <col min="18" max="16384" width="9.109375" style="34"/>
  </cols>
  <sheetData>
    <row r="1" spans="1:17" ht="54" customHeight="1">
      <c r="A1" s="215" t="s">
        <v>485</v>
      </c>
      <c r="B1" s="216"/>
      <c r="C1" s="216"/>
      <c r="D1" s="216"/>
    </row>
    <row r="2" spans="1:17" s="85" customFormat="1" ht="63" customHeight="1">
      <c r="A2" s="81"/>
      <c r="B2" s="81" t="s">
        <v>7</v>
      </c>
      <c r="C2" s="81" t="s">
        <v>380</v>
      </c>
      <c r="D2" s="82" t="s">
        <v>144</v>
      </c>
      <c r="E2" s="81" t="s">
        <v>141</v>
      </c>
      <c r="F2" s="81" t="s">
        <v>389</v>
      </c>
      <c r="G2" s="81" t="s">
        <v>142</v>
      </c>
      <c r="H2" s="81" t="s">
        <v>143</v>
      </c>
      <c r="I2" s="111" t="s">
        <v>735</v>
      </c>
      <c r="J2" s="82" t="s">
        <v>379</v>
      </c>
      <c r="K2" s="83" t="s">
        <v>145</v>
      </c>
      <c r="L2" s="82" t="s">
        <v>146</v>
      </c>
      <c r="M2" s="82" t="s">
        <v>147</v>
      </c>
      <c r="N2" s="82" t="s">
        <v>148</v>
      </c>
      <c r="O2" s="82" t="s">
        <v>149</v>
      </c>
      <c r="P2" s="82" t="s">
        <v>150</v>
      </c>
      <c r="Q2" s="84" t="s">
        <v>491</v>
      </c>
    </row>
    <row r="3" spans="1:17" ht="43.2">
      <c r="A3" s="34">
        <v>1</v>
      </c>
      <c r="B3" s="34" t="s">
        <v>151</v>
      </c>
      <c r="C3" s="34" t="s">
        <v>411</v>
      </c>
      <c r="D3" s="34" t="s">
        <v>154</v>
      </c>
      <c r="E3" s="33" t="s">
        <v>91</v>
      </c>
      <c r="G3" s="34" t="s">
        <v>152</v>
      </c>
      <c r="H3" s="34" t="s">
        <v>91</v>
      </c>
      <c r="J3" s="34" t="s">
        <v>153</v>
      </c>
      <c r="K3" s="34" t="s">
        <v>155</v>
      </c>
      <c r="L3" s="34" t="s">
        <v>101</v>
      </c>
      <c r="M3" s="34" t="s">
        <v>156</v>
      </c>
      <c r="N3" s="34" t="s">
        <v>157</v>
      </c>
    </row>
    <row r="4" spans="1:17" ht="86.4">
      <c r="A4" s="34">
        <v>2</v>
      </c>
      <c r="B4" s="34" t="s">
        <v>151</v>
      </c>
      <c r="C4" s="34" t="s">
        <v>158</v>
      </c>
      <c r="D4" s="34" t="s">
        <v>162</v>
      </c>
      <c r="E4" s="33" t="s">
        <v>91</v>
      </c>
      <c r="F4" s="33" t="s">
        <v>413</v>
      </c>
      <c r="G4" s="34" t="s">
        <v>159</v>
      </c>
      <c r="H4" s="34" t="s">
        <v>160</v>
      </c>
      <c r="J4" s="34" t="s">
        <v>161</v>
      </c>
      <c r="K4" s="35" t="s">
        <v>163</v>
      </c>
      <c r="L4" s="34" t="s">
        <v>164</v>
      </c>
      <c r="M4" s="34" t="s">
        <v>165</v>
      </c>
      <c r="N4" s="34" t="s">
        <v>157</v>
      </c>
      <c r="O4" s="34" t="s">
        <v>326</v>
      </c>
      <c r="P4" s="34" t="s">
        <v>166</v>
      </c>
    </row>
    <row r="5" spans="1:17" ht="86.4">
      <c r="A5" s="34">
        <v>3</v>
      </c>
      <c r="B5" s="34" t="s">
        <v>151</v>
      </c>
      <c r="C5" s="34" t="s">
        <v>167</v>
      </c>
      <c r="D5" s="34" t="s">
        <v>169</v>
      </c>
      <c r="E5" s="33" t="s">
        <v>91</v>
      </c>
      <c r="F5" s="33" t="s">
        <v>414</v>
      </c>
      <c r="G5" s="34" t="s">
        <v>159</v>
      </c>
      <c r="H5" s="34" t="s">
        <v>91</v>
      </c>
      <c r="J5" s="34" t="s">
        <v>168</v>
      </c>
      <c r="K5" s="35" t="s">
        <v>170</v>
      </c>
      <c r="L5" s="34" t="s">
        <v>171</v>
      </c>
      <c r="M5" s="34" t="s">
        <v>387</v>
      </c>
      <c r="N5" s="34" t="s">
        <v>157</v>
      </c>
      <c r="O5" s="34" t="s">
        <v>172</v>
      </c>
    </row>
    <row r="6" spans="1:17" ht="43.2">
      <c r="A6" s="34">
        <f>A5+1</f>
        <v>4</v>
      </c>
      <c r="B6" s="34" t="s">
        <v>109</v>
      </c>
      <c r="C6" s="34" t="s">
        <v>173</v>
      </c>
      <c r="D6" s="34" t="s">
        <v>176</v>
      </c>
      <c r="E6" s="33" t="s">
        <v>91</v>
      </c>
      <c r="G6" s="34" t="s">
        <v>174</v>
      </c>
      <c r="H6" s="34" t="s">
        <v>91</v>
      </c>
      <c r="J6" s="34" t="s">
        <v>175</v>
      </c>
      <c r="K6" s="34" t="s">
        <v>155</v>
      </c>
      <c r="L6" s="34" t="s">
        <v>177</v>
      </c>
      <c r="N6" s="34" t="s">
        <v>157</v>
      </c>
    </row>
    <row r="7" spans="1:17" ht="45">
      <c r="A7" s="34">
        <f t="shared" ref="A7:A22" si="0">A6+1</f>
        <v>5</v>
      </c>
      <c r="B7" s="34" t="s">
        <v>85</v>
      </c>
      <c r="C7" s="34" t="s">
        <v>178</v>
      </c>
      <c r="D7" s="34" t="s">
        <v>412</v>
      </c>
      <c r="E7" s="33" t="s">
        <v>92</v>
      </c>
      <c r="F7" s="33" t="s">
        <v>394</v>
      </c>
      <c r="G7" s="34" t="s">
        <v>388</v>
      </c>
      <c r="H7" s="34" t="s">
        <v>91</v>
      </c>
      <c r="J7" s="34" t="s">
        <v>175</v>
      </c>
      <c r="K7" s="36" t="s">
        <v>179</v>
      </c>
      <c r="L7" s="43" t="s">
        <v>101</v>
      </c>
      <c r="M7" s="34" t="s">
        <v>180</v>
      </c>
      <c r="N7" s="34" t="s">
        <v>157</v>
      </c>
    </row>
    <row r="8" spans="1:17" ht="57.6">
      <c r="A8" s="34">
        <f t="shared" si="0"/>
        <v>6</v>
      </c>
      <c r="B8" s="34" t="s">
        <v>85</v>
      </c>
      <c r="C8" s="34" t="s">
        <v>181</v>
      </c>
      <c r="D8" s="34" t="s">
        <v>182</v>
      </c>
      <c r="E8" s="33" t="s">
        <v>92</v>
      </c>
      <c r="F8" s="33" t="s">
        <v>394</v>
      </c>
      <c r="G8" s="34" t="s">
        <v>388</v>
      </c>
      <c r="H8" s="34" t="s">
        <v>91</v>
      </c>
      <c r="J8" s="34" t="s">
        <v>175</v>
      </c>
      <c r="K8" s="36" t="s">
        <v>183</v>
      </c>
      <c r="L8" s="34" t="s">
        <v>184</v>
      </c>
      <c r="M8" s="34" t="s">
        <v>185</v>
      </c>
      <c r="N8" s="34" t="s">
        <v>157</v>
      </c>
      <c r="P8" s="34" t="s">
        <v>186</v>
      </c>
    </row>
    <row r="9" spans="1:17" ht="43.2">
      <c r="A9" s="34">
        <f t="shared" si="0"/>
        <v>7</v>
      </c>
      <c r="B9" s="34" t="s">
        <v>85</v>
      </c>
      <c r="C9" s="34" t="s">
        <v>187</v>
      </c>
      <c r="D9" s="34" t="s">
        <v>190</v>
      </c>
      <c r="E9" s="33" t="s">
        <v>91</v>
      </c>
      <c r="F9" s="33" t="s">
        <v>394</v>
      </c>
      <c r="G9" s="34" t="s">
        <v>188</v>
      </c>
      <c r="H9" s="34" t="s">
        <v>189</v>
      </c>
      <c r="J9" s="34" t="s">
        <v>175</v>
      </c>
      <c r="K9" s="34" t="s">
        <v>155</v>
      </c>
      <c r="L9" s="34" t="s">
        <v>191</v>
      </c>
      <c r="M9" s="34" t="s">
        <v>192</v>
      </c>
      <c r="N9" s="34" t="s">
        <v>157</v>
      </c>
    </row>
    <row r="10" spans="1:17" ht="57.6">
      <c r="A10" s="34">
        <f t="shared" si="0"/>
        <v>8</v>
      </c>
      <c r="B10" s="34" t="s">
        <v>193</v>
      </c>
      <c r="C10" s="34" t="s">
        <v>384</v>
      </c>
      <c r="D10" s="34" t="s">
        <v>195</v>
      </c>
      <c r="E10" s="33" t="s">
        <v>92</v>
      </c>
      <c r="F10" s="33" t="s">
        <v>395</v>
      </c>
      <c r="G10" s="34" t="s">
        <v>152</v>
      </c>
      <c r="H10" s="34" t="s">
        <v>91</v>
      </c>
      <c r="J10" s="34" t="s">
        <v>194</v>
      </c>
      <c r="K10" s="34" t="s">
        <v>155</v>
      </c>
      <c r="M10" s="34" t="s">
        <v>196</v>
      </c>
      <c r="N10" s="34" t="s">
        <v>157</v>
      </c>
      <c r="O10" s="34" t="s">
        <v>197</v>
      </c>
    </row>
    <row r="11" spans="1:17" ht="100.8">
      <c r="A11" s="34">
        <f t="shared" si="0"/>
        <v>9</v>
      </c>
      <c r="B11" s="34" t="s">
        <v>193</v>
      </c>
      <c r="C11" s="34" t="s">
        <v>198</v>
      </c>
      <c r="D11" s="34" t="s">
        <v>200</v>
      </c>
      <c r="E11" s="33" t="s">
        <v>91</v>
      </c>
      <c r="F11" s="33" t="s">
        <v>415</v>
      </c>
      <c r="G11" s="34" t="s">
        <v>327</v>
      </c>
      <c r="H11" s="34" t="s">
        <v>91</v>
      </c>
      <c r="J11" s="34" t="s">
        <v>199</v>
      </c>
      <c r="K11" s="37" t="s">
        <v>201</v>
      </c>
      <c r="L11" s="34" t="s">
        <v>202</v>
      </c>
      <c r="M11" s="34" t="s">
        <v>203</v>
      </c>
      <c r="N11" s="34" t="s">
        <v>157</v>
      </c>
      <c r="P11" s="34" t="s">
        <v>204</v>
      </c>
    </row>
    <row r="12" spans="1:17" ht="72">
      <c r="A12" s="34">
        <f t="shared" si="0"/>
        <v>10</v>
      </c>
      <c r="B12" s="34" t="s">
        <v>193</v>
      </c>
      <c r="C12" s="34" t="s">
        <v>205</v>
      </c>
      <c r="D12" s="34" t="s">
        <v>207</v>
      </c>
      <c r="E12" s="33" t="s">
        <v>91</v>
      </c>
      <c r="F12" s="33" t="s">
        <v>420</v>
      </c>
      <c r="G12" s="34" t="s">
        <v>159</v>
      </c>
      <c r="H12" s="34" t="s">
        <v>91</v>
      </c>
      <c r="J12" s="34" t="s">
        <v>206</v>
      </c>
      <c r="K12" s="35" t="s">
        <v>208</v>
      </c>
      <c r="L12" s="34" t="s">
        <v>209</v>
      </c>
      <c r="M12" s="34" t="s">
        <v>101</v>
      </c>
      <c r="N12" s="34" t="s">
        <v>157</v>
      </c>
      <c r="P12" s="34" t="s">
        <v>210</v>
      </c>
    </row>
    <row r="13" spans="1:17" ht="57.6">
      <c r="A13" s="34">
        <f t="shared" si="0"/>
        <v>11</v>
      </c>
      <c r="B13" s="34" t="s">
        <v>193</v>
      </c>
      <c r="C13" s="34" t="s">
        <v>211</v>
      </c>
      <c r="D13" s="34" t="s">
        <v>213</v>
      </c>
      <c r="E13" s="33" t="s">
        <v>91</v>
      </c>
      <c r="G13" s="34" t="s">
        <v>159</v>
      </c>
      <c r="H13" s="34" t="s">
        <v>91</v>
      </c>
      <c r="J13" s="34" t="s">
        <v>212</v>
      </c>
      <c r="K13" s="34" t="s">
        <v>214</v>
      </c>
      <c r="M13" s="34" t="s">
        <v>101</v>
      </c>
      <c r="N13" s="34" t="s">
        <v>157</v>
      </c>
    </row>
    <row r="14" spans="1:17" ht="57.6">
      <c r="A14" s="34">
        <f t="shared" si="0"/>
        <v>12</v>
      </c>
      <c r="B14" s="34" t="s">
        <v>193</v>
      </c>
      <c r="C14" s="34" t="s">
        <v>215</v>
      </c>
      <c r="D14" s="34" t="s">
        <v>218</v>
      </c>
      <c r="E14" s="33" t="s">
        <v>92</v>
      </c>
      <c r="F14" s="33" t="s">
        <v>416</v>
      </c>
      <c r="G14" s="34" t="s">
        <v>174</v>
      </c>
      <c r="H14" s="34" t="s">
        <v>216</v>
      </c>
      <c r="J14" s="34" t="s">
        <v>217</v>
      </c>
      <c r="K14" s="35" t="s">
        <v>219</v>
      </c>
      <c r="L14" s="34" t="s">
        <v>220</v>
      </c>
      <c r="M14" s="34" t="s">
        <v>221</v>
      </c>
      <c r="N14" s="34" t="s">
        <v>157</v>
      </c>
      <c r="P14" s="34" t="s">
        <v>385</v>
      </c>
    </row>
    <row r="15" spans="1:17" ht="72">
      <c r="A15" s="34">
        <f t="shared" si="0"/>
        <v>13</v>
      </c>
      <c r="B15" s="34" t="s">
        <v>193</v>
      </c>
      <c r="C15" s="34" t="s">
        <v>222</v>
      </c>
      <c r="D15" s="34" t="s">
        <v>224</v>
      </c>
      <c r="E15" s="33" t="s">
        <v>91</v>
      </c>
      <c r="G15" s="34" t="s">
        <v>159</v>
      </c>
      <c r="H15" s="34" t="s">
        <v>91</v>
      </c>
      <c r="J15" s="34" t="s">
        <v>223</v>
      </c>
      <c r="K15" s="35" t="s">
        <v>225</v>
      </c>
      <c r="L15" s="34" t="s">
        <v>226</v>
      </c>
      <c r="M15" s="34" t="s">
        <v>227</v>
      </c>
      <c r="N15" s="34" t="s">
        <v>157</v>
      </c>
      <c r="P15" s="34" t="s">
        <v>228</v>
      </c>
    </row>
    <row r="16" spans="1:17" ht="57.6">
      <c r="A16" s="34">
        <f t="shared" si="0"/>
        <v>14</v>
      </c>
      <c r="B16" s="34" t="s">
        <v>229</v>
      </c>
      <c r="C16" s="34" t="s">
        <v>230</v>
      </c>
      <c r="D16" s="34" t="s">
        <v>232</v>
      </c>
      <c r="E16" s="33" t="s">
        <v>92</v>
      </c>
      <c r="G16" s="34" t="s">
        <v>159</v>
      </c>
      <c r="H16" s="34" t="s">
        <v>91</v>
      </c>
      <c r="J16" s="34" t="s">
        <v>231</v>
      </c>
      <c r="K16" s="34" t="s">
        <v>233</v>
      </c>
      <c r="L16" s="34" t="s">
        <v>234</v>
      </c>
      <c r="M16" s="34" t="s">
        <v>101</v>
      </c>
      <c r="N16" s="34" t="s">
        <v>157</v>
      </c>
      <c r="O16" s="34" t="s">
        <v>235</v>
      </c>
      <c r="P16" s="35" t="s">
        <v>236</v>
      </c>
    </row>
    <row r="17" spans="1:16" ht="43.2">
      <c r="A17" s="34">
        <f t="shared" si="0"/>
        <v>15</v>
      </c>
      <c r="B17" s="34" t="s">
        <v>229</v>
      </c>
      <c r="C17" s="34" t="s">
        <v>237</v>
      </c>
      <c r="D17" s="34" t="s">
        <v>240</v>
      </c>
      <c r="E17" s="33" t="s">
        <v>91</v>
      </c>
      <c r="G17" s="34" t="s">
        <v>238</v>
      </c>
      <c r="H17" s="34" t="s">
        <v>92</v>
      </c>
      <c r="J17" s="34" t="s">
        <v>239</v>
      </c>
      <c r="K17" s="34" t="s">
        <v>155</v>
      </c>
      <c r="L17" s="34" t="s">
        <v>241</v>
      </c>
      <c r="M17" s="34" t="s">
        <v>242</v>
      </c>
      <c r="N17" s="34" t="s">
        <v>157</v>
      </c>
    </row>
    <row r="18" spans="1:16" ht="43.2">
      <c r="A18" s="34">
        <f t="shared" si="0"/>
        <v>16</v>
      </c>
      <c r="B18" s="34" t="s">
        <v>243</v>
      </c>
      <c r="C18" s="34" t="s">
        <v>381</v>
      </c>
      <c r="D18" s="34" t="s">
        <v>245</v>
      </c>
      <c r="E18" s="33" t="s">
        <v>92</v>
      </c>
      <c r="G18" s="34" t="s">
        <v>174</v>
      </c>
      <c r="H18" s="34" t="s">
        <v>91</v>
      </c>
      <c r="J18" s="34" t="s">
        <v>244</v>
      </c>
      <c r="K18" s="34" t="s">
        <v>155</v>
      </c>
      <c r="L18" s="34" t="s">
        <v>101</v>
      </c>
      <c r="M18" s="34" t="s">
        <v>246</v>
      </c>
      <c r="N18" s="34" t="s">
        <v>157</v>
      </c>
    </row>
    <row r="19" spans="1:16" ht="86.4">
      <c r="A19" s="34">
        <f t="shared" si="0"/>
        <v>17</v>
      </c>
      <c r="B19" s="34" t="s">
        <v>247</v>
      </c>
      <c r="C19" s="34" t="s">
        <v>248</v>
      </c>
      <c r="D19" s="34" t="s">
        <v>250</v>
      </c>
      <c r="E19" s="33" t="s">
        <v>91</v>
      </c>
      <c r="F19" s="33" t="s">
        <v>422</v>
      </c>
      <c r="G19" s="34" t="s">
        <v>159</v>
      </c>
      <c r="H19" s="34" t="s">
        <v>91</v>
      </c>
      <c r="J19" s="34" t="s">
        <v>249</v>
      </c>
      <c r="K19" s="35" t="s">
        <v>251</v>
      </c>
      <c r="L19" s="34" t="s">
        <v>252</v>
      </c>
      <c r="N19" s="34" t="s">
        <v>157</v>
      </c>
    </row>
    <row r="20" spans="1:16" ht="57.6">
      <c r="A20" s="34">
        <f t="shared" si="0"/>
        <v>18</v>
      </c>
      <c r="B20" s="34" t="s">
        <v>247</v>
      </c>
      <c r="C20" s="34" t="s">
        <v>386</v>
      </c>
      <c r="D20" s="34" t="s">
        <v>254</v>
      </c>
      <c r="E20" s="33" t="s">
        <v>92</v>
      </c>
      <c r="F20" s="33" t="s">
        <v>419</v>
      </c>
      <c r="G20" s="34" t="s">
        <v>159</v>
      </c>
      <c r="H20" s="34" t="s">
        <v>91</v>
      </c>
      <c r="J20" s="34" t="s">
        <v>253</v>
      </c>
      <c r="K20" s="35" t="s">
        <v>255</v>
      </c>
      <c r="L20" s="34" t="s">
        <v>256</v>
      </c>
      <c r="M20" s="34" t="s">
        <v>257</v>
      </c>
      <c r="N20" s="34" t="s">
        <v>157</v>
      </c>
    </row>
    <row r="21" spans="1:16" ht="86.4">
      <c r="A21" s="34">
        <f>A20+1</f>
        <v>19</v>
      </c>
      <c r="B21" s="34" t="s">
        <v>247</v>
      </c>
      <c r="C21" s="34" t="s">
        <v>258</v>
      </c>
      <c r="D21" s="34" t="s">
        <v>260</v>
      </c>
      <c r="E21" s="33" t="s">
        <v>92</v>
      </c>
      <c r="F21" s="33" t="s">
        <v>418</v>
      </c>
      <c r="G21" s="34" t="s">
        <v>152</v>
      </c>
      <c r="H21" s="34" t="s">
        <v>259</v>
      </c>
      <c r="J21" s="34" t="s">
        <v>253</v>
      </c>
      <c r="K21" s="37" t="s">
        <v>261</v>
      </c>
      <c r="M21" s="34" t="s">
        <v>262</v>
      </c>
      <c r="N21" s="34" t="s">
        <v>157</v>
      </c>
      <c r="O21" s="34" t="s">
        <v>263</v>
      </c>
    </row>
    <row r="22" spans="1:16" ht="115.2">
      <c r="A22" s="34">
        <f t="shared" si="0"/>
        <v>20</v>
      </c>
      <c r="B22" s="34" t="s">
        <v>264</v>
      </c>
      <c r="C22" s="34" t="s">
        <v>265</v>
      </c>
      <c r="D22" s="34" t="s">
        <v>267</v>
      </c>
      <c r="E22" s="33" t="s">
        <v>92</v>
      </c>
      <c r="F22" s="33" t="s">
        <v>417</v>
      </c>
      <c r="G22" s="34" t="s">
        <v>159</v>
      </c>
      <c r="H22" s="34" t="s">
        <v>91</v>
      </c>
      <c r="J22" s="34" t="s">
        <v>266</v>
      </c>
      <c r="K22" s="35" t="s">
        <v>268</v>
      </c>
      <c r="M22" s="34" t="s">
        <v>269</v>
      </c>
      <c r="N22" s="34" t="s">
        <v>157</v>
      </c>
      <c r="O22" s="34" t="s">
        <v>270</v>
      </c>
      <c r="P22" s="34" t="s">
        <v>101</v>
      </c>
    </row>
    <row r="23" spans="1:16" ht="72">
      <c r="A23" s="34">
        <f>A22+1</f>
        <v>21</v>
      </c>
      <c r="B23" s="34" t="s">
        <v>271</v>
      </c>
      <c r="C23" s="34" t="s">
        <v>272</v>
      </c>
      <c r="D23" s="34" t="s">
        <v>274</v>
      </c>
      <c r="E23" s="33" t="s">
        <v>91</v>
      </c>
      <c r="G23" s="34" t="s">
        <v>382</v>
      </c>
      <c r="H23" s="34" t="s">
        <v>92</v>
      </c>
      <c r="J23" s="34" t="s">
        <v>273</v>
      </c>
      <c r="K23" s="34" t="s">
        <v>155</v>
      </c>
      <c r="L23" s="34" t="s">
        <v>275</v>
      </c>
      <c r="M23" s="34" t="s">
        <v>423</v>
      </c>
      <c r="O23" s="34" t="s">
        <v>101</v>
      </c>
    </row>
    <row r="24" spans="1:16" ht="72">
      <c r="A24" s="34">
        <f>A23+1</f>
        <v>22</v>
      </c>
      <c r="B24" s="34" t="s">
        <v>276</v>
      </c>
      <c r="C24" s="34" t="s">
        <v>277</v>
      </c>
      <c r="D24" s="34" t="s">
        <v>396</v>
      </c>
      <c r="E24" s="33" t="s">
        <v>91</v>
      </c>
      <c r="G24" s="34" t="s">
        <v>278</v>
      </c>
      <c r="H24" s="34" t="s">
        <v>92</v>
      </c>
      <c r="J24" s="34" t="s">
        <v>279</v>
      </c>
      <c r="L24" s="34" t="s">
        <v>280</v>
      </c>
      <c r="M24" s="34" t="s">
        <v>281</v>
      </c>
      <c r="O24" s="34" t="s">
        <v>282</v>
      </c>
      <c r="P24" s="34" t="s">
        <v>383</v>
      </c>
    </row>
  </sheetData>
  <mergeCells count="1">
    <mergeCell ref="A1:D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E31"/>
  <sheetViews>
    <sheetView topLeftCell="A19" workbookViewId="0">
      <selection activeCell="B37" sqref="B37"/>
    </sheetView>
  </sheetViews>
  <sheetFormatPr defaultRowHeight="14.4"/>
  <cols>
    <col min="1" max="1" width="18.33203125" customWidth="1"/>
    <col min="2" max="2" width="146.6640625" style="44" customWidth="1"/>
    <col min="3" max="3" width="13.44140625" customWidth="1"/>
    <col min="4" max="4" width="18.6640625" customWidth="1"/>
    <col min="5" max="5" width="54.5546875" customWidth="1"/>
  </cols>
  <sheetData>
    <row r="1" spans="1:5" ht="45.75" customHeight="1">
      <c r="A1" s="215" t="s">
        <v>498</v>
      </c>
      <c r="B1" s="216"/>
      <c r="C1" s="216"/>
      <c r="D1" s="216"/>
    </row>
    <row r="2" spans="1:5" ht="28.5" customHeight="1" thickBot="1">
      <c r="A2" s="54" t="s">
        <v>117</v>
      </c>
      <c r="B2" s="54" t="s">
        <v>502</v>
      </c>
      <c r="C2" s="67" t="s">
        <v>537</v>
      </c>
    </row>
    <row r="3" spans="1:5" ht="28.5" customHeight="1" thickBot="1">
      <c r="A3" s="50" t="s">
        <v>397</v>
      </c>
      <c r="C3" s="79" t="s">
        <v>424</v>
      </c>
      <c r="D3" s="80" t="s">
        <v>425</v>
      </c>
      <c r="E3" s="71" t="s">
        <v>538</v>
      </c>
    </row>
    <row r="4" spans="1:5" ht="28.5" customHeight="1" thickBot="1">
      <c r="B4" s="62" t="s">
        <v>405</v>
      </c>
      <c r="C4" s="58" t="s">
        <v>426</v>
      </c>
      <c r="D4" s="59" t="s">
        <v>332</v>
      </c>
    </row>
    <row r="5" spans="1:5" ht="28.5" customHeight="1" thickBot="1">
      <c r="B5" s="44" t="s">
        <v>460</v>
      </c>
      <c r="C5" s="58" t="s">
        <v>427</v>
      </c>
      <c r="D5" s="59" t="s">
        <v>428</v>
      </c>
    </row>
    <row r="6" spans="1:5" ht="28.5" customHeight="1" thickBot="1">
      <c r="B6" s="44" t="s">
        <v>461</v>
      </c>
      <c r="C6" s="58" t="s">
        <v>429</v>
      </c>
      <c r="D6" s="59" t="s">
        <v>335</v>
      </c>
    </row>
    <row r="7" spans="1:5" ht="28.5" customHeight="1" thickBot="1">
      <c r="B7" s="62" t="s">
        <v>409</v>
      </c>
      <c r="C7" s="58" t="s">
        <v>430</v>
      </c>
      <c r="D7" s="59" t="s">
        <v>431</v>
      </c>
      <c r="E7" t="s">
        <v>466</v>
      </c>
    </row>
    <row r="8" spans="1:5" ht="28.5" customHeight="1" thickBot="1">
      <c r="B8" s="62" t="s">
        <v>464</v>
      </c>
      <c r="C8" s="58" t="s">
        <v>432</v>
      </c>
      <c r="D8" s="59" t="s">
        <v>338</v>
      </c>
    </row>
    <row r="9" spans="1:5" ht="35.25" customHeight="1" thickBot="1">
      <c r="B9" s="63"/>
      <c r="C9" s="58" t="s">
        <v>433</v>
      </c>
      <c r="D9" s="59" t="s">
        <v>341</v>
      </c>
    </row>
    <row r="10" spans="1:5" ht="28.5" customHeight="1" thickBot="1">
      <c r="A10" s="51" t="s">
        <v>463</v>
      </c>
      <c r="C10" s="58" t="s">
        <v>434</v>
      </c>
      <c r="D10" s="59" t="s">
        <v>435</v>
      </c>
    </row>
    <row r="11" spans="1:5" ht="28.5" customHeight="1" thickBot="1">
      <c r="B11" s="62" t="s">
        <v>408</v>
      </c>
      <c r="C11" s="58" t="s">
        <v>436</v>
      </c>
      <c r="D11" s="59" t="s">
        <v>437</v>
      </c>
    </row>
    <row r="12" spans="1:5" ht="28.5" customHeight="1" thickBot="1">
      <c r="B12" s="62" t="s">
        <v>398</v>
      </c>
      <c r="C12" s="58" t="s">
        <v>438</v>
      </c>
      <c r="D12" s="59" t="s">
        <v>439</v>
      </c>
    </row>
    <row r="13" spans="1:5" ht="28.5" customHeight="1" thickBot="1">
      <c r="B13" s="62" t="s">
        <v>407</v>
      </c>
      <c r="C13" s="58" t="s">
        <v>440</v>
      </c>
      <c r="D13" s="59" t="s">
        <v>441</v>
      </c>
    </row>
    <row r="14" spans="1:5" ht="28.5" customHeight="1" thickBot="1">
      <c r="B14" s="62" t="s">
        <v>465</v>
      </c>
      <c r="C14" s="58" t="s">
        <v>442</v>
      </c>
      <c r="D14" s="59" t="s">
        <v>443</v>
      </c>
    </row>
    <row r="15" spans="1:5" ht="34.5" customHeight="1" thickBot="1">
      <c r="B15" s="64"/>
      <c r="C15" s="58" t="s">
        <v>444</v>
      </c>
      <c r="D15" s="59" t="s">
        <v>445</v>
      </c>
    </row>
    <row r="16" spans="1:5" ht="28.5" customHeight="1" thickBot="1">
      <c r="A16" s="52" t="s">
        <v>399</v>
      </c>
      <c r="C16" s="58" t="s">
        <v>446</v>
      </c>
      <c r="D16" s="59" t="s">
        <v>447</v>
      </c>
    </row>
    <row r="17" spans="1:4" ht="35.25" customHeight="1" thickBot="1">
      <c r="B17" s="62" t="s">
        <v>400</v>
      </c>
      <c r="C17" s="58" t="s">
        <v>448</v>
      </c>
      <c r="D17" s="59" t="s">
        <v>449</v>
      </c>
    </row>
    <row r="18" spans="1:4" ht="28.5" customHeight="1" thickBot="1">
      <c r="B18" s="62" t="s">
        <v>401</v>
      </c>
      <c r="C18" s="58" t="s">
        <v>450</v>
      </c>
      <c r="D18" s="59" t="s">
        <v>451</v>
      </c>
    </row>
    <row r="19" spans="1:4" ht="28.5" customHeight="1" thickBot="1">
      <c r="B19" s="62"/>
      <c r="C19" s="58" t="s">
        <v>452</v>
      </c>
      <c r="D19" s="59" t="s">
        <v>453</v>
      </c>
    </row>
    <row r="20" spans="1:4" ht="28.5" customHeight="1" thickBot="1">
      <c r="A20" s="53" t="s">
        <v>492</v>
      </c>
      <c r="B20" s="26"/>
      <c r="C20" s="58" t="s">
        <v>454</v>
      </c>
      <c r="D20" s="59" t="s">
        <v>455</v>
      </c>
    </row>
    <row r="21" spans="1:4" ht="28.5" customHeight="1" thickBot="1">
      <c r="A21" s="53"/>
      <c r="B21" s="62" t="s">
        <v>469</v>
      </c>
      <c r="C21" s="58" t="s">
        <v>456</v>
      </c>
      <c r="D21" s="59" t="s">
        <v>457</v>
      </c>
    </row>
    <row r="22" spans="1:4" ht="36" customHeight="1" thickBot="1">
      <c r="A22" s="53"/>
      <c r="C22" s="58" t="s">
        <v>458</v>
      </c>
      <c r="D22" s="59" t="s">
        <v>459</v>
      </c>
    </row>
    <row r="23" spans="1:4" ht="28.5" customHeight="1" thickBot="1">
      <c r="A23" s="53"/>
      <c r="B23" s="62" t="s">
        <v>402</v>
      </c>
      <c r="C23" s="60"/>
      <c r="D23" s="61"/>
    </row>
    <row r="24" spans="1:4" ht="28.5" customHeight="1">
      <c r="A24" s="53"/>
    </row>
    <row r="25" spans="1:4" ht="36" customHeight="1">
      <c r="A25" s="53"/>
      <c r="B25" s="65" t="s">
        <v>404</v>
      </c>
    </row>
    <row r="26" spans="1:4" ht="28.5" customHeight="1">
      <c r="A26" s="53"/>
    </row>
    <row r="27" spans="1:4" ht="34.5" customHeight="1">
      <c r="A27" s="53"/>
      <c r="B27" s="62" t="s">
        <v>403</v>
      </c>
    </row>
    <row r="28" spans="1:4" ht="26.25" customHeight="1">
      <c r="A28" s="53"/>
    </row>
    <row r="29" spans="1:4" ht="32.25" customHeight="1">
      <c r="A29" s="53"/>
      <c r="B29" s="62" t="s">
        <v>406</v>
      </c>
    </row>
    <row r="30" spans="1:4" ht="26.25" customHeight="1"/>
    <row r="31" spans="1:4" ht="37.5" customHeight="1"/>
  </sheetData>
  <mergeCells count="1">
    <mergeCell ref="A1:D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E40"/>
  <sheetViews>
    <sheetView workbookViewId="0">
      <selection activeCell="E13" sqref="E13"/>
    </sheetView>
  </sheetViews>
  <sheetFormatPr defaultRowHeight="14.4"/>
  <cols>
    <col min="1" max="1" width="21" customWidth="1"/>
    <col min="2" max="2" width="45.109375" customWidth="1"/>
    <col min="3" max="3" width="36" customWidth="1"/>
    <col min="4" max="4" width="26.44140625" customWidth="1"/>
    <col min="5" max="5" width="40.5546875" customWidth="1"/>
    <col min="257" max="257" width="12.88671875" customWidth="1"/>
    <col min="258" max="258" width="45.109375" customWidth="1"/>
    <col min="259" max="259" width="36" customWidth="1"/>
    <col min="260" max="260" width="33.5546875" customWidth="1"/>
    <col min="513" max="513" width="12.88671875" customWidth="1"/>
    <col min="514" max="514" width="45.109375" customWidth="1"/>
    <col min="515" max="515" width="36" customWidth="1"/>
    <col min="516" max="516" width="33.5546875" customWidth="1"/>
    <col min="769" max="769" width="12.88671875" customWidth="1"/>
    <col min="770" max="770" width="45.109375" customWidth="1"/>
    <col min="771" max="771" width="36" customWidth="1"/>
    <col min="772" max="772" width="33.5546875" customWidth="1"/>
    <col min="1025" max="1025" width="12.88671875" customWidth="1"/>
    <col min="1026" max="1026" width="45.109375" customWidth="1"/>
    <col min="1027" max="1027" width="36" customWidth="1"/>
    <col min="1028" max="1028" width="33.5546875" customWidth="1"/>
    <col min="1281" max="1281" width="12.88671875" customWidth="1"/>
    <col min="1282" max="1282" width="45.109375" customWidth="1"/>
    <col min="1283" max="1283" width="36" customWidth="1"/>
    <col min="1284" max="1284" width="33.5546875" customWidth="1"/>
    <col min="1537" max="1537" width="12.88671875" customWidth="1"/>
    <col min="1538" max="1538" width="45.109375" customWidth="1"/>
    <col min="1539" max="1539" width="36" customWidth="1"/>
    <col min="1540" max="1540" width="33.5546875" customWidth="1"/>
    <col min="1793" max="1793" width="12.88671875" customWidth="1"/>
    <col min="1794" max="1794" width="45.109375" customWidth="1"/>
    <col min="1795" max="1795" width="36" customWidth="1"/>
    <col min="1796" max="1796" width="33.5546875" customWidth="1"/>
    <col min="2049" max="2049" width="12.88671875" customWidth="1"/>
    <col min="2050" max="2050" width="45.109375" customWidth="1"/>
    <col min="2051" max="2051" width="36" customWidth="1"/>
    <col min="2052" max="2052" width="33.5546875" customWidth="1"/>
    <col min="2305" max="2305" width="12.88671875" customWidth="1"/>
    <col min="2306" max="2306" width="45.109375" customWidth="1"/>
    <col min="2307" max="2307" width="36" customWidth="1"/>
    <col min="2308" max="2308" width="33.5546875" customWidth="1"/>
    <col min="2561" max="2561" width="12.88671875" customWidth="1"/>
    <col min="2562" max="2562" width="45.109375" customWidth="1"/>
    <col min="2563" max="2563" width="36" customWidth="1"/>
    <col min="2564" max="2564" width="33.5546875" customWidth="1"/>
    <col min="2817" max="2817" width="12.88671875" customWidth="1"/>
    <col min="2818" max="2818" width="45.109375" customWidth="1"/>
    <col min="2819" max="2819" width="36" customWidth="1"/>
    <col min="2820" max="2820" width="33.5546875" customWidth="1"/>
    <col min="3073" max="3073" width="12.88671875" customWidth="1"/>
    <col min="3074" max="3074" width="45.109375" customWidth="1"/>
    <col min="3075" max="3075" width="36" customWidth="1"/>
    <col min="3076" max="3076" width="33.5546875" customWidth="1"/>
    <col min="3329" max="3329" width="12.88671875" customWidth="1"/>
    <col min="3330" max="3330" width="45.109375" customWidth="1"/>
    <col min="3331" max="3331" width="36" customWidth="1"/>
    <col min="3332" max="3332" width="33.5546875" customWidth="1"/>
    <col min="3585" max="3585" width="12.88671875" customWidth="1"/>
    <col min="3586" max="3586" width="45.109375" customWidth="1"/>
    <col min="3587" max="3587" width="36" customWidth="1"/>
    <col min="3588" max="3588" width="33.5546875" customWidth="1"/>
    <col min="3841" max="3841" width="12.88671875" customWidth="1"/>
    <col min="3842" max="3842" width="45.109375" customWidth="1"/>
    <col min="3843" max="3843" width="36" customWidth="1"/>
    <col min="3844" max="3844" width="33.5546875" customWidth="1"/>
    <col min="4097" max="4097" width="12.88671875" customWidth="1"/>
    <col min="4098" max="4098" width="45.109375" customWidth="1"/>
    <col min="4099" max="4099" width="36" customWidth="1"/>
    <col min="4100" max="4100" width="33.5546875" customWidth="1"/>
    <col min="4353" max="4353" width="12.88671875" customWidth="1"/>
    <col min="4354" max="4354" width="45.109375" customWidth="1"/>
    <col min="4355" max="4355" width="36" customWidth="1"/>
    <col min="4356" max="4356" width="33.5546875" customWidth="1"/>
    <col min="4609" max="4609" width="12.88671875" customWidth="1"/>
    <col min="4610" max="4610" width="45.109375" customWidth="1"/>
    <col min="4611" max="4611" width="36" customWidth="1"/>
    <col min="4612" max="4612" width="33.5546875" customWidth="1"/>
    <col min="4865" max="4865" width="12.88671875" customWidth="1"/>
    <col min="4866" max="4866" width="45.109375" customWidth="1"/>
    <col min="4867" max="4867" width="36" customWidth="1"/>
    <col min="4868" max="4868" width="33.5546875" customWidth="1"/>
    <col min="5121" max="5121" width="12.88671875" customWidth="1"/>
    <col min="5122" max="5122" width="45.109375" customWidth="1"/>
    <col min="5123" max="5123" width="36" customWidth="1"/>
    <col min="5124" max="5124" width="33.5546875" customWidth="1"/>
    <col min="5377" max="5377" width="12.88671875" customWidth="1"/>
    <col min="5378" max="5378" width="45.109375" customWidth="1"/>
    <col min="5379" max="5379" width="36" customWidth="1"/>
    <col min="5380" max="5380" width="33.5546875" customWidth="1"/>
    <col min="5633" max="5633" width="12.88671875" customWidth="1"/>
    <col min="5634" max="5634" width="45.109375" customWidth="1"/>
    <col min="5635" max="5635" width="36" customWidth="1"/>
    <col min="5636" max="5636" width="33.5546875" customWidth="1"/>
    <col min="5889" max="5889" width="12.88671875" customWidth="1"/>
    <col min="5890" max="5890" width="45.109375" customWidth="1"/>
    <col min="5891" max="5891" width="36" customWidth="1"/>
    <col min="5892" max="5892" width="33.5546875" customWidth="1"/>
    <col min="6145" max="6145" width="12.88671875" customWidth="1"/>
    <col min="6146" max="6146" width="45.109375" customWidth="1"/>
    <col min="6147" max="6147" width="36" customWidth="1"/>
    <col min="6148" max="6148" width="33.5546875" customWidth="1"/>
    <col min="6401" max="6401" width="12.88671875" customWidth="1"/>
    <col min="6402" max="6402" width="45.109375" customWidth="1"/>
    <col min="6403" max="6403" width="36" customWidth="1"/>
    <col min="6404" max="6404" width="33.5546875" customWidth="1"/>
    <col min="6657" max="6657" width="12.88671875" customWidth="1"/>
    <col min="6658" max="6658" width="45.109375" customWidth="1"/>
    <col min="6659" max="6659" width="36" customWidth="1"/>
    <col min="6660" max="6660" width="33.5546875" customWidth="1"/>
    <col min="6913" max="6913" width="12.88671875" customWidth="1"/>
    <col min="6914" max="6914" width="45.109375" customWidth="1"/>
    <col min="6915" max="6915" width="36" customWidth="1"/>
    <col min="6916" max="6916" width="33.5546875" customWidth="1"/>
    <col min="7169" max="7169" width="12.88671875" customWidth="1"/>
    <col min="7170" max="7170" width="45.109375" customWidth="1"/>
    <col min="7171" max="7171" width="36" customWidth="1"/>
    <col min="7172" max="7172" width="33.5546875" customWidth="1"/>
    <col min="7425" max="7425" width="12.88671875" customWidth="1"/>
    <col min="7426" max="7426" width="45.109375" customWidth="1"/>
    <col min="7427" max="7427" width="36" customWidth="1"/>
    <col min="7428" max="7428" width="33.5546875" customWidth="1"/>
    <col min="7681" max="7681" width="12.88671875" customWidth="1"/>
    <col min="7682" max="7682" width="45.109375" customWidth="1"/>
    <col min="7683" max="7683" width="36" customWidth="1"/>
    <col min="7684" max="7684" width="33.5546875" customWidth="1"/>
    <col min="7937" max="7937" width="12.88671875" customWidth="1"/>
    <col min="7938" max="7938" width="45.109375" customWidth="1"/>
    <col min="7939" max="7939" width="36" customWidth="1"/>
    <col min="7940" max="7940" width="33.5546875" customWidth="1"/>
    <col min="8193" max="8193" width="12.88671875" customWidth="1"/>
    <col min="8194" max="8194" width="45.109375" customWidth="1"/>
    <col min="8195" max="8195" width="36" customWidth="1"/>
    <col min="8196" max="8196" width="33.5546875" customWidth="1"/>
    <col min="8449" max="8449" width="12.88671875" customWidth="1"/>
    <col min="8450" max="8450" width="45.109375" customWidth="1"/>
    <col min="8451" max="8451" width="36" customWidth="1"/>
    <col min="8452" max="8452" width="33.5546875" customWidth="1"/>
    <col min="8705" max="8705" width="12.88671875" customWidth="1"/>
    <col min="8706" max="8706" width="45.109375" customWidth="1"/>
    <col min="8707" max="8707" width="36" customWidth="1"/>
    <col min="8708" max="8708" width="33.5546875" customWidth="1"/>
    <col min="8961" max="8961" width="12.88671875" customWidth="1"/>
    <col min="8962" max="8962" width="45.109375" customWidth="1"/>
    <col min="8963" max="8963" width="36" customWidth="1"/>
    <col min="8964" max="8964" width="33.5546875" customWidth="1"/>
    <col min="9217" max="9217" width="12.88671875" customWidth="1"/>
    <col min="9218" max="9218" width="45.109375" customWidth="1"/>
    <col min="9219" max="9219" width="36" customWidth="1"/>
    <col min="9220" max="9220" width="33.5546875" customWidth="1"/>
    <col min="9473" max="9473" width="12.88671875" customWidth="1"/>
    <col min="9474" max="9474" width="45.109375" customWidth="1"/>
    <col min="9475" max="9475" width="36" customWidth="1"/>
    <col min="9476" max="9476" width="33.5546875" customWidth="1"/>
    <col min="9729" max="9729" width="12.88671875" customWidth="1"/>
    <col min="9730" max="9730" width="45.109375" customWidth="1"/>
    <col min="9731" max="9731" width="36" customWidth="1"/>
    <col min="9732" max="9732" width="33.5546875" customWidth="1"/>
    <col min="9985" max="9985" width="12.88671875" customWidth="1"/>
    <col min="9986" max="9986" width="45.109375" customWidth="1"/>
    <col min="9987" max="9987" width="36" customWidth="1"/>
    <col min="9988" max="9988" width="33.5546875" customWidth="1"/>
    <col min="10241" max="10241" width="12.88671875" customWidth="1"/>
    <col min="10242" max="10242" width="45.109375" customWidth="1"/>
    <col min="10243" max="10243" width="36" customWidth="1"/>
    <col min="10244" max="10244" width="33.5546875" customWidth="1"/>
    <col min="10497" max="10497" width="12.88671875" customWidth="1"/>
    <col min="10498" max="10498" width="45.109375" customWidth="1"/>
    <col min="10499" max="10499" width="36" customWidth="1"/>
    <col min="10500" max="10500" width="33.5546875" customWidth="1"/>
    <col min="10753" max="10753" width="12.88671875" customWidth="1"/>
    <col min="10754" max="10754" width="45.109375" customWidth="1"/>
    <col min="10755" max="10755" width="36" customWidth="1"/>
    <col min="10756" max="10756" width="33.5546875" customWidth="1"/>
    <col min="11009" max="11009" width="12.88671875" customWidth="1"/>
    <col min="11010" max="11010" width="45.109375" customWidth="1"/>
    <col min="11011" max="11011" width="36" customWidth="1"/>
    <col min="11012" max="11012" width="33.5546875" customWidth="1"/>
    <col min="11265" max="11265" width="12.88671875" customWidth="1"/>
    <col min="11266" max="11266" width="45.109375" customWidth="1"/>
    <col min="11267" max="11267" width="36" customWidth="1"/>
    <col min="11268" max="11268" width="33.5546875" customWidth="1"/>
    <col min="11521" max="11521" width="12.88671875" customWidth="1"/>
    <col min="11522" max="11522" width="45.109375" customWidth="1"/>
    <col min="11523" max="11523" width="36" customWidth="1"/>
    <col min="11524" max="11524" width="33.5546875" customWidth="1"/>
    <col min="11777" max="11777" width="12.88671875" customWidth="1"/>
    <col min="11778" max="11778" width="45.109375" customWidth="1"/>
    <col min="11779" max="11779" width="36" customWidth="1"/>
    <col min="11780" max="11780" width="33.5546875" customWidth="1"/>
    <col min="12033" max="12033" width="12.88671875" customWidth="1"/>
    <col min="12034" max="12034" width="45.109375" customWidth="1"/>
    <col min="12035" max="12035" width="36" customWidth="1"/>
    <col min="12036" max="12036" width="33.5546875" customWidth="1"/>
    <col min="12289" max="12289" width="12.88671875" customWidth="1"/>
    <col min="12290" max="12290" width="45.109375" customWidth="1"/>
    <col min="12291" max="12291" width="36" customWidth="1"/>
    <col min="12292" max="12292" width="33.5546875" customWidth="1"/>
    <col min="12545" max="12545" width="12.88671875" customWidth="1"/>
    <col min="12546" max="12546" width="45.109375" customWidth="1"/>
    <col min="12547" max="12547" width="36" customWidth="1"/>
    <col min="12548" max="12548" width="33.5546875" customWidth="1"/>
    <col min="12801" max="12801" width="12.88671875" customWidth="1"/>
    <col min="12802" max="12802" width="45.109375" customWidth="1"/>
    <col min="12803" max="12803" width="36" customWidth="1"/>
    <col min="12804" max="12804" width="33.5546875" customWidth="1"/>
    <col min="13057" max="13057" width="12.88671875" customWidth="1"/>
    <col min="13058" max="13058" width="45.109375" customWidth="1"/>
    <col min="13059" max="13059" width="36" customWidth="1"/>
    <col min="13060" max="13060" width="33.5546875" customWidth="1"/>
    <col min="13313" max="13313" width="12.88671875" customWidth="1"/>
    <col min="13314" max="13314" width="45.109375" customWidth="1"/>
    <col min="13315" max="13315" width="36" customWidth="1"/>
    <col min="13316" max="13316" width="33.5546875" customWidth="1"/>
    <col min="13569" max="13569" width="12.88671875" customWidth="1"/>
    <col min="13570" max="13570" width="45.109375" customWidth="1"/>
    <col min="13571" max="13571" width="36" customWidth="1"/>
    <col min="13572" max="13572" width="33.5546875" customWidth="1"/>
    <col min="13825" max="13825" width="12.88671875" customWidth="1"/>
    <col min="13826" max="13826" width="45.109375" customWidth="1"/>
    <col min="13827" max="13827" width="36" customWidth="1"/>
    <col min="13828" max="13828" width="33.5546875" customWidth="1"/>
    <col min="14081" max="14081" width="12.88671875" customWidth="1"/>
    <col min="14082" max="14082" width="45.109375" customWidth="1"/>
    <col min="14083" max="14083" width="36" customWidth="1"/>
    <col min="14084" max="14084" width="33.5546875" customWidth="1"/>
    <col min="14337" max="14337" width="12.88671875" customWidth="1"/>
    <col min="14338" max="14338" width="45.109375" customWidth="1"/>
    <col min="14339" max="14339" width="36" customWidth="1"/>
    <col min="14340" max="14340" width="33.5546875" customWidth="1"/>
    <col min="14593" max="14593" width="12.88671875" customWidth="1"/>
    <col min="14594" max="14594" width="45.109375" customWidth="1"/>
    <col min="14595" max="14595" width="36" customWidth="1"/>
    <col min="14596" max="14596" width="33.5546875" customWidth="1"/>
    <col min="14849" max="14849" width="12.88671875" customWidth="1"/>
    <col min="14850" max="14850" width="45.109375" customWidth="1"/>
    <col min="14851" max="14851" width="36" customWidth="1"/>
    <col min="14852" max="14852" width="33.5546875" customWidth="1"/>
    <col min="15105" max="15105" width="12.88671875" customWidth="1"/>
    <col min="15106" max="15106" width="45.109375" customWidth="1"/>
    <col min="15107" max="15107" width="36" customWidth="1"/>
    <col min="15108" max="15108" width="33.5546875" customWidth="1"/>
    <col min="15361" max="15361" width="12.88671875" customWidth="1"/>
    <col min="15362" max="15362" width="45.109375" customWidth="1"/>
    <col min="15363" max="15363" width="36" customWidth="1"/>
    <col min="15364" max="15364" width="33.5546875" customWidth="1"/>
    <col min="15617" max="15617" width="12.88671875" customWidth="1"/>
    <col min="15618" max="15618" width="45.109375" customWidth="1"/>
    <col min="15619" max="15619" width="36" customWidth="1"/>
    <col min="15620" max="15620" width="33.5546875" customWidth="1"/>
    <col min="15873" max="15873" width="12.88671875" customWidth="1"/>
    <col min="15874" max="15874" width="45.109375" customWidth="1"/>
    <col min="15875" max="15875" width="36" customWidth="1"/>
    <col min="15876" max="15876" width="33.5546875" customWidth="1"/>
    <col min="16129" max="16129" width="12.88671875" customWidth="1"/>
    <col min="16130" max="16130" width="45.109375" customWidth="1"/>
    <col min="16131" max="16131" width="36" customWidth="1"/>
    <col min="16132" max="16132" width="33.5546875" customWidth="1"/>
  </cols>
  <sheetData>
    <row r="1" spans="1:4" ht="45" customHeight="1">
      <c r="A1" s="215" t="s">
        <v>517</v>
      </c>
      <c r="B1" s="216"/>
      <c r="C1" s="216"/>
      <c r="D1" s="216"/>
    </row>
    <row r="2" spans="1:4" ht="29.25" customHeight="1">
      <c r="A2" s="69" t="s">
        <v>494</v>
      </c>
      <c r="B2" s="68"/>
    </row>
    <row r="3" spans="1:4" s="46" customFormat="1" ht="29.25" customHeight="1">
      <c r="A3" s="57" t="s">
        <v>328</v>
      </c>
      <c r="B3" s="57" t="s">
        <v>329</v>
      </c>
      <c r="C3" s="57" t="s">
        <v>330</v>
      </c>
      <c r="D3" s="57" t="s">
        <v>331</v>
      </c>
    </row>
    <row r="4" spans="1:4" ht="29.25" customHeight="1">
      <c r="A4" s="41">
        <v>22122</v>
      </c>
      <c r="B4" s="41" t="s">
        <v>332</v>
      </c>
      <c r="C4" s="41" t="s">
        <v>333</v>
      </c>
      <c r="D4" s="41" t="s">
        <v>334</v>
      </c>
    </row>
    <row r="5" spans="1:4" ht="29.25" customHeight="1">
      <c r="A5" s="41">
        <v>22123</v>
      </c>
      <c r="B5" s="41" t="s">
        <v>335</v>
      </c>
      <c r="C5" s="41" t="s">
        <v>336</v>
      </c>
      <c r="D5" s="41" t="s">
        <v>337</v>
      </c>
    </row>
    <row r="6" spans="1:4" ht="29.25" customHeight="1">
      <c r="A6" s="41">
        <v>22124</v>
      </c>
      <c r="B6" s="41" t="s">
        <v>338</v>
      </c>
      <c r="C6" s="41" t="s">
        <v>339</v>
      </c>
      <c r="D6" s="41" t="s">
        <v>340</v>
      </c>
    </row>
    <row r="7" spans="1:4" ht="29.25" customHeight="1">
      <c r="A7" s="41">
        <v>22126</v>
      </c>
      <c r="B7" s="41" t="s">
        <v>341</v>
      </c>
      <c r="C7" s="41" t="s">
        <v>342</v>
      </c>
      <c r="D7" s="41" t="s">
        <v>343</v>
      </c>
    </row>
    <row r="8" spans="1:4" ht="29.25" customHeight="1">
      <c r="A8" s="41">
        <v>22129</v>
      </c>
      <c r="B8" s="41" t="s">
        <v>78</v>
      </c>
      <c r="C8" s="41" t="s">
        <v>344</v>
      </c>
      <c r="D8" s="41" t="s">
        <v>499</v>
      </c>
    </row>
    <row r="9" spans="1:4" ht="29.25" customHeight="1">
      <c r="A9" s="41">
        <v>22146</v>
      </c>
      <c r="B9" s="41" t="s">
        <v>345</v>
      </c>
      <c r="C9" s="41" t="s">
        <v>346</v>
      </c>
      <c r="D9" s="41" t="s">
        <v>499</v>
      </c>
    </row>
    <row r="10" spans="1:4" ht="29.25" customHeight="1">
      <c r="A10" s="41">
        <v>22153</v>
      </c>
      <c r="B10" s="41" t="s">
        <v>347</v>
      </c>
      <c r="C10" s="41" t="s">
        <v>348</v>
      </c>
      <c r="D10" s="41" t="s">
        <v>499</v>
      </c>
    </row>
    <row r="11" spans="1:4" ht="29.25" customHeight="1">
      <c r="A11" s="41">
        <v>22156</v>
      </c>
      <c r="B11" s="41" t="s">
        <v>349</v>
      </c>
      <c r="C11" s="41" t="s">
        <v>350</v>
      </c>
      <c r="D11" s="41" t="s">
        <v>499</v>
      </c>
    </row>
    <row r="12" spans="1:4" ht="29.25" customHeight="1">
      <c r="A12" s="41">
        <v>22157</v>
      </c>
      <c r="B12" s="41" t="s">
        <v>351</v>
      </c>
      <c r="C12" s="41" t="s">
        <v>352</v>
      </c>
      <c r="D12" s="41" t="s">
        <v>499</v>
      </c>
    </row>
    <row r="13" spans="1:4" ht="29.25" customHeight="1">
      <c r="A13" s="41">
        <v>22167</v>
      </c>
      <c r="B13" s="41" t="s">
        <v>353</v>
      </c>
      <c r="C13" s="41" t="s">
        <v>354</v>
      </c>
      <c r="D13" s="41" t="s">
        <v>499</v>
      </c>
    </row>
    <row r="14" spans="1:4" ht="29.25" customHeight="1">
      <c r="A14" s="41">
        <v>63089</v>
      </c>
      <c r="B14" s="41" t="s">
        <v>355</v>
      </c>
      <c r="C14" s="41" t="s">
        <v>356</v>
      </c>
      <c r="D14" s="41" t="s">
        <v>499</v>
      </c>
    </row>
    <row r="15" spans="1:4" ht="29.25" customHeight="1">
      <c r="A15" s="41">
        <v>63090</v>
      </c>
      <c r="B15" s="41" t="s">
        <v>357</v>
      </c>
      <c r="C15" s="41" t="s">
        <v>358</v>
      </c>
      <c r="D15" s="41" t="s">
        <v>499</v>
      </c>
    </row>
    <row r="16" spans="1:4" ht="29.25" customHeight="1"/>
    <row r="17" spans="1:5" ht="29.25" customHeight="1">
      <c r="A17" s="69" t="s">
        <v>495</v>
      </c>
      <c r="B17" s="68"/>
    </row>
    <row r="18" spans="1:5" s="46" customFormat="1" ht="29.25" customHeight="1">
      <c r="A18" s="55" t="s">
        <v>359</v>
      </c>
      <c r="B18" s="55" t="s">
        <v>360</v>
      </c>
      <c r="C18" s="55" t="s">
        <v>361</v>
      </c>
      <c r="D18" s="55" t="s">
        <v>362</v>
      </c>
      <c r="E18" s="56" t="s">
        <v>462</v>
      </c>
    </row>
    <row r="19" spans="1:5" ht="29.25" customHeight="1">
      <c r="A19" s="48">
        <v>2011</v>
      </c>
      <c r="B19" s="48" t="s">
        <v>363</v>
      </c>
      <c r="C19" s="48" t="s">
        <v>364</v>
      </c>
      <c r="D19" s="48">
        <v>5000</v>
      </c>
      <c r="E19" t="s">
        <v>101</v>
      </c>
    </row>
    <row r="20" spans="1:5" ht="29.25" customHeight="1">
      <c r="A20" s="48">
        <v>2011</v>
      </c>
      <c r="B20" s="48" t="s">
        <v>363</v>
      </c>
      <c r="C20" s="48" t="s">
        <v>364</v>
      </c>
      <c r="D20" s="48">
        <v>5000</v>
      </c>
      <c r="E20" t="s">
        <v>101</v>
      </c>
    </row>
    <row r="21" spans="1:5" ht="29.25" customHeight="1">
      <c r="A21" s="48">
        <v>2011</v>
      </c>
      <c r="B21" s="48" t="s">
        <v>363</v>
      </c>
      <c r="C21" s="48" t="s">
        <v>364</v>
      </c>
      <c r="D21" s="48">
        <v>5000</v>
      </c>
      <c r="E21" t="s">
        <v>101</v>
      </c>
    </row>
    <row r="22" spans="1:5" ht="29.25" customHeight="1">
      <c r="A22" s="48">
        <v>2011</v>
      </c>
      <c r="B22" s="48" t="s">
        <v>365</v>
      </c>
      <c r="C22" s="48" t="s">
        <v>366</v>
      </c>
      <c r="D22" s="48">
        <v>7500</v>
      </c>
      <c r="E22" t="s">
        <v>101</v>
      </c>
    </row>
    <row r="23" spans="1:5" ht="29.25" customHeight="1">
      <c r="A23" s="48">
        <v>2012</v>
      </c>
      <c r="B23" s="48" t="s">
        <v>367</v>
      </c>
      <c r="C23" s="48" t="s">
        <v>368</v>
      </c>
      <c r="D23" s="48">
        <v>1500</v>
      </c>
      <c r="E23" t="s">
        <v>101</v>
      </c>
    </row>
    <row r="24" spans="1:5" ht="29.25" customHeight="1">
      <c r="A24" s="48">
        <v>2012</v>
      </c>
      <c r="B24" s="48" t="s">
        <v>369</v>
      </c>
      <c r="C24" s="48" t="s">
        <v>370</v>
      </c>
      <c r="D24" s="48"/>
      <c r="E24" t="s">
        <v>101</v>
      </c>
    </row>
    <row r="25" spans="1:5" ht="29.25" customHeight="1">
      <c r="A25" s="48">
        <v>2013</v>
      </c>
      <c r="B25" s="48" t="s">
        <v>371</v>
      </c>
      <c r="C25" s="48" t="s">
        <v>372</v>
      </c>
      <c r="D25" s="48">
        <v>4000</v>
      </c>
      <c r="E25" t="s">
        <v>101</v>
      </c>
    </row>
    <row r="26" spans="1:5" ht="29.25" customHeight="1">
      <c r="A26" s="48">
        <v>2013</v>
      </c>
      <c r="B26" s="48" t="s">
        <v>373</v>
      </c>
      <c r="C26" s="48" t="s">
        <v>374</v>
      </c>
      <c r="D26" s="48">
        <v>10000</v>
      </c>
      <c r="E26" t="s">
        <v>101</v>
      </c>
    </row>
    <row r="27" spans="1:5" ht="29.25" customHeight="1">
      <c r="A27" s="48">
        <v>2014</v>
      </c>
      <c r="B27" s="48" t="s">
        <v>375</v>
      </c>
      <c r="C27" s="48" t="s">
        <v>376</v>
      </c>
      <c r="D27" s="48">
        <v>500</v>
      </c>
    </row>
    <row r="28" spans="1:5" ht="29.25" customHeight="1">
      <c r="A28" s="48">
        <v>2014</v>
      </c>
      <c r="B28" s="48" t="s">
        <v>377</v>
      </c>
      <c r="C28" s="48"/>
      <c r="D28" s="48">
        <v>600</v>
      </c>
    </row>
    <row r="29" spans="1:5" ht="29.25" customHeight="1">
      <c r="A29" s="48">
        <v>2015</v>
      </c>
      <c r="B29" s="48" t="s">
        <v>378</v>
      </c>
      <c r="C29" s="48"/>
      <c r="D29" s="48">
        <v>7500</v>
      </c>
    </row>
    <row r="30" spans="1:5" ht="29.25" customHeight="1">
      <c r="A30" s="48">
        <v>2017</v>
      </c>
      <c r="B30" s="48" t="s">
        <v>341</v>
      </c>
      <c r="C30" s="48" t="s">
        <v>342</v>
      </c>
      <c r="D30" s="48">
        <v>6000</v>
      </c>
      <c r="E30" s="45" t="s">
        <v>390</v>
      </c>
    </row>
    <row r="31" spans="1:5" ht="29.25" customHeight="1">
      <c r="A31" s="48">
        <v>2019</v>
      </c>
      <c r="B31" s="48" t="s">
        <v>338</v>
      </c>
      <c r="C31" s="48" t="s">
        <v>339</v>
      </c>
      <c r="D31" s="48">
        <v>6000</v>
      </c>
      <c r="E31" s="45" t="s">
        <v>391</v>
      </c>
    </row>
    <row r="32" spans="1:5" ht="29.25" customHeight="1">
      <c r="A32" s="48">
        <v>2021</v>
      </c>
      <c r="B32" s="48" t="s">
        <v>335</v>
      </c>
      <c r="C32" s="48" t="s">
        <v>336</v>
      </c>
      <c r="D32" s="48">
        <v>6000</v>
      </c>
      <c r="E32" s="45" t="s">
        <v>392</v>
      </c>
    </row>
    <row r="33" spans="1:5" ht="29.25" customHeight="1">
      <c r="A33" s="48">
        <v>2022</v>
      </c>
      <c r="B33" s="48" t="s">
        <v>332</v>
      </c>
      <c r="C33" s="48" t="s">
        <v>333</v>
      </c>
      <c r="D33" s="48">
        <v>5000</v>
      </c>
      <c r="E33" s="45" t="s">
        <v>393</v>
      </c>
    </row>
    <row r="34" spans="1:5" ht="29.25" customHeight="1"/>
    <row r="35" spans="1:5" ht="29.25" customHeight="1"/>
    <row r="36" spans="1:5" ht="29.25" customHeight="1">
      <c r="A36" s="217" t="s">
        <v>503</v>
      </c>
      <c r="B36" s="218"/>
    </row>
    <row r="37" spans="1:5" ht="29.25" customHeight="1"/>
    <row r="38" spans="1:5" ht="29.25" customHeight="1">
      <c r="A38" s="75" t="s">
        <v>486</v>
      </c>
      <c r="B38" s="68"/>
    </row>
    <row r="39" spans="1:5" ht="29.25" customHeight="1"/>
    <row r="40" spans="1:5" ht="29.25" customHeight="1">
      <c r="A40" s="75" t="s">
        <v>487</v>
      </c>
      <c r="B40" s="68"/>
      <c r="C40" s="68"/>
    </row>
  </sheetData>
  <sortState ref="A31:D34">
    <sortCondition ref="A31:A34"/>
  </sortState>
  <mergeCells count="2">
    <mergeCell ref="A36:B36"/>
    <mergeCell ref="A1:D1"/>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55"/>
  <sheetViews>
    <sheetView topLeftCell="A16" workbookViewId="0">
      <selection activeCell="B6" sqref="B6"/>
    </sheetView>
  </sheetViews>
  <sheetFormatPr defaultRowHeight="14.4"/>
  <cols>
    <col min="1" max="1" width="57.33203125" customWidth="1"/>
    <col min="2" max="2" width="51" customWidth="1"/>
    <col min="3" max="3" width="45.5546875" customWidth="1"/>
  </cols>
  <sheetData>
    <row r="1" spans="1:4" ht="45" customHeight="1">
      <c r="A1" s="215" t="s">
        <v>518</v>
      </c>
      <c r="B1" s="216"/>
      <c r="C1" s="216"/>
      <c r="D1" s="216"/>
    </row>
    <row r="2" spans="1:4" s="47" customFormat="1" ht="39" customHeight="1">
      <c r="A2" s="81" t="s">
        <v>117</v>
      </c>
      <c r="B2" s="81" t="s">
        <v>501</v>
      </c>
      <c r="C2" s="84" t="s">
        <v>489</v>
      </c>
    </row>
    <row r="3" spans="1:4" s="24" customFormat="1" ht="41.25" customHeight="1">
      <c r="A3" s="29" t="s">
        <v>128</v>
      </c>
    </row>
    <row r="4" spans="1:4" s="24" customFormat="1" ht="41.25" customHeight="1">
      <c r="A4" s="24" t="s">
        <v>483</v>
      </c>
      <c r="B4" s="24" t="s">
        <v>509</v>
      </c>
    </row>
    <row r="5" spans="1:4" s="24" customFormat="1" ht="41.25" customHeight="1">
      <c r="A5" s="24" t="s">
        <v>484</v>
      </c>
      <c r="B5" s="24" t="s">
        <v>467</v>
      </c>
    </row>
    <row r="6" spans="1:4" s="42" customFormat="1" ht="41.25" customHeight="1"/>
    <row r="7" spans="1:4" s="42" customFormat="1" ht="41.25" customHeight="1">
      <c r="A7" s="29" t="s">
        <v>510</v>
      </c>
      <c r="C7" s="29"/>
    </row>
    <row r="8" spans="1:4" s="24" customFormat="1" ht="41.25" customHeight="1">
      <c r="A8" s="24" t="s">
        <v>505</v>
      </c>
      <c r="B8" s="42" t="s">
        <v>507</v>
      </c>
    </row>
    <row r="9" spans="1:4" ht="41.25" customHeight="1">
      <c r="A9" t="s">
        <v>506</v>
      </c>
      <c r="B9" t="s">
        <v>508</v>
      </c>
    </row>
    <row r="10" spans="1:4" ht="41.25" customHeight="1"/>
    <row r="11" spans="1:4" ht="41.25" customHeight="1">
      <c r="A11" s="66" t="s">
        <v>511</v>
      </c>
    </row>
    <row r="12" spans="1:4" ht="41.25" customHeight="1">
      <c r="A12" s="44" t="s">
        <v>519</v>
      </c>
      <c r="B12" t="s">
        <v>504</v>
      </c>
    </row>
    <row r="13" spans="1:4" ht="41.25" customHeight="1">
      <c r="A13" s="44" t="s">
        <v>524</v>
      </c>
      <c r="B13" t="s">
        <v>504</v>
      </c>
    </row>
    <row r="14" spans="1:4" ht="41.25" customHeight="1">
      <c r="A14" s="44" t="s">
        <v>488</v>
      </c>
      <c r="B14" t="s">
        <v>504</v>
      </c>
    </row>
    <row r="15" spans="1:4" ht="41.25" customHeight="1">
      <c r="A15" s="44" t="s">
        <v>525</v>
      </c>
      <c r="B15" t="s">
        <v>504</v>
      </c>
    </row>
    <row r="16" spans="1:4" ht="41.25" customHeight="1">
      <c r="A16" s="44" t="s">
        <v>520</v>
      </c>
      <c r="B16" t="s">
        <v>504</v>
      </c>
    </row>
    <row r="17" spans="1:1" ht="41.25" customHeight="1"/>
    <row r="18" spans="1:1" ht="41.25" customHeight="1"/>
    <row r="19" spans="1:1" ht="41.25" customHeight="1">
      <c r="A19" s="74" t="s">
        <v>101</v>
      </c>
    </row>
    <row r="20" spans="1:1">
      <c r="A20" s="74" t="s">
        <v>101</v>
      </c>
    </row>
    <row r="21" spans="1:1">
      <c r="A21" s="74" t="s">
        <v>101</v>
      </c>
    </row>
    <row r="23" spans="1:1">
      <c r="A23" s="74" t="s">
        <v>101</v>
      </c>
    </row>
    <row r="24" spans="1:1">
      <c r="A24" s="74" t="s">
        <v>101</v>
      </c>
    </row>
    <row r="25" spans="1:1">
      <c r="A25" s="74" t="s">
        <v>101</v>
      </c>
    </row>
    <row r="31" spans="1:1">
      <c r="A31" s="73"/>
    </row>
    <row r="37" spans="1:1">
      <c r="A37" s="73"/>
    </row>
    <row r="38" spans="1:1">
      <c r="A38" s="73" t="s">
        <v>470</v>
      </c>
    </row>
    <row r="39" spans="1:1">
      <c r="A39" s="73" t="s">
        <v>471</v>
      </c>
    </row>
    <row r="40" spans="1:1">
      <c r="A40" s="73" t="s">
        <v>472</v>
      </c>
    </row>
    <row r="41" spans="1:1">
      <c r="A41" s="73" t="s">
        <v>473</v>
      </c>
    </row>
    <row r="42" spans="1:1">
      <c r="A42" s="73" t="s">
        <v>472</v>
      </c>
    </row>
    <row r="43" spans="1:1">
      <c r="A43" s="73" t="s">
        <v>474</v>
      </c>
    </row>
    <row r="44" spans="1:1">
      <c r="A44" s="73" t="s">
        <v>475</v>
      </c>
    </row>
    <row r="45" spans="1:1">
      <c r="A45" s="73"/>
    </row>
    <row r="46" spans="1:1">
      <c r="A46" s="73"/>
    </row>
    <row r="47" spans="1:1">
      <c r="A47" s="72" t="s">
        <v>476</v>
      </c>
    </row>
    <row r="48" spans="1:1">
      <c r="A48" s="73" t="s">
        <v>477</v>
      </c>
    </row>
    <row r="49" spans="1:1">
      <c r="A49" s="73"/>
    </row>
    <row r="50" spans="1:1">
      <c r="A50" s="73"/>
    </row>
    <row r="51" spans="1:1">
      <c r="A51" s="72" t="s">
        <v>478</v>
      </c>
    </row>
    <row r="52" spans="1:1">
      <c r="A52" s="73" t="s">
        <v>479</v>
      </c>
    </row>
    <row r="53" spans="1:1">
      <c r="A53" s="73" t="s">
        <v>480</v>
      </c>
    </row>
    <row r="54" spans="1:1">
      <c r="A54" s="73" t="s">
        <v>481</v>
      </c>
    </row>
    <row r="55" spans="1:1">
      <c r="A55" s="73" t="s">
        <v>482</v>
      </c>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2"/>
  <sheetViews>
    <sheetView topLeftCell="A4" workbookViewId="0">
      <selection activeCell="A15" sqref="A15"/>
    </sheetView>
  </sheetViews>
  <sheetFormatPr defaultRowHeight="14.4"/>
  <cols>
    <col min="1" max="1" width="76" style="27" customWidth="1"/>
    <col min="2" max="2" width="47.5546875" style="44" customWidth="1"/>
    <col min="3" max="3" width="51.5546875" customWidth="1"/>
  </cols>
  <sheetData>
    <row r="1" spans="1:4" ht="47.25" customHeight="1">
      <c r="A1" s="215" t="s">
        <v>516</v>
      </c>
      <c r="B1" s="216"/>
      <c r="C1" s="216"/>
      <c r="D1" s="216"/>
    </row>
    <row r="2" spans="1:4" ht="15.6">
      <c r="A2" s="54" t="s">
        <v>117</v>
      </c>
      <c r="B2" s="54" t="s">
        <v>490</v>
      </c>
      <c r="C2" s="70" t="s">
        <v>489</v>
      </c>
    </row>
    <row r="3" spans="1:4" ht="29.25" customHeight="1">
      <c r="A3" s="86" t="s">
        <v>476</v>
      </c>
    </row>
    <row r="4" spans="1:4" ht="29.25" customHeight="1">
      <c r="A4" s="87" t="s">
        <v>539</v>
      </c>
      <c r="B4" s="44" t="s">
        <v>504</v>
      </c>
    </row>
    <row r="5" spans="1:4" ht="29.25" customHeight="1">
      <c r="A5" s="87" t="s">
        <v>513</v>
      </c>
      <c r="B5" s="44" t="s">
        <v>504</v>
      </c>
    </row>
    <row r="6" spans="1:4" ht="29.25" customHeight="1">
      <c r="A6" s="87"/>
    </row>
    <row r="7" spans="1:4" ht="29.25" customHeight="1">
      <c r="A7" s="86" t="s">
        <v>540</v>
      </c>
    </row>
    <row r="8" spans="1:4" ht="35.25" customHeight="1">
      <c r="A8" s="87" t="s">
        <v>541</v>
      </c>
      <c r="B8" s="44" t="s">
        <v>504</v>
      </c>
    </row>
    <row r="9" spans="1:4" ht="29.25" customHeight="1"/>
    <row r="10" spans="1:4">
      <c r="A10" s="86" t="s">
        <v>514</v>
      </c>
    </row>
    <row r="11" spans="1:4" ht="111" customHeight="1">
      <c r="A11" s="87" t="s">
        <v>542</v>
      </c>
      <c r="B11" s="44" t="s">
        <v>515</v>
      </c>
    </row>
    <row r="12" spans="1:4" ht="51.75" customHeight="1">
      <c r="A12" s="87" t="s">
        <v>543</v>
      </c>
      <c r="B12" s="44" t="s">
        <v>504</v>
      </c>
    </row>
    <row r="13" spans="1:4" ht="47.25" customHeight="1">
      <c r="A13" s="87" t="s">
        <v>544</v>
      </c>
      <c r="B13" s="44" t="s">
        <v>504</v>
      </c>
    </row>
    <row r="14" spans="1:4" ht="26.25" customHeight="1">
      <c r="A14" s="87" t="s">
        <v>101</v>
      </c>
    </row>
    <row r="15" spans="1:4">
      <c r="B15" s="27"/>
    </row>
    <row r="16" spans="1:4">
      <c r="B16" s="64"/>
    </row>
    <row r="17" spans="2:2">
      <c r="B17" s="64"/>
    </row>
    <row r="18" spans="2:2">
      <c r="B18" s="64"/>
    </row>
    <row r="19" spans="2:2">
      <c r="B19" s="64"/>
    </row>
    <row r="20" spans="2:2">
      <c r="B20" s="64"/>
    </row>
    <row r="21" spans="2:2">
      <c r="B21" s="64"/>
    </row>
    <row r="22" spans="2:2">
      <c r="B22" s="64"/>
    </row>
  </sheetData>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sheetPr>
    <pageSetUpPr fitToPage="1"/>
  </sheetPr>
  <dimension ref="A1:F122"/>
  <sheetViews>
    <sheetView topLeftCell="A28" zoomScale="110" zoomScaleNormal="110" workbookViewId="0">
      <selection activeCell="B38" sqref="B38"/>
    </sheetView>
  </sheetViews>
  <sheetFormatPr defaultRowHeight="14.4"/>
  <cols>
    <col min="1" max="1" width="42.33203125" customWidth="1"/>
    <col min="2" max="2" width="106.88671875" customWidth="1"/>
    <col min="3" max="3" width="10.44140625" customWidth="1"/>
    <col min="4" max="4" width="13.6640625" customWidth="1"/>
    <col min="5" max="5" width="12.109375" customWidth="1"/>
    <col min="6" max="6" width="11.109375" customWidth="1"/>
  </cols>
  <sheetData>
    <row r="1" spans="1:3">
      <c r="A1" t="s">
        <v>548</v>
      </c>
    </row>
    <row r="3" spans="1:3">
      <c r="A3" t="s">
        <v>549</v>
      </c>
      <c r="B3" t="s">
        <v>550</v>
      </c>
    </row>
    <row r="4" spans="1:3">
      <c r="B4" t="s">
        <v>551</v>
      </c>
    </row>
    <row r="5" spans="1:3">
      <c r="A5" s="66" t="s">
        <v>552</v>
      </c>
    </row>
    <row r="6" spans="1:3">
      <c r="A6" t="s">
        <v>553</v>
      </c>
      <c r="B6" t="s">
        <v>554</v>
      </c>
    </row>
    <row r="7" spans="1:3">
      <c r="A7" t="s">
        <v>555</v>
      </c>
      <c r="B7" t="s">
        <v>556</v>
      </c>
    </row>
    <row r="9" spans="1:3">
      <c r="A9" s="66" t="s">
        <v>557</v>
      </c>
      <c r="B9" s="68" t="s">
        <v>558</v>
      </c>
      <c r="C9" s="68" t="s">
        <v>559</v>
      </c>
    </row>
    <row r="10" spans="1:3">
      <c r="A10" s="66"/>
      <c r="B10" t="s">
        <v>560</v>
      </c>
    </row>
    <row r="11" spans="1:3">
      <c r="A11" s="66"/>
      <c r="B11" t="s">
        <v>561</v>
      </c>
    </row>
    <row r="12" spans="1:3">
      <c r="A12" s="66"/>
      <c r="B12" t="s">
        <v>562</v>
      </c>
    </row>
    <row r="14" spans="1:3">
      <c r="A14" s="66" t="s">
        <v>563</v>
      </c>
      <c r="B14" s="68" t="s">
        <v>564</v>
      </c>
      <c r="C14" s="68" t="s">
        <v>559</v>
      </c>
    </row>
    <row r="15" spans="1:3">
      <c r="A15" s="95" t="s">
        <v>565</v>
      </c>
      <c r="B15" t="s">
        <v>566</v>
      </c>
    </row>
    <row r="17" spans="1:3">
      <c r="A17" s="66" t="s">
        <v>85</v>
      </c>
    </row>
    <row r="18" spans="1:3">
      <c r="A18" t="s">
        <v>553</v>
      </c>
      <c r="B18" t="s">
        <v>567</v>
      </c>
      <c r="C18" t="s">
        <v>568</v>
      </c>
    </row>
    <row r="19" spans="1:3">
      <c r="A19" s="95" t="s">
        <v>569</v>
      </c>
      <c r="B19" t="s">
        <v>570</v>
      </c>
      <c r="C19" t="s">
        <v>571</v>
      </c>
    </row>
    <row r="20" spans="1:3">
      <c r="A20" t="s">
        <v>555</v>
      </c>
      <c r="B20" t="s">
        <v>572</v>
      </c>
    </row>
    <row r="22" spans="1:3">
      <c r="A22" s="66" t="s">
        <v>573</v>
      </c>
    </row>
    <row r="23" spans="1:3">
      <c r="A23" t="s">
        <v>553</v>
      </c>
      <c r="B23" t="s">
        <v>574</v>
      </c>
      <c r="C23" t="s">
        <v>575</v>
      </c>
    </row>
    <row r="24" spans="1:3">
      <c r="A24" t="s">
        <v>555</v>
      </c>
      <c r="B24" t="s">
        <v>576</v>
      </c>
    </row>
    <row r="26" spans="1:3">
      <c r="A26" s="66" t="s">
        <v>577</v>
      </c>
    </row>
    <row r="27" spans="1:3">
      <c r="A27" t="s">
        <v>87</v>
      </c>
      <c r="B27" t="s">
        <v>578</v>
      </c>
    </row>
    <row r="28" spans="1:3">
      <c r="A28" t="s">
        <v>88</v>
      </c>
      <c r="B28" t="s">
        <v>578</v>
      </c>
    </row>
    <row r="29" spans="1:3">
      <c r="A29" t="s">
        <v>579</v>
      </c>
      <c r="B29" t="s">
        <v>580</v>
      </c>
    </row>
    <row r="30" spans="1:3">
      <c r="A30" t="s">
        <v>581</v>
      </c>
      <c r="B30" t="s">
        <v>91</v>
      </c>
    </row>
    <row r="31" spans="1:3">
      <c r="A31" t="s">
        <v>582</v>
      </c>
      <c r="B31" t="s">
        <v>92</v>
      </c>
    </row>
    <row r="32" spans="1:3">
      <c r="B32" t="s">
        <v>583</v>
      </c>
    </row>
    <row r="33" spans="1:3" s="68" customFormat="1">
      <c r="A33" s="68" t="s">
        <v>584</v>
      </c>
      <c r="B33" s="68" t="s">
        <v>585</v>
      </c>
    </row>
    <row r="34" spans="1:3">
      <c r="A34" t="s">
        <v>586</v>
      </c>
      <c r="B34" t="s">
        <v>587</v>
      </c>
    </row>
    <row r="35" spans="1:3">
      <c r="A35" t="s">
        <v>86</v>
      </c>
      <c r="B35" t="s">
        <v>588</v>
      </c>
    </row>
    <row r="36" spans="1:3">
      <c r="A36" t="s">
        <v>589</v>
      </c>
      <c r="B36" t="s">
        <v>590</v>
      </c>
    </row>
    <row r="37" spans="1:3" s="68" customFormat="1">
      <c r="A37" s="68" t="s">
        <v>591</v>
      </c>
      <c r="B37" s="68" t="s">
        <v>830</v>
      </c>
    </row>
    <row r="38" spans="1:3" s="68" customFormat="1">
      <c r="A38" s="68" t="s">
        <v>592</v>
      </c>
      <c r="B38" s="68" t="s">
        <v>593</v>
      </c>
    </row>
    <row r="39" spans="1:3">
      <c r="A39" t="s">
        <v>594</v>
      </c>
      <c r="B39" t="s">
        <v>595</v>
      </c>
    </row>
    <row r="40" spans="1:3">
      <c r="A40" t="s">
        <v>596</v>
      </c>
      <c r="B40" t="s">
        <v>597</v>
      </c>
      <c r="C40" t="s">
        <v>598</v>
      </c>
    </row>
    <row r="41" spans="1:3">
      <c r="A41" t="s">
        <v>89</v>
      </c>
      <c r="B41" t="s">
        <v>578</v>
      </c>
    </row>
    <row r="42" spans="1:3">
      <c r="A42" t="s">
        <v>90</v>
      </c>
      <c r="B42" t="s">
        <v>599</v>
      </c>
    </row>
    <row r="43" spans="1:3">
      <c r="A43" s="98" t="s">
        <v>600</v>
      </c>
      <c r="B43" s="98" t="s">
        <v>601</v>
      </c>
      <c r="C43" s="68" t="s">
        <v>602</v>
      </c>
    </row>
    <row r="44" spans="1:3">
      <c r="A44" t="s">
        <v>603</v>
      </c>
      <c r="B44" t="s">
        <v>604</v>
      </c>
    </row>
    <row r="45" spans="1:3">
      <c r="A45" t="s">
        <v>605</v>
      </c>
      <c r="B45" t="s">
        <v>606</v>
      </c>
    </row>
    <row r="46" spans="1:3" s="68" customFormat="1">
      <c r="A46" s="68" t="s">
        <v>607</v>
      </c>
      <c r="B46" s="68" t="s">
        <v>608</v>
      </c>
      <c r="C46" s="68" t="s">
        <v>609</v>
      </c>
    </row>
    <row r="47" spans="1:3">
      <c r="A47" t="s">
        <v>610</v>
      </c>
      <c r="B47" t="s">
        <v>611</v>
      </c>
    </row>
    <row r="48" spans="1:3" s="68" customFormat="1">
      <c r="A48" s="68" t="s">
        <v>96</v>
      </c>
      <c r="B48" s="68" t="s">
        <v>749</v>
      </c>
      <c r="C48" s="68" t="s">
        <v>602</v>
      </c>
    </row>
    <row r="49" spans="1:3">
      <c r="A49" t="s">
        <v>613</v>
      </c>
      <c r="B49" t="s">
        <v>614</v>
      </c>
    </row>
    <row r="50" spans="1:3">
      <c r="A50" t="s">
        <v>615</v>
      </c>
      <c r="B50" t="s">
        <v>616</v>
      </c>
    </row>
    <row r="51" spans="1:3">
      <c r="A51" t="s">
        <v>617</v>
      </c>
      <c r="B51" t="s">
        <v>618</v>
      </c>
    </row>
    <row r="52" spans="1:3" s="68" customFormat="1">
      <c r="A52" s="68" t="s">
        <v>97</v>
      </c>
      <c r="B52" s="68" t="s">
        <v>612</v>
      </c>
      <c r="C52" s="68" t="s">
        <v>602</v>
      </c>
    </row>
    <row r="53" spans="1:3" s="68" customFormat="1">
      <c r="A53" s="68" t="s">
        <v>619</v>
      </c>
      <c r="B53" s="68" t="s">
        <v>620</v>
      </c>
    </row>
    <row r="54" spans="1:3" s="68" customFormat="1">
      <c r="A54" s="68" t="s">
        <v>621</v>
      </c>
      <c r="B54" s="112">
        <v>1.1000000000000001</v>
      </c>
      <c r="C54" s="68" t="s">
        <v>602</v>
      </c>
    </row>
    <row r="55" spans="1:3" s="68" customFormat="1">
      <c r="A55" s="68" t="s">
        <v>622</v>
      </c>
      <c r="B55" s="112">
        <v>1.25</v>
      </c>
      <c r="C55" s="68" t="s">
        <v>602</v>
      </c>
    </row>
    <row r="56" spans="1:3" s="68" customFormat="1">
      <c r="A56" s="68" t="s">
        <v>623</v>
      </c>
      <c r="B56" s="112">
        <v>1</v>
      </c>
      <c r="C56" s="68" t="s">
        <v>602</v>
      </c>
    </row>
    <row r="57" spans="1:3" s="68" customFormat="1">
      <c r="A57" s="68" t="s">
        <v>624</v>
      </c>
      <c r="B57" s="112">
        <v>1</v>
      </c>
      <c r="C57" s="68" t="s">
        <v>602</v>
      </c>
    </row>
    <row r="58" spans="1:3" s="68" customFormat="1">
      <c r="A58" s="68" t="s">
        <v>625</v>
      </c>
      <c r="B58" s="112">
        <v>1.3</v>
      </c>
      <c r="C58" s="68" t="s">
        <v>602</v>
      </c>
    </row>
    <row r="60" spans="1:3">
      <c r="A60" s="66" t="s">
        <v>626</v>
      </c>
    </row>
    <row r="61" spans="1:3">
      <c r="A61" t="s">
        <v>627</v>
      </c>
      <c r="B61" t="s">
        <v>628</v>
      </c>
    </row>
    <row r="62" spans="1:3">
      <c r="A62" t="s">
        <v>93</v>
      </c>
      <c r="B62" t="s">
        <v>629</v>
      </c>
    </row>
    <row r="63" spans="1:3">
      <c r="A63" t="s">
        <v>94</v>
      </c>
      <c r="B63" t="s">
        <v>630</v>
      </c>
    </row>
    <row r="64" spans="1:3">
      <c r="A64" t="s">
        <v>95</v>
      </c>
      <c r="B64" t="s">
        <v>631</v>
      </c>
    </row>
    <row r="65" spans="1:3">
      <c r="A65" t="s">
        <v>632</v>
      </c>
      <c r="B65" t="s">
        <v>614</v>
      </c>
    </row>
    <row r="66" spans="1:3">
      <c r="A66" t="s">
        <v>98</v>
      </c>
      <c r="B66" t="s">
        <v>99</v>
      </c>
    </row>
    <row r="67" spans="1:3" s="68" customFormat="1">
      <c r="A67" s="68" t="s">
        <v>633</v>
      </c>
      <c r="B67" s="68" t="s">
        <v>736</v>
      </c>
      <c r="C67" s="68" t="s">
        <v>602</v>
      </c>
    </row>
    <row r="69" spans="1:3">
      <c r="A69" s="66" t="s">
        <v>634</v>
      </c>
      <c r="B69" t="s">
        <v>635</v>
      </c>
    </row>
    <row r="70" spans="1:3">
      <c r="B70" t="s">
        <v>636</v>
      </c>
    </row>
    <row r="71" spans="1:3">
      <c r="B71" t="s">
        <v>637</v>
      </c>
    </row>
    <row r="73" spans="1:3">
      <c r="A73" s="96"/>
    </row>
    <row r="74" spans="1:3">
      <c r="A74" s="66" t="s">
        <v>638</v>
      </c>
    </row>
    <row r="76" spans="1:3">
      <c r="A76" s="97" t="s">
        <v>639</v>
      </c>
    </row>
    <row r="77" spans="1:3">
      <c r="A77" t="s">
        <v>640</v>
      </c>
      <c r="B77" t="s">
        <v>641</v>
      </c>
    </row>
    <row r="78" spans="1:3">
      <c r="B78" t="s">
        <v>642</v>
      </c>
    </row>
    <row r="79" spans="1:3">
      <c r="A79" t="s">
        <v>643</v>
      </c>
      <c r="B79" t="s">
        <v>644</v>
      </c>
    </row>
    <row r="81" spans="1:3" s="68" customFormat="1">
      <c r="A81" s="99" t="s">
        <v>645</v>
      </c>
      <c r="C81" s="68" t="s">
        <v>559</v>
      </c>
    </row>
    <row r="82" spans="1:3">
      <c r="A82" t="s">
        <v>646</v>
      </c>
    </row>
    <row r="83" spans="1:3">
      <c r="A83" t="s">
        <v>647</v>
      </c>
    </row>
    <row r="84" spans="1:3">
      <c r="A84" t="s">
        <v>648</v>
      </c>
    </row>
    <row r="85" spans="1:3">
      <c r="A85" t="s">
        <v>649</v>
      </c>
    </row>
    <row r="86" spans="1:3">
      <c r="A86" t="s">
        <v>650</v>
      </c>
    </row>
    <row r="87" spans="1:3">
      <c r="A87" t="s">
        <v>651</v>
      </c>
    </row>
    <row r="88" spans="1:3">
      <c r="A88" t="s">
        <v>652</v>
      </c>
    </row>
    <row r="89" spans="1:3">
      <c r="A89" t="s">
        <v>653</v>
      </c>
    </row>
    <row r="90" spans="1:3">
      <c r="A90" t="s">
        <v>654</v>
      </c>
    </row>
    <row r="91" spans="1:3">
      <c r="A91" t="s">
        <v>655</v>
      </c>
    </row>
    <row r="92" spans="1:3">
      <c r="A92" t="s">
        <v>656</v>
      </c>
    </row>
    <row r="93" spans="1:3">
      <c r="A93" t="s">
        <v>657</v>
      </c>
    </row>
    <row r="94" spans="1:3">
      <c r="A94" t="s">
        <v>658</v>
      </c>
    </row>
    <row r="95" spans="1:3">
      <c r="A95" t="s">
        <v>659</v>
      </c>
    </row>
    <row r="96" spans="1:3">
      <c r="A96" t="s">
        <v>660</v>
      </c>
    </row>
    <row r="98" spans="1:6">
      <c r="A98" t="s">
        <v>661</v>
      </c>
      <c r="B98" t="s">
        <v>662</v>
      </c>
    </row>
    <row r="100" spans="1:6">
      <c r="A100" s="66" t="s">
        <v>663</v>
      </c>
      <c r="B100" t="s">
        <v>664</v>
      </c>
    </row>
    <row r="101" spans="1:6">
      <c r="A101" t="s">
        <v>665</v>
      </c>
      <c r="B101" t="s">
        <v>666</v>
      </c>
      <c r="C101" t="s">
        <v>667</v>
      </c>
      <c r="D101" t="s">
        <v>668</v>
      </c>
    </row>
    <row r="102" spans="1:6">
      <c r="A102" t="s">
        <v>669</v>
      </c>
      <c r="B102" t="s">
        <v>666</v>
      </c>
      <c r="D102" t="s">
        <v>670</v>
      </c>
      <c r="E102" t="s">
        <v>671</v>
      </c>
    </row>
    <row r="103" spans="1:6">
      <c r="A103" t="s">
        <v>672</v>
      </c>
      <c r="C103" t="s">
        <v>673</v>
      </c>
      <c r="D103" t="s">
        <v>674</v>
      </c>
      <c r="E103" t="s">
        <v>675</v>
      </c>
    </row>
    <row r="104" spans="1:6">
      <c r="C104" t="s">
        <v>676</v>
      </c>
      <c r="D104" t="s">
        <v>677</v>
      </c>
      <c r="E104" t="s">
        <v>678</v>
      </c>
      <c r="F104" t="s">
        <v>679</v>
      </c>
    </row>
    <row r="105" spans="1:6">
      <c r="A105" t="s">
        <v>680</v>
      </c>
      <c r="B105" t="s">
        <v>681</v>
      </c>
      <c r="E105" t="s">
        <v>682</v>
      </c>
      <c r="F105" t="s">
        <v>683</v>
      </c>
    </row>
    <row r="108" spans="1:6">
      <c r="A108" s="66" t="s">
        <v>684</v>
      </c>
      <c r="B108" t="s">
        <v>685</v>
      </c>
    </row>
    <row r="110" spans="1:6">
      <c r="A110" s="66" t="s">
        <v>686</v>
      </c>
      <c r="B110" t="s">
        <v>685</v>
      </c>
    </row>
    <row r="113" spans="1:2">
      <c r="A113" s="66" t="s">
        <v>687</v>
      </c>
    </row>
    <row r="114" spans="1:2">
      <c r="A114" t="s">
        <v>688</v>
      </c>
      <c r="B114" t="s">
        <v>689</v>
      </c>
    </row>
    <row r="115" spans="1:2">
      <c r="A115" t="s">
        <v>690</v>
      </c>
    </row>
    <row r="116" spans="1:2">
      <c r="A116" t="s">
        <v>691</v>
      </c>
    </row>
    <row r="118" spans="1:2">
      <c r="A118" s="66" t="s">
        <v>692</v>
      </c>
    </row>
    <row r="119" spans="1:2" ht="43.2">
      <c r="A119" s="91" t="s">
        <v>693</v>
      </c>
      <c r="B119" t="s">
        <v>694</v>
      </c>
    </row>
    <row r="122" spans="1:2">
      <c r="A122" s="66" t="s">
        <v>695</v>
      </c>
      <c r="B122" t="s">
        <v>696</v>
      </c>
    </row>
  </sheetData>
  <pageMargins left="0.7" right="0.7" top="0.75" bottom="0.75" header="0.3" footer="0.3"/>
  <pageSetup scale="56" fitToHeight="0" orientation="landscape" r:id="rId1"/>
</worksheet>
</file>

<file path=xl/worksheets/sheet10.xml><?xml version="1.0" encoding="utf-8"?>
<worksheet xmlns="http://schemas.openxmlformats.org/spreadsheetml/2006/main" xmlns:r="http://schemas.openxmlformats.org/officeDocument/2006/relationships">
  <sheetPr>
    <tabColor theme="6"/>
    <pageSetUpPr fitToPage="1"/>
  </sheetPr>
  <dimension ref="A1:S88"/>
  <sheetViews>
    <sheetView workbookViewId="0">
      <selection activeCell="G8" sqref="G8"/>
    </sheetView>
  </sheetViews>
  <sheetFormatPr defaultRowHeight="13.2"/>
  <cols>
    <col min="1" max="1" width="36.88671875" style="1" customWidth="1"/>
    <col min="2" max="2" width="17.88671875" style="1" customWidth="1"/>
    <col min="3" max="3" width="16.6640625" style="1" customWidth="1"/>
    <col min="4" max="4" width="16.88671875" style="1" customWidth="1"/>
    <col min="5" max="5" width="19.33203125" style="1" customWidth="1"/>
    <col min="6" max="6" width="9.109375" style="1" customWidth="1"/>
    <col min="7" max="8" width="16.33203125" style="1" customWidth="1"/>
    <col min="9" max="9" width="33.88671875" style="1" customWidth="1"/>
    <col min="10" max="13" width="16.33203125" style="1" customWidth="1"/>
    <col min="14" max="14" width="24.6640625" style="1" customWidth="1"/>
    <col min="15" max="15" width="7.6640625" style="1" customWidth="1"/>
    <col min="16" max="18" width="9.109375" style="1"/>
    <col min="19" max="19" width="10.33203125" style="1" customWidth="1"/>
    <col min="20" max="23" width="16.33203125" style="1" customWidth="1"/>
    <col min="24" max="259" width="9.109375" style="1"/>
    <col min="260" max="260" width="27.5546875" style="1" customWidth="1"/>
    <col min="261" max="261" width="6.109375" style="1" customWidth="1"/>
    <col min="262" max="262" width="7.6640625" style="1" customWidth="1"/>
    <col min="263" max="263" width="9.44140625" style="1" customWidth="1"/>
    <col min="264" max="264" width="9.109375" style="1"/>
    <col min="265" max="265" width="8.88671875" style="1" customWidth="1"/>
    <col min="266" max="269" width="16.33203125" style="1" customWidth="1"/>
    <col min="270" max="270" width="24.6640625" style="1" customWidth="1"/>
    <col min="271" max="271" width="7.6640625" style="1" customWidth="1"/>
    <col min="272" max="274" width="9.109375" style="1"/>
    <col min="275" max="275" width="10.33203125" style="1" customWidth="1"/>
    <col min="276" max="279" width="16.33203125" style="1" customWidth="1"/>
    <col min="280" max="515" width="9.109375" style="1"/>
    <col min="516" max="516" width="27.5546875" style="1" customWidth="1"/>
    <col min="517" max="517" width="6.109375" style="1" customWidth="1"/>
    <col min="518" max="518" width="7.6640625" style="1" customWidth="1"/>
    <col min="519" max="519" width="9.44140625" style="1" customWidth="1"/>
    <col min="520" max="520" width="9.109375" style="1"/>
    <col min="521" max="521" width="8.88671875" style="1" customWidth="1"/>
    <col min="522" max="525" width="16.33203125" style="1" customWidth="1"/>
    <col min="526" max="526" width="24.6640625" style="1" customWidth="1"/>
    <col min="527" max="527" width="7.6640625" style="1" customWidth="1"/>
    <col min="528" max="530" width="9.109375" style="1"/>
    <col min="531" max="531" width="10.33203125" style="1" customWidth="1"/>
    <col min="532" max="535" width="16.33203125" style="1" customWidth="1"/>
    <col min="536" max="771" width="9.109375" style="1"/>
    <col min="772" max="772" width="27.5546875" style="1" customWidth="1"/>
    <col min="773" max="773" width="6.109375" style="1" customWidth="1"/>
    <col min="774" max="774" width="7.6640625" style="1" customWidth="1"/>
    <col min="775" max="775" width="9.44140625" style="1" customWidth="1"/>
    <col min="776" max="776" width="9.109375" style="1"/>
    <col min="777" max="777" width="8.88671875" style="1" customWidth="1"/>
    <col min="778" max="781" width="16.33203125" style="1" customWidth="1"/>
    <col min="782" max="782" width="24.6640625" style="1" customWidth="1"/>
    <col min="783" max="783" width="7.6640625" style="1" customWidth="1"/>
    <col min="784" max="786" width="9.109375" style="1"/>
    <col min="787" max="787" width="10.33203125" style="1" customWidth="1"/>
    <col min="788" max="791" width="16.33203125" style="1" customWidth="1"/>
    <col min="792" max="1027" width="9.109375" style="1"/>
    <col min="1028" max="1028" width="27.5546875" style="1" customWidth="1"/>
    <col min="1029" max="1029" width="6.109375" style="1" customWidth="1"/>
    <col min="1030" max="1030" width="7.6640625" style="1" customWidth="1"/>
    <col min="1031" max="1031" width="9.44140625" style="1" customWidth="1"/>
    <col min="1032" max="1032" width="9.109375" style="1"/>
    <col min="1033" max="1033" width="8.88671875" style="1" customWidth="1"/>
    <col min="1034" max="1037" width="16.33203125" style="1" customWidth="1"/>
    <col min="1038" max="1038" width="24.6640625" style="1" customWidth="1"/>
    <col min="1039" max="1039" width="7.6640625" style="1" customWidth="1"/>
    <col min="1040" max="1042" width="9.109375" style="1"/>
    <col min="1043" max="1043" width="10.33203125" style="1" customWidth="1"/>
    <col min="1044" max="1047" width="16.33203125" style="1" customWidth="1"/>
    <col min="1048" max="1283" width="9.109375" style="1"/>
    <col min="1284" max="1284" width="27.5546875" style="1" customWidth="1"/>
    <col min="1285" max="1285" width="6.109375" style="1" customWidth="1"/>
    <col min="1286" max="1286" width="7.6640625" style="1" customWidth="1"/>
    <col min="1287" max="1287" width="9.44140625" style="1" customWidth="1"/>
    <col min="1288" max="1288" width="9.109375" style="1"/>
    <col min="1289" max="1289" width="8.88671875" style="1" customWidth="1"/>
    <col min="1290" max="1293" width="16.33203125" style="1" customWidth="1"/>
    <col min="1294" max="1294" width="24.6640625" style="1" customWidth="1"/>
    <col min="1295" max="1295" width="7.6640625" style="1" customWidth="1"/>
    <col min="1296" max="1298" width="9.109375" style="1"/>
    <col min="1299" max="1299" width="10.33203125" style="1" customWidth="1"/>
    <col min="1300" max="1303" width="16.33203125" style="1" customWidth="1"/>
    <col min="1304" max="1539" width="9.109375" style="1"/>
    <col min="1540" max="1540" width="27.5546875" style="1" customWidth="1"/>
    <col min="1541" max="1541" width="6.109375" style="1" customWidth="1"/>
    <col min="1542" max="1542" width="7.6640625" style="1" customWidth="1"/>
    <col min="1543" max="1543" width="9.44140625" style="1" customWidth="1"/>
    <col min="1544" max="1544" width="9.109375" style="1"/>
    <col min="1545" max="1545" width="8.88671875" style="1" customWidth="1"/>
    <col min="1546" max="1549" width="16.33203125" style="1" customWidth="1"/>
    <col min="1550" max="1550" width="24.6640625" style="1" customWidth="1"/>
    <col min="1551" max="1551" width="7.6640625" style="1" customWidth="1"/>
    <col min="1552" max="1554" width="9.109375" style="1"/>
    <col min="1555" max="1555" width="10.33203125" style="1" customWidth="1"/>
    <col min="1556" max="1559" width="16.33203125" style="1" customWidth="1"/>
    <col min="1560" max="1795" width="9.109375" style="1"/>
    <col min="1796" max="1796" width="27.5546875" style="1" customWidth="1"/>
    <col min="1797" max="1797" width="6.109375" style="1" customWidth="1"/>
    <col min="1798" max="1798" width="7.6640625" style="1" customWidth="1"/>
    <col min="1799" max="1799" width="9.44140625" style="1" customWidth="1"/>
    <col min="1800" max="1800" width="9.109375" style="1"/>
    <col min="1801" max="1801" width="8.88671875" style="1" customWidth="1"/>
    <col min="1802" max="1805" width="16.33203125" style="1" customWidth="1"/>
    <col min="1806" max="1806" width="24.6640625" style="1" customWidth="1"/>
    <col min="1807" max="1807" width="7.6640625" style="1" customWidth="1"/>
    <col min="1808" max="1810" width="9.109375" style="1"/>
    <col min="1811" max="1811" width="10.33203125" style="1" customWidth="1"/>
    <col min="1812" max="1815" width="16.33203125" style="1" customWidth="1"/>
    <col min="1816" max="2051" width="9.109375" style="1"/>
    <col min="2052" max="2052" width="27.5546875" style="1" customWidth="1"/>
    <col min="2053" max="2053" width="6.109375" style="1" customWidth="1"/>
    <col min="2054" max="2054" width="7.6640625" style="1" customWidth="1"/>
    <col min="2055" max="2055" width="9.44140625" style="1" customWidth="1"/>
    <col min="2056" max="2056" width="9.109375" style="1"/>
    <col min="2057" max="2057" width="8.88671875" style="1" customWidth="1"/>
    <col min="2058" max="2061" width="16.33203125" style="1" customWidth="1"/>
    <col min="2062" max="2062" width="24.6640625" style="1" customWidth="1"/>
    <col min="2063" max="2063" width="7.6640625" style="1" customWidth="1"/>
    <col min="2064" max="2066" width="9.109375" style="1"/>
    <col min="2067" max="2067" width="10.33203125" style="1" customWidth="1"/>
    <col min="2068" max="2071" width="16.33203125" style="1" customWidth="1"/>
    <col min="2072" max="2307" width="9.109375" style="1"/>
    <col min="2308" max="2308" width="27.5546875" style="1" customWidth="1"/>
    <col min="2309" max="2309" width="6.109375" style="1" customWidth="1"/>
    <col min="2310" max="2310" width="7.6640625" style="1" customWidth="1"/>
    <col min="2311" max="2311" width="9.44140625" style="1" customWidth="1"/>
    <col min="2312" max="2312" width="9.109375" style="1"/>
    <col min="2313" max="2313" width="8.88671875" style="1" customWidth="1"/>
    <col min="2314" max="2317" width="16.33203125" style="1" customWidth="1"/>
    <col min="2318" max="2318" width="24.6640625" style="1" customWidth="1"/>
    <col min="2319" max="2319" width="7.6640625" style="1" customWidth="1"/>
    <col min="2320" max="2322" width="9.109375" style="1"/>
    <col min="2323" max="2323" width="10.33203125" style="1" customWidth="1"/>
    <col min="2324" max="2327" width="16.33203125" style="1" customWidth="1"/>
    <col min="2328" max="2563" width="9.109375" style="1"/>
    <col min="2564" max="2564" width="27.5546875" style="1" customWidth="1"/>
    <col min="2565" max="2565" width="6.109375" style="1" customWidth="1"/>
    <col min="2566" max="2566" width="7.6640625" style="1" customWidth="1"/>
    <col min="2567" max="2567" width="9.44140625" style="1" customWidth="1"/>
    <col min="2568" max="2568" width="9.109375" style="1"/>
    <col min="2569" max="2569" width="8.88671875" style="1" customWidth="1"/>
    <col min="2570" max="2573" width="16.33203125" style="1" customWidth="1"/>
    <col min="2574" max="2574" width="24.6640625" style="1" customWidth="1"/>
    <col min="2575" max="2575" width="7.6640625" style="1" customWidth="1"/>
    <col min="2576" max="2578" width="9.109375" style="1"/>
    <col min="2579" max="2579" width="10.33203125" style="1" customWidth="1"/>
    <col min="2580" max="2583" width="16.33203125" style="1" customWidth="1"/>
    <col min="2584" max="2819" width="9.109375" style="1"/>
    <col min="2820" max="2820" width="27.5546875" style="1" customWidth="1"/>
    <col min="2821" max="2821" width="6.109375" style="1" customWidth="1"/>
    <col min="2822" max="2822" width="7.6640625" style="1" customWidth="1"/>
    <col min="2823" max="2823" width="9.44140625" style="1" customWidth="1"/>
    <col min="2824" max="2824" width="9.109375" style="1"/>
    <col min="2825" max="2825" width="8.88671875" style="1" customWidth="1"/>
    <col min="2826" max="2829" width="16.33203125" style="1" customWidth="1"/>
    <col min="2830" max="2830" width="24.6640625" style="1" customWidth="1"/>
    <col min="2831" max="2831" width="7.6640625" style="1" customWidth="1"/>
    <col min="2832" max="2834" width="9.109375" style="1"/>
    <col min="2835" max="2835" width="10.33203125" style="1" customWidth="1"/>
    <col min="2836" max="2839" width="16.33203125" style="1" customWidth="1"/>
    <col min="2840" max="3075" width="9.109375" style="1"/>
    <col min="3076" max="3076" width="27.5546875" style="1" customWidth="1"/>
    <col min="3077" max="3077" width="6.109375" style="1" customWidth="1"/>
    <col min="3078" max="3078" width="7.6640625" style="1" customWidth="1"/>
    <col min="3079" max="3079" width="9.44140625" style="1" customWidth="1"/>
    <col min="3080" max="3080" width="9.109375" style="1"/>
    <col min="3081" max="3081" width="8.88671875" style="1" customWidth="1"/>
    <col min="3082" max="3085" width="16.33203125" style="1" customWidth="1"/>
    <col min="3086" max="3086" width="24.6640625" style="1" customWidth="1"/>
    <col min="3087" max="3087" width="7.6640625" style="1" customWidth="1"/>
    <col min="3088" max="3090" width="9.109375" style="1"/>
    <col min="3091" max="3091" width="10.33203125" style="1" customWidth="1"/>
    <col min="3092" max="3095" width="16.33203125" style="1" customWidth="1"/>
    <col min="3096" max="3331" width="9.109375" style="1"/>
    <col min="3332" max="3332" width="27.5546875" style="1" customWidth="1"/>
    <col min="3333" max="3333" width="6.109375" style="1" customWidth="1"/>
    <col min="3334" max="3334" width="7.6640625" style="1" customWidth="1"/>
    <col min="3335" max="3335" width="9.44140625" style="1" customWidth="1"/>
    <col min="3336" max="3336" width="9.109375" style="1"/>
    <col min="3337" max="3337" width="8.88671875" style="1" customWidth="1"/>
    <col min="3338" max="3341" width="16.33203125" style="1" customWidth="1"/>
    <col min="3342" max="3342" width="24.6640625" style="1" customWidth="1"/>
    <col min="3343" max="3343" width="7.6640625" style="1" customWidth="1"/>
    <col min="3344" max="3346" width="9.109375" style="1"/>
    <col min="3347" max="3347" width="10.33203125" style="1" customWidth="1"/>
    <col min="3348" max="3351" width="16.33203125" style="1" customWidth="1"/>
    <col min="3352" max="3587" width="9.109375" style="1"/>
    <col min="3588" max="3588" width="27.5546875" style="1" customWidth="1"/>
    <col min="3589" max="3589" width="6.109375" style="1" customWidth="1"/>
    <col min="3590" max="3590" width="7.6640625" style="1" customWidth="1"/>
    <col min="3591" max="3591" width="9.44140625" style="1" customWidth="1"/>
    <col min="3592" max="3592" width="9.109375" style="1"/>
    <col min="3593" max="3593" width="8.88671875" style="1" customWidth="1"/>
    <col min="3594" max="3597" width="16.33203125" style="1" customWidth="1"/>
    <col min="3598" max="3598" width="24.6640625" style="1" customWidth="1"/>
    <col min="3599" max="3599" width="7.6640625" style="1" customWidth="1"/>
    <col min="3600" max="3602" width="9.109375" style="1"/>
    <col min="3603" max="3603" width="10.33203125" style="1" customWidth="1"/>
    <col min="3604" max="3607" width="16.33203125" style="1" customWidth="1"/>
    <col min="3608" max="3843" width="9.109375" style="1"/>
    <col min="3844" max="3844" width="27.5546875" style="1" customWidth="1"/>
    <col min="3845" max="3845" width="6.109375" style="1" customWidth="1"/>
    <col min="3846" max="3846" width="7.6640625" style="1" customWidth="1"/>
    <col min="3847" max="3847" width="9.44140625" style="1" customWidth="1"/>
    <col min="3848" max="3848" width="9.109375" style="1"/>
    <col min="3849" max="3849" width="8.88671875" style="1" customWidth="1"/>
    <col min="3850" max="3853" width="16.33203125" style="1" customWidth="1"/>
    <col min="3854" max="3854" width="24.6640625" style="1" customWidth="1"/>
    <col min="3855" max="3855" width="7.6640625" style="1" customWidth="1"/>
    <col min="3856" max="3858" width="9.109375" style="1"/>
    <col min="3859" max="3859" width="10.33203125" style="1" customWidth="1"/>
    <col min="3860" max="3863" width="16.33203125" style="1" customWidth="1"/>
    <col min="3864" max="4099" width="9.109375" style="1"/>
    <col min="4100" max="4100" width="27.5546875" style="1" customWidth="1"/>
    <col min="4101" max="4101" width="6.109375" style="1" customWidth="1"/>
    <col min="4102" max="4102" width="7.6640625" style="1" customWidth="1"/>
    <col min="4103" max="4103" width="9.44140625" style="1" customWidth="1"/>
    <col min="4104" max="4104" width="9.109375" style="1"/>
    <col min="4105" max="4105" width="8.88671875" style="1" customWidth="1"/>
    <col min="4106" max="4109" width="16.33203125" style="1" customWidth="1"/>
    <col min="4110" max="4110" width="24.6640625" style="1" customWidth="1"/>
    <col min="4111" max="4111" width="7.6640625" style="1" customWidth="1"/>
    <col min="4112" max="4114" width="9.109375" style="1"/>
    <col min="4115" max="4115" width="10.33203125" style="1" customWidth="1"/>
    <col min="4116" max="4119" width="16.33203125" style="1" customWidth="1"/>
    <col min="4120" max="4355" width="9.109375" style="1"/>
    <col min="4356" max="4356" width="27.5546875" style="1" customWidth="1"/>
    <col min="4357" max="4357" width="6.109375" style="1" customWidth="1"/>
    <col min="4358" max="4358" width="7.6640625" style="1" customWidth="1"/>
    <col min="4359" max="4359" width="9.44140625" style="1" customWidth="1"/>
    <col min="4360" max="4360" width="9.109375" style="1"/>
    <col min="4361" max="4361" width="8.88671875" style="1" customWidth="1"/>
    <col min="4362" max="4365" width="16.33203125" style="1" customWidth="1"/>
    <col min="4366" max="4366" width="24.6640625" style="1" customWidth="1"/>
    <col min="4367" max="4367" width="7.6640625" style="1" customWidth="1"/>
    <col min="4368" max="4370" width="9.109375" style="1"/>
    <col min="4371" max="4371" width="10.33203125" style="1" customWidth="1"/>
    <col min="4372" max="4375" width="16.33203125" style="1" customWidth="1"/>
    <col min="4376" max="4611" width="9.109375" style="1"/>
    <col min="4612" max="4612" width="27.5546875" style="1" customWidth="1"/>
    <col min="4613" max="4613" width="6.109375" style="1" customWidth="1"/>
    <col min="4614" max="4614" width="7.6640625" style="1" customWidth="1"/>
    <col min="4615" max="4615" width="9.44140625" style="1" customWidth="1"/>
    <col min="4616" max="4616" width="9.109375" style="1"/>
    <col min="4617" max="4617" width="8.88671875" style="1" customWidth="1"/>
    <col min="4618" max="4621" width="16.33203125" style="1" customWidth="1"/>
    <col min="4622" max="4622" width="24.6640625" style="1" customWidth="1"/>
    <col min="4623" max="4623" width="7.6640625" style="1" customWidth="1"/>
    <col min="4624" max="4626" width="9.109375" style="1"/>
    <col min="4627" max="4627" width="10.33203125" style="1" customWidth="1"/>
    <col min="4628" max="4631" width="16.33203125" style="1" customWidth="1"/>
    <col min="4632" max="4867" width="9.109375" style="1"/>
    <col min="4868" max="4868" width="27.5546875" style="1" customWidth="1"/>
    <col min="4869" max="4869" width="6.109375" style="1" customWidth="1"/>
    <col min="4870" max="4870" width="7.6640625" style="1" customWidth="1"/>
    <col min="4871" max="4871" width="9.44140625" style="1" customWidth="1"/>
    <col min="4872" max="4872" width="9.109375" style="1"/>
    <col min="4873" max="4873" width="8.88671875" style="1" customWidth="1"/>
    <col min="4874" max="4877" width="16.33203125" style="1" customWidth="1"/>
    <col min="4878" max="4878" width="24.6640625" style="1" customWidth="1"/>
    <col min="4879" max="4879" width="7.6640625" style="1" customWidth="1"/>
    <col min="4880" max="4882" width="9.109375" style="1"/>
    <col min="4883" max="4883" width="10.33203125" style="1" customWidth="1"/>
    <col min="4884" max="4887" width="16.33203125" style="1" customWidth="1"/>
    <col min="4888" max="5123" width="9.109375" style="1"/>
    <col min="5124" max="5124" width="27.5546875" style="1" customWidth="1"/>
    <col min="5125" max="5125" width="6.109375" style="1" customWidth="1"/>
    <col min="5126" max="5126" width="7.6640625" style="1" customWidth="1"/>
    <col min="5127" max="5127" width="9.44140625" style="1" customWidth="1"/>
    <col min="5128" max="5128" width="9.109375" style="1"/>
    <col min="5129" max="5129" width="8.88671875" style="1" customWidth="1"/>
    <col min="5130" max="5133" width="16.33203125" style="1" customWidth="1"/>
    <col min="5134" max="5134" width="24.6640625" style="1" customWidth="1"/>
    <col min="5135" max="5135" width="7.6640625" style="1" customWidth="1"/>
    <col min="5136" max="5138" width="9.109375" style="1"/>
    <col min="5139" max="5139" width="10.33203125" style="1" customWidth="1"/>
    <col min="5140" max="5143" width="16.33203125" style="1" customWidth="1"/>
    <col min="5144" max="5379" width="9.109375" style="1"/>
    <col min="5380" max="5380" width="27.5546875" style="1" customWidth="1"/>
    <col min="5381" max="5381" width="6.109375" style="1" customWidth="1"/>
    <col min="5382" max="5382" width="7.6640625" style="1" customWidth="1"/>
    <col min="5383" max="5383" width="9.44140625" style="1" customWidth="1"/>
    <col min="5384" max="5384" width="9.109375" style="1"/>
    <col min="5385" max="5385" width="8.88671875" style="1" customWidth="1"/>
    <col min="5386" max="5389" width="16.33203125" style="1" customWidth="1"/>
    <col min="5390" max="5390" width="24.6640625" style="1" customWidth="1"/>
    <col min="5391" max="5391" width="7.6640625" style="1" customWidth="1"/>
    <col min="5392" max="5394" width="9.109375" style="1"/>
    <col min="5395" max="5395" width="10.33203125" style="1" customWidth="1"/>
    <col min="5396" max="5399" width="16.33203125" style="1" customWidth="1"/>
    <col min="5400" max="5635" width="9.109375" style="1"/>
    <col min="5636" max="5636" width="27.5546875" style="1" customWidth="1"/>
    <col min="5637" max="5637" width="6.109375" style="1" customWidth="1"/>
    <col min="5638" max="5638" width="7.6640625" style="1" customWidth="1"/>
    <col min="5639" max="5639" width="9.44140625" style="1" customWidth="1"/>
    <col min="5640" max="5640" width="9.109375" style="1"/>
    <col min="5641" max="5641" width="8.88671875" style="1" customWidth="1"/>
    <col min="5642" max="5645" width="16.33203125" style="1" customWidth="1"/>
    <col min="5646" max="5646" width="24.6640625" style="1" customWidth="1"/>
    <col min="5647" max="5647" width="7.6640625" style="1" customWidth="1"/>
    <col min="5648" max="5650" width="9.109375" style="1"/>
    <col min="5651" max="5651" width="10.33203125" style="1" customWidth="1"/>
    <col min="5652" max="5655" width="16.33203125" style="1" customWidth="1"/>
    <col min="5656" max="5891" width="9.109375" style="1"/>
    <col min="5892" max="5892" width="27.5546875" style="1" customWidth="1"/>
    <col min="5893" max="5893" width="6.109375" style="1" customWidth="1"/>
    <col min="5894" max="5894" width="7.6640625" style="1" customWidth="1"/>
    <col min="5895" max="5895" width="9.44140625" style="1" customWidth="1"/>
    <col min="5896" max="5896" width="9.109375" style="1"/>
    <col min="5897" max="5897" width="8.88671875" style="1" customWidth="1"/>
    <col min="5898" max="5901" width="16.33203125" style="1" customWidth="1"/>
    <col min="5902" max="5902" width="24.6640625" style="1" customWidth="1"/>
    <col min="5903" max="5903" width="7.6640625" style="1" customWidth="1"/>
    <col min="5904" max="5906" width="9.109375" style="1"/>
    <col min="5907" max="5907" width="10.33203125" style="1" customWidth="1"/>
    <col min="5908" max="5911" width="16.33203125" style="1" customWidth="1"/>
    <col min="5912" max="6147" width="9.109375" style="1"/>
    <col min="6148" max="6148" width="27.5546875" style="1" customWidth="1"/>
    <col min="6149" max="6149" width="6.109375" style="1" customWidth="1"/>
    <col min="6150" max="6150" width="7.6640625" style="1" customWidth="1"/>
    <col min="6151" max="6151" width="9.44140625" style="1" customWidth="1"/>
    <col min="6152" max="6152" width="9.109375" style="1"/>
    <col min="6153" max="6153" width="8.88671875" style="1" customWidth="1"/>
    <col min="6154" max="6157" width="16.33203125" style="1" customWidth="1"/>
    <col min="6158" max="6158" width="24.6640625" style="1" customWidth="1"/>
    <col min="6159" max="6159" width="7.6640625" style="1" customWidth="1"/>
    <col min="6160" max="6162" width="9.109375" style="1"/>
    <col min="6163" max="6163" width="10.33203125" style="1" customWidth="1"/>
    <col min="6164" max="6167" width="16.33203125" style="1" customWidth="1"/>
    <col min="6168" max="6403" width="9.109375" style="1"/>
    <col min="6404" max="6404" width="27.5546875" style="1" customWidth="1"/>
    <col min="6405" max="6405" width="6.109375" style="1" customWidth="1"/>
    <col min="6406" max="6406" width="7.6640625" style="1" customWidth="1"/>
    <col min="6407" max="6407" width="9.44140625" style="1" customWidth="1"/>
    <col min="6408" max="6408" width="9.109375" style="1"/>
    <col min="6409" max="6409" width="8.88671875" style="1" customWidth="1"/>
    <col min="6410" max="6413" width="16.33203125" style="1" customWidth="1"/>
    <col min="6414" max="6414" width="24.6640625" style="1" customWidth="1"/>
    <col min="6415" max="6415" width="7.6640625" style="1" customWidth="1"/>
    <col min="6416" max="6418" width="9.109375" style="1"/>
    <col min="6419" max="6419" width="10.33203125" style="1" customWidth="1"/>
    <col min="6420" max="6423" width="16.33203125" style="1" customWidth="1"/>
    <col min="6424" max="6659" width="9.109375" style="1"/>
    <col min="6660" max="6660" width="27.5546875" style="1" customWidth="1"/>
    <col min="6661" max="6661" width="6.109375" style="1" customWidth="1"/>
    <col min="6662" max="6662" width="7.6640625" style="1" customWidth="1"/>
    <col min="6663" max="6663" width="9.44140625" style="1" customWidth="1"/>
    <col min="6664" max="6664" width="9.109375" style="1"/>
    <col min="6665" max="6665" width="8.88671875" style="1" customWidth="1"/>
    <col min="6666" max="6669" width="16.33203125" style="1" customWidth="1"/>
    <col min="6670" max="6670" width="24.6640625" style="1" customWidth="1"/>
    <col min="6671" max="6671" width="7.6640625" style="1" customWidth="1"/>
    <col min="6672" max="6674" width="9.109375" style="1"/>
    <col min="6675" max="6675" width="10.33203125" style="1" customWidth="1"/>
    <col min="6676" max="6679" width="16.33203125" style="1" customWidth="1"/>
    <col min="6680" max="6915" width="9.109375" style="1"/>
    <col min="6916" max="6916" width="27.5546875" style="1" customWidth="1"/>
    <col min="6917" max="6917" width="6.109375" style="1" customWidth="1"/>
    <col min="6918" max="6918" width="7.6640625" style="1" customWidth="1"/>
    <col min="6919" max="6919" width="9.44140625" style="1" customWidth="1"/>
    <col min="6920" max="6920" width="9.109375" style="1"/>
    <col min="6921" max="6921" width="8.88671875" style="1" customWidth="1"/>
    <col min="6922" max="6925" width="16.33203125" style="1" customWidth="1"/>
    <col min="6926" max="6926" width="24.6640625" style="1" customWidth="1"/>
    <col min="6927" max="6927" width="7.6640625" style="1" customWidth="1"/>
    <col min="6928" max="6930" width="9.109375" style="1"/>
    <col min="6931" max="6931" width="10.33203125" style="1" customWidth="1"/>
    <col min="6932" max="6935" width="16.33203125" style="1" customWidth="1"/>
    <col min="6936" max="7171" width="9.109375" style="1"/>
    <col min="7172" max="7172" width="27.5546875" style="1" customWidth="1"/>
    <col min="7173" max="7173" width="6.109375" style="1" customWidth="1"/>
    <col min="7174" max="7174" width="7.6640625" style="1" customWidth="1"/>
    <col min="7175" max="7175" width="9.44140625" style="1" customWidth="1"/>
    <col min="7176" max="7176" width="9.109375" style="1"/>
    <col min="7177" max="7177" width="8.88671875" style="1" customWidth="1"/>
    <col min="7178" max="7181" width="16.33203125" style="1" customWidth="1"/>
    <col min="7182" max="7182" width="24.6640625" style="1" customWidth="1"/>
    <col min="7183" max="7183" width="7.6640625" style="1" customWidth="1"/>
    <col min="7184" max="7186" width="9.109375" style="1"/>
    <col min="7187" max="7187" width="10.33203125" style="1" customWidth="1"/>
    <col min="7188" max="7191" width="16.33203125" style="1" customWidth="1"/>
    <col min="7192" max="7427" width="9.109375" style="1"/>
    <col min="7428" max="7428" width="27.5546875" style="1" customWidth="1"/>
    <col min="7429" max="7429" width="6.109375" style="1" customWidth="1"/>
    <col min="7430" max="7430" width="7.6640625" style="1" customWidth="1"/>
    <col min="7431" max="7431" width="9.44140625" style="1" customWidth="1"/>
    <col min="7432" max="7432" width="9.109375" style="1"/>
    <col min="7433" max="7433" width="8.88671875" style="1" customWidth="1"/>
    <col min="7434" max="7437" width="16.33203125" style="1" customWidth="1"/>
    <col min="7438" max="7438" width="24.6640625" style="1" customWidth="1"/>
    <col min="7439" max="7439" width="7.6640625" style="1" customWidth="1"/>
    <col min="7440" max="7442" width="9.109375" style="1"/>
    <col min="7443" max="7443" width="10.33203125" style="1" customWidth="1"/>
    <col min="7444" max="7447" width="16.33203125" style="1" customWidth="1"/>
    <col min="7448" max="7683" width="9.109375" style="1"/>
    <col min="7684" max="7684" width="27.5546875" style="1" customWidth="1"/>
    <col min="7685" max="7685" width="6.109375" style="1" customWidth="1"/>
    <col min="7686" max="7686" width="7.6640625" style="1" customWidth="1"/>
    <col min="7687" max="7687" width="9.44140625" style="1" customWidth="1"/>
    <col min="7688" max="7688" width="9.109375" style="1"/>
    <col min="7689" max="7689" width="8.88671875" style="1" customWidth="1"/>
    <col min="7690" max="7693" width="16.33203125" style="1" customWidth="1"/>
    <col min="7694" max="7694" width="24.6640625" style="1" customWidth="1"/>
    <col min="7695" max="7695" width="7.6640625" style="1" customWidth="1"/>
    <col min="7696" max="7698" width="9.109375" style="1"/>
    <col min="7699" max="7699" width="10.33203125" style="1" customWidth="1"/>
    <col min="7700" max="7703" width="16.33203125" style="1" customWidth="1"/>
    <col min="7704" max="7939" width="9.109375" style="1"/>
    <col min="7940" max="7940" width="27.5546875" style="1" customWidth="1"/>
    <col min="7941" max="7941" width="6.109375" style="1" customWidth="1"/>
    <col min="7942" max="7942" width="7.6640625" style="1" customWidth="1"/>
    <col min="7943" max="7943" width="9.44140625" style="1" customWidth="1"/>
    <col min="7944" max="7944" width="9.109375" style="1"/>
    <col min="7945" max="7945" width="8.88671875" style="1" customWidth="1"/>
    <col min="7946" max="7949" width="16.33203125" style="1" customWidth="1"/>
    <col min="7950" max="7950" width="24.6640625" style="1" customWidth="1"/>
    <col min="7951" max="7951" width="7.6640625" style="1" customWidth="1"/>
    <col min="7952" max="7954" width="9.109375" style="1"/>
    <col min="7955" max="7955" width="10.33203125" style="1" customWidth="1"/>
    <col min="7956" max="7959" width="16.33203125" style="1" customWidth="1"/>
    <col min="7960" max="8195" width="9.109375" style="1"/>
    <col min="8196" max="8196" width="27.5546875" style="1" customWidth="1"/>
    <col min="8197" max="8197" width="6.109375" style="1" customWidth="1"/>
    <col min="8198" max="8198" width="7.6640625" style="1" customWidth="1"/>
    <col min="8199" max="8199" width="9.44140625" style="1" customWidth="1"/>
    <col min="8200" max="8200" width="9.109375" style="1"/>
    <col min="8201" max="8201" width="8.88671875" style="1" customWidth="1"/>
    <col min="8202" max="8205" width="16.33203125" style="1" customWidth="1"/>
    <col min="8206" max="8206" width="24.6640625" style="1" customWidth="1"/>
    <col min="8207" max="8207" width="7.6640625" style="1" customWidth="1"/>
    <col min="8208" max="8210" width="9.109375" style="1"/>
    <col min="8211" max="8211" width="10.33203125" style="1" customWidth="1"/>
    <col min="8212" max="8215" width="16.33203125" style="1" customWidth="1"/>
    <col min="8216" max="8451" width="9.109375" style="1"/>
    <col min="8452" max="8452" width="27.5546875" style="1" customWidth="1"/>
    <col min="8453" max="8453" width="6.109375" style="1" customWidth="1"/>
    <col min="8454" max="8454" width="7.6640625" style="1" customWidth="1"/>
    <col min="8455" max="8455" width="9.44140625" style="1" customWidth="1"/>
    <col min="8456" max="8456" width="9.109375" style="1"/>
    <col min="8457" max="8457" width="8.88671875" style="1" customWidth="1"/>
    <col min="8458" max="8461" width="16.33203125" style="1" customWidth="1"/>
    <col min="8462" max="8462" width="24.6640625" style="1" customWidth="1"/>
    <col min="8463" max="8463" width="7.6640625" style="1" customWidth="1"/>
    <col min="8464" max="8466" width="9.109375" style="1"/>
    <col min="8467" max="8467" width="10.33203125" style="1" customWidth="1"/>
    <col min="8468" max="8471" width="16.33203125" style="1" customWidth="1"/>
    <col min="8472" max="8707" width="9.109375" style="1"/>
    <col min="8708" max="8708" width="27.5546875" style="1" customWidth="1"/>
    <col min="8709" max="8709" width="6.109375" style="1" customWidth="1"/>
    <col min="8710" max="8710" width="7.6640625" style="1" customWidth="1"/>
    <col min="8711" max="8711" width="9.44140625" style="1" customWidth="1"/>
    <col min="8712" max="8712" width="9.109375" style="1"/>
    <col min="8713" max="8713" width="8.88671875" style="1" customWidth="1"/>
    <col min="8714" max="8717" width="16.33203125" style="1" customWidth="1"/>
    <col min="8718" max="8718" width="24.6640625" style="1" customWidth="1"/>
    <col min="8719" max="8719" width="7.6640625" style="1" customWidth="1"/>
    <col min="8720" max="8722" width="9.109375" style="1"/>
    <col min="8723" max="8723" width="10.33203125" style="1" customWidth="1"/>
    <col min="8724" max="8727" width="16.33203125" style="1" customWidth="1"/>
    <col min="8728" max="8963" width="9.109375" style="1"/>
    <col min="8964" max="8964" width="27.5546875" style="1" customWidth="1"/>
    <col min="8965" max="8965" width="6.109375" style="1" customWidth="1"/>
    <col min="8966" max="8966" width="7.6640625" style="1" customWidth="1"/>
    <col min="8967" max="8967" width="9.44140625" style="1" customWidth="1"/>
    <col min="8968" max="8968" width="9.109375" style="1"/>
    <col min="8969" max="8969" width="8.88671875" style="1" customWidth="1"/>
    <col min="8970" max="8973" width="16.33203125" style="1" customWidth="1"/>
    <col min="8974" max="8974" width="24.6640625" style="1" customWidth="1"/>
    <col min="8975" max="8975" width="7.6640625" style="1" customWidth="1"/>
    <col min="8976" max="8978" width="9.109375" style="1"/>
    <col min="8979" max="8979" width="10.33203125" style="1" customWidth="1"/>
    <col min="8980" max="8983" width="16.33203125" style="1" customWidth="1"/>
    <col min="8984" max="9219" width="9.109375" style="1"/>
    <col min="9220" max="9220" width="27.5546875" style="1" customWidth="1"/>
    <col min="9221" max="9221" width="6.109375" style="1" customWidth="1"/>
    <col min="9222" max="9222" width="7.6640625" style="1" customWidth="1"/>
    <col min="9223" max="9223" width="9.44140625" style="1" customWidth="1"/>
    <col min="9224" max="9224" width="9.109375" style="1"/>
    <col min="9225" max="9225" width="8.88671875" style="1" customWidth="1"/>
    <col min="9226" max="9229" width="16.33203125" style="1" customWidth="1"/>
    <col min="9230" max="9230" width="24.6640625" style="1" customWidth="1"/>
    <col min="9231" max="9231" width="7.6640625" style="1" customWidth="1"/>
    <col min="9232" max="9234" width="9.109375" style="1"/>
    <col min="9235" max="9235" width="10.33203125" style="1" customWidth="1"/>
    <col min="9236" max="9239" width="16.33203125" style="1" customWidth="1"/>
    <col min="9240" max="9475" width="9.109375" style="1"/>
    <col min="9476" max="9476" width="27.5546875" style="1" customWidth="1"/>
    <col min="9477" max="9477" width="6.109375" style="1" customWidth="1"/>
    <col min="9478" max="9478" width="7.6640625" style="1" customWidth="1"/>
    <col min="9479" max="9479" width="9.44140625" style="1" customWidth="1"/>
    <col min="9480" max="9480" width="9.109375" style="1"/>
    <col min="9481" max="9481" width="8.88671875" style="1" customWidth="1"/>
    <col min="9482" max="9485" width="16.33203125" style="1" customWidth="1"/>
    <col min="9486" max="9486" width="24.6640625" style="1" customWidth="1"/>
    <col min="9487" max="9487" width="7.6640625" style="1" customWidth="1"/>
    <col min="9488" max="9490" width="9.109375" style="1"/>
    <col min="9491" max="9491" width="10.33203125" style="1" customWidth="1"/>
    <col min="9492" max="9495" width="16.33203125" style="1" customWidth="1"/>
    <col min="9496" max="9731" width="9.109375" style="1"/>
    <col min="9732" max="9732" width="27.5546875" style="1" customWidth="1"/>
    <col min="9733" max="9733" width="6.109375" style="1" customWidth="1"/>
    <col min="9734" max="9734" width="7.6640625" style="1" customWidth="1"/>
    <col min="9735" max="9735" width="9.44140625" style="1" customWidth="1"/>
    <col min="9736" max="9736" width="9.109375" style="1"/>
    <col min="9737" max="9737" width="8.88671875" style="1" customWidth="1"/>
    <col min="9738" max="9741" width="16.33203125" style="1" customWidth="1"/>
    <col min="9742" max="9742" width="24.6640625" style="1" customWidth="1"/>
    <col min="9743" max="9743" width="7.6640625" style="1" customWidth="1"/>
    <col min="9744" max="9746" width="9.109375" style="1"/>
    <col min="9747" max="9747" width="10.33203125" style="1" customWidth="1"/>
    <col min="9748" max="9751" width="16.33203125" style="1" customWidth="1"/>
    <col min="9752" max="9987" width="9.109375" style="1"/>
    <col min="9988" max="9988" width="27.5546875" style="1" customWidth="1"/>
    <col min="9989" max="9989" width="6.109375" style="1" customWidth="1"/>
    <col min="9990" max="9990" width="7.6640625" style="1" customWidth="1"/>
    <col min="9991" max="9991" width="9.44140625" style="1" customWidth="1"/>
    <col min="9992" max="9992" width="9.109375" style="1"/>
    <col min="9993" max="9993" width="8.88671875" style="1" customWidth="1"/>
    <col min="9994" max="9997" width="16.33203125" style="1" customWidth="1"/>
    <col min="9998" max="9998" width="24.6640625" style="1" customWidth="1"/>
    <col min="9999" max="9999" width="7.6640625" style="1" customWidth="1"/>
    <col min="10000" max="10002" width="9.109375" style="1"/>
    <col min="10003" max="10003" width="10.33203125" style="1" customWidth="1"/>
    <col min="10004" max="10007" width="16.33203125" style="1" customWidth="1"/>
    <col min="10008" max="10243" width="9.109375" style="1"/>
    <col min="10244" max="10244" width="27.5546875" style="1" customWidth="1"/>
    <col min="10245" max="10245" width="6.109375" style="1" customWidth="1"/>
    <col min="10246" max="10246" width="7.6640625" style="1" customWidth="1"/>
    <col min="10247" max="10247" width="9.44140625" style="1" customWidth="1"/>
    <col min="10248" max="10248" width="9.109375" style="1"/>
    <col min="10249" max="10249" width="8.88671875" style="1" customWidth="1"/>
    <col min="10250" max="10253" width="16.33203125" style="1" customWidth="1"/>
    <col min="10254" max="10254" width="24.6640625" style="1" customWidth="1"/>
    <col min="10255" max="10255" width="7.6640625" style="1" customWidth="1"/>
    <col min="10256" max="10258" width="9.109375" style="1"/>
    <col min="10259" max="10259" width="10.33203125" style="1" customWidth="1"/>
    <col min="10260" max="10263" width="16.33203125" style="1" customWidth="1"/>
    <col min="10264" max="10499" width="9.109375" style="1"/>
    <col min="10500" max="10500" width="27.5546875" style="1" customWidth="1"/>
    <col min="10501" max="10501" width="6.109375" style="1" customWidth="1"/>
    <col min="10502" max="10502" width="7.6640625" style="1" customWidth="1"/>
    <col min="10503" max="10503" width="9.44140625" style="1" customWidth="1"/>
    <col min="10504" max="10504" width="9.109375" style="1"/>
    <col min="10505" max="10505" width="8.88671875" style="1" customWidth="1"/>
    <col min="10506" max="10509" width="16.33203125" style="1" customWidth="1"/>
    <col min="10510" max="10510" width="24.6640625" style="1" customWidth="1"/>
    <col min="10511" max="10511" width="7.6640625" style="1" customWidth="1"/>
    <col min="10512" max="10514" width="9.109375" style="1"/>
    <col min="10515" max="10515" width="10.33203125" style="1" customWidth="1"/>
    <col min="10516" max="10519" width="16.33203125" style="1" customWidth="1"/>
    <col min="10520" max="10755" width="9.109375" style="1"/>
    <col min="10756" max="10756" width="27.5546875" style="1" customWidth="1"/>
    <col min="10757" max="10757" width="6.109375" style="1" customWidth="1"/>
    <col min="10758" max="10758" width="7.6640625" style="1" customWidth="1"/>
    <col min="10759" max="10759" width="9.44140625" style="1" customWidth="1"/>
    <col min="10760" max="10760" width="9.109375" style="1"/>
    <col min="10761" max="10761" width="8.88671875" style="1" customWidth="1"/>
    <col min="10762" max="10765" width="16.33203125" style="1" customWidth="1"/>
    <col min="10766" max="10766" width="24.6640625" style="1" customWidth="1"/>
    <col min="10767" max="10767" width="7.6640625" style="1" customWidth="1"/>
    <col min="10768" max="10770" width="9.109375" style="1"/>
    <col min="10771" max="10771" width="10.33203125" style="1" customWidth="1"/>
    <col min="10772" max="10775" width="16.33203125" style="1" customWidth="1"/>
    <col min="10776" max="11011" width="9.109375" style="1"/>
    <col min="11012" max="11012" width="27.5546875" style="1" customWidth="1"/>
    <col min="11013" max="11013" width="6.109375" style="1" customWidth="1"/>
    <col min="11014" max="11014" width="7.6640625" style="1" customWidth="1"/>
    <col min="11015" max="11015" width="9.44140625" style="1" customWidth="1"/>
    <col min="11016" max="11016" width="9.109375" style="1"/>
    <col min="11017" max="11017" width="8.88671875" style="1" customWidth="1"/>
    <col min="11018" max="11021" width="16.33203125" style="1" customWidth="1"/>
    <col min="11022" max="11022" width="24.6640625" style="1" customWidth="1"/>
    <col min="11023" max="11023" width="7.6640625" style="1" customWidth="1"/>
    <col min="11024" max="11026" width="9.109375" style="1"/>
    <col min="11027" max="11027" width="10.33203125" style="1" customWidth="1"/>
    <col min="11028" max="11031" width="16.33203125" style="1" customWidth="1"/>
    <col min="11032" max="11267" width="9.109375" style="1"/>
    <col min="11268" max="11268" width="27.5546875" style="1" customWidth="1"/>
    <col min="11269" max="11269" width="6.109375" style="1" customWidth="1"/>
    <col min="11270" max="11270" width="7.6640625" style="1" customWidth="1"/>
    <col min="11271" max="11271" width="9.44140625" style="1" customWidth="1"/>
    <col min="11272" max="11272" width="9.109375" style="1"/>
    <col min="11273" max="11273" width="8.88671875" style="1" customWidth="1"/>
    <col min="11274" max="11277" width="16.33203125" style="1" customWidth="1"/>
    <col min="11278" max="11278" width="24.6640625" style="1" customWidth="1"/>
    <col min="11279" max="11279" width="7.6640625" style="1" customWidth="1"/>
    <col min="11280" max="11282" width="9.109375" style="1"/>
    <col min="11283" max="11283" width="10.33203125" style="1" customWidth="1"/>
    <col min="11284" max="11287" width="16.33203125" style="1" customWidth="1"/>
    <col min="11288" max="11523" width="9.109375" style="1"/>
    <col min="11524" max="11524" width="27.5546875" style="1" customWidth="1"/>
    <col min="11525" max="11525" width="6.109375" style="1" customWidth="1"/>
    <col min="11526" max="11526" width="7.6640625" style="1" customWidth="1"/>
    <col min="11527" max="11527" width="9.44140625" style="1" customWidth="1"/>
    <col min="11528" max="11528" width="9.109375" style="1"/>
    <col min="11529" max="11529" width="8.88671875" style="1" customWidth="1"/>
    <col min="11530" max="11533" width="16.33203125" style="1" customWidth="1"/>
    <col min="11534" max="11534" width="24.6640625" style="1" customWidth="1"/>
    <col min="11535" max="11535" width="7.6640625" style="1" customWidth="1"/>
    <col min="11536" max="11538" width="9.109375" style="1"/>
    <col min="11539" max="11539" width="10.33203125" style="1" customWidth="1"/>
    <col min="11540" max="11543" width="16.33203125" style="1" customWidth="1"/>
    <col min="11544" max="11779" width="9.109375" style="1"/>
    <col min="11780" max="11780" width="27.5546875" style="1" customWidth="1"/>
    <col min="11781" max="11781" width="6.109375" style="1" customWidth="1"/>
    <col min="11782" max="11782" width="7.6640625" style="1" customWidth="1"/>
    <col min="11783" max="11783" width="9.44140625" style="1" customWidth="1"/>
    <col min="11784" max="11784" width="9.109375" style="1"/>
    <col min="11785" max="11785" width="8.88671875" style="1" customWidth="1"/>
    <col min="11786" max="11789" width="16.33203125" style="1" customWidth="1"/>
    <col min="11790" max="11790" width="24.6640625" style="1" customWidth="1"/>
    <col min="11791" max="11791" width="7.6640625" style="1" customWidth="1"/>
    <col min="11792" max="11794" width="9.109375" style="1"/>
    <col min="11795" max="11795" width="10.33203125" style="1" customWidth="1"/>
    <col min="11796" max="11799" width="16.33203125" style="1" customWidth="1"/>
    <col min="11800" max="12035" width="9.109375" style="1"/>
    <col min="12036" max="12036" width="27.5546875" style="1" customWidth="1"/>
    <col min="12037" max="12037" width="6.109375" style="1" customWidth="1"/>
    <col min="12038" max="12038" width="7.6640625" style="1" customWidth="1"/>
    <col min="12039" max="12039" width="9.44140625" style="1" customWidth="1"/>
    <col min="12040" max="12040" width="9.109375" style="1"/>
    <col min="12041" max="12041" width="8.88671875" style="1" customWidth="1"/>
    <col min="12042" max="12045" width="16.33203125" style="1" customWidth="1"/>
    <col min="12046" max="12046" width="24.6640625" style="1" customWidth="1"/>
    <col min="12047" max="12047" width="7.6640625" style="1" customWidth="1"/>
    <col min="12048" max="12050" width="9.109375" style="1"/>
    <col min="12051" max="12051" width="10.33203125" style="1" customWidth="1"/>
    <col min="12052" max="12055" width="16.33203125" style="1" customWidth="1"/>
    <col min="12056" max="12291" width="9.109375" style="1"/>
    <col min="12292" max="12292" width="27.5546875" style="1" customWidth="1"/>
    <col min="12293" max="12293" width="6.109375" style="1" customWidth="1"/>
    <col min="12294" max="12294" width="7.6640625" style="1" customWidth="1"/>
    <col min="12295" max="12295" width="9.44140625" style="1" customWidth="1"/>
    <col min="12296" max="12296" width="9.109375" style="1"/>
    <col min="12297" max="12297" width="8.88671875" style="1" customWidth="1"/>
    <col min="12298" max="12301" width="16.33203125" style="1" customWidth="1"/>
    <col min="12302" max="12302" width="24.6640625" style="1" customWidth="1"/>
    <col min="12303" max="12303" width="7.6640625" style="1" customWidth="1"/>
    <col min="12304" max="12306" width="9.109375" style="1"/>
    <col min="12307" max="12307" width="10.33203125" style="1" customWidth="1"/>
    <col min="12308" max="12311" width="16.33203125" style="1" customWidth="1"/>
    <col min="12312" max="12547" width="9.109375" style="1"/>
    <col min="12548" max="12548" width="27.5546875" style="1" customWidth="1"/>
    <col min="12549" max="12549" width="6.109375" style="1" customWidth="1"/>
    <col min="12550" max="12550" width="7.6640625" style="1" customWidth="1"/>
    <col min="12551" max="12551" width="9.44140625" style="1" customWidth="1"/>
    <col min="12552" max="12552" width="9.109375" style="1"/>
    <col min="12553" max="12553" width="8.88671875" style="1" customWidth="1"/>
    <col min="12554" max="12557" width="16.33203125" style="1" customWidth="1"/>
    <col min="12558" max="12558" width="24.6640625" style="1" customWidth="1"/>
    <col min="12559" max="12559" width="7.6640625" style="1" customWidth="1"/>
    <col min="12560" max="12562" width="9.109375" style="1"/>
    <col min="12563" max="12563" width="10.33203125" style="1" customWidth="1"/>
    <col min="12564" max="12567" width="16.33203125" style="1" customWidth="1"/>
    <col min="12568" max="12803" width="9.109375" style="1"/>
    <col min="12804" max="12804" width="27.5546875" style="1" customWidth="1"/>
    <col min="12805" max="12805" width="6.109375" style="1" customWidth="1"/>
    <col min="12806" max="12806" width="7.6640625" style="1" customWidth="1"/>
    <col min="12807" max="12807" width="9.44140625" style="1" customWidth="1"/>
    <col min="12808" max="12808" width="9.109375" style="1"/>
    <col min="12809" max="12809" width="8.88671875" style="1" customWidth="1"/>
    <col min="12810" max="12813" width="16.33203125" style="1" customWidth="1"/>
    <col min="12814" max="12814" width="24.6640625" style="1" customWidth="1"/>
    <col min="12815" max="12815" width="7.6640625" style="1" customWidth="1"/>
    <col min="12816" max="12818" width="9.109375" style="1"/>
    <col min="12819" max="12819" width="10.33203125" style="1" customWidth="1"/>
    <col min="12820" max="12823" width="16.33203125" style="1" customWidth="1"/>
    <col min="12824" max="13059" width="9.109375" style="1"/>
    <col min="13060" max="13060" width="27.5546875" style="1" customWidth="1"/>
    <col min="13061" max="13061" width="6.109375" style="1" customWidth="1"/>
    <col min="13062" max="13062" width="7.6640625" style="1" customWidth="1"/>
    <col min="13063" max="13063" width="9.44140625" style="1" customWidth="1"/>
    <col min="13064" max="13064" width="9.109375" style="1"/>
    <col min="13065" max="13065" width="8.88671875" style="1" customWidth="1"/>
    <col min="13066" max="13069" width="16.33203125" style="1" customWidth="1"/>
    <col min="13070" max="13070" width="24.6640625" style="1" customWidth="1"/>
    <col min="13071" max="13071" width="7.6640625" style="1" customWidth="1"/>
    <col min="13072" max="13074" width="9.109375" style="1"/>
    <col min="13075" max="13075" width="10.33203125" style="1" customWidth="1"/>
    <col min="13076" max="13079" width="16.33203125" style="1" customWidth="1"/>
    <col min="13080" max="13315" width="9.109375" style="1"/>
    <col min="13316" max="13316" width="27.5546875" style="1" customWidth="1"/>
    <col min="13317" max="13317" width="6.109375" style="1" customWidth="1"/>
    <col min="13318" max="13318" width="7.6640625" style="1" customWidth="1"/>
    <col min="13319" max="13319" width="9.44140625" style="1" customWidth="1"/>
    <col min="13320" max="13320" width="9.109375" style="1"/>
    <col min="13321" max="13321" width="8.88671875" style="1" customWidth="1"/>
    <col min="13322" max="13325" width="16.33203125" style="1" customWidth="1"/>
    <col min="13326" max="13326" width="24.6640625" style="1" customWidth="1"/>
    <col min="13327" max="13327" width="7.6640625" style="1" customWidth="1"/>
    <col min="13328" max="13330" width="9.109375" style="1"/>
    <col min="13331" max="13331" width="10.33203125" style="1" customWidth="1"/>
    <col min="13332" max="13335" width="16.33203125" style="1" customWidth="1"/>
    <col min="13336" max="13571" width="9.109375" style="1"/>
    <col min="13572" max="13572" width="27.5546875" style="1" customWidth="1"/>
    <col min="13573" max="13573" width="6.109375" style="1" customWidth="1"/>
    <col min="13574" max="13574" width="7.6640625" style="1" customWidth="1"/>
    <col min="13575" max="13575" width="9.44140625" style="1" customWidth="1"/>
    <col min="13576" max="13576" width="9.109375" style="1"/>
    <col min="13577" max="13577" width="8.88671875" style="1" customWidth="1"/>
    <col min="13578" max="13581" width="16.33203125" style="1" customWidth="1"/>
    <col min="13582" max="13582" width="24.6640625" style="1" customWidth="1"/>
    <col min="13583" max="13583" width="7.6640625" style="1" customWidth="1"/>
    <col min="13584" max="13586" width="9.109375" style="1"/>
    <col min="13587" max="13587" width="10.33203125" style="1" customWidth="1"/>
    <col min="13588" max="13591" width="16.33203125" style="1" customWidth="1"/>
    <col min="13592" max="13827" width="9.109375" style="1"/>
    <col min="13828" max="13828" width="27.5546875" style="1" customWidth="1"/>
    <col min="13829" max="13829" width="6.109375" style="1" customWidth="1"/>
    <col min="13830" max="13830" width="7.6640625" style="1" customWidth="1"/>
    <col min="13831" max="13831" width="9.44140625" style="1" customWidth="1"/>
    <col min="13832" max="13832" width="9.109375" style="1"/>
    <col min="13833" max="13833" width="8.88671875" style="1" customWidth="1"/>
    <col min="13834" max="13837" width="16.33203125" style="1" customWidth="1"/>
    <col min="13838" max="13838" width="24.6640625" style="1" customWidth="1"/>
    <col min="13839" max="13839" width="7.6640625" style="1" customWidth="1"/>
    <col min="13840" max="13842" width="9.109375" style="1"/>
    <col min="13843" max="13843" width="10.33203125" style="1" customWidth="1"/>
    <col min="13844" max="13847" width="16.33203125" style="1" customWidth="1"/>
    <col min="13848" max="14083" width="9.109375" style="1"/>
    <col min="14084" max="14084" width="27.5546875" style="1" customWidth="1"/>
    <col min="14085" max="14085" width="6.109375" style="1" customWidth="1"/>
    <col min="14086" max="14086" width="7.6640625" style="1" customWidth="1"/>
    <col min="14087" max="14087" width="9.44140625" style="1" customWidth="1"/>
    <col min="14088" max="14088" width="9.109375" style="1"/>
    <col min="14089" max="14089" width="8.88671875" style="1" customWidth="1"/>
    <col min="14090" max="14093" width="16.33203125" style="1" customWidth="1"/>
    <col min="14094" max="14094" width="24.6640625" style="1" customWidth="1"/>
    <col min="14095" max="14095" width="7.6640625" style="1" customWidth="1"/>
    <col min="14096" max="14098" width="9.109375" style="1"/>
    <col min="14099" max="14099" width="10.33203125" style="1" customWidth="1"/>
    <col min="14100" max="14103" width="16.33203125" style="1" customWidth="1"/>
    <col min="14104" max="14339" width="9.109375" style="1"/>
    <col min="14340" max="14340" width="27.5546875" style="1" customWidth="1"/>
    <col min="14341" max="14341" width="6.109375" style="1" customWidth="1"/>
    <col min="14342" max="14342" width="7.6640625" style="1" customWidth="1"/>
    <col min="14343" max="14343" width="9.44140625" style="1" customWidth="1"/>
    <col min="14344" max="14344" width="9.109375" style="1"/>
    <col min="14345" max="14345" width="8.88671875" style="1" customWidth="1"/>
    <col min="14346" max="14349" width="16.33203125" style="1" customWidth="1"/>
    <col min="14350" max="14350" width="24.6640625" style="1" customWidth="1"/>
    <col min="14351" max="14351" width="7.6640625" style="1" customWidth="1"/>
    <col min="14352" max="14354" width="9.109375" style="1"/>
    <col min="14355" max="14355" width="10.33203125" style="1" customWidth="1"/>
    <col min="14356" max="14359" width="16.33203125" style="1" customWidth="1"/>
    <col min="14360" max="14595" width="9.109375" style="1"/>
    <col min="14596" max="14596" width="27.5546875" style="1" customWidth="1"/>
    <col min="14597" max="14597" width="6.109375" style="1" customWidth="1"/>
    <col min="14598" max="14598" width="7.6640625" style="1" customWidth="1"/>
    <col min="14599" max="14599" width="9.44140625" style="1" customWidth="1"/>
    <col min="14600" max="14600" width="9.109375" style="1"/>
    <col min="14601" max="14601" width="8.88671875" style="1" customWidth="1"/>
    <col min="14602" max="14605" width="16.33203125" style="1" customWidth="1"/>
    <col min="14606" max="14606" width="24.6640625" style="1" customWidth="1"/>
    <col min="14607" max="14607" width="7.6640625" style="1" customWidth="1"/>
    <col min="14608" max="14610" width="9.109375" style="1"/>
    <col min="14611" max="14611" width="10.33203125" style="1" customWidth="1"/>
    <col min="14612" max="14615" width="16.33203125" style="1" customWidth="1"/>
    <col min="14616" max="14851" width="9.109375" style="1"/>
    <col min="14852" max="14852" width="27.5546875" style="1" customWidth="1"/>
    <col min="14853" max="14853" width="6.109375" style="1" customWidth="1"/>
    <col min="14854" max="14854" width="7.6640625" style="1" customWidth="1"/>
    <col min="14855" max="14855" width="9.44140625" style="1" customWidth="1"/>
    <col min="14856" max="14856" width="9.109375" style="1"/>
    <col min="14857" max="14857" width="8.88671875" style="1" customWidth="1"/>
    <col min="14858" max="14861" width="16.33203125" style="1" customWidth="1"/>
    <col min="14862" max="14862" width="24.6640625" style="1" customWidth="1"/>
    <col min="14863" max="14863" width="7.6640625" style="1" customWidth="1"/>
    <col min="14864" max="14866" width="9.109375" style="1"/>
    <col min="14867" max="14867" width="10.33203125" style="1" customWidth="1"/>
    <col min="14868" max="14871" width="16.33203125" style="1" customWidth="1"/>
    <col min="14872" max="15107" width="9.109375" style="1"/>
    <col min="15108" max="15108" width="27.5546875" style="1" customWidth="1"/>
    <col min="15109" max="15109" width="6.109375" style="1" customWidth="1"/>
    <col min="15110" max="15110" width="7.6640625" style="1" customWidth="1"/>
    <col min="15111" max="15111" width="9.44140625" style="1" customWidth="1"/>
    <col min="15112" max="15112" width="9.109375" style="1"/>
    <col min="15113" max="15113" width="8.88671875" style="1" customWidth="1"/>
    <col min="15114" max="15117" width="16.33203125" style="1" customWidth="1"/>
    <col min="15118" max="15118" width="24.6640625" style="1" customWidth="1"/>
    <col min="15119" max="15119" width="7.6640625" style="1" customWidth="1"/>
    <col min="15120" max="15122" width="9.109375" style="1"/>
    <col min="15123" max="15123" width="10.33203125" style="1" customWidth="1"/>
    <col min="15124" max="15127" width="16.33203125" style="1" customWidth="1"/>
    <col min="15128" max="15363" width="9.109375" style="1"/>
    <col min="15364" max="15364" width="27.5546875" style="1" customWidth="1"/>
    <col min="15365" max="15365" width="6.109375" style="1" customWidth="1"/>
    <col min="15366" max="15366" width="7.6640625" style="1" customWidth="1"/>
    <col min="15367" max="15367" width="9.44140625" style="1" customWidth="1"/>
    <col min="15368" max="15368" width="9.109375" style="1"/>
    <col min="15369" max="15369" width="8.88671875" style="1" customWidth="1"/>
    <col min="15370" max="15373" width="16.33203125" style="1" customWidth="1"/>
    <col min="15374" max="15374" width="24.6640625" style="1" customWidth="1"/>
    <col min="15375" max="15375" width="7.6640625" style="1" customWidth="1"/>
    <col min="15376" max="15378" width="9.109375" style="1"/>
    <col min="15379" max="15379" width="10.33203125" style="1" customWidth="1"/>
    <col min="15380" max="15383" width="16.33203125" style="1" customWidth="1"/>
    <col min="15384" max="15619" width="9.109375" style="1"/>
    <col min="15620" max="15620" width="27.5546875" style="1" customWidth="1"/>
    <col min="15621" max="15621" width="6.109375" style="1" customWidth="1"/>
    <col min="15622" max="15622" width="7.6640625" style="1" customWidth="1"/>
    <col min="15623" max="15623" width="9.44140625" style="1" customWidth="1"/>
    <col min="15624" max="15624" width="9.109375" style="1"/>
    <col min="15625" max="15625" width="8.88671875" style="1" customWidth="1"/>
    <col min="15626" max="15629" width="16.33203125" style="1" customWidth="1"/>
    <col min="15630" max="15630" width="24.6640625" style="1" customWidth="1"/>
    <col min="15631" max="15631" width="7.6640625" style="1" customWidth="1"/>
    <col min="15632" max="15634" width="9.109375" style="1"/>
    <col min="15635" max="15635" width="10.33203125" style="1" customWidth="1"/>
    <col min="15636" max="15639" width="16.33203125" style="1" customWidth="1"/>
    <col min="15640" max="15875" width="9.109375" style="1"/>
    <col min="15876" max="15876" width="27.5546875" style="1" customWidth="1"/>
    <col min="15877" max="15877" width="6.109375" style="1" customWidth="1"/>
    <col min="15878" max="15878" width="7.6640625" style="1" customWidth="1"/>
    <col min="15879" max="15879" width="9.44140625" style="1" customWidth="1"/>
    <col min="15880" max="15880" width="9.109375" style="1"/>
    <col min="15881" max="15881" width="8.88671875" style="1" customWidth="1"/>
    <col min="15882" max="15885" width="16.33203125" style="1" customWidth="1"/>
    <col min="15886" max="15886" width="24.6640625" style="1" customWidth="1"/>
    <col min="15887" max="15887" width="7.6640625" style="1" customWidth="1"/>
    <col min="15888" max="15890" width="9.109375" style="1"/>
    <col min="15891" max="15891" width="10.33203125" style="1" customWidth="1"/>
    <col min="15892" max="15895" width="16.33203125" style="1" customWidth="1"/>
    <col min="15896" max="16131" width="9.109375" style="1"/>
    <col min="16132" max="16132" width="27.5546875" style="1" customWidth="1"/>
    <col min="16133" max="16133" width="6.109375" style="1" customWidth="1"/>
    <col min="16134" max="16134" width="7.6640625" style="1" customWidth="1"/>
    <col min="16135" max="16135" width="9.44140625" style="1" customWidth="1"/>
    <col min="16136" max="16136" width="9.109375" style="1"/>
    <col min="16137" max="16137" width="8.88671875" style="1" customWidth="1"/>
    <col min="16138" max="16141" width="16.33203125" style="1" customWidth="1"/>
    <col min="16142" max="16142" width="24.6640625" style="1" customWidth="1"/>
    <col min="16143" max="16143" width="7.6640625" style="1" customWidth="1"/>
    <col min="16144" max="16146" width="9.109375" style="1"/>
    <col min="16147" max="16147" width="10.33203125" style="1" customWidth="1"/>
    <col min="16148" max="16151" width="16.33203125" style="1" customWidth="1"/>
    <col min="16152" max="16384" width="9.109375" style="1"/>
  </cols>
  <sheetData>
    <row r="1" spans="1:5" ht="17.25" customHeight="1">
      <c r="A1" s="28" t="s">
        <v>106</v>
      </c>
    </row>
    <row r="2" spans="1:5" ht="17.25" customHeight="1"/>
    <row r="3" spans="1:5" ht="17.25" customHeight="1"/>
    <row r="4" spans="1:5" ht="17.25" customHeight="1">
      <c r="A4" s="2" t="s">
        <v>701</v>
      </c>
    </row>
    <row r="5" spans="1:5" ht="17.25" customHeight="1">
      <c r="A5" s="115" t="s">
        <v>708</v>
      </c>
      <c r="B5" s="116" t="s">
        <v>546</v>
      </c>
      <c r="C5" s="116" t="s">
        <v>14</v>
      </c>
      <c r="D5" s="116" t="s">
        <v>13</v>
      </c>
      <c r="E5" s="116" t="s">
        <v>881</v>
      </c>
    </row>
    <row r="6" spans="1:5" ht="17.25" customHeight="1">
      <c r="A6" s="2" t="s">
        <v>52</v>
      </c>
      <c r="B6" s="1">
        <v>2.0000000000000001E-4</v>
      </c>
      <c r="C6" s="1">
        <v>3.5E-4</v>
      </c>
      <c r="D6" s="1">
        <v>5.0000000000000001E-4</v>
      </c>
      <c r="E6" s="1">
        <v>6.9999999999999999E-4</v>
      </c>
    </row>
    <row r="7" spans="1:5" ht="17.25" customHeight="1">
      <c r="A7" s="2" t="s">
        <v>46</v>
      </c>
      <c r="B7" s="1">
        <v>2.0000000000000001E-4</v>
      </c>
      <c r="C7" s="1">
        <v>3.5E-4</v>
      </c>
      <c r="D7" s="1">
        <v>5.0000000000000001E-4</v>
      </c>
      <c r="E7" s="1">
        <v>6.9999999999999999E-4</v>
      </c>
    </row>
    <row r="8" spans="1:5" ht="17.25" customHeight="1">
      <c r="A8" s="2" t="s">
        <v>76</v>
      </c>
      <c r="B8" s="1">
        <v>2.0000000000000001E-4</v>
      </c>
      <c r="C8" s="1">
        <v>3.5E-4</v>
      </c>
      <c r="D8" s="1">
        <v>5.0000000000000001E-4</v>
      </c>
      <c r="E8" s="1">
        <v>6.9999999999999999E-4</v>
      </c>
    </row>
    <row r="9" spans="1:5" ht="17.25" customHeight="1">
      <c r="A9" s="2" t="s">
        <v>78</v>
      </c>
      <c r="B9" s="1">
        <v>2.9999999999999997E-4</v>
      </c>
      <c r="C9" s="1">
        <v>4.4999999999999999E-4</v>
      </c>
      <c r="D9" s="1">
        <v>7.5000000000000002E-4</v>
      </c>
      <c r="E9" s="1">
        <v>8.0000000000000004E-4</v>
      </c>
    </row>
    <row r="10" spans="1:5" ht="17.25" customHeight="1">
      <c r="A10" s="2" t="s">
        <v>63</v>
      </c>
      <c r="B10" s="1">
        <v>2.0000000000000001E-4</v>
      </c>
      <c r="C10" s="1">
        <v>3.5E-4</v>
      </c>
      <c r="D10" s="1">
        <v>5.0000000000000001E-4</v>
      </c>
      <c r="E10" s="1">
        <v>6.9999999999999999E-4</v>
      </c>
    </row>
    <row r="11" spans="1:5" ht="17.25" customHeight="1">
      <c r="A11" s="2" t="s">
        <v>61</v>
      </c>
      <c r="B11" s="1">
        <v>2.0000000000000001E-4</v>
      </c>
      <c r="C11" s="1">
        <v>3.5E-4</v>
      </c>
      <c r="D11" s="1">
        <v>5.0000000000000001E-4</v>
      </c>
      <c r="E11" s="1">
        <v>6.9999999999999999E-4</v>
      </c>
    </row>
    <row r="12" spans="1:5" ht="17.25" customHeight="1">
      <c r="A12" s="2" t="s">
        <v>65</v>
      </c>
      <c r="B12" s="1">
        <v>2.0000000000000001E-4</v>
      </c>
      <c r="C12" s="1">
        <v>3.5E-4</v>
      </c>
      <c r="D12" s="1">
        <v>5.0000000000000001E-4</v>
      </c>
      <c r="E12" s="1">
        <v>6.9999999999999999E-4</v>
      </c>
    </row>
    <row r="13" spans="1:5" ht="17.25" customHeight="1">
      <c r="A13" s="2" t="s">
        <v>36</v>
      </c>
      <c r="B13" s="1">
        <v>2.0000000000000001E-4</v>
      </c>
      <c r="C13" s="1">
        <v>3.5E-4</v>
      </c>
      <c r="D13" s="1">
        <v>5.0000000000000001E-4</v>
      </c>
      <c r="E13" s="1">
        <v>6.9999999999999999E-4</v>
      </c>
    </row>
    <row r="14" spans="1:5" ht="17.25" customHeight="1">
      <c r="A14" s="2" t="s">
        <v>3</v>
      </c>
      <c r="B14" s="1">
        <v>2.9999999999999997E-4</v>
      </c>
      <c r="C14" s="1">
        <v>4.4999999999999999E-4</v>
      </c>
      <c r="D14" s="1">
        <v>7.5000000000000002E-4</v>
      </c>
      <c r="E14" s="1">
        <v>8.0000000000000004E-4</v>
      </c>
    </row>
    <row r="15" spans="1:5" ht="17.25" customHeight="1">
      <c r="A15" s="2" t="s">
        <v>706</v>
      </c>
      <c r="B15" s="1">
        <v>2.9999999999999997E-4</v>
      </c>
      <c r="C15" s="1">
        <v>4.4999999999999999E-4</v>
      </c>
      <c r="D15" s="1">
        <v>7.5000000000000002E-4</v>
      </c>
      <c r="E15" s="1">
        <v>8.0000000000000004E-4</v>
      </c>
    </row>
    <row r="16" spans="1:5" ht="17.25" customHeight="1">
      <c r="A16" s="2" t="s">
        <v>42</v>
      </c>
      <c r="B16" s="1">
        <v>2.0000000000000001E-4</v>
      </c>
      <c r="C16" s="1">
        <v>3.5E-4</v>
      </c>
      <c r="D16" s="1">
        <v>5.0000000000000001E-4</v>
      </c>
      <c r="E16" s="1">
        <v>6.9999999999999999E-4</v>
      </c>
    </row>
    <row r="17" spans="1:5" ht="17.25" customHeight="1">
      <c r="A17" s="2" t="s">
        <v>704</v>
      </c>
      <c r="B17" s="1">
        <v>2.0000000000000001E-4</v>
      </c>
      <c r="C17" s="1">
        <v>3.5E-4</v>
      </c>
      <c r="D17" s="1">
        <v>5.0000000000000001E-4</v>
      </c>
      <c r="E17" s="1">
        <v>6.9999999999999999E-4</v>
      </c>
    </row>
    <row r="18" spans="1:5" ht="17.25" customHeight="1">
      <c r="A18" s="2" t="s">
        <v>702</v>
      </c>
      <c r="B18" s="1">
        <v>2.0000000000000001E-4</v>
      </c>
      <c r="C18" s="1">
        <v>3.5E-4</v>
      </c>
      <c r="D18" s="1">
        <v>5.0000000000000001E-4</v>
      </c>
      <c r="E18" s="1">
        <v>6.9999999999999999E-4</v>
      </c>
    </row>
    <row r="19" spans="1:5" ht="17.25" customHeight="1">
      <c r="A19" s="2" t="s">
        <v>57</v>
      </c>
      <c r="B19" s="1">
        <v>2.0000000000000001E-4</v>
      </c>
      <c r="C19" s="1">
        <v>3.5E-4</v>
      </c>
      <c r="D19" s="1">
        <v>5.0000000000000001E-4</v>
      </c>
      <c r="E19" s="1">
        <v>6.9999999999999999E-4</v>
      </c>
    </row>
    <row r="20" spans="1:5" ht="17.25" customHeight="1">
      <c r="A20" s="2" t="s">
        <v>80</v>
      </c>
      <c r="B20" s="1">
        <v>2.0000000000000001E-4</v>
      </c>
      <c r="C20" s="1">
        <v>3.5E-4</v>
      </c>
      <c r="D20" s="1">
        <v>5.0000000000000001E-4</v>
      </c>
      <c r="E20" s="1">
        <v>6.9999999999999999E-4</v>
      </c>
    </row>
    <row r="21" spans="1:5" ht="17.25" customHeight="1">
      <c r="A21" s="2" t="s">
        <v>34</v>
      </c>
      <c r="B21" s="1">
        <v>2.0000000000000001E-4</v>
      </c>
      <c r="C21" s="1">
        <v>3.5E-4</v>
      </c>
      <c r="D21" s="1">
        <v>5.0000000000000001E-4</v>
      </c>
      <c r="E21" s="1">
        <v>6.9999999999999999E-4</v>
      </c>
    </row>
    <row r="22" spans="1:5" ht="17.25" customHeight="1">
      <c r="A22" s="2" t="s">
        <v>32</v>
      </c>
      <c r="B22" s="1">
        <v>2.0000000000000001E-4</v>
      </c>
      <c r="C22" s="1">
        <v>3.5E-4</v>
      </c>
      <c r="D22" s="1">
        <v>5.0000000000000001E-4</v>
      </c>
      <c r="E22" s="1">
        <v>6.9999999999999999E-4</v>
      </c>
    </row>
    <row r="23" spans="1:5" ht="17.25" customHeight="1">
      <c r="A23" s="2" t="s">
        <v>75</v>
      </c>
      <c r="B23" s="1">
        <v>2.0000000000000001E-4</v>
      </c>
      <c r="C23" s="1">
        <v>3.5E-4</v>
      </c>
      <c r="D23" s="1">
        <v>5.0000000000000001E-4</v>
      </c>
      <c r="E23" s="1">
        <v>6.9999999999999999E-4</v>
      </c>
    </row>
    <row r="24" spans="1:5" ht="17.25" customHeight="1">
      <c r="A24" s="2" t="s">
        <v>73</v>
      </c>
      <c r="B24" s="1">
        <v>2.0000000000000001E-4</v>
      </c>
      <c r="C24" s="1">
        <v>3.5E-4</v>
      </c>
      <c r="D24" s="1">
        <v>5.0000000000000001E-4</v>
      </c>
      <c r="E24" s="1">
        <v>6.9999999999999999E-4</v>
      </c>
    </row>
    <row r="25" spans="1:5" ht="17.25" customHeight="1">
      <c r="A25" s="2" t="s">
        <v>30</v>
      </c>
      <c r="B25" s="1">
        <v>2.0000000000000001E-4</v>
      </c>
      <c r="C25" s="1">
        <v>3.5E-4</v>
      </c>
      <c r="D25" s="1">
        <v>5.0000000000000001E-4</v>
      </c>
      <c r="E25" s="1">
        <v>6.9999999999999999E-4</v>
      </c>
    </row>
    <row r="26" spans="1:5" ht="17.25" customHeight="1">
      <c r="A26" s="2" t="s">
        <v>703</v>
      </c>
      <c r="B26" s="1">
        <v>2.0000000000000001E-4</v>
      </c>
      <c r="C26" s="1">
        <v>3.5E-4</v>
      </c>
      <c r="D26" s="1">
        <v>5.0000000000000001E-4</v>
      </c>
      <c r="E26" s="1">
        <v>6.9999999999999999E-4</v>
      </c>
    </row>
    <row r="27" spans="1:5" ht="17.25" customHeight="1">
      <c r="A27" s="2" t="s">
        <v>22</v>
      </c>
      <c r="B27" s="1">
        <v>2.0000000000000001E-4</v>
      </c>
      <c r="C27" s="1">
        <v>3.5E-4</v>
      </c>
      <c r="D27" s="1">
        <v>5.0000000000000001E-4</v>
      </c>
      <c r="E27" s="1">
        <v>6.9999999999999999E-4</v>
      </c>
    </row>
    <row r="28" spans="1:5" ht="17.25" customHeight="1">
      <c r="A28" s="2" t="s">
        <v>705</v>
      </c>
      <c r="B28" s="1">
        <v>2.0000000000000001E-4</v>
      </c>
      <c r="C28" s="1">
        <v>3.5E-4</v>
      </c>
      <c r="D28" s="1">
        <v>5.0000000000000001E-4</v>
      </c>
      <c r="E28" s="1">
        <v>6.9999999999999999E-4</v>
      </c>
    </row>
    <row r="29" spans="1:5" ht="17.25" customHeight="1">
      <c r="A29" s="2" t="s">
        <v>707</v>
      </c>
      <c r="B29" s="1">
        <v>2.9999999999999997E-4</v>
      </c>
      <c r="C29" s="1">
        <v>4.4999999999999999E-4</v>
      </c>
      <c r="D29" s="1">
        <v>7.5000000000000002E-4</v>
      </c>
      <c r="E29" s="1">
        <v>8.0000000000000004E-4</v>
      </c>
    </row>
    <row r="30" spans="1:5" ht="17.25" customHeight="1">
      <c r="A30" s="2" t="s">
        <v>40</v>
      </c>
      <c r="B30" s="1">
        <v>2.9999999999999997E-4</v>
      </c>
      <c r="C30" s="1">
        <v>4.4999999999999999E-4</v>
      </c>
      <c r="D30" s="1">
        <v>7.5000000000000002E-4</v>
      </c>
      <c r="E30" s="1">
        <v>8.0000000000000004E-4</v>
      </c>
    </row>
    <row r="31" spans="1:5" ht="17.25" customHeight="1"/>
    <row r="32" spans="1:5" ht="17.25" customHeight="1"/>
    <row r="33" spans="1:13" ht="17.25" customHeight="1"/>
    <row r="34" spans="1:13">
      <c r="A34" s="2"/>
      <c r="G34" s="3"/>
      <c r="H34" s="3"/>
      <c r="I34" s="3"/>
      <c r="J34" s="3"/>
      <c r="K34" s="3"/>
      <c r="L34" s="3"/>
      <c r="M34" s="3"/>
    </row>
    <row r="35" spans="1:13" ht="27.75" customHeight="1">
      <c r="A35" s="4"/>
      <c r="C35" s="5"/>
      <c r="D35" s="5"/>
      <c r="E35" s="5"/>
      <c r="F35" s="5"/>
      <c r="G35" s="6"/>
      <c r="H35" s="6"/>
      <c r="I35" s="6"/>
      <c r="J35" s="6"/>
      <c r="K35" s="6"/>
      <c r="L35" s="6"/>
      <c r="M35" s="6"/>
    </row>
    <row r="36" spans="1:13" ht="18.75" customHeight="1">
      <c r="A36" s="4"/>
      <c r="C36" s="5"/>
      <c r="D36" s="5"/>
      <c r="E36" s="5"/>
      <c r="F36" s="5"/>
      <c r="G36" s="5"/>
      <c r="I36" s="5"/>
      <c r="K36" s="5"/>
      <c r="M36" s="5"/>
    </row>
    <row r="37" spans="1:13">
      <c r="A37" s="4"/>
      <c r="B37" s="4"/>
      <c r="C37" s="5"/>
      <c r="D37" s="5"/>
      <c r="E37" s="7"/>
      <c r="F37" s="8"/>
      <c r="G37" s="9"/>
      <c r="H37" s="9"/>
      <c r="I37" s="9"/>
      <c r="J37" s="9"/>
      <c r="K37" s="9"/>
      <c r="L37" s="9"/>
      <c r="M37" s="9"/>
    </row>
    <row r="38" spans="1:13">
      <c r="A38" s="4"/>
      <c r="B38" s="4"/>
      <c r="E38" s="7"/>
      <c r="F38" s="8"/>
      <c r="G38" s="9"/>
      <c r="H38" s="9"/>
      <c r="I38" s="9"/>
      <c r="J38" s="9"/>
      <c r="K38" s="9"/>
      <c r="L38" s="9"/>
      <c r="M38" s="9"/>
    </row>
    <row r="39" spans="1:13">
      <c r="A39" s="4"/>
      <c r="B39" s="4"/>
      <c r="E39" s="7"/>
      <c r="F39" s="8"/>
      <c r="G39" s="9"/>
      <c r="H39" s="9"/>
      <c r="I39" s="9"/>
      <c r="J39" s="9"/>
      <c r="K39" s="9"/>
      <c r="L39" s="9"/>
      <c r="M39" s="9"/>
    </row>
    <row r="40" spans="1:13">
      <c r="A40" s="4"/>
      <c r="B40" s="4"/>
      <c r="E40" s="7"/>
      <c r="F40" s="8"/>
      <c r="G40" s="9"/>
      <c r="H40" s="9"/>
      <c r="I40" s="9"/>
      <c r="J40" s="9"/>
      <c r="K40" s="9"/>
      <c r="L40" s="9"/>
      <c r="M40" s="9"/>
    </row>
    <row r="41" spans="1:13">
      <c r="A41" s="4"/>
      <c r="B41" s="4"/>
      <c r="E41" s="7"/>
      <c r="F41" s="8"/>
      <c r="G41" s="9"/>
      <c r="H41" s="9"/>
      <c r="I41" s="9"/>
      <c r="J41" s="9"/>
      <c r="K41" s="9"/>
      <c r="L41" s="9"/>
      <c r="M41" s="9"/>
    </row>
    <row r="42" spans="1:13">
      <c r="A42" s="4"/>
      <c r="B42" s="4"/>
      <c r="E42" s="7"/>
      <c r="F42" s="8"/>
      <c r="G42" s="9"/>
      <c r="H42" s="9"/>
      <c r="I42" s="9"/>
      <c r="J42" s="9"/>
      <c r="K42" s="9"/>
      <c r="L42" s="9"/>
      <c r="M42" s="9"/>
    </row>
    <row r="43" spans="1:13">
      <c r="A43" s="4"/>
      <c r="B43" s="4"/>
      <c r="E43" s="7"/>
      <c r="F43" s="8"/>
      <c r="G43" s="9"/>
      <c r="H43" s="9"/>
      <c r="I43" s="9"/>
      <c r="J43" s="9"/>
      <c r="K43" s="9"/>
      <c r="L43" s="9"/>
      <c r="M43" s="9"/>
    </row>
    <row r="44" spans="1:13">
      <c r="A44" s="4"/>
      <c r="B44" s="4"/>
      <c r="C44" s="10"/>
      <c r="D44" s="11"/>
      <c r="E44" s="7"/>
      <c r="F44" s="8"/>
      <c r="G44" s="9"/>
      <c r="H44" s="9"/>
      <c r="I44" s="9"/>
      <c r="J44" s="9"/>
      <c r="K44" s="9"/>
      <c r="L44" s="9"/>
      <c r="M44" s="9"/>
    </row>
    <row r="45" spans="1:13">
      <c r="A45" s="4"/>
      <c r="B45" s="4"/>
      <c r="C45" s="10"/>
      <c r="D45" s="11"/>
      <c r="E45" s="7"/>
      <c r="F45" s="8"/>
      <c r="G45" s="9"/>
      <c r="H45" s="9"/>
      <c r="I45" s="9"/>
      <c r="J45" s="9"/>
      <c r="K45" s="9"/>
      <c r="L45" s="9"/>
      <c r="M45" s="9"/>
    </row>
    <row r="46" spans="1:13">
      <c r="A46" s="4"/>
      <c r="B46" s="4"/>
      <c r="C46" s="10"/>
      <c r="D46" s="11"/>
      <c r="E46" s="7"/>
      <c r="F46" s="8"/>
      <c r="G46" s="9"/>
      <c r="H46" s="9"/>
      <c r="I46" s="9"/>
      <c r="J46" s="9"/>
      <c r="K46" s="9"/>
      <c r="L46" s="9"/>
      <c r="M46" s="9"/>
    </row>
    <row r="47" spans="1:13">
      <c r="A47" s="4"/>
      <c r="B47" s="4"/>
      <c r="C47" s="10"/>
      <c r="D47" s="11"/>
      <c r="E47" s="7"/>
      <c r="F47" s="8"/>
      <c r="G47" s="9"/>
      <c r="H47" s="9"/>
      <c r="I47" s="9"/>
      <c r="J47" s="9"/>
      <c r="K47" s="9"/>
      <c r="L47" s="9"/>
      <c r="M47" s="9"/>
    </row>
    <row r="48" spans="1:13">
      <c r="A48" s="4"/>
      <c r="B48" s="4"/>
      <c r="C48" s="10"/>
      <c r="D48" s="11"/>
      <c r="E48" s="7"/>
      <c r="F48" s="8"/>
      <c r="G48" s="9"/>
      <c r="H48" s="9"/>
      <c r="I48" s="9"/>
      <c r="J48" s="9"/>
      <c r="K48" s="9"/>
      <c r="L48" s="9"/>
      <c r="M48" s="9"/>
    </row>
    <row r="49" spans="1:19" ht="25.5" customHeight="1">
      <c r="A49" s="4"/>
      <c r="C49" s="12"/>
      <c r="D49" s="11"/>
      <c r="E49" s="7"/>
      <c r="F49" s="8"/>
      <c r="G49" s="9"/>
      <c r="H49" s="9"/>
      <c r="I49" s="9"/>
      <c r="J49" s="9"/>
      <c r="K49" s="9"/>
      <c r="L49" s="9"/>
      <c r="M49" s="9"/>
    </row>
    <row r="50" spans="1:19">
      <c r="C50" s="7"/>
      <c r="D50" s="8"/>
      <c r="E50" s="7"/>
      <c r="F50" s="8"/>
      <c r="G50" s="8"/>
      <c r="H50" s="8"/>
      <c r="I50" s="8"/>
      <c r="J50" s="8"/>
      <c r="K50" s="8"/>
      <c r="L50" s="8"/>
    </row>
    <row r="51" spans="1:19">
      <c r="A51" s="211"/>
      <c r="B51" s="211"/>
      <c r="C51" s="211"/>
      <c r="D51" s="211"/>
      <c r="E51" s="13"/>
      <c r="F51" s="8"/>
      <c r="G51" s="8"/>
      <c r="H51" s="8"/>
      <c r="I51" s="8"/>
      <c r="J51" s="8"/>
      <c r="K51" s="8"/>
      <c r="L51" s="8"/>
    </row>
    <row r="52" spans="1:19">
      <c r="C52" s="7"/>
      <c r="D52" s="8"/>
    </row>
    <row r="53" spans="1:19">
      <c r="C53" s="7"/>
      <c r="D53" s="8"/>
      <c r="E53" s="7"/>
    </row>
    <row r="54" spans="1:19">
      <c r="C54" s="7"/>
      <c r="D54" s="8"/>
      <c r="E54" s="7"/>
    </row>
    <row r="55" spans="1:19">
      <c r="C55" s="7"/>
      <c r="D55" s="8"/>
    </row>
    <row r="56" spans="1:19">
      <c r="A56" s="2"/>
      <c r="G56" s="3"/>
      <c r="H56" s="3"/>
      <c r="I56" s="3"/>
      <c r="J56" s="3"/>
      <c r="K56" s="3"/>
      <c r="L56" s="3"/>
      <c r="M56" s="3"/>
    </row>
    <row r="57" spans="1:19">
      <c r="A57" s="4"/>
      <c r="C57" s="5"/>
      <c r="D57" s="5"/>
      <c r="E57" s="5"/>
      <c r="F57" s="5"/>
      <c r="G57" s="6"/>
      <c r="H57" s="6"/>
      <c r="I57" s="6"/>
      <c r="J57" s="6"/>
      <c r="K57" s="6"/>
      <c r="L57" s="6"/>
      <c r="M57" s="6"/>
    </row>
    <row r="58" spans="1:19">
      <c r="A58" s="4"/>
      <c r="C58" s="5"/>
      <c r="D58" s="5"/>
      <c r="E58" s="5"/>
      <c r="F58" s="5"/>
      <c r="G58" s="5"/>
      <c r="H58" s="5"/>
      <c r="I58" s="5"/>
      <c r="J58" s="5"/>
      <c r="K58" s="5"/>
      <c r="L58" s="5"/>
      <c r="M58" s="5"/>
      <c r="R58" s="7"/>
      <c r="S58" s="8"/>
    </row>
    <row r="59" spans="1:19">
      <c r="A59" s="4"/>
      <c r="B59" s="4"/>
      <c r="C59" s="5"/>
      <c r="D59" s="14"/>
      <c r="E59" s="7"/>
      <c r="F59" s="8"/>
      <c r="G59" s="9"/>
      <c r="H59" s="9"/>
      <c r="I59" s="9"/>
      <c r="J59" s="9"/>
      <c r="K59" s="9"/>
      <c r="L59" s="9"/>
      <c r="M59" s="9"/>
    </row>
    <row r="60" spans="1:19">
      <c r="A60" s="4"/>
      <c r="B60" s="4"/>
      <c r="C60" s="5"/>
      <c r="D60" s="14"/>
      <c r="E60" s="7"/>
      <c r="F60" s="8"/>
      <c r="G60" s="9"/>
      <c r="H60" s="9"/>
      <c r="I60" s="9"/>
      <c r="J60" s="9"/>
      <c r="K60" s="9"/>
      <c r="L60" s="9"/>
      <c r="M60" s="9"/>
    </row>
    <row r="61" spans="1:19">
      <c r="A61" s="4"/>
      <c r="B61" s="4"/>
      <c r="D61" s="11"/>
      <c r="E61" s="7"/>
      <c r="F61" s="8"/>
      <c r="G61" s="9"/>
      <c r="H61" s="9"/>
      <c r="I61" s="9"/>
      <c r="J61" s="9"/>
      <c r="K61" s="9"/>
      <c r="L61" s="9"/>
      <c r="M61" s="9"/>
    </row>
    <row r="62" spans="1:19">
      <c r="A62" s="4"/>
      <c r="B62" s="4"/>
      <c r="D62" s="11"/>
      <c r="E62" s="7"/>
      <c r="F62" s="8"/>
      <c r="G62" s="9"/>
      <c r="H62" s="9"/>
      <c r="I62" s="9"/>
      <c r="J62" s="9"/>
      <c r="K62" s="9"/>
      <c r="L62" s="9"/>
      <c r="M62" s="9"/>
    </row>
    <row r="63" spans="1:19">
      <c r="A63" s="4"/>
      <c r="B63" s="4"/>
      <c r="D63" s="11"/>
      <c r="E63" s="7"/>
      <c r="F63" s="8"/>
      <c r="G63" s="9"/>
      <c r="H63" s="9"/>
      <c r="I63" s="9"/>
      <c r="J63" s="9"/>
      <c r="K63" s="9"/>
      <c r="L63" s="9"/>
      <c r="M63" s="9"/>
    </row>
    <row r="64" spans="1:19">
      <c r="A64" s="4"/>
      <c r="B64" s="4"/>
      <c r="D64" s="11"/>
      <c r="E64" s="7"/>
      <c r="F64" s="8"/>
      <c r="G64" s="9"/>
      <c r="H64" s="9"/>
      <c r="I64" s="9"/>
      <c r="J64" s="9"/>
      <c r="K64" s="9"/>
      <c r="L64" s="9"/>
      <c r="M64" s="9"/>
    </row>
    <row r="65" spans="1:13">
      <c r="A65" s="4"/>
      <c r="B65" s="4"/>
      <c r="D65" s="11"/>
      <c r="E65" s="7"/>
      <c r="F65" s="8"/>
      <c r="G65" s="9"/>
      <c r="H65" s="9"/>
      <c r="I65" s="9"/>
      <c r="J65" s="9"/>
      <c r="K65" s="9"/>
      <c r="L65" s="9"/>
      <c r="M65" s="9"/>
    </row>
    <row r="66" spans="1:13">
      <c r="A66" s="4"/>
      <c r="B66" s="4"/>
      <c r="D66" s="11"/>
      <c r="E66" s="7"/>
      <c r="F66" s="8"/>
      <c r="G66" s="9"/>
      <c r="H66" s="9"/>
      <c r="I66" s="9"/>
      <c r="J66" s="9"/>
      <c r="K66" s="9"/>
      <c r="L66" s="9"/>
      <c r="M66" s="9"/>
    </row>
    <row r="67" spans="1:13">
      <c r="A67" s="4"/>
      <c r="B67" s="4"/>
      <c r="D67" s="11"/>
      <c r="E67" s="7"/>
      <c r="F67" s="8"/>
      <c r="G67" s="9"/>
      <c r="H67" s="9"/>
      <c r="I67" s="9"/>
      <c r="J67" s="9"/>
      <c r="K67" s="9"/>
      <c r="L67" s="9"/>
      <c r="M67" s="9"/>
    </row>
    <row r="68" spans="1:13">
      <c r="A68" s="4"/>
      <c r="B68" s="4"/>
      <c r="D68" s="11"/>
      <c r="E68" s="7"/>
      <c r="F68" s="8"/>
      <c r="G68" s="9"/>
      <c r="H68" s="9"/>
      <c r="I68" s="9"/>
      <c r="J68" s="9"/>
      <c r="K68" s="9"/>
      <c r="L68" s="9"/>
      <c r="M68" s="9"/>
    </row>
    <row r="69" spans="1:13">
      <c r="A69" s="15"/>
      <c r="B69" s="15"/>
      <c r="C69" s="16"/>
      <c r="D69" s="17"/>
      <c r="E69" s="18"/>
      <c r="F69" s="19"/>
      <c r="G69" s="20"/>
      <c r="H69" s="20"/>
      <c r="I69" s="21"/>
      <c r="J69" s="21"/>
      <c r="K69" s="21"/>
      <c r="L69" s="21"/>
      <c r="M69" s="22"/>
    </row>
    <row r="70" spans="1:13">
      <c r="A70" s="4"/>
      <c r="B70" s="4"/>
      <c r="D70" s="11"/>
      <c r="E70" s="7"/>
      <c r="F70" s="8"/>
      <c r="G70" s="9"/>
      <c r="H70" s="9"/>
      <c r="I70" s="9"/>
      <c r="J70" s="9"/>
      <c r="K70" s="9"/>
      <c r="L70" s="9"/>
      <c r="M70" s="9"/>
    </row>
    <row r="71" spans="1:13">
      <c r="A71" s="23"/>
      <c r="B71" s="4"/>
      <c r="D71" s="11"/>
      <c r="E71" s="7"/>
      <c r="F71" s="8"/>
      <c r="G71" s="9"/>
      <c r="H71" s="9"/>
      <c r="I71" s="9"/>
      <c r="J71" s="9"/>
      <c r="K71" s="9"/>
      <c r="L71" s="9"/>
      <c r="M71" s="9"/>
    </row>
    <row r="72" spans="1:13">
      <c r="A72" s="4"/>
      <c r="B72" s="4"/>
      <c r="C72" s="10"/>
      <c r="D72" s="11"/>
      <c r="E72" s="7"/>
      <c r="F72" s="8"/>
      <c r="G72" s="9"/>
      <c r="H72" s="9"/>
      <c r="I72" s="9"/>
      <c r="J72" s="9"/>
      <c r="K72" s="9"/>
      <c r="L72" s="9"/>
      <c r="M72" s="9"/>
    </row>
    <row r="73" spans="1:13">
      <c r="A73" s="4"/>
      <c r="B73" s="4"/>
      <c r="C73" s="10"/>
      <c r="D73" s="11"/>
      <c r="E73" s="7"/>
      <c r="F73" s="8"/>
      <c r="G73" s="9"/>
      <c r="H73" s="9"/>
      <c r="I73" s="9"/>
      <c r="J73" s="9"/>
      <c r="K73" s="9"/>
      <c r="L73" s="9"/>
      <c r="M73" s="9"/>
    </row>
    <row r="74" spans="1:13">
      <c r="A74" s="4"/>
      <c r="B74" s="4"/>
      <c r="C74" s="10"/>
      <c r="D74" s="11"/>
      <c r="E74" s="7"/>
      <c r="F74" s="8"/>
      <c r="G74" s="9"/>
      <c r="H74" s="9"/>
      <c r="I74" s="9"/>
      <c r="J74" s="9"/>
      <c r="K74" s="9"/>
      <c r="L74" s="9"/>
      <c r="M74" s="9"/>
    </row>
    <row r="75" spans="1:13">
      <c r="A75" s="4"/>
      <c r="C75" s="10"/>
      <c r="D75" s="11"/>
      <c r="E75" s="7"/>
      <c r="F75" s="8"/>
      <c r="G75" s="9"/>
      <c r="H75" s="9"/>
      <c r="I75" s="9"/>
      <c r="J75" s="9"/>
      <c r="K75" s="9"/>
      <c r="L75" s="9"/>
      <c r="M75" s="9"/>
    </row>
    <row r="76" spans="1:13">
      <c r="A76" s="4"/>
      <c r="B76" s="4"/>
      <c r="C76" s="10"/>
      <c r="D76" s="11"/>
      <c r="E76" s="7"/>
      <c r="F76" s="8"/>
      <c r="G76" s="9"/>
      <c r="H76" s="9"/>
      <c r="I76" s="9"/>
      <c r="J76" s="9"/>
      <c r="K76" s="9"/>
      <c r="L76" s="9"/>
      <c r="M76" s="9"/>
    </row>
    <row r="77" spans="1:13">
      <c r="A77" s="4"/>
      <c r="B77" s="4"/>
      <c r="C77" s="10"/>
      <c r="D77" s="11"/>
      <c r="E77" s="7"/>
      <c r="F77" s="8"/>
      <c r="G77" s="9"/>
      <c r="H77" s="9"/>
      <c r="I77" s="9"/>
      <c r="J77" s="9"/>
      <c r="K77" s="9"/>
      <c r="L77" s="9"/>
      <c r="M77" s="9"/>
    </row>
    <row r="78" spans="1:13">
      <c r="A78" s="4"/>
      <c r="D78" s="11"/>
      <c r="E78" s="7"/>
      <c r="F78" s="8"/>
      <c r="G78" s="9"/>
      <c r="H78" s="9"/>
      <c r="I78" s="9"/>
      <c r="J78" s="9"/>
      <c r="K78" s="9"/>
      <c r="L78" s="9"/>
      <c r="M78" s="9"/>
    </row>
    <row r="79" spans="1:13">
      <c r="E79" s="7"/>
      <c r="F79" s="8"/>
    </row>
    <row r="88" spans="1:2" ht="14.4">
      <c r="A88" s="88"/>
      <c r="B88" s="25"/>
    </row>
  </sheetData>
  <sortState ref="A6:E33">
    <sortCondition ref="A6:A33"/>
  </sortState>
  <mergeCells count="1">
    <mergeCell ref="A51:D51"/>
  </mergeCells>
  <dataValidations count="1">
    <dataValidation type="list" allowBlank="1" showInputMessage="1" showErrorMessage="1" sqref="B5:E5">
      <formula1>CLVintages</formula1>
    </dataValidation>
  </dataValidations>
  <pageMargins left="0.75" right="0.75" top="1" bottom="1" header="0.5" footer="0.5"/>
  <pageSetup scale="45" orientation="landscape" r:id="rId1"/>
  <headerFooter alignWithMargins="0"/>
  <legacyDrawing r:id="rId2"/>
  <tableParts count="1">
    <tablePart r:id="rId3"/>
  </tableParts>
</worksheet>
</file>

<file path=xl/worksheets/sheet11.xml><?xml version="1.0" encoding="utf-8"?>
<worksheet xmlns="http://schemas.openxmlformats.org/spreadsheetml/2006/main" xmlns:r="http://schemas.openxmlformats.org/officeDocument/2006/relationships">
  <sheetPr>
    <tabColor theme="6"/>
  </sheetPr>
  <dimension ref="A1:C54"/>
  <sheetViews>
    <sheetView workbookViewId="0">
      <selection activeCell="A16" sqref="A16"/>
    </sheetView>
  </sheetViews>
  <sheetFormatPr defaultRowHeight="14.4"/>
  <cols>
    <col min="1" max="1" width="26.44140625" customWidth="1"/>
    <col min="2" max="2" width="24.5546875" customWidth="1"/>
    <col min="3" max="3" width="27.5546875" customWidth="1"/>
  </cols>
  <sheetData>
    <row r="1" spans="1:3">
      <c r="A1" s="66" t="s">
        <v>766</v>
      </c>
      <c r="B1" s="66" t="s">
        <v>765</v>
      </c>
      <c r="C1" s="66" t="s">
        <v>764</v>
      </c>
    </row>
    <row r="2" spans="1:3">
      <c r="A2" t="s">
        <v>0</v>
      </c>
      <c r="B2" t="s">
        <v>737</v>
      </c>
      <c r="C2" t="s">
        <v>750</v>
      </c>
    </row>
    <row r="3" spans="1:3">
      <c r="A3" t="s">
        <v>78</v>
      </c>
      <c r="B3" t="s">
        <v>738</v>
      </c>
      <c r="C3" t="s">
        <v>751</v>
      </c>
    </row>
    <row r="4" spans="1:3">
      <c r="A4" t="s">
        <v>545</v>
      </c>
      <c r="B4" t="s">
        <v>739</v>
      </c>
      <c r="C4" t="s">
        <v>752</v>
      </c>
    </row>
    <row r="5" spans="1:3">
      <c r="A5" t="s">
        <v>761</v>
      </c>
      <c r="B5" t="s">
        <v>431</v>
      </c>
      <c r="C5" t="s">
        <v>812</v>
      </c>
    </row>
    <row r="6" spans="1:3">
      <c r="A6" t="s">
        <v>697</v>
      </c>
      <c r="B6" t="s">
        <v>740</v>
      </c>
      <c r="C6" t="s">
        <v>753</v>
      </c>
    </row>
    <row r="7" spans="1:3">
      <c r="A7" t="s">
        <v>713</v>
      </c>
      <c r="B7" t="s">
        <v>742</v>
      </c>
      <c r="C7" t="s">
        <v>754</v>
      </c>
    </row>
    <row r="8" spans="1:3">
      <c r="A8" t="s">
        <v>762</v>
      </c>
      <c r="B8" t="s">
        <v>770</v>
      </c>
      <c r="C8" t="s">
        <v>755</v>
      </c>
    </row>
    <row r="9" spans="1:3">
      <c r="A9" t="s">
        <v>763</v>
      </c>
      <c r="B9" t="s">
        <v>743</v>
      </c>
      <c r="C9" t="s">
        <v>756</v>
      </c>
    </row>
    <row r="10" spans="1:3">
      <c r="A10" t="s">
        <v>712</v>
      </c>
      <c r="B10" t="s">
        <v>741</v>
      </c>
      <c r="C10" t="s">
        <v>757</v>
      </c>
    </row>
    <row r="11" spans="1:3">
      <c r="A11" t="s">
        <v>2</v>
      </c>
      <c r="B11" t="s">
        <v>744</v>
      </c>
      <c r="C11" t="s">
        <v>758</v>
      </c>
    </row>
    <row r="12" spans="1:3">
      <c r="A12" t="s">
        <v>547</v>
      </c>
      <c r="B12" t="s">
        <v>745</v>
      </c>
      <c r="C12" t="s">
        <v>759</v>
      </c>
    </row>
    <row r="13" spans="1:3">
      <c r="A13" t="s">
        <v>1</v>
      </c>
      <c r="B13" t="s">
        <v>746</v>
      </c>
      <c r="C13" t="s">
        <v>760</v>
      </c>
    </row>
    <row r="15" spans="1:3">
      <c r="A15" s="66" t="s">
        <v>698</v>
      </c>
    </row>
    <row r="16" spans="1:3">
      <c r="A16" t="s">
        <v>881</v>
      </c>
    </row>
    <row r="17" spans="1:1">
      <c r="A17" t="s">
        <v>13</v>
      </c>
    </row>
    <row r="18" spans="1:1">
      <c r="A18" t="s">
        <v>14</v>
      </c>
    </row>
    <row r="19" spans="1:1">
      <c r="A19" t="s">
        <v>546</v>
      </c>
    </row>
    <row r="22" spans="1:1">
      <c r="A22" s="66" t="s">
        <v>709</v>
      </c>
    </row>
    <row r="23" spans="1:1">
      <c r="A23" s="95" t="s">
        <v>769</v>
      </c>
    </row>
    <row r="24" spans="1:1">
      <c r="A24" t="s">
        <v>798</v>
      </c>
    </row>
    <row r="25" spans="1:1">
      <c r="A25" t="s">
        <v>799</v>
      </c>
    </row>
    <row r="27" spans="1:1">
      <c r="A27" t="s">
        <v>780</v>
      </c>
    </row>
    <row r="28" spans="1:1">
      <c r="A28" t="s">
        <v>786</v>
      </c>
    </row>
    <row r="29" spans="1:1">
      <c r="A29" t="s">
        <v>787</v>
      </c>
    </row>
    <row r="30" spans="1:1">
      <c r="A30" t="s">
        <v>791</v>
      </c>
    </row>
    <row r="31" spans="1:1">
      <c r="A31" t="s">
        <v>781</v>
      </c>
    </row>
    <row r="32" spans="1:1">
      <c r="A32" t="s">
        <v>784</v>
      </c>
    </row>
    <row r="33" spans="1:1">
      <c r="A33" t="s">
        <v>785</v>
      </c>
    </row>
    <row r="34" spans="1:1">
      <c r="A34" t="s">
        <v>788</v>
      </c>
    </row>
    <row r="35" spans="1:1">
      <c r="A35" t="s">
        <v>769</v>
      </c>
    </row>
    <row r="36" spans="1:1">
      <c r="A36" t="s">
        <v>782</v>
      </c>
    </row>
    <row r="37" spans="1:1">
      <c r="A37" t="s">
        <v>789</v>
      </c>
    </row>
    <row r="38" spans="1:1">
      <c r="A38" t="s">
        <v>790</v>
      </c>
    </row>
    <row r="39" spans="1:1">
      <c r="A39" t="s">
        <v>783</v>
      </c>
    </row>
    <row r="41" spans="1:1">
      <c r="A41" t="s">
        <v>792</v>
      </c>
    </row>
    <row r="42" spans="1:1">
      <c r="A42" t="s">
        <v>786</v>
      </c>
    </row>
    <row r="43" spans="1:1">
      <c r="A43" t="s">
        <v>787</v>
      </c>
    </row>
    <row r="44" spans="1:1">
      <c r="A44" t="s">
        <v>791</v>
      </c>
    </row>
    <row r="45" spans="1:1">
      <c r="A45" t="s">
        <v>781</v>
      </c>
    </row>
    <row r="46" spans="1:1">
      <c r="A46" t="s">
        <v>784</v>
      </c>
    </row>
    <row r="47" spans="1:1">
      <c r="A47" t="s">
        <v>785</v>
      </c>
    </row>
    <row r="48" spans="1:1">
      <c r="A48" t="s">
        <v>788</v>
      </c>
    </row>
    <row r="49" spans="1:1">
      <c r="A49" t="s">
        <v>769</v>
      </c>
    </row>
    <row r="50" spans="1:1">
      <c r="A50" t="s">
        <v>782</v>
      </c>
    </row>
    <row r="51" spans="1:1">
      <c r="A51" t="s">
        <v>789</v>
      </c>
    </row>
    <row r="52" spans="1:1">
      <c r="A52" t="s">
        <v>790</v>
      </c>
    </row>
    <row r="53" spans="1:1">
      <c r="A53" t="s">
        <v>783</v>
      </c>
    </row>
    <row r="54" spans="1:1">
      <c r="A54" t="s">
        <v>793</v>
      </c>
    </row>
  </sheetData>
  <sortState ref="A16:A19">
    <sortCondition ref="A16"/>
  </sortState>
  <pageMargins left="0.7" right="0.7" top="0.75" bottom="0.75" header="0.3" footer="0.3"/>
  <pageSetup orientation="portrait" r:id="rId1"/>
  <tableParts count="5">
    <tablePart r:id="rId2"/>
    <tablePart r:id="rId3"/>
    <tablePart r:id="rId4"/>
    <tablePart r:id="rId5"/>
    <tablePart r:id="rId6"/>
  </tableParts>
</worksheet>
</file>

<file path=xl/worksheets/sheet12.xml><?xml version="1.0" encoding="utf-8"?>
<worksheet xmlns="http://schemas.openxmlformats.org/spreadsheetml/2006/main" xmlns:r="http://schemas.openxmlformats.org/officeDocument/2006/relationships">
  <sheetPr>
    <tabColor theme="6"/>
  </sheetPr>
  <dimension ref="A1:E5"/>
  <sheetViews>
    <sheetView workbookViewId="0">
      <selection activeCell="D17" sqref="D17"/>
    </sheetView>
  </sheetViews>
  <sheetFormatPr defaultRowHeight="14.4"/>
  <cols>
    <col min="1" max="1" width="30.44140625" customWidth="1"/>
    <col min="2" max="2" width="10.88671875" customWidth="1"/>
    <col min="3" max="5" width="11.88671875" customWidth="1"/>
  </cols>
  <sheetData>
    <row r="1" spans="1:5">
      <c r="A1" s="66" t="s">
        <v>747</v>
      </c>
      <c r="B1" s="66" t="s">
        <v>881</v>
      </c>
      <c r="C1" s="66" t="s">
        <v>13</v>
      </c>
      <c r="D1" s="66" t="s">
        <v>14</v>
      </c>
      <c r="E1" s="66" t="s">
        <v>546</v>
      </c>
    </row>
    <row r="2" spans="1:5">
      <c r="A2" s="66" t="s">
        <v>727</v>
      </c>
      <c r="B2">
        <v>0.75</v>
      </c>
      <c r="C2">
        <v>0.82299999999999995</v>
      </c>
      <c r="D2">
        <v>0.879</v>
      </c>
      <c r="E2">
        <v>0.879</v>
      </c>
    </row>
    <row r="3" spans="1:5">
      <c r="A3" s="66" t="s">
        <v>728</v>
      </c>
      <c r="B3">
        <v>0.75</v>
      </c>
      <c r="C3">
        <v>0.75</v>
      </c>
      <c r="D3">
        <v>0.75</v>
      </c>
      <c r="E3">
        <v>0.8</v>
      </c>
    </row>
    <row r="4" spans="1:5">
      <c r="A4" s="66" t="s">
        <v>726</v>
      </c>
      <c r="B4">
        <v>2.5</v>
      </c>
      <c r="C4">
        <v>2.5</v>
      </c>
      <c r="D4">
        <v>3</v>
      </c>
      <c r="E4">
        <v>3.5</v>
      </c>
    </row>
    <row r="5" spans="1:5">
      <c r="A5" s="66" t="s">
        <v>729</v>
      </c>
      <c r="B5">
        <v>0.7</v>
      </c>
      <c r="C5">
        <v>0.7</v>
      </c>
      <c r="D5">
        <v>0.7</v>
      </c>
      <c r="E5">
        <v>0.7</v>
      </c>
    </row>
  </sheetData>
  <dataValidations count="1">
    <dataValidation type="list" allowBlank="1" showInputMessage="1" showErrorMessage="1" sqref="B1:E1">
      <formula1>CLVintages</formula1>
    </dataValidation>
  </dataValidations>
  <pageMargins left="0.7" right="0.7" top="0.75" bottom="0.75" header="0.3" footer="0.3"/>
  <legacyDrawing r:id="rId1"/>
  <tableParts count="1">
    <tablePart r:id="rId2"/>
  </tableParts>
</worksheet>
</file>

<file path=xl/worksheets/sheet13.xml><?xml version="1.0" encoding="utf-8"?>
<worksheet xmlns="http://schemas.openxmlformats.org/spreadsheetml/2006/main" xmlns:r="http://schemas.openxmlformats.org/officeDocument/2006/relationships">
  <sheetPr>
    <tabColor theme="6"/>
  </sheetPr>
  <dimension ref="A1:B5"/>
  <sheetViews>
    <sheetView workbookViewId="0">
      <selection activeCell="B19" sqref="B19"/>
    </sheetView>
  </sheetViews>
  <sheetFormatPr defaultRowHeight="14.4"/>
  <cols>
    <col min="1" max="1" width="32.109375" customWidth="1"/>
    <col min="2" max="2" width="101.6640625" customWidth="1"/>
  </cols>
  <sheetData>
    <row r="1" spans="1:2">
      <c r="A1" t="s">
        <v>767</v>
      </c>
      <c r="B1" t="s">
        <v>768</v>
      </c>
    </row>
    <row r="2" spans="1:2" ht="345.6">
      <c r="A2" s="47" t="s">
        <v>810</v>
      </c>
      <c r="B2" s="120" t="s">
        <v>806</v>
      </c>
    </row>
    <row r="3" spans="1:2" ht="345.6">
      <c r="A3" s="47" t="s">
        <v>811</v>
      </c>
      <c r="B3" s="120" t="s">
        <v>807</v>
      </c>
    </row>
    <row r="4" spans="1:2" ht="345.6">
      <c r="A4" s="47" t="s">
        <v>803</v>
      </c>
      <c r="B4" s="120" t="s">
        <v>804</v>
      </c>
    </row>
    <row r="5" spans="1:2" ht="345.6">
      <c r="A5" s="47" t="s">
        <v>826</v>
      </c>
      <c r="B5" s="120" t="s">
        <v>827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sheetPr>
    <tabColor theme="6"/>
  </sheetPr>
  <dimension ref="A1:BI33"/>
  <sheetViews>
    <sheetView tabSelected="1" zoomScale="80" zoomScaleNormal="80" workbookViewId="0">
      <selection activeCell="AQ10" sqref="AQ10"/>
    </sheetView>
  </sheetViews>
  <sheetFormatPr defaultColWidth="9.109375" defaultRowHeight="15.6"/>
  <cols>
    <col min="1" max="1" width="15" style="92" customWidth="1"/>
    <col min="2" max="2" width="9.109375" style="121"/>
    <col min="3" max="3" width="29.33203125" style="104" customWidth="1"/>
    <col min="4" max="4" width="21.6640625" style="100" customWidth="1"/>
    <col min="5" max="5" width="35" style="100" customWidth="1"/>
    <col min="6" max="6" width="46.88671875" style="114" customWidth="1"/>
    <col min="7" max="7" width="90" style="100" customWidth="1"/>
    <col min="8" max="10" width="24" style="103" customWidth="1"/>
    <col min="11" max="11" width="121.5546875" style="103" customWidth="1"/>
    <col min="12" max="12" width="38.6640625" style="103" customWidth="1"/>
    <col min="13" max="13" width="28.5546875" style="103" customWidth="1"/>
    <col min="14" max="14" width="46.5546875" style="103" customWidth="1"/>
    <col min="15" max="25" width="21.6640625" style="100" customWidth="1"/>
    <col min="26" max="26" width="34" style="101" customWidth="1"/>
    <col min="27" max="27" width="43.5546875" style="100" customWidth="1"/>
    <col min="28" max="30" width="21.6640625" style="100" customWidth="1"/>
    <col min="31" max="31" width="21.6640625" style="113" customWidth="1"/>
    <col min="32" max="32" width="21.6640625" style="100" customWidth="1"/>
    <col min="33" max="33" width="32.109375" style="92" customWidth="1"/>
    <col min="34" max="34" width="18.6640625" style="92" bestFit="1" customWidth="1"/>
    <col min="35" max="35" width="21.6640625" style="100" customWidth="1"/>
    <col min="36" max="36" width="31.6640625" style="92" customWidth="1"/>
    <col min="37" max="42" width="21.6640625" style="92" customWidth="1"/>
    <col min="43" max="43" width="28.6640625" style="92" customWidth="1"/>
    <col min="44" max="44" width="30.109375" style="92" customWidth="1"/>
    <col min="45" max="45" width="27.44140625" style="92" customWidth="1"/>
    <col min="46" max="46" width="28.33203125" style="92" customWidth="1"/>
    <col min="47" max="47" width="39.44140625" style="92" customWidth="1"/>
    <col min="48" max="50" width="25.109375" style="92" customWidth="1"/>
    <col min="51" max="51" width="47.33203125" style="92" customWidth="1"/>
    <col min="52" max="52" width="25.109375" style="92" customWidth="1"/>
    <col min="53" max="53" width="23.5546875" style="92" bestFit="1" customWidth="1"/>
    <col min="54" max="54" width="22.88671875" style="92" bestFit="1" customWidth="1"/>
    <col min="55" max="55" width="26" style="92" bestFit="1" customWidth="1"/>
    <col min="56" max="56" width="40.109375" style="92" customWidth="1"/>
    <col min="57" max="57" width="43.109375" style="92" customWidth="1"/>
    <col min="58" max="58" width="37.109375" style="92" customWidth="1"/>
    <col min="59" max="59" width="36.44140625" style="92" customWidth="1"/>
    <col min="60" max="16384" width="9.109375" style="92"/>
  </cols>
  <sheetData>
    <row r="1" spans="1:59" s="106" customFormat="1" ht="66" customHeight="1">
      <c r="A1" s="155" t="s">
        <v>920</v>
      </c>
      <c r="B1" s="126"/>
      <c r="C1" s="128" t="s">
        <v>766</v>
      </c>
      <c r="D1" s="127" t="s">
        <v>748</v>
      </c>
      <c r="E1" s="127" t="s">
        <v>774</v>
      </c>
      <c r="F1" s="129" t="s">
        <v>797</v>
      </c>
      <c r="G1" s="127" t="s">
        <v>796</v>
      </c>
      <c r="H1" s="130" t="s">
        <v>765</v>
      </c>
      <c r="I1" s="130" t="s">
        <v>961</v>
      </c>
      <c r="J1" s="130" t="s">
        <v>962</v>
      </c>
      <c r="K1" s="130" t="s">
        <v>813</v>
      </c>
      <c r="L1" s="151" t="s">
        <v>808</v>
      </c>
      <c r="M1" s="151" t="s">
        <v>809</v>
      </c>
      <c r="N1" s="152" t="s">
        <v>801</v>
      </c>
      <c r="O1" s="153" t="s">
        <v>714</v>
      </c>
      <c r="P1" s="153" t="s">
        <v>715</v>
      </c>
      <c r="Q1" s="153" t="s">
        <v>716</v>
      </c>
      <c r="R1" s="153" t="s">
        <v>718</v>
      </c>
      <c r="S1" s="153" t="s">
        <v>717</v>
      </c>
      <c r="T1" s="153" t="s">
        <v>719</v>
      </c>
      <c r="U1" s="153" t="s">
        <v>720</v>
      </c>
      <c r="V1" s="153" t="s">
        <v>721</v>
      </c>
      <c r="W1" s="153" t="s">
        <v>722</v>
      </c>
      <c r="X1" s="153" t="s">
        <v>723</v>
      </c>
      <c r="Y1" s="153" t="s">
        <v>724</v>
      </c>
      <c r="Z1" s="149" t="s">
        <v>725</v>
      </c>
      <c r="AA1" s="148" t="s">
        <v>831</v>
      </c>
      <c r="AB1" s="128" t="s">
        <v>726</v>
      </c>
      <c r="AC1" s="147" t="s">
        <v>897</v>
      </c>
      <c r="AD1" s="147" t="s">
        <v>727</v>
      </c>
      <c r="AE1" s="147" t="s">
        <v>728</v>
      </c>
      <c r="AF1" s="148" t="s">
        <v>858</v>
      </c>
      <c r="AG1" s="149" t="s">
        <v>904</v>
      </c>
      <c r="AH1" s="149" t="s">
        <v>891</v>
      </c>
      <c r="AI1" s="127" t="s">
        <v>870</v>
      </c>
      <c r="AJ1" s="149" t="s">
        <v>730</v>
      </c>
      <c r="AK1" s="149" t="s">
        <v>731</v>
      </c>
      <c r="AL1" s="149" t="s">
        <v>732</v>
      </c>
      <c r="AM1" s="149" t="s">
        <v>733</v>
      </c>
      <c r="AN1" s="149" t="s">
        <v>775</v>
      </c>
      <c r="AO1" s="149" t="s">
        <v>734</v>
      </c>
      <c r="AP1" s="150" t="s">
        <v>805</v>
      </c>
      <c r="AQ1" s="149" t="s">
        <v>776</v>
      </c>
      <c r="AR1" s="154" t="s">
        <v>777</v>
      </c>
      <c r="AS1" s="154" t="s">
        <v>771</v>
      </c>
      <c r="AT1" s="154" t="s">
        <v>772</v>
      </c>
      <c r="AU1" s="156" t="s">
        <v>802</v>
      </c>
      <c r="AV1" s="156" t="s">
        <v>773</v>
      </c>
      <c r="AW1" s="156" t="s">
        <v>778</v>
      </c>
      <c r="AX1" s="154" t="s">
        <v>794</v>
      </c>
      <c r="AY1" s="149" t="s">
        <v>779</v>
      </c>
      <c r="AZ1" s="149" t="s">
        <v>795</v>
      </c>
      <c r="BA1" s="135" t="s">
        <v>888</v>
      </c>
      <c r="BB1" s="135" t="s">
        <v>889</v>
      </c>
      <c r="BC1" s="135" t="s">
        <v>890</v>
      </c>
      <c r="BD1" s="149" t="s">
        <v>903</v>
      </c>
      <c r="BE1" s="149" t="s">
        <v>918</v>
      </c>
      <c r="BF1" s="149" t="s">
        <v>919</v>
      </c>
      <c r="BG1" s="173" t="s">
        <v>899</v>
      </c>
    </row>
    <row r="2" spans="1:59" s="106" customFormat="1" ht="66" customHeight="1">
      <c r="A2" s="155" t="s">
        <v>769</v>
      </c>
      <c r="B2" s="126" t="s">
        <v>769</v>
      </c>
      <c r="C2" s="126" t="s">
        <v>769</v>
      </c>
      <c r="D2" s="126" t="s">
        <v>769</v>
      </c>
      <c r="E2" s="126" t="s">
        <v>769</v>
      </c>
      <c r="F2" s="126" t="s">
        <v>769</v>
      </c>
      <c r="G2" s="126" t="s">
        <v>769</v>
      </c>
      <c r="H2" s="126" t="s">
        <v>769</v>
      </c>
      <c r="I2" s="126">
        <v>0</v>
      </c>
      <c r="J2" s="126">
        <v>0</v>
      </c>
      <c r="K2" s="130" t="s">
        <v>769</v>
      </c>
      <c r="L2" s="130" t="s">
        <v>769</v>
      </c>
      <c r="M2" s="130" t="s">
        <v>769</v>
      </c>
      <c r="N2" s="130" t="s">
        <v>769</v>
      </c>
      <c r="O2" s="130" t="s">
        <v>769</v>
      </c>
      <c r="P2" s="130" t="s">
        <v>769</v>
      </c>
      <c r="Q2" s="130" t="s">
        <v>769</v>
      </c>
      <c r="R2" s="130" t="s">
        <v>769</v>
      </c>
      <c r="S2" s="130" t="s">
        <v>769</v>
      </c>
      <c r="T2" s="130" t="s">
        <v>769</v>
      </c>
      <c r="U2" s="130" t="s">
        <v>769</v>
      </c>
      <c r="V2" s="130" t="s">
        <v>769</v>
      </c>
      <c r="W2" s="130" t="s">
        <v>769</v>
      </c>
      <c r="X2" s="130" t="s">
        <v>769</v>
      </c>
      <c r="Y2" s="130" t="s">
        <v>769</v>
      </c>
      <c r="Z2" s="130" t="s">
        <v>769</v>
      </c>
      <c r="AA2" s="130" t="s">
        <v>769</v>
      </c>
      <c r="AB2" s="130" t="s">
        <v>769</v>
      </c>
      <c r="AC2" s="130" t="s">
        <v>769</v>
      </c>
      <c r="AD2" s="130" t="s">
        <v>769</v>
      </c>
      <c r="AE2" s="130" t="s">
        <v>769</v>
      </c>
      <c r="AF2" s="130" t="s">
        <v>769</v>
      </c>
      <c r="AG2" s="130" t="s">
        <v>769</v>
      </c>
      <c r="AH2" s="130" t="s">
        <v>769</v>
      </c>
      <c r="AI2" s="130" t="s">
        <v>769</v>
      </c>
      <c r="AJ2" s="130" t="s">
        <v>769</v>
      </c>
      <c r="AK2" s="130" t="s">
        <v>769</v>
      </c>
      <c r="AL2" s="130" t="s">
        <v>769</v>
      </c>
      <c r="AM2" s="130" t="s">
        <v>769</v>
      </c>
      <c r="AN2" s="130" t="s">
        <v>769</v>
      </c>
      <c r="AO2" s="130" t="s">
        <v>769</v>
      </c>
      <c r="AP2" s="130" t="s">
        <v>769</v>
      </c>
      <c r="AQ2" s="130" t="s">
        <v>769</v>
      </c>
      <c r="AR2" s="130" t="s">
        <v>769</v>
      </c>
      <c r="AS2" s="130" t="s">
        <v>769</v>
      </c>
      <c r="AT2" s="130" t="s">
        <v>769</v>
      </c>
      <c r="AU2" s="130" t="s">
        <v>769</v>
      </c>
      <c r="AV2" s="130" t="s">
        <v>769</v>
      </c>
      <c r="AW2" s="130" t="s">
        <v>769</v>
      </c>
      <c r="AX2" s="130" t="s">
        <v>769</v>
      </c>
      <c r="AY2" s="130" t="s">
        <v>769</v>
      </c>
      <c r="AZ2" s="130" t="s">
        <v>769</v>
      </c>
      <c r="BA2" s="130" t="s">
        <v>769</v>
      </c>
      <c r="BB2" s="130" t="s">
        <v>769</v>
      </c>
      <c r="BC2" s="130" t="s">
        <v>769</v>
      </c>
      <c r="BD2" s="130" t="s">
        <v>769</v>
      </c>
      <c r="BE2" s="130" t="s">
        <v>769</v>
      </c>
      <c r="BF2" s="130" t="s">
        <v>769</v>
      </c>
      <c r="BG2" s="173">
        <v>0</v>
      </c>
    </row>
    <row r="3" spans="1:59" ht="29.25" customHeight="1">
      <c r="A3" s="92">
        <v>1</v>
      </c>
      <c r="B3" s="121" t="s">
        <v>31</v>
      </c>
      <c r="C3" s="104" t="s">
        <v>0</v>
      </c>
      <c r="D3" s="100" t="s">
        <v>881</v>
      </c>
      <c r="E3" s="133" t="s">
        <v>869</v>
      </c>
      <c r="F3" s="114" t="s">
        <v>814</v>
      </c>
      <c r="G3" s="100" t="s">
        <v>829</v>
      </c>
      <c r="H3" s="103" t="str">
        <f>(INDEX([0]!BuildingData,MATCH($C3,[0]!CLBuildingTypes,FALSE),MATCH("building_source",[0]!BuildingInformation,FALSE)))</f>
        <v>B45</v>
      </c>
      <c r="I3">
        <v>5495.7245919999996</v>
      </c>
      <c r="J3">
        <v>3989</v>
      </c>
      <c r="K3" s="103" t="s">
        <v>800</v>
      </c>
      <c r="L3" s="103" t="s">
        <v>826</v>
      </c>
      <c r="M3" s="103" t="s">
        <v>811</v>
      </c>
      <c r="N3" s="103" t="s">
        <v>798</v>
      </c>
      <c r="O3" s="108">
        <v>3.170130327580134</v>
      </c>
      <c r="P3" s="108">
        <v>6.5163790066924978</v>
      </c>
      <c r="Q3" s="108">
        <v>6.5163790066924978</v>
      </c>
      <c r="R3" s="108">
        <v>1.7611835153222966</v>
      </c>
      <c r="S3" s="108">
        <v>1.7611835153222966</v>
      </c>
      <c r="T3" s="108">
        <v>1.7611835153222966</v>
      </c>
      <c r="U3" s="108">
        <v>0.28178936245156749</v>
      </c>
      <c r="V3" s="108">
        <v>0.28178936245156749</v>
      </c>
      <c r="W3" s="108">
        <v>0.70447340612891862</v>
      </c>
      <c r="X3" s="108">
        <v>0.28178936245156749</v>
      </c>
      <c r="Y3" s="108">
        <v>1.7611835153222966</v>
      </c>
      <c r="Z3" s="101" t="s">
        <v>57</v>
      </c>
      <c r="AA3" s="100">
        <f>(INDEX([0]!InfiltrationRates,MATCH($Z3,[0]!InfiltrationBuildingType,FALSE),MATCH($D3,[0]!InfiltrationVintages,FALSE)))</f>
        <v>6.9999999999999999E-4</v>
      </c>
      <c r="AB3" s="102">
        <f>(INDEX([0]!equipment_efficiencies,MATCH("cop",[0]!pump_fan_type,FALSE),MATCH($D3,[0]!EfficiencyVintages,FALSE)))</f>
        <v>2.5</v>
      </c>
      <c r="AC3" s="140" t="s">
        <v>769</v>
      </c>
      <c r="AD3" s="102">
        <f>(INDEX([0]!equipment_efficiencies,MATCH("fan_motor_eff",[0]!pump_fan_type,FALSE),MATCH($D3,[0]!EfficiencyVintages,FALSE)))</f>
        <v>0.75</v>
      </c>
      <c r="AE3" s="102">
        <f>(INDEX([0]!equipment_efficiencies,MATCH("fan_total_eff",[0]!pump_fan_type,FALSE),MATCH($D3,[0]!EfficiencyVintages,FALSE)))</f>
        <v>0.75</v>
      </c>
      <c r="AF3" s="102">
        <f>(INDEX([0]!equipment_efficiencies,MATCH("pump_eff",[0]!pump_fan_type,FALSE),MATCH($D3,[0]!EfficiencyVintages,FALSE)))</f>
        <v>0.7</v>
      </c>
      <c r="AG3" s="139" t="s">
        <v>900</v>
      </c>
      <c r="AH3" s="139" t="s">
        <v>901</v>
      </c>
      <c r="AI3" s="108" t="b">
        <v>0</v>
      </c>
      <c r="AJ3" s="92" t="s">
        <v>710</v>
      </c>
      <c r="AK3" s="92" t="s">
        <v>711</v>
      </c>
      <c r="AL3" s="92">
        <v>19</v>
      </c>
      <c r="AM3" s="92">
        <v>64000</v>
      </c>
      <c r="AN3" s="92">
        <v>0</v>
      </c>
      <c r="AO3" s="92">
        <v>-100</v>
      </c>
      <c r="AP3" s="92" t="b">
        <v>0</v>
      </c>
      <c r="AQ3" s="92">
        <v>1.1000000000000001</v>
      </c>
      <c r="AR3" s="92">
        <v>1.25</v>
      </c>
      <c r="AS3" s="125">
        <v>1</v>
      </c>
      <c r="AT3" s="125">
        <v>1</v>
      </c>
      <c r="AU3" s="118" t="s">
        <v>803</v>
      </c>
      <c r="AV3" s="92" t="s">
        <v>769</v>
      </c>
      <c r="AW3" s="92" t="s">
        <v>769</v>
      </c>
      <c r="AX3" s="92" t="s">
        <v>769</v>
      </c>
      <c r="AY3" s="118">
        <v>82</v>
      </c>
      <c r="AZ3" s="92">
        <v>0.8</v>
      </c>
      <c r="BA3" s="92">
        <v>0.72</v>
      </c>
      <c r="BB3" s="92">
        <v>0.18</v>
      </c>
      <c r="BC3" s="92">
        <v>0</v>
      </c>
      <c r="BD3" s="92">
        <v>0.3</v>
      </c>
      <c r="BE3" s="92">
        <v>0</v>
      </c>
      <c r="BF3" s="92">
        <v>0</v>
      </c>
      <c r="BG3" s="173">
        <v>0</v>
      </c>
    </row>
    <row r="4" spans="1:59" ht="29.25" customHeight="1">
      <c r="A4" s="92">
        <v>2</v>
      </c>
      <c r="B4" s="121" t="s">
        <v>79</v>
      </c>
      <c r="C4" s="104" t="s">
        <v>78</v>
      </c>
      <c r="D4" s="100" t="s">
        <v>881</v>
      </c>
      <c r="E4" s="133" t="s">
        <v>869</v>
      </c>
      <c r="F4" s="114" t="s">
        <v>815</v>
      </c>
      <c r="G4" s="100" t="s">
        <v>829</v>
      </c>
      <c r="H4" s="103" t="str">
        <f>(INDEX([0]!BuildingData,MATCH($C4,[0]!CLBuildingTypes,FALSE),MATCH("building_source",[0]!BuildingInformation,FALSE)))</f>
        <v>Trenton FH B19</v>
      </c>
      <c r="I4">
        <v>911.73353310000005</v>
      </c>
      <c r="J4">
        <v>911.73353310000005</v>
      </c>
      <c r="K4" s="103" t="s">
        <v>800</v>
      </c>
      <c r="L4" s="103" t="s">
        <v>826</v>
      </c>
      <c r="M4" s="103" t="s">
        <v>811</v>
      </c>
      <c r="N4" s="103" t="s">
        <v>798</v>
      </c>
      <c r="O4" s="108">
        <v>3.170130327580134</v>
      </c>
      <c r="P4" s="108">
        <v>6.5163790066924978</v>
      </c>
      <c r="Q4" s="108">
        <v>6.5163790066924978</v>
      </c>
      <c r="R4" s="108">
        <v>1.7611835153222966</v>
      </c>
      <c r="S4" s="108">
        <v>1.7611835153222966</v>
      </c>
      <c r="T4" s="108">
        <v>1.7611835153222966</v>
      </c>
      <c r="U4" s="108">
        <v>0.28178936245156749</v>
      </c>
      <c r="V4" s="108">
        <v>0.28178936245156749</v>
      </c>
      <c r="W4" s="108">
        <v>0.70447340612891862</v>
      </c>
      <c r="X4" s="108">
        <v>0.28178936245156749</v>
      </c>
      <c r="Y4" s="108">
        <v>1.7611835153222966</v>
      </c>
      <c r="Z4" s="101" t="s">
        <v>78</v>
      </c>
      <c r="AA4" s="100">
        <f>(INDEX([0]!InfiltrationRates,MATCH($Z4,[0]!InfiltrationBuildingType,FALSE),MATCH($D4,[0]!InfiltrationVintages,FALSE)))</f>
        <v>8.0000000000000004E-4</v>
      </c>
      <c r="AB4" s="102">
        <f>(INDEX([0]!equipment_efficiencies,MATCH("cop",[0]!pump_fan_type,FALSE),MATCH($D4,[0]!EfficiencyVintages,FALSE)))</f>
        <v>2.5</v>
      </c>
      <c r="AC4" s="140" t="s">
        <v>769</v>
      </c>
      <c r="AD4" s="102">
        <f>(INDEX([0]!equipment_efficiencies,MATCH("fan_motor_eff",[0]!pump_fan_type,FALSE),MATCH($D4,[0]!EfficiencyVintages,FALSE)))</f>
        <v>0.75</v>
      </c>
      <c r="AE4" s="102">
        <f>(INDEX([0]!equipment_efficiencies,MATCH("fan_total_eff",[0]!pump_fan_type,FALSE),MATCH($D4,[0]!EfficiencyVintages,FALSE)))</f>
        <v>0.75</v>
      </c>
      <c r="AF4" s="102">
        <f>(INDEX([0]!equipment_efficiencies,MATCH("pump_eff",[0]!pump_fan_type,FALSE),MATCH($D4,[0]!EfficiencyVintages,FALSE)))</f>
        <v>0.7</v>
      </c>
      <c r="AG4" s="139" t="s">
        <v>905</v>
      </c>
      <c r="AH4" s="139" t="s">
        <v>901</v>
      </c>
      <c r="AI4" s="108" t="b">
        <v>0</v>
      </c>
      <c r="AJ4" s="100" t="s">
        <v>710</v>
      </c>
      <c r="AK4" s="100" t="s">
        <v>711</v>
      </c>
      <c r="AL4" s="100">
        <v>19</v>
      </c>
      <c r="AM4" s="100">
        <v>64000</v>
      </c>
      <c r="AN4" s="100">
        <v>0</v>
      </c>
      <c r="AO4" s="100">
        <v>-100</v>
      </c>
      <c r="AP4" s="92" t="b">
        <v>0</v>
      </c>
      <c r="AQ4" s="92">
        <v>1.1000000000000001</v>
      </c>
      <c r="AR4" s="92">
        <v>1.25</v>
      </c>
      <c r="AS4" s="125">
        <v>1</v>
      </c>
      <c r="AT4" s="125">
        <v>1</v>
      </c>
      <c r="AU4" s="118" t="s">
        <v>803</v>
      </c>
      <c r="AV4" s="92" t="s">
        <v>769</v>
      </c>
      <c r="AW4" s="92" t="s">
        <v>769</v>
      </c>
      <c r="AX4" s="92" t="s">
        <v>769</v>
      </c>
      <c r="AY4" s="118">
        <v>82</v>
      </c>
      <c r="AZ4" s="92">
        <v>0.8</v>
      </c>
      <c r="BA4" s="92">
        <v>0.42</v>
      </c>
      <c r="BB4" s="92">
        <v>0.18</v>
      </c>
      <c r="BC4" s="92">
        <v>0</v>
      </c>
      <c r="BD4" s="92">
        <v>0.3</v>
      </c>
      <c r="BE4" s="92">
        <v>0</v>
      </c>
      <c r="BF4" s="92">
        <v>0</v>
      </c>
      <c r="BG4" s="173">
        <v>0</v>
      </c>
    </row>
    <row r="5" spans="1:59" ht="29.25" customHeight="1">
      <c r="A5" s="92">
        <v>3</v>
      </c>
      <c r="B5" s="121" t="s">
        <v>68</v>
      </c>
      <c r="C5" s="104" t="s">
        <v>545</v>
      </c>
      <c r="D5" s="100" t="s">
        <v>881</v>
      </c>
      <c r="E5" s="133" t="s">
        <v>869</v>
      </c>
      <c r="F5" s="114" t="s">
        <v>816</v>
      </c>
      <c r="G5" s="100" t="s">
        <v>829</v>
      </c>
      <c r="H5" s="103" t="str">
        <f>(INDEX([0]!BuildingData,MATCH($C5,[0]!CLBuildingTypes,FALSE),MATCH("building_source",[0]!BuildingInformation,FALSE)))</f>
        <v>B40</v>
      </c>
      <c r="I5">
        <v>2693.6050369999998</v>
      </c>
      <c r="J5">
        <v>2568</v>
      </c>
      <c r="K5" s="103" t="s">
        <v>800</v>
      </c>
      <c r="L5" s="103" t="s">
        <v>826</v>
      </c>
      <c r="M5" s="103" t="s">
        <v>811</v>
      </c>
      <c r="N5" s="103" t="s">
        <v>798</v>
      </c>
      <c r="O5" s="108">
        <v>3.5223670306445931</v>
      </c>
      <c r="P5" s="108">
        <v>4.2268404367735117</v>
      </c>
      <c r="Q5" s="108">
        <v>4.2268404367735117</v>
      </c>
      <c r="R5" s="108">
        <v>1.7611835153222966</v>
      </c>
      <c r="S5" s="108">
        <v>1.7611835153222966</v>
      </c>
      <c r="T5" s="108">
        <v>1.7611835153222966</v>
      </c>
      <c r="U5" s="108">
        <v>0.28178936245156749</v>
      </c>
      <c r="V5" s="108">
        <v>0.28178936245156749</v>
      </c>
      <c r="W5" s="108">
        <v>0.70447340612891862</v>
      </c>
      <c r="X5" s="108">
        <v>0.28178936245156749</v>
      </c>
      <c r="Y5" s="108">
        <v>1.7611835153222966</v>
      </c>
      <c r="Z5" s="101" t="s">
        <v>36</v>
      </c>
      <c r="AA5" s="100">
        <f>(INDEX([0]!InfiltrationRates,MATCH($Z5,[0]!InfiltrationBuildingType,FALSE),MATCH($D5,[0]!InfiltrationVintages,FALSE)))</f>
        <v>6.9999999999999999E-4</v>
      </c>
      <c r="AB5" s="102">
        <f>(INDEX([0]!equipment_efficiencies,MATCH("cop",[0]!pump_fan_type,FALSE),MATCH($D5,[0]!EfficiencyVintages,FALSE)))</f>
        <v>2.5</v>
      </c>
      <c r="AC5" s="140" t="s">
        <v>769</v>
      </c>
      <c r="AD5" s="102">
        <f>(INDEX([0]!equipment_efficiencies,MATCH("fan_motor_eff",[0]!pump_fan_type,FALSE),MATCH($D5,[0]!EfficiencyVintages,FALSE)))</f>
        <v>0.75</v>
      </c>
      <c r="AE5" s="102">
        <f>(INDEX([0]!equipment_efficiencies,MATCH("fan_total_eff",[0]!pump_fan_type,FALSE),MATCH($D5,[0]!EfficiencyVintages,FALSE)))</f>
        <v>0.75</v>
      </c>
      <c r="AF5" s="102">
        <f>(INDEX([0]!equipment_efficiencies,MATCH("pump_eff",[0]!pump_fan_type,FALSE),MATCH($D5,[0]!EfficiencyVintages,FALSE)))</f>
        <v>0.7</v>
      </c>
      <c r="AG5" s="139" t="s">
        <v>905</v>
      </c>
      <c r="AH5" s="139" t="s">
        <v>901</v>
      </c>
      <c r="AI5" s="108" t="b">
        <v>0</v>
      </c>
      <c r="AJ5" s="92" t="s">
        <v>710</v>
      </c>
      <c r="AK5" s="92" t="s">
        <v>711</v>
      </c>
      <c r="AL5" s="92">
        <v>19</v>
      </c>
      <c r="AM5" s="92">
        <v>64000</v>
      </c>
      <c r="AN5" s="92">
        <v>0</v>
      </c>
      <c r="AO5" s="92">
        <v>-100</v>
      </c>
      <c r="AP5" s="92" t="b">
        <v>0</v>
      </c>
      <c r="AQ5" s="92">
        <v>1.1000000000000001</v>
      </c>
      <c r="AR5" s="92">
        <v>1.25</v>
      </c>
      <c r="AS5" s="125">
        <v>1</v>
      </c>
      <c r="AT5" s="125">
        <v>1</v>
      </c>
      <c r="AU5" s="118" t="s">
        <v>803</v>
      </c>
      <c r="AV5" s="92" t="s">
        <v>769</v>
      </c>
      <c r="AW5" s="92" t="s">
        <v>769</v>
      </c>
      <c r="AX5" s="92" t="s">
        <v>769</v>
      </c>
      <c r="AY5" s="118">
        <v>82</v>
      </c>
      <c r="AZ5" s="92">
        <v>0.8</v>
      </c>
      <c r="BA5" s="92">
        <v>0.42</v>
      </c>
      <c r="BB5" s="92">
        <v>0.18</v>
      </c>
      <c r="BC5" s="92">
        <v>0</v>
      </c>
      <c r="BD5" s="92">
        <v>0.3</v>
      </c>
      <c r="BE5" s="92">
        <v>0</v>
      </c>
      <c r="BF5" s="92">
        <v>0</v>
      </c>
      <c r="BG5" s="173">
        <v>0</v>
      </c>
    </row>
    <row r="6" spans="1:59" ht="29.25" customHeight="1">
      <c r="A6" s="92">
        <v>4</v>
      </c>
      <c r="B6" s="121" t="s">
        <v>68</v>
      </c>
      <c r="C6" s="104" t="s">
        <v>545</v>
      </c>
      <c r="D6" s="100" t="s">
        <v>546</v>
      </c>
      <c r="E6" s="133" t="s">
        <v>869</v>
      </c>
      <c r="F6" s="114" t="s">
        <v>816</v>
      </c>
      <c r="G6" s="100" t="s">
        <v>829</v>
      </c>
      <c r="H6" s="103" t="str">
        <f>(INDEX([0]!BuildingData,MATCH($C6,[0]!CLBuildingTypes,FALSE),MATCH("building_source",[0]!BuildingInformation,FALSE)))</f>
        <v>B40</v>
      </c>
      <c r="I6">
        <v>2693.6050369999998</v>
      </c>
      <c r="J6">
        <v>2568</v>
      </c>
      <c r="K6" s="103" t="s">
        <v>800</v>
      </c>
      <c r="L6" s="103" t="s">
        <v>826</v>
      </c>
      <c r="M6" s="103" t="s">
        <v>811</v>
      </c>
      <c r="N6" s="103" t="s">
        <v>798</v>
      </c>
      <c r="O6" s="107">
        <v>5.2835505459668894</v>
      </c>
      <c r="P6" s="107">
        <v>4.5790771398379713</v>
      </c>
      <c r="Q6" s="107">
        <v>4.5790771398379713</v>
      </c>
      <c r="R6" s="107">
        <v>1.7611835153222966</v>
      </c>
      <c r="S6" s="107">
        <v>1.7611835153222966</v>
      </c>
      <c r="T6" s="107">
        <v>1.7611835153222966</v>
      </c>
      <c r="U6" s="107">
        <v>0.3170130327580134</v>
      </c>
      <c r="V6" s="107">
        <v>0.3170130327580134</v>
      </c>
      <c r="W6" s="107">
        <v>0.70447340612891862</v>
      </c>
      <c r="X6" s="107">
        <v>0.3170130327580134</v>
      </c>
      <c r="Y6" s="107">
        <v>1.7611835153222966</v>
      </c>
      <c r="Z6" s="101" t="s">
        <v>36</v>
      </c>
      <c r="AA6" s="100">
        <f>(INDEX([0]!InfiltrationRates,MATCH($Z6,[0]!InfiltrationBuildingType,FALSE),MATCH($D6,[0]!InfiltrationVintages,FALSE)))</f>
        <v>2.0000000000000001E-4</v>
      </c>
      <c r="AB6" s="102">
        <f>(INDEX([0]!equipment_efficiencies,MATCH("cop",[0]!pump_fan_type,FALSE),MATCH($D6,[0]!EfficiencyVintages,FALSE)))</f>
        <v>3.5</v>
      </c>
      <c r="AC6" s="140" t="s">
        <v>769</v>
      </c>
      <c r="AD6" s="102">
        <f>(INDEX([0]!equipment_efficiencies,MATCH("fan_motor_eff",[0]!pump_fan_type,FALSE),MATCH($D6,[0]!EfficiencyVintages,FALSE)))</f>
        <v>0.879</v>
      </c>
      <c r="AE6" s="102">
        <f>(INDEX([0]!equipment_efficiencies,MATCH("fan_total_eff",[0]!pump_fan_type,FALSE),MATCH($D6,[0]!EfficiencyVintages,FALSE)))</f>
        <v>0.8</v>
      </c>
      <c r="AF6" s="102">
        <f>(INDEX([0]!equipment_efficiencies,MATCH("pump_eff",[0]!pump_fan_type,FALSE),MATCH($D6,[0]!EfficiencyVintages,FALSE)))</f>
        <v>0.7</v>
      </c>
      <c r="AG6" s="139" t="s">
        <v>905</v>
      </c>
      <c r="AH6" s="139" t="s">
        <v>901</v>
      </c>
      <c r="AI6" s="108" t="b">
        <v>0</v>
      </c>
      <c r="AJ6" s="92" t="s">
        <v>710</v>
      </c>
      <c r="AK6" s="92" t="s">
        <v>711</v>
      </c>
      <c r="AL6" s="92">
        <v>19</v>
      </c>
      <c r="AM6" s="92">
        <v>64000</v>
      </c>
      <c r="AN6" s="92">
        <v>0</v>
      </c>
      <c r="AO6" s="92">
        <v>-100</v>
      </c>
      <c r="AP6" s="92" t="b">
        <v>0</v>
      </c>
      <c r="AQ6" s="92">
        <v>1.1000000000000001</v>
      </c>
      <c r="AR6" s="92">
        <v>1.25</v>
      </c>
      <c r="AS6" s="125">
        <v>1</v>
      </c>
      <c r="AT6" s="125">
        <v>1</v>
      </c>
      <c r="AU6" s="118" t="s">
        <v>803</v>
      </c>
      <c r="AV6" s="92" t="s">
        <v>769</v>
      </c>
      <c r="AW6" s="92" t="s">
        <v>769</v>
      </c>
      <c r="AX6" s="92" t="s">
        <v>769</v>
      </c>
      <c r="AY6" s="118">
        <v>82</v>
      </c>
      <c r="AZ6" s="92">
        <v>0.8</v>
      </c>
      <c r="BA6" s="92">
        <v>0.72</v>
      </c>
      <c r="BB6" s="92">
        <v>0.18</v>
      </c>
      <c r="BC6" s="92">
        <v>0</v>
      </c>
      <c r="BD6" s="92">
        <v>0.4</v>
      </c>
      <c r="BE6" s="92">
        <v>0.3</v>
      </c>
      <c r="BF6" s="92">
        <v>0</v>
      </c>
      <c r="BG6" s="173">
        <v>0</v>
      </c>
    </row>
    <row r="7" spans="1:59" ht="29.25" customHeight="1">
      <c r="A7" s="92">
        <v>5</v>
      </c>
      <c r="B7" s="121" t="s">
        <v>51</v>
      </c>
      <c r="C7" s="104" t="s">
        <v>761</v>
      </c>
      <c r="D7" s="100" t="s">
        <v>881</v>
      </c>
      <c r="E7" s="133" t="s">
        <v>869</v>
      </c>
      <c r="F7" s="114" t="s">
        <v>817</v>
      </c>
      <c r="G7" s="100" t="s">
        <v>829</v>
      </c>
      <c r="H7" s="103" t="str">
        <f>(INDEX([0]!BuildingData,MATCH($C7,[0]!CLBuildingTypes,FALSE),MATCH("building_source",[0]!BuildingInformation,FALSE)))</f>
        <v>Hangar 4</v>
      </c>
      <c r="I7">
        <v>6276.5798480000003</v>
      </c>
      <c r="J7">
        <v>6423</v>
      </c>
      <c r="K7" s="103" t="s">
        <v>800</v>
      </c>
      <c r="L7" s="103" t="s">
        <v>826</v>
      </c>
      <c r="M7" s="103" t="s">
        <v>811</v>
      </c>
      <c r="N7" s="103" t="s">
        <v>798</v>
      </c>
      <c r="O7" s="108">
        <v>1.4089468122578372</v>
      </c>
      <c r="P7" s="109">
        <v>2.1134202183867559</v>
      </c>
      <c r="Q7" s="107">
        <v>2.1134202183867559</v>
      </c>
      <c r="R7" s="107">
        <v>1.7611835153222966</v>
      </c>
      <c r="S7" s="107">
        <v>1.7611835153222966</v>
      </c>
      <c r="T7" s="107">
        <v>1.7611835153222966</v>
      </c>
      <c r="U7" s="108">
        <v>0.28178936245156749</v>
      </c>
      <c r="V7" s="108">
        <v>0.28178936245156749</v>
      </c>
      <c r="W7" s="107">
        <v>0.70447340612891862</v>
      </c>
      <c r="X7" s="108">
        <v>0.28178936245156749</v>
      </c>
      <c r="Y7" s="107">
        <v>1.7611835153222966</v>
      </c>
      <c r="Z7" s="101" t="s">
        <v>3</v>
      </c>
      <c r="AA7" s="100">
        <f>(INDEX([0]!InfiltrationRates,MATCH($Z7,[0]!InfiltrationBuildingType,FALSE),MATCH($D7,[0]!InfiltrationVintages,FALSE)))</f>
        <v>8.0000000000000004E-4</v>
      </c>
      <c r="AB7" s="102">
        <f>(INDEX([0]!equipment_efficiencies,MATCH("cop",[0]!pump_fan_type,FALSE),MATCH($D7,[0]!EfficiencyVintages,FALSE)))</f>
        <v>2.5</v>
      </c>
      <c r="AC7" s="140" t="s">
        <v>769</v>
      </c>
      <c r="AD7" s="102">
        <f>(INDEX([0]!equipment_efficiencies,MATCH("fan_motor_eff",[0]!pump_fan_type,FALSE),MATCH($D7,[0]!EfficiencyVintages,FALSE)))</f>
        <v>0.75</v>
      </c>
      <c r="AE7" s="102">
        <f>(INDEX([0]!equipment_efficiencies,MATCH("fan_total_eff",[0]!pump_fan_type,FALSE),MATCH($D7,[0]!EfficiencyVintages,FALSE)))</f>
        <v>0.75</v>
      </c>
      <c r="AF7" s="102">
        <f>(INDEX([0]!equipment_efficiencies,MATCH("pump_eff",[0]!pump_fan_type,FALSE),MATCH($D7,[0]!EfficiencyVintages,FALSE)))</f>
        <v>0.7</v>
      </c>
      <c r="AG7" s="139" t="s">
        <v>905</v>
      </c>
      <c r="AH7" s="139" t="s">
        <v>901</v>
      </c>
      <c r="AI7" s="108" t="b">
        <v>0</v>
      </c>
      <c r="AJ7" s="92" t="s">
        <v>710</v>
      </c>
      <c r="AK7" s="92" t="s">
        <v>711</v>
      </c>
      <c r="AL7" s="92">
        <v>19</v>
      </c>
      <c r="AM7" s="92">
        <v>64000</v>
      </c>
      <c r="AN7" s="92">
        <v>0</v>
      </c>
      <c r="AO7" s="92">
        <v>-100</v>
      </c>
      <c r="AP7" s="92" t="b">
        <v>0</v>
      </c>
      <c r="AQ7" s="92">
        <v>1.1000000000000001</v>
      </c>
      <c r="AR7" s="92">
        <v>1.25</v>
      </c>
      <c r="AS7" s="125">
        <v>1</v>
      </c>
      <c r="AT7" s="125">
        <v>1</v>
      </c>
      <c r="AU7" s="118" t="s">
        <v>803</v>
      </c>
      <c r="AV7" s="92" t="s">
        <v>769</v>
      </c>
      <c r="AW7" s="92" t="s">
        <v>769</v>
      </c>
      <c r="AX7" s="92" t="s">
        <v>769</v>
      </c>
      <c r="AY7" s="118">
        <v>82</v>
      </c>
      <c r="AZ7" s="92">
        <v>0.8</v>
      </c>
      <c r="BA7" s="92">
        <v>0.42</v>
      </c>
      <c r="BB7" s="92">
        <v>0.18</v>
      </c>
      <c r="BC7" s="92">
        <v>0</v>
      </c>
      <c r="BD7" s="92">
        <v>0.3</v>
      </c>
      <c r="BE7" s="92">
        <v>0</v>
      </c>
      <c r="BF7" s="92">
        <v>0</v>
      </c>
      <c r="BG7" s="173">
        <v>0</v>
      </c>
    </row>
    <row r="8" spans="1:59" ht="29.25" customHeight="1">
      <c r="A8" s="92">
        <v>6</v>
      </c>
      <c r="B8" s="121" t="s">
        <v>51</v>
      </c>
      <c r="C8" s="104" t="s">
        <v>761</v>
      </c>
      <c r="D8" s="161" t="s">
        <v>13</v>
      </c>
      <c r="E8" s="133" t="s">
        <v>869</v>
      </c>
      <c r="F8" s="114" t="s">
        <v>817</v>
      </c>
      <c r="G8" s="100" t="s">
        <v>829</v>
      </c>
      <c r="H8" s="103" t="str">
        <f>(INDEX([0]!BuildingData,MATCH($C8,[0]!CLBuildingTypes,FALSE),MATCH("building_source",[0]!BuildingInformation,FALSE)))</f>
        <v>Hangar 4</v>
      </c>
      <c r="I8">
        <v>6276.5798480000003</v>
      </c>
      <c r="J8">
        <v>6423</v>
      </c>
      <c r="K8" s="103" t="s">
        <v>800</v>
      </c>
      <c r="L8" s="103" t="s">
        <v>826</v>
      </c>
      <c r="M8" s="103" t="s">
        <v>811</v>
      </c>
      <c r="N8" s="103" t="s">
        <v>798</v>
      </c>
      <c r="O8" s="107">
        <v>2.1134202183867559</v>
      </c>
      <c r="P8" s="108">
        <v>1.7611835153222966</v>
      </c>
      <c r="Q8" s="108">
        <v>1.7611835153222966</v>
      </c>
      <c r="R8" s="107">
        <v>1.0567101091933779</v>
      </c>
      <c r="S8" s="107">
        <v>1.0567101091933779</v>
      </c>
      <c r="T8" s="107">
        <v>1.0567101091933779</v>
      </c>
      <c r="U8" s="107">
        <v>0.28178936245156749</v>
      </c>
      <c r="V8" s="107">
        <v>0.28178936245156749</v>
      </c>
      <c r="W8" s="107">
        <v>0.52835505459668897</v>
      </c>
      <c r="X8" s="107">
        <v>0.28178936245156749</v>
      </c>
      <c r="Y8" s="107">
        <v>1.4089468122578372</v>
      </c>
      <c r="Z8" s="101" t="s">
        <v>3</v>
      </c>
      <c r="AA8" s="100">
        <f>(INDEX([0]!InfiltrationRates,MATCH($Z8,[0]!InfiltrationBuildingType,FALSE),MATCH($D8,[0]!InfiltrationVintages,FALSE)))</f>
        <v>7.5000000000000002E-4</v>
      </c>
      <c r="AB8" s="102">
        <f>(INDEX([0]!equipment_efficiencies,MATCH("cop",[0]!pump_fan_type,FALSE),MATCH($D8,[0]!EfficiencyVintages,FALSE)))</f>
        <v>2.5</v>
      </c>
      <c r="AC8" s="140" t="s">
        <v>769</v>
      </c>
      <c r="AD8" s="102">
        <f>(INDEX([0]!equipment_efficiencies,MATCH("fan_motor_eff",[0]!pump_fan_type,FALSE),MATCH($D8,[0]!EfficiencyVintages,FALSE)))</f>
        <v>0.82299999999999995</v>
      </c>
      <c r="AE8" s="102">
        <f>(INDEX([0]!equipment_efficiencies,MATCH("fan_total_eff",[0]!pump_fan_type,FALSE),MATCH($D8,[0]!EfficiencyVintages,FALSE)))</f>
        <v>0.75</v>
      </c>
      <c r="AF8" s="102">
        <f>(INDEX([0]!equipment_efficiencies,MATCH("pump_eff",[0]!pump_fan_type,FALSE),MATCH($D8,[0]!EfficiencyVintages,FALSE)))</f>
        <v>0.7</v>
      </c>
      <c r="AG8" s="139" t="s">
        <v>905</v>
      </c>
      <c r="AH8" s="139" t="s">
        <v>901</v>
      </c>
      <c r="AI8" s="108" t="b">
        <v>0</v>
      </c>
      <c r="AJ8" s="92" t="s">
        <v>710</v>
      </c>
      <c r="AK8" s="92" t="s">
        <v>711</v>
      </c>
      <c r="AL8" s="92">
        <v>19</v>
      </c>
      <c r="AM8" s="92">
        <v>64000</v>
      </c>
      <c r="AN8" s="92">
        <v>0</v>
      </c>
      <c r="AO8" s="92">
        <v>-100</v>
      </c>
      <c r="AP8" s="92" t="b">
        <v>0</v>
      </c>
      <c r="AQ8" s="92">
        <v>1.1000000000000001</v>
      </c>
      <c r="AR8" s="92">
        <v>1.25</v>
      </c>
      <c r="AS8" s="125">
        <v>1</v>
      </c>
      <c r="AT8" s="125">
        <v>1</v>
      </c>
      <c r="AU8" s="118" t="s">
        <v>803</v>
      </c>
      <c r="AV8" s="92" t="s">
        <v>769</v>
      </c>
      <c r="AW8" s="92" t="s">
        <v>769</v>
      </c>
      <c r="AX8" s="92" t="s">
        <v>769</v>
      </c>
      <c r="AY8" s="118">
        <v>82</v>
      </c>
      <c r="AZ8" s="92">
        <v>0.8</v>
      </c>
      <c r="BA8" s="92">
        <v>0.42</v>
      </c>
      <c r="BB8" s="92">
        <v>0.18</v>
      </c>
      <c r="BC8" s="92">
        <v>0</v>
      </c>
      <c r="BD8" s="92">
        <v>0.3</v>
      </c>
      <c r="BE8" s="92">
        <v>0</v>
      </c>
      <c r="BF8" s="92">
        <v>0</v>
      </c>
      <c r="BG8" s="173">
        <v>0</v>
      </c>
    </row>
    <row r="9" spans="1:59" ht="29.25" customHeight="1">
      <c r="A9" s="92">
        <v>7</v>
      </c>
      <c r="B9" s="121" t="s">
        <v>51</v>
      </c>
      <c r="C9" s="104" t="s">
        <v>761</v>
      </c>
      <c r="D9" s="100" t="s">
        <v>14</v>
      </c>
      <c r="E9" s="133" t="s">
        <v>869</v>
      </c>
      <c r="F9" s="114" t="s">
        <v>817</v>
      </c>
      <c r="G9" s="100" t="s">
        <v>829</v>
      </c>
      <c r="H9" s="103" t="str">
        <f>(INDEX([0]!BuildingData,MATCH($C9,[0]!CLBuildingTypes,FALSE),MATCH("building_source",[0]!BuildingInformation,FALSE)))</f>
        <v>Hangar 4</v>
      </c>
      <c r="I9">
        <v>6276.5798480000003</v>
      </c>
      <c r="J9">
        <v>6423</v>
      </c>
      <c r="K9" s="103" t="s">
        <v>800</v>
      </c>
      <c r="L9" s="103" t="s">
        <v>826</v>
      </c>
      <c r="M9" s="103" t="s">
        <v>811</v>
      </c>
      <c r="N9" s="103" t="s">
        <v>798</v>
      </c>
      <c r="O9" s="107">
        <v>3.5223670306445931</v>
      </c>
      <c r="P9" s="107">
        <v>3.170130327580134</v>
      </c>
      <c r="Q9" s="107">
        <v>3.170130327580134</v>
      </c>
      <c r="R9" s="107">
        <v>1.7611835153222966</v>
      </c>
      <c r="S9" s="107">
        <v>1.7611835153222966</v>
      </c>
      <c r="T9" s="107">
        <v>1.7611835153222966</v>
      </c>
      <c r="U9" s="107">
        <v>0.3170130327580134</v>
      </c>
      <c r="V9" s="107">
        <v>0.3170130327580134</v>
      </c>
      <c r="W9" s="107">
        <v>0.70447340612891862</v>
      </c>
      <c r="X9" s="107">
        <v>0.3170130327580134</v>
      </c>
      <c r="Y9" s="107">
        <v>1.7611835153222966</v>
      </c>
      <c r="Z9" s="101" t="s">
        <v>3</v>
      </c>
      <c r="AA9" s="100">
        <f>(INDEX([0]!InfiltrationRates,MATCH($Z9,[0]!InfiltrationBuildingType,FALSE),MATCH($D9,[0]!InfiltrationVintages,FALSE)))</f>
        <v>4.4999999999999999E-4</v>
      </c>
      <c r="AB9" s="102">
        <f>(INDEX([0]!equipment_efficiencies,MATCH("cop",[0]!pump_fan_type,FALSE),MATCH($D9,[0]!EfficiencyVintages,FALSE)))</f>
        <v>3</v>
      </c>
      <c r="AC9" s="140" t="s">
        <v>769</v>
      </c>
      <c r="AD9" s="102">
        <f>(INDEX([0]!equipment_efficiencies,MATCH("fan_motor_eff",[0]!pump_fan_type,FALSE),MATCH($D9,[0]!EfficiencyVintages,FALSE)))</f>
        <v>0.879</v>
      </c>
      <c r="AE9" s="102">
        <f>(INDEX([0]!equipment_efficiencies,MATCH("fan_total_eff",[0]!pump_fan_type,FALSE),MATCH($D9,[0]!EfficiencyVintages,FALSE)))</f>
        <v>0.75</v>
      </c>
      <c r="AF9" s="102">
        <f>(INDEX([0]!equipment_efficiencies,MATCH("pump_eff",[0]!pump_fan_type,FALSE),MATCH($D9,[0]!EfficiencyVintages,FALSE)))</f>
        <v>0.7</v>
      </c>
      <c r="AG9" s="139" t="s">
        <v>905</v>
      </c>
      <c r="AH9" s="139" t="s">
        <v>901</v>
      </c>
      <c r="AI9" s="108" t="b">
        <v>0</v>
      </c>
      <c r="AJ9" s="92" t="s">
        <v>710</v>
      </c>
      <c r="AK9" s="92" t="s">
        <v>711</v>
      </c>
      <c r="AL9" s="92">
        <v>19</v>
      </c>
      <c r="AM9" s="92">
        <v>64000</v>
      </c>
      <c r="AN9" s="92">
        <v>0</v>
      </c>
      <c r="AO9" s="92">
        <v>-100</v>
      </c>
      <c r="AP9" s="92" t="b">
        <v>0</v>
      </c>
      <c r="AQ9" s="92">
        <v>1.1000000000000001</v>
      </c>
      <c r="AR9" s="92">
        <v>1.25</v>
      </c>
      <c r="AS9" s="125">
        <v>1</v>
      </c>
      <c r="AT9" s="125">
        <v>1</v>
      </c>
      <c r="AU9" s="118" t="s">
        <v>803</v>
      </c>
      <c r="AV9" s="92" t="s">
        <v>769</v>
      </c>
      <c r="AW9" s="92" t="s">
        <v>769</v>
      </c>
      <c r="AX9" s="92" t="s">
        <v>769</v>
      </c>
      <c r="AY9" s="118">
        <v>82</v>
      </c>
      <c r="AZ9" s="92">
        <v>0.8</v>
      </c>
      <c r="BA9" s="92">
        <v>0.42</v>
      </c>
      <c r="BB9" s="92">
        <v>0.18</v>
      </c>
      <c r="BC9" s="92">
        <v>0</v>
      </c>
      <c r="BD9" s="92">
        <v>0.3</v>
      </c>
      <c r="BE9" s="92">
        <v>0</v>
      </c>
      <c r="BF9" s="92">
        <v>0</v>
      </c>
      <c r="BG9" s="173">
        <v>0</v>
      </c>
    </row>
    <row r="10" spans="1:59" ht="29.25" customHeight="1">
      <c r="A10" s="92">
        <v>8</v>
      </c>
      <c r="B10" s="121" t="s">
        <v>71</v>
      </c>
      <c r="C10" s="104" t="s">
        <v>697</v>
      </c>
      <c r="D10" s="100" t="s">
        <v>881</v>
      </c>
      <c r="E10" s="133" t="s">
        <v>869</v>
      </c>
      <c r="F10" s="114" t="s">
        <v>818</v>
      </c>
      <c r="G10" s="100" t="s">
        <v>829</v>
      </c>
      <c r="H10" s="103" t="str">
        <f>(INDEX([0]!BuildingData,MATCH($C10,[0]!CLBuildingTypes,FALSE),MATCH("building_source",[0]!BuildingInformation,FALSE)))</f>
        <v>B581</v>
      </c>
      <c r="I10">
        <v>2388.5449739999999</v>
      </c>
      <c r="J10">
        <v>1927</v>
      </c>
      <c r="K10" s="103" t="s">
        <v>800</v>
      </c>
      <c r="L10" s="103" t="s">
        <v>826</v>
      </c>
      <c r="M10" s="103" t="s">
        <v>811</v>
      </c>
      <c r="N10" s="103" t="s">
        <v>798</v>
      </c>
      <c r="O10" s="108">
        <v>0.88059175766114828</v>
      </c>
      <c r="P10" s="108">
        <v>2.1134202183867559</v>
      </c>
      <c r="Q10" s="108">
        <v>2.1134202183867559</v>
      </c>
      <c r="R10" s="108">
        <v>1.7611835153222966</v>
      </c>
      <c r="S10" s="108">
        <v>1.7611835153222966</v>
      </c>
      <c r="T10" s="108">
        <v>1.7611835153222966</v>
      </c>
      <c r="U10" s="108">
        <v>0.28178936245156749</v>
      </c>
      <c r="V10" s="108">
        <v>0.28178936245156749</v>
      </c>
      <c r="W10" s="108">
        <v>0.70447340612891862</v>
      </c>
      <c r="X10" s="108">
        <v>0.28178936245156749</v>
      </c>
      <c r="Y10" s="108">
        <v>1.7611835153222966</v>
      </c>
      <c r="Z10" s="101" t="s">
        <v>40</v>
      </c>
      <c r="AA10" s="100">
        <f>(INDEX([0]!InfiltrationRates,MATCH($Z10,[0]!InfiltrationBuildingType,FALSE),MATCH($D10,[0]!InfiltrationVintages,FALSE)))</f>
        <v>8.0000000000000004E-4</v>
      </c>
      <c r="AB10" s="102">
        <f>(INDEX([0]!equipment_efficiencies,MATCH("cop",[0]!pump_fan_type,FALSE),MATCH($D10,[0]!EfficiencyVintages,FALSE)))</f>
        <v>2.5</v>
      </c>
      <c r="AC10" s="140" t="s">
        <v>769</v>
      </c>
      <c r="AD10" s="102">
        <f>(INDEX([0]!equipment_efficiencies,MATCH("fan_motor_eff",[0]!pump_fan_type,FALSE),MATCH($D10,[0]!EfficiencyVintages,FALSE)))</f>
        <v>0.75</v>
      </c>
      <c r="AE10" s="102">
        <f>(INDEX([0]!equipment_efficiencies,MATCH("fan_total_eff",[0]!pump_fan_type,FALSE),MATCH($D10,[0]!EfficiencyVintages,FALSE)))</f>
        <v>0.75</v>
      </c>
      <c r="AF10" s="102">
        <f>(INDEX([0]!equipment_efficiencies,MATCH("pump_eff",[0]!pump_fan_type,FALSE),MATCH($D10,[0]!EfficiencyVintages,FALSE)))</f>
        <v>0.7</v>
      </c>
      <c r="AG10" s="139" t="s">
        <v>905</v>
      </c>
      <c r="AH10" s="139" t="s">
        <v>901</v>
      </c>
      <c r="AI10" s="108" t="b">
        <v>0</v>
      </c>
      <c r="AJ10" s="92" t="s">
        <v>710</v>
      </c>
      <c r="AK10" s="92" t="s">
        <v>711</v>
      </c>
      <c r="AL10" s="92">
        <v>19</v>
      </c>
      <c r="AM10" s="92">
        <v>64000</v>
      </c>
      <c r="AN10" s="92">
        <v>0</v>
      </c>
      <c r="AO10" s="92">
        <v>-100</v>
      </c>
      <c r="AP10" s="92" t="b">
        <v>0</v>
      </c>
      <c r="AQ10" s="92">
        <v>1.1000000000000001</v>
      </c>
      <c r="AR10" s="92">
        <v>1.25</v>
      </c>
      <c r="AS10" s="125">
        <v>1</v>
      </c>
      <c r="AT10" s="125">
        <v>1</v>
      </c>
      <c r="AU10" s="118" t="s">
        <v>803</v>
      </c>
      <c r="AV10" s="92" t="s">
        <v>769</v>
      </c>
      <c r="AW10" s="92" t="s">
        <v>769</v>
      </c>
      <c r="AX10" s="92" t="s">
        <v>769</v>
      </c>
      <c r="AY10" s="118">
        <v>82</v>
      </c>
      <c r="AZ10" s="92">
        <v>0.8</v>
      </c>
      <c r="BA10" s="92">
        <v>0.42</v>
      </c>
      <c r="BB10" s="92">
        <v>0.18</v>
      </c>
      <c r="BC10" s="92">
        <v>0</v>
      </c>
      <c r="BD10" s="92">
        <v>0.3</v>
      </c>
      <c r="BE10" s="92">
        <v>0</v>
      </c>
      <c r="BF10" s="92">
        <v>0</v>
      </c>
      <c r="BG10" s="173">
        <v>0</v>
      </c>
    </row>
    <row r="11" spans="1:59" ht="29.25" customHeight="1">
      <c r="A11" s="92">
        <v>9</v>
      </c>
      <c r="B11" s="121" t="s">
        <v>71</v>
      </c>
      <c r="C11" s="104" t="s">
        <v>697</v>
      </c>
      <c r="D11" s="100" t="s">
        <v>14</v>
      </c>
      <c r="E11" s="133" t="s">
        <v>869</v>
      </c>
      <c r="F11" s="114" t="s">
        <v>818</v>
      </c>
      <c r="G11" s="100" t="s">
        <v>829</v>
      </c>
      <c r="H11" s="103" t="str">
        <f>(INDEX([0]!BuildingData,MATCH($C11,[0]!CLBuildingTypes,FALSE),MATCH("building_source",[0]!BuildingInformation,FALSE)))</f>
        <v>B581</v>
      </c>
      <c r="I11">
        <v>2388.5449739999999</v>
      </c>
      <c r="J11">
        <v>1927</v>
      </c>
      <c r="K11" s="103" t="s">
        <v>800</v>
      </c>
      <c r="L11" s="103" t="s">
        <v>826</v>
      </c>
      <c r="M11" s="103" t="s">
        <v>811</v>
      </c>
      <c r="N11" s="103" t="s">
        <v>798</v>
      </c>
      <c r="O11" s="107">
        <v>3.170130327580134</v>
      </c>
      <c r="P11" s="107">
        <v>4.2268404367735117</v>
      </c>
      <c r="Q11" s="107">
        <v>4.2268404367735117</v>
      </c>
      <c r="R11" s="107">
        <v>1.7611835153222966</v>
      </c>
      <c r="S11" s="107">
        <v>1.7611835153222966</v>
      </c>
      <c r="T11" s="107">
        <v>1.7611835153222966</v>
      </c>
      <c r="U11" s="107">
        <v>0.3170130327580134</v>
      </c>
      <c r="V11" s="107">
        <v>0.3170130327580134</v>
      </c>
      <c r="W11" s="107">
        <v>0.70447340612891862</v>
      </c>
      <c r="X11" s="107">
        <v>0.3170130327580134</v>
      </c>
      <c r="Y11" s="107">
        <v>1.7611835153222966</v>
      </c>
      <c r="Z11" s="101" t="s">
        <v>40</v>
      </c>
      <c r="AA11" s="100">
        <f>(INDEX([0]!InfiltrationRates,MATCH($Z11,[0]!InfiltrationBuildingType,FALSE),MATCH($D11,[0]!InfiltrationVintages,FALSE)))</f>
        <v>4.4999999999999999E-4</v>
      </c>
      <c r="AB11" s="102">
        <f>(INDEX([0]!equipment_efficiencies,MATCH("cop",[0]!pump_fan_type,FALSE),MATCH($D11,[0]!EfficiencyVintages,FALSE)))</f>
        <v>3</v>
      </c>
      <c r="AC11" s="140" t="s">
        <v>769</v>
      </c>
      <c r="AD11" s="102">
        <f>(INDEX([0]!equipment_efficiencies,MATCH("fan_motor_eff",[0]!pump_fan_type,FALSE),MATCH($D11,[0]!EfficiencyVintages,FALSE)))</f>
        <v>0.879</v>
      </c>
      <c r="AE11" s="102">
        <f>(INDEX([0]!equipment_efficiencies,MATCH("fan_total_eff",[0]!pump_fan_type,FALSE),MATCH($D11,[0]!EfficiencyVintages,FALSE)))</f>
        <v>0.75</v>
      </c>
      <c r="AF11" s="102">
        <f>(INDEX([0]!equipment_efficiencies,MATCH("pump_eff",[0]!pump_fan_type,FALSE),MATCH($D11,[0]!EfficiencyVintages,FALSE)))</f>
        <v>0.7</v>
      </c>
      <c r="AG11" s="139" t="s">
        <v>905</v>
      </c>
      <c r="AH11" s="139" t="s">
        <v>901</v>
      </c>
      <c r="AI11" s="108" t="b">
        <v>0</v>
      </c>
      <c r="AJ11" s="92" t="s">
        <v>710</v>
      </c>
      <c r="AK11" s="92" t="s">
        <v>711</v>
      </c>
      <c r="AL11" s="92">
        <v>19</v>
      </c>
      <c r="AM11" s="92">
        <v>64000</v>
      </c>
      <c r="AN11" s="92">
        <v>0</v>
      </c>
      <c r="AO11" s="92">
        <v>-100</v>
      </c>
      <c r="AP11" s="92" t="b">
        <v>0</v>
      </c>
      <c r="AQ11" s="92">
        <v>1.1000000000000001</v>
      </c>
      <c r="AR11" s="92">
        <v>1.25</v>
      </c>
      <c r="AS11" s="125">
        <v>1</v>
      </c>
      <c r="AT11" s="125">
        <v>1</v>
      </c>
      <c r="AU11" s="118" t="s">
        <v>803</v>
      </c>
      <c r="AV11" s="92" t="s">
        <v>769</v>
      </c>
      <c r="AW11" s="92" t="s">
        <v>769</v>
      </c>
      <c r="AX11" s="92" t="s">
        <v>769</v>
      </c>
      <c r="AY11" s="118">
        <v>82</v>
      </c>
      <c r="AZ11" s="92">
        <v>0.8</v>
      </c>
      <c r="BA11" s="92">
        <v>0.42</v>
      </c>
      <c r="BB11" s="92">
        <v>0.18</v>
      </c>
      <c r="BC11" s="92">
        <v>0</v>
      </c>
      <c r="BD11" s="92">
        <v>0.3</v>
      </c>
      <c r="BE11" s="92">
        <v>0</v>
      </c>
      <c r="BF11" s="92">
        <v>0</v>
      </c>
      <c r="BG11" s="173">
        <v>0</v>
      </c>
    </row>
    <row r="12" spans="1:59" s="93" customFormat="1" ht="29.25" customHeight="1">
      <c r="A12" s="92">
        <v>10</v>
      </c>
      <c r="B12" s="122" t="s">
        <v>41</v>
      </c>
      <c r="C12" s="104" t="s">
        <v>713</v>
      </c>
      <c r="D12" s="100" t="s">
        <v>881</v>
      </c>
      <c r="E12" s="133" t="s">
        <v>869</v>
      </c>
      <c r="F12" s="114" t="s">
        <v>819</v>
      </c>
      <c r="G12" s="100" t="s">
        <v>829</v>
      </c>
      <c r="H12" s="103" t="str">
        <f>(INDEX([0]!BuildingData,MATCH($C12,[0]!CLBuildingTypes,FALSE),MATCH("building_source",[0]!BuildingInformation,FALSE)))</f>
        <v>B688</v>
      </c>
      <c r="I12">
        <v>923.71795399999996</v>
      </c>
      <c r="J12">
        <v>927</v>
      </c>
      <c r="K12" s="103" t="s">
        <v>800</v>
      </c>
      <c r="L12" s="103" t="s">
        <v>826</v>
      </c>
      <c r="M12" s="103" t="s">
        <v>811</v>
      </c>
      <c r="N12" s="103" t="s">
        <v>798</v>
      </c>
      <c r="O12" s="108">
        <v>0.88059175766114828</v>
      </c>
      <c r="P12" s="108">
        <v>2.1134202183867559</v>
      </c>
      <c r="Q12" s="108">
        <v>2.1134202183867559</v>
      </c>
      <c r="R12" s="108">
        <v>1.7611835153222966</v>
      </c>
      <c r="S12" s="108">
        <v>1.7611835153222966</v>
      </c>
      <c r="T12" s="108">
        <v>1.7611835153222966</v>
      </c>
      <c r="U12" s="108">
        <v>0.28178936245156749</v>
      </c>
      <c r="V12" s="108">
        <v>0.28178936245156749</v>
      </c>
      <c r="W12" s="108">
        <v>0.70447340612891862</v>
      </c>
      <c r="X12" s="108">
        <v>0.28178936245156749</v>
      </c>
      <c r="Y12" s="108">
        <v>1.7611835153222966</v>
      </c>
      <c r="Z12" s="101" t="s">
        <v>40</v>
      </c>
      <c r="AA12" s="100">
        <f>(INDEX([0]!InfiltrationRates,MATCH($Z12,[0]!InfiltrationBuildingType,FALSE),MATCH($D12,[0]!InfiltrationVintages,FALSE)))</f>
        <v>8.0000000000000004E-4</v>
      </c>
      <c r="AB12" s="102">
        <f>(INDEX([0]!equipment_efficiencies,MATCH("cop",[0]!pump_fan_type,FALSE),MATCH($D12,[0]!EfficiencyVintages,FALSE)))</f>
        <v>2.5</v>
      </c>
      <c r="AC12" s="140" t="s">
        <v>769</v>
      </c>
      <c r="AD12" s="102">
        <f>(INDEX([0]!equipment_efficiencies,MATCH("fan_motor_eff",[0]!pump_fan_type,FALSE),MATCH($D12,[0]!EfficiencyVintages,FALSE)))</f>
        <v>0.75</v>
      </c>
      <c r="AE12" s="102">
        <f>(INDEX([0]!equipment_efficiencies,MATCH("fan_total_eff",[0]!pump_fan_type,FALSE),MATCH($D12,[0]!EfficiencyVintages,FALSE)))</f>
        <v>0.75</v>
      </c>
      <c r="AF12" s="102">
        <f>(INDEX([0]!equipment_efficiencies,MATCH("pump_eff",[0]!pump_fan_type,FALSE),MATCH($D12,[0]!EfficiencyVintages,FALSE)))</f>
        <v>0.7</v>
      </c>
      <c r="AG12" s="139" t="s">
        <v>905</v>
      </c>
      <c r="AH12" s="139" t="s">
        <v>901</v>
      </c>
      <c r="AI12" s="108" t="b">
        <v>0</v>
      </c>
      <c r="AJ12" s="92" t="s">
        <v>710</v>
      </c>
      <c r="AK12" s="92" t="s">
        <v>711</v>
      </c>
      <c r="AL12" s="92">
        <v>19</v>
      </c>
      <c r="AM12" s="92">
        <v>64000</v>
      </c>
      <c r="AN12" s="92">
        <v>0</v>
      </c>
      <c r="AO12" s="92">
        <v>-100</v>
      </c>
      <c r="AP12" s="92" t="b">
        <v>0</v>
      </c>
      <c r="AQ12" s="92">
        <v>1.1000000000000001</v>
      </c>
      <c r="AR12" s="92">
        <v>1.25</v>
      </c>
      <c r="AS12" s="125">
        <v>1</v>
      </c>
      <c r="AT12" s="125">
        <v>1</v>
      </c>
      <c r="AU12" s="118" t="s">
        <v>803</v>
      </c>
      <c r="AV12" s="92" t="s">
        <v>769</v>
      </c>
      <c r="AW12" s="92" t="s">
        <v>769</v>
      </c>
      <c r="AX12" s="92" t="s">
        <v>769</v>
      </c>
      <c r="AY12" s="118">
        <v>82</v>
      </c>
      <c r="AZ12" s="92">
        <v>0.8</v>
      </c>
      <c r="BA12" s="94">
        <v>0.37</v>
      </c>
      <c r="BB12" s="92">
        <v>0.18</v>
      </c>
      <c r="BC12" s="94">
        <v>0.44</v>
      </c>
      <c r="BD12" s="92">
        <v>0.3</v>
      </c>
      <c r="BE12" s="92">
        <v>0</v>
      </c>
      <c r="BF12" s="92">
        <v>0</v>
      </c>
      <c r="BG12" s="173">
        <v>0</v>
      </c>
    </row>
    <row r="13" spans="1:59" s="93" customFormat="1" ht="29.25" customHeight="1">
      <c r="A13" s="92">
        <v>11</v>
      </c>
      <c r="B13" s="121" t="s">
        <v>41</v>
      </c>
      <c r="C13" s="104" t="s">
        <v>713</v>
      </c>
      <c r="D13" s="100" t="s">
        <v>13</v>
      </c>
      <c r="E13" s="133" t="s">
        <v>869</v>
      </c>
      <c r="F13" s="114" t="s">
        <v>819</v>
      </c>
      <c r="G13" s="100" t="s">
        <v>829</v>
      </c>
      <c r="H13" s="103" t="str">
        <f>(INDEX([0]!BuildingData,MATCH($C13,[0]!CLBuildingTypes,FALSE),MATCH("building_source",[0]!BuildingInformation,FALSE)))</f>
        <v>B688</v>
      </c>
      <c r="I13">
        <v>923.71795399999996</v>
      </c>
      <c r="J13">
        <v>927</v>
      </c>
      <c r="K13" s="103" t="s">
        <v>800</v>
      </c>
      <c r="L13" s="103" t="s">
        <v>826</v>
      </c>
      <c r="M13" s="103" t="s">
        <v>811</v>
      </c>
      <c r="N13" s="103" t="s">
        <v>798</v>
      </c>
      <c r="O13" s="107">
        <v>1.7611835153222966</v>
      </c>
      <c r="P13" s="107">
        <v>1.4089468122578372</v>
      </c>
      <c r="Q13" s="107">
        <v>1.4089468122578372</v>
      </c>
      <c r="R13" s="107">
        <v>1.0567101091933779</v>
      </c>
      <c r="S13" s="107">
        <v>1.0567101091933779</v>
      </c>
      <c r="T13" s="107">
        <v>1.0567101091933779</v>
      </c>
      <c r="U13" s="107">
        <v>0.28178936245156749</v>
      </c>
      <c r="V13" s="107">
        <v>0.28178936245156749</v>
      </c>
      <c r="W13" s="107">
        <v>0.52835505459668897</v>
      </c>
      <c r="X13" s="107">
        <v>0.28178936245156749</v>
      </c>
      <c r="Y13" s="107">
        <v>1.4089468122578372</v>
      </c>
      <c r="Z13" s="101" t="s">
        <v>40</v>
      </c>
      <c r="AA13" s="100">
        <f>(INDEX([0]!InfiltrationRates,MATCH($Z13,[0]!InfiltrationBuildingType,FALSE),MATCH($D13,[0]!InfiltrationVintages,FALSE)))</f>
        <v>7.5000000000000002E-4</v>
      </c>
      <c r="AB13" s="102">
        <f>(INDEX([0]!equipment_efficiencies,MATCH("cop",[0]!pump_fan_type,FALSE),MATCH($D13,[0]!EfficiencyVintages,FALSE)))</f>
        <v>2.5</v>
      </c>
      <c r="AC13" s="140" t="s">
        <v>769</v>
      </c>
      <c r="AD13" s="102">
        <f>(INDEX([0]!equipment_efficiencies,MATCH("fan_motor_eff",[0]!pump_fan_type,FALSE),MATCH($D13,[0]!EfficiencyVintages,FALSE)))</f>
        <v>0.82299999999999995</v>
      </c>
      <c r="AE13" s="102">
        <f>(INDEX([0]!equipment_efficiencies,MATCH("fan_total_eff",[0]!pump_fan_type,FALSE),MATCH($D13,[0]!EfficiencyVintages,FALSE)))</f>
        <v>0.75</v>
      </c>
      <c r="AF13" s="102">
        <f>(INDEX([0]!equipment_efficiencies,MATCH("pump_eff",[0]!pump_fan_type,FALSE),MATCH($D13,[0]!EfficiencyVintages,FALSE)))</f>
        <v>0.7</v>
      </c>
      <c r="AG13" s="139" t="s">
        <v>905</v>
      </c>
      <c r="AH13" s="139" t="s">
        <v>901</v>
      </c>
      <c r="AI13" s="108" t="b">
        <v>0</v>
      </c>
      <c r="AJ13" s="92" t="s">
        <v>710</v>
      </c>
      <c r="AK13" s="92" t="s">
        <v>711</v>
      </c>
      <c r="AL13" s="92">
        <v>19</v>
      </c>
      <c r="AM13" s="92">
        <v>64000</v>
      </c>
      <c r="AN13" s="92">
        <v>0</v>
      </c>
      <c r="AO13" s="92">
        <v>-100</v>
      </c>
      <c r="AP13" s="92" t="b">
        <v>0</v>
      </c>
      <c r="AQ13" s="92">
        <v>1.1000000000000001</v>
      </c>
      <c r="AR13" s="92">
        <v>1.25</v>
      </c>
      <c r="AS13" s="125">
        <v>1</v>
      </c>
      <c r="AT13" s="125">
        <v>1</v>
      </c>
      <c r="AU13" s="118" t="s">
        <v>803</v>
      </c>
      <c r="AV13" s="92" t="s">
        <v>769</v>
      </c>
      <c r="AW13" s="92" t="s">
        <v>769</v>
      </c>
      <c r="AX13" s="92" t="s">
        <v>769</v>
      </c>
      <c r="AY13" s="118">
        <v>82</v>
      </c>
      <c r="AZ13" s="92">
        <v>0.8</v>
      </c>
      <c r="BA13" s="92">
        <v>0.42</v>
      </c>
      <c r="BB13" s="92">
        <v>0.18</v>
      </c>
      <c r="BC13" s="92">
        <v>0</v>
      </c>
      <c r="BD13" s="92">
        <v>0.3</v>
      </c>
      <c r="BE13" s="92">
        <v>0</v>
      </c>
      <c r="BF13" s="92">
        <v>0</v>
      </c>
      <c r="BG13" s="173">
        <v>0</v>
      </c>
    </row>
    <row r="14" spans="1:59" s="93" customFormat="1" ht="29.25" customHeight="1">
      <c r="A14" s="92">
        <v>12</v>
      </c>
      <c r="B14" s="122" t="s">
        <v>41</v>
      </c>
      <c r="C14" s="104" t="s">
        <v>713</v>
      </c>
      <c r="D14" s="100" t="s">
        <v>14</v>
      </c>
      <c r="E14" s="133" t="s">
        <v>869</v>
      </c>
      <c r="F14" s="114" t="s">
        <v>819</v>
      </c>
      <c r="G14" s="100" t="s">
        <v>829</v>
      </c>
      <c r="H14" s="103" t="str">
        <f>(INDEX([0]!BuildingData,MATCH($C14,[0]!CLBuildingTypes,FALSE),MATCH("building_source",[0]!BuildingInformation,FALSE)))</f>
        <v>B688</v>
      </c>
      <c r="I14">
        <v>923.71795399999996</v>
      </c>
      <c r="J14">
        <v>927</v>
      </c>
      <c r="K14" s="103" t="s">
        <v>800</v>
      </c>
      <c r="L14" s="103" t="s">
        <v>826</v>
      </c>
      <c r="M14" s="103" t="s">
        <v>811</v>
      </c>
      <c r="N14" s="103" t="s">
        <v>798</v>
      </c>
      <c r="O14" s="107">
        <v>3.170130327580134</v>
      </c>
      <c r="P14" s="107">
        <v>4.2268404367735117</v>
      </c>
      <c r="Q14" s="107">
        <v>4.2268404367735117</v>
      </c>
      <c r="R14" s="107">
        <v>1.7611835153222966</v>
      </c>
      <c r="S14" s="107">
        <v>1.7611835153222966</v>
      </c>
      <c r="T14" s="107">
        <v>1.7611835153222966</v>
      </c>
      <c r="U14" s="107">
        <v>0.3170130327580134</v>
      </c>
      <c r="V14" s="107">
        <v>0.3170130327580134</v>
      </c>
      <c r="W14" s="107">
        <v>0.70447340612891862</v>
      </c>
      <c r="X14" s="107">
        <v>0.3170130327580134</v>
      </c>
      <c r="Y14" s="107">
        <v>1.7611835153222966</v>
      </c>
      <c r="Z14" s="101" t="s">
        <v>40</v>
      </c>
      <c r="AA14" s="100">
        <f>(INDEX([0]!InfiltrationRates,MATCH($Z14,[0]!InfiltrationBuildingType,FALSE),MATCH($D14,[0]!InfiltrationVintages,FALSE)))</f>
        <v>4.4999999999999999E-4</v>
      </c>
      <c r="AB14" s="102">
        <f>(INDEX([0]!equipment_efficiencies,MATCH("cop",[0]!pump_fan_type,FALSE),MATCH($D14,[0]!EfficiencyVintages,FALSE)))</f>
        <v>3</v>
      </c>
      <c r="AC14" s="140" t="s">
        <v>769</v>
      </c>
      <c r="AD14" s="102">
        <f>(INDEX([0]!equipment_efficiencies,MATCH("fan_motor_eff",[0]!pump_fan_type,FALSE),MATCH($D14,[0]!EfficiencyVintages,FALSE)))</f>
        <v>0.879</v>
      </c>
      <c r="AE14" s="102">
        <f>(INDEX([0]!equipment_efficiencies,MATCH("fan_total_eff",[0]!pump_fan_type,FALSE),MATCH($D14,[0]!EfficiencyVintages,FALSE)))</f>
        <v>0.75</v>
      </c>
      <c r="AF14" s="102">
        <f>(INDEX([0]!equipment_efficiencies,MATCH("pump_eff",[0]!pump_fan_type,FALSE),MATCH($D14,[0]!EfficiencyVintages,FALSE)))</f>
        <v>0.7</v>
      </c>
      <c r="AG14" s="139" t="s">
        <v>905</v>
      </c>
      <c r="AH14" s="139" t="s">
        <v>901</v>
      </c>
      <c r="AI14" s="108" t="b">
        <v>0</v>
      </c>
      <c r="AJ14" s="92" t="s">
        <v>710</v>
      </c>
      <c r="AK14" s="92" t="s">
        <v>711</v>
      </c>
      <c r="AL14" s="92">
        <v>19</v>
      </c>
      <c r="AM14" s="92">
        <v>64000</v>
      </c>
      <c r="AN14" s="92">
        <v>0</v>
      </c>
      <c r="AO14" s="92">
        <v>-100</v>
      </c>
      <c r="AP14" s="92" t="b">
        <v>0</v>
      </c>
      <c r="AQ14" s="92">
        <v>1.1000000000000001</v>
      </c>
      <c r="AR14" s="92">
        <v>1.25</v>
      </c>
      <c r="AS14" s="125">
        <v>1</v>
      </c>
      <c r="AT14" s="125">
        <v>1</v>
      </c>
      <c r="AU14" s="118" t="s">
        <v>803</v>
      </c>
      <c r="AV14" s="92" t="s">
        <v>769</v>
      </c>
      <c r="AW14" s="92" t="s">
        <v>769</v>
      </c>
      <c r="AX14" s="92" t="s">
        <v>769</v>
      </c>
      <c r="AY14" s="118">
        <v>82</v>
      </c>
      <c r="AZ14" s="92">
        <v>0.8</v>
      </c>
      <c r="BA14" s="92">
        <v>0.42</v>
      </c>
      <c r="BB14" s="92">
        <v>0.18</v>
      </c>
      <c r="BC14" s="92">
        <v>0</v>
      </c>
      <c r="BD14" s="92">
        <v>0.3</v>
      </c>
      <c r="BE14" s="92">
        <v>0</v>
      </c>
      <c r="BF14" s="92">
        <v>0</v>
      </c>
      <c r="BG14" s="173">
        <v>0</v>
      </c>
    </row>
    <row r="15" spans="1:59" s="93" customFormat="1" ht="29.25" customHeight="1">
      <c r="A15" s="92">
        <v>13</v>
      </c>
      <c r="B15" s="122" t="s">
        <v>67</v>
      </c>
      <c r="C15" s="104" t="s">
        <v>762</v>
      </c>
      <c r="D15" s="100" t="s">
        <v>881</v>
      </c>
      <c r="E15" s="133" t="s">
        <v>869</v>
      </c>
      <c r="F15" s="114" t="s">
        <v>820</v>
      </c>
      <c r="G15" s="100" t="s">
        <v>829</v>
      </c>
      <c r="H15" s="103" t="str">
        <f>(INDEX([0]!BuildingData,MATCH($C15,[0]!CLBuildingTypes,FALSE),MATCH("building_source",[0]!BuildingInformation,FALSE)))</f>
        <v>B007</v>
      </c>
      <c r="I15">
        <v>3418.6207140000001</v>
      </c>
      <c r="J15">
        <v>3418.6207140000001</v>
      </c>
      <c r="K15" s="103" t="s">
        <v>800</v>
      </c>
      <c r="L15" s="103" t="s">
        <v>826</v>
      </c>
      <c r="M15" s="103" t="s">
        <v>811</v>
      </c>
      <c r="N15" s="103" t="s">
        <v>798</v>
      </c>
      <c r="O15" s="108">
        <v>1.7611835153222966</v>
      </c>
      <c r="P15" s="108">
        <v>2.8178936245156745</v>
      </c>
      <c r="Q15" s="108">
        <v>2.8178936245156745</v>
      </c>
      <c r="R15" s="108">
        <v>1.7611835153222966</v>
      </c>
      <c r="S15" s="108">
        <v>1.7611835153222966</v>
      </c>
      <c r="T15" s="108">
        <v>1.7611835153222966</v>
      </c>
      <c r="U15" s="108">
        <v>0.28178936245156749</v>
      </c>
      <c r="V15" s="108">
        <v>0.28178936245156749</v>
      </c>
      <c r="W15" s="108">
        <v>0.70447340612891862</v>
      </c>
      <c r="X15" s="108">
        <v>0.28178936245156749</v>
      </c>
      <c r="Y15" s="108">
        <v>1.7611835153222966</v>
      </c>
      <c r="Z15" s="101" t="s">
        <v>34</v>
      </c>
      <c r="AA15" s="100">
        <f>(INDEX([0]!InfiltrationRates,MATCH($Z15,[0]!InfiltrationBuildingType,FALSE),MATCH($D15,[0]!InfiltrationVintages,FALSE)))</f>
        <v>6.9999999999999999E-4</v>
      </c>
      <c r="AB15" s="102">
        <f>(INDEX([0]!equipment_efficiencies,MATCH("cop",[0]!pump_fan_type,FALSE),MATCH($D15,[0]!EfficiencyVintages,FALSE)))</f>
        <v>2.5</v>
      </c>
      <c r="AC15" s="140" t="s">
        <v>769</v>
      </c>
      <c r="AD15" s="102">
        <f>(INDEX([0]!equipment_efficiencies,MATCH("fan_motor_eff",[0]!pump_fan_type,FALSE),MATCH($D15,[0]!EfficiencyVintages,FALSE)))</f>
        <v>0.75</v>
      </c>
      <c r="AE15" s="102">
        <f>(INDEX([0]!equipment_efficiencies,MATCH("fan_total_eff",[0]!pump_fan_type,FALSE),MATCH($D15,[0]!EfficiencyVintages,FALSE)))</f>
        <v>0.75</v>
      </c>
      <c r="AF15" s="102">
        <f>(INDEX([0]!equipment_efficiencies,MATCH("pump_eff",[0]!pump_fan_type,FALSE),MATCH($D15,[0]!EfficiencyVintages,FALSE)))</f>
        <v>0.7</v>
      </c>
      <c r="AG15" s="139" t="s">
        <v>905</v>
      </c>
      <c r="AH15" s="139" t="s">
        <v>901</v>
      </c>
      <c r="AI15" s="108" t="b">
        <v>0</v>
      </c>
      <c r="AJ15" s="92" t="s">
        <v>710</v>
      </c>
      <c r="AK15" s="92" t="s">
        <v>711</v>
      </c>
      <c r="AL15" s="92">
        <v>19</v>
      </c>
      <c r="AM15" s="92">
        <v>64000</v>
      </c>
      <c r="AN15" s="92">
        <v>0</v>
      </c>
      <c r="AO15" s="92">
        <v>-100</v>
      </c>
      <c r="AP15" s="92" t="b">
        <v>0</v>
      </c>
      <c r="AQ15" s="92">
        <v>1.1000000000000001</v>
      </c>
      <c r="AR15" s="92">
        <v>1.25</v>
      </c>
      <c r="AS15" s="125">
        <v>1</v>
      </c>
      <c r="AT15" s="125">
        <v>1</v>
      </c>
      <c r="AU15" s="118" t="s">
        <v>803</v>
      </c>
      <c r="AV15" s="92" t="s">
        <v>769</v>
      </c>
      <c r="AW15" s="92" t="s">
        <v>769</v>
      </c>
      <c r="AX15" s="92" t="s">
        <v>769</v>
      </c>
      <c r="AY15" s="118">
        <v>82</v>
      </c>
      <c r="AZ15" s="92">
        <v>0.8</v>
      </c>
      <c r="BA15" s="94">
        <v>0.37</v>
      </c>
      <c r="BB15" s="92">
        <v>0.18</v>
      </c>
      <c r="BC15" s="94">
        <v>0.44</v>
      </c>
      <c r="BD15" s="92">
        <v>0.3</v>
      </c>
      <c r="BE15" s="92">
        <v>0</v>
      </c>
      <c r="BF15" s="92">
        <v>0</v>
      </c>
      <c r="BG15" s="173">
        <v>0</v>
      </c>
    </row>
    <row r="16" spans="1:59" s="93" customFormat="1" ht="29.25" customHeight="1">
      <c r="A16" s="92">
        <v>14</v>
      </c>
      <c r="B16" s="122" t="s">
        <v>67</v>
      </c>
      <c r="C16" s="104" t="s">
        <v>762</v>
      </c>
      <c r="D16" s="161" t="s">
        <v>13</v>
      </c>
      <c r="E16" s="133" t="s">
        <v>869</v>
      </c>
      <c r="F16" s="114" t="s">
        <v>820</v>
      </c>
      <c r="G16" s="100" t="s">
        <v>829</v>
      </c>
      <c r="H16" s="103" t="str">
        <f>(INDEX([0]!BuildingData,MATCH($C16,[0]!CLBuildingTypes,FALSE),MATCH("building_source",[0]!BuildingInformation,FALSE)))</f>
        <v>B007</v>
      </c>
      <c r="I16">
        <v>3418.6207140000001</v>
      </c>
      <c r="J16">
        <v>3418.6207140000001</v>
      </c>
      <c r="K16" s="103" t="s">
        <v>800</v>
      </c>
      <c r="L16" s="103" t="s">
        <v>826</v>
      </c>
      <c r="M16" s="103" t="s">
        <v>811</v>
      </c>
      <c r="N16" s="103" t="s">
        <v>798</v>
      </c>
      <c r="O16" s="107">
        <v>1.7611835153222966</v>
      </c>
      <c r="P16" s="107">
        <v>1.4089468122578372</v>
      </c>
      <c r="Q16" s="107">
        <v>1.4089468122578372</v>
      </c>
      <c r="R16" s="107">
        <v>1.0567101091933779</v>
      </c>
      <c r="S16" s="107">
        <v>1.0567101091933779</v>
      </c>
      <c r="T16" s="107">
        <v>1.0567101091933779</v>
      </c>
      <c r="U16" s="107">
        <v>0.28178936245156749</v>
      </c>
      <c r="V16" s="107">
        <v>0.28178936245156749</v>
      </c>
      <c r="W16" s="107">
        <v>0.52835505459668897</v>
      </c>
      <c r="X16" s="107">
        <v>0.28178936245156749</v>
      </c>
      <c r="Y16" s="107">
        <v>1.4089468122578372</v>
      </c>
      <c r="Z16" s="101" t="s">
        <v>34</v>
      </c>
      <c r="AA16" s="100">
        <f>(INDEX([0]!InfiltrationRates,MATCH($Z16,[0]!InfiltrationBuildingType,FALSE),MATCH($D16,[0]!InfiltrationVintages,FALSE)))</f>
        <v>5.0000000000000001E-4</v>
      </c>
      <c r="AB16" s="102">
        <f>(INDEX([0]!equipment_efficiencies,MATCH("cop",[0]!pump_fan_type,FALSE),MATCH($D16,[0]!EfficiencyVintages,FALSE)))</f>
        <v>2.5</v>
      </c>
      <c r="AC16" s="140" t="s">
        <v>769</v>
      </c>
      <c r="AD16" s="102">
        <f>(INDEX([0]!equipment_efficiencies,MATCH("fan_motor_eff",[0]!pump_fan_type,FALSE),MATCH($D16,[0]!EfficiencyVintages,FALSE)))</f>
        <v>0.82299999999999995</v>
      </c>
      <c r="AE16" s="102">
        <f>(INDEX([0]!equipment_efficiencies,MATCH("fan_total_eff",[0]!pump_fan_type,FALSE),MATCH($D16,[0]!EfficiencyVintages,FALSE)))</f>
        <v>0.75</v>
      </c>
      <c r="AF16" s="102">
        <f>(INDEX([0]!equipment_efficiencies,MATCH("pump_eff",[0]!pump_fan_type,FALSE),MATCH($D16,[0]!EfficiencyVintages,FALSE)))</f>
        <v>0.7</v>
      </c>
      <c r="AG16" s="139" t="s">
        <v>905</v>
      </c>
      <c r="AH16" s="139" t="s">
        <v>901</v>
      </c>
      <c r="AI16" s="108" t="b">
        <v>0</v>
      </c>
      <c r="AJ16" s="92" t="s">
        <v>710</v>
      </c>
      <c r="AK16" s="92" t="s">
        <v>711</v>
      </c>
      <c r="AL16" s="92">
        <v>19</v>
      </c>
      <c r="AM16" s="92">
        <v>64000</v>
      </c>
      <c r="AN16" s="92">
        <v>0</v>
      </c>
      <c r="AO16" s="92">
        <v>-100</v>
      </c>
      <c r="AP16" s="92" t="b">
        <v>0</v>
      </c>
      <c r="AQ16" s="92">
        <v>1.1000000000000001</v>
      </c>
      <c r="AR16" s="92">
        <v>1.25</v>
      </c>
      <c r="AS16" s="125">
        <v>1</v>
      </c>
      <c r="AT16" s="125">
        <v>1</v>
      </c>
      <c r="AU16" s="118" t="s">
        <v>803</v>
      </c>
      <c r="AV16" s="92" t="s">
        <v>769</v>
      </c>
      <c r="AW16" s="92" t="s">
        <v>769</v>
      </c>
      <c r="AX16" s="92" t="s">
        <v>769</v>
      </c>
      <c r="AY16" s="118">
        <v>82</v>
      </c>
      <c r="AZ16" s="92">
        <v>0.8</v>
      </c>
      <c r="BA16" s="94">
        <v>0.37</v>
      </c>
      <c r="BB16" s="92">
        <v>0.18</v>
      </c>
      <c r="BC16" s="94">
        <v>0.44</v>
      </c>
      <c r="BD16" s="92">
        <v>0.3</v>
      </c>
      <c r="BE16" s="92">
        <v>0</v>
      </c>
      <c r="BF16" s="92">
        <v>0</v>
      </c>
      <c r="BG16" s="173">
        <v>0</v>
      </c>
    </row>
    <row r="17" spans="1:61" s="94" customFormat="1" ht="29.25" customHeight="1">
      <c r="A17" s="92">
        <v>15</v>
      </c>
      <c r="B17" s="122" t="s">
        <v>67</v>
      </c>
      <c r="C17" s="104" t="s">
        <v>762</v>
      </c>
      <c r="D17" s="100" t="s">
        <v>14</v>
      </c>
      <c r="E17" s="133" t="s">
        <v>869</v>
      </c>
      <c r="F17" s="114" t="s">
        <v>820</v>
      </c>
      <c r="G17" s="100" t="s">
        <v>829</v>
      </c>
      <c r="H17" s="103" t="str">
        <f>(INDEX([0]!BuildingData,MATCH($C17,[0]!CLBuildingTypes,FALSE),MATCH("building_source",[0]!BuildingInformation,FALSE)))</f>
        <v>B007</v>
      </c>
      <c r="I17">
        <v>3418.6207140000001</v>
      </c>
      <c r="J17">
        <v>3418.6207140000001</v>
      </c>
      <c r="K17" s="103" t="s">
        <v>800</v>
      </c>
      <c r="L17" s="103" t="s">
        <v>826</v>
      </c>
      <c r="M17" s="103" t="s">
        <v>811</v>
      </c>
      <c r="N17" s="103" t="s">
        <v>798</v>
      </c>
      <c r="O17" s="107">
        <v>3.5223670306445931</v>
      </c>
      <c r="P17" s="107">
        <v>3.170130327580134</v>
      </c>
      <c r="Q17" s="107">
        <v>3.170130327580134</v>
      </c>
      <c r="R17" s="107">
        <v>1.7611835153222966</v>
      </c>
      <c r="S17" s="107">
        <v>1.7611835153222966</v>
      </c>
      <c r="T17" s="107">
        <v>1.7611835153222966</v>
      </c>
      <c r="U17" s="107">
        <v>0.3170130327580134</v>
      </c>
      <c r="V17" s="107">
        <v>0.3170130327580134</v>
      </c>
      <c r="W17" s="107">
        <v>0.70447340612891862</v>
      </c>
      <c r="X17" s="107">
        <v>0.3170130327580134</v>
      </c>
      <c r="Y17" s="107">
        <v>1.7611835153222966</v>
      </c>
      <c r="Z17" s="101" t="s">
        <v>34</v>
      </c>
      <c r="AA17" s="100">
        <f>(INDEX([0]!InfiltrationRates,MATCH($Z17,[0]!InfiltrationBuildingType,FALSE),MATCH($D17,[0]!InfiltrationVintages,FALSE)))</f>
        <v>3.5E-4</v>
      </c>
      <c r="AB17" s="102">
        <f>(INDEX([0]!equipment_efficiencies,MATCH("cop",[0]!pump_fan_type,FALSE),MATCH($D17,[0]!EfficiencyVintages,FALSE)))</f>
        <v>3</v>
      </c>
      <c r="AC17" s="140" t="s">
        <v>769</v>
      </c>
      <c r="AD17" s="102">
        <f>(INDEX([0]!equipment_efficiencies,MATCH("fan_motor_eff",[0]!pump_fan_type,FALSE),MATCH($D17,[0]!EfficiencyVintages,FALSE)))</f>
        <v>0.879</v>
      </c>
      <c r="AE17" s="102">
        <f>(INDEX([0]!equipment_efficiencies,MATCH("fan_total_eff",[0]!pump_fan_type,FALSE),MATCH($D17,[0]!EfficiencyVintages,FALSE)))</f>
        <v>0.75</v>
      </c>
      <c r="AF17" s="102">
        <f>(INDEX([0]!equipment_efficiencies,MATCH("pump_eff",[0]!pump_fan_type,FALSE),MATCH($D17,[0]!EfficiencyVintages,FALSE)))</f>
        <v>0.7</v>
      </c>
      <c r="AG17" s="139" t="s">
        <v>905</v>
      </c>
      <c r="AH17" s="139" t="s">
        <v>901</v>
      </c>
      <c r="AI17" s="108" t="b">
        <v>0</v>
      </c>
      <c r="AJ17" s="92" t="s">
        <v>710</v>
      </c>
      <c r="AK17" s="92" t="s">
        <v>711</v>
      </c>
      <c r="AL17" s="92">
        <v>19</v>
      </c>
      <c r="AM17" s="92">
        <v>64000</v>
      </c>
      <c r="AN17" s="92">
        <v>0</v>
      </c>
      <c r="AO17" s="92">
        <v>-100</v>
      </c>
      <c r="AP17" s="92" t="b">
        <v>0</v>
      </c>
      <c r="AQ17" s="92">
        <v>1.1000000000000001</v>
      </c>
      <c r="AR17" s="92">
        <v>1.25</v>
      </c>
      <c r="AS17" s="125">
        <v>1</v>
      </c>
      <c r="AT17" s="125">
        <v>1</v>
      </c>
      <c r="AU17" s="118" t="s">
        <v>803</v>
      </c>
      <c r="AV17" s="92" t="s">
        <v>769</v>
      </c>
      <c r="AW17" s="92" t="s">
        <v>769</v>
      </c>
      <c r="AX17" s="92" t="s">
        <v>769</v>
      </c>
      <c r="AY17" s="118">
        <v>82</v>
      </c>
      <c r="AZ17" s="92">
        <v>0.8</v>
      </c>
      <c r="BA17" s="94">
        <v>0.37</v>
      </c>
      <c r="BB17" s="92">
        <v>0.18</v>
      </c>
      <c r="BC17" s="94">
        <v>0.44</v>
      </c>
      <c r="BD17" s="92">
        <v>0.3</v>
      </c>
      <c r="BE17" s="92">
        <v>0</v>
      </c>
      <c r="BF17" s="92">
        <v>0</v>
      </c>
      <c r="BG17" s="173">
        <v>0</v>
      </c>
    </row>
    <row r="18" spans="1:61" s="94" customFormat="1" ht="29.25" customHeight="1">
      <c r="A18" s="92">
        <v>16</v>
      </c>
      <c r="B18" s="123" t="s">
        <v>35</v>
      </c>
      <c r="C18" s="104" t="s">
        <v>763</v>
      </c>
      <c r="D18" s="100" t="s">
        <v>13</v>
      </c>
      <c r="E18" s="133" t="s">
        <v>869</v>
      </c>
      <c r="F18" s="114" t="s">
        <v>821</v>
      </c>
      <c r="G18" s="100" t="s">
        <v>829</v>
      </c>
      <c r="H18" s="103" t="str">
        <f>(INDEX([0]!BuildingData,MATCH($C18,[0]!CLBuildingTypes,FALSE),MATCH("building_source",[0]!BuildingInformation,FALSE)))</f>
        <v>B96(Trailer)</v>
      </c>
      <c r="I18">
        <v>1211.462215</v>
      </c>
      <c r="J18">
        <v>584</v>
      </c>
      <c r="K18" s="103" t="s">
        <v>800</v>
      </c>
      <c r="L18" s="103" t="s">
        <v>826</v>
      </c>
      <c r="M18" s="103" t="s">
        <v>811</v>
      </c>
      <c r="N18" s="103" t="s">
        <v>798</v>
      </c>
      <c r="O18" s="107">
        <v>1.7611835153222966</v>
      </c>
      <c r="P18" s="107">
        <v>1.4089468122578372</v>
      </c>
      <c r="Q18" s="107">
        <v>1.4089468122578372</v>
      </c>
      <c r="R18" s="107">
        <v>1.0567101091933779</v>
      </c>
      <c r="S18" s="107">
        <v>1.0567101091933779</v>
      </c>
      <c r="T18" s="107">
        <v>1.0567101091933779</v>
      </c>
      <c r="U18" s="107">
        <v>0.28178936245156749</v>
      </c>
      <c r="V18" s="107">
        <v>0.28178936245156749</v>
      </c>
      <c r="W18" s="107">
        <v>0.52835505459668897</v>
      </c>
      <c r="X18" s="107">
        <v>0.28178936245156749</v>
      </c>
      <c r="Y18" s="107">
        <v>1.4089468122578372</v>
      </c>
      <c r="Z18" s="101" t="s">
        <v>34</v>
      </c>
      <c r="AA18" s="100">
        <f>(INDEX([0]!InfiltrationRates,MATCH($Z18,[0]!InfiltrationBuildingType,FALSE),MATCH($D18,[0]!InfiltrationVintages,FALSE)))</f>
        <v>5.0000000000000001E-4</v>
      </c>
      <c r="AB18" s="102">
        <f>(INDEX([0]!equipment_efficiencies,MATCH("cop",[0]!pump_fan_type,FALSE),MATCH($D18,[0]!EfficiencyVintages,FALSE)))</f>
        <v>2.5</v>
      </c>
      <c r="AC18" s="140" t="s">
        <v>769</v>
      </c>
      <c r="AD18" s="102">
        <f>(INDEX([0]!equipment_efficiencies,MATCH("fan_motor_eff",[0]!pump_fan_type,FALSE),MATCH($D18,[0]!EfficiencyVintages,FALSE)))</f>
        <v>0.82299999999999995</v>
      </c>
      <c r="AE18" s="102">
        <f>(INDEX([0]!equipment_efficiencies,MATCH("fan_total_eff",[0]!pump_fan_type,FALSE),MATCH($D18,[0]!EfficiencyVintages,FALSE)))</f>
        <v>0.75</v>
      </c>
      <c r="AF18" s="102">
        <f>(INDEX([0]!equipment_efficiencies,MATCH("pump_eff",[0]!pump_fan_type,FALSE),MATCH($D18,[0]!EfficiencyVintages,FALSE)))</f>
        <v>0.7</v>
      </c>
      <c r="AG18" s="139" t="s">
        <v>905</v>
      </c>
      <c r="AH18" s="139" t="s">
        <v>901</v>
      </c>
      <c r="AI18" s="108" t="b">
        <v>0</v>
      </c>
      <c r="AJ18" s="92" t="s">
        <v>710</v>
      </c>
      <c r="AK18" s="92" t="s">
        <v>711</v>
      </c>
      <c r="AL18" s="92">
        <v>19</v>
      </c>
      <c r="AM18" s="92">
        <v>64000</v>
      </c>
      <c r="AN18" s="92">
        <v>0</v>
      </c>
      <c r="AO18" s="92">
        <v>-100</v>
      </c>
      <c r="AP18" s="92" t="b">
        <v>0</v>
      </c>
      <c r="AQ18" s="92">
        <v>1.1000000000000001</v>
      </c>
      <c r="AR18" s="92">
        <v>1.25</v>
      </c>
      <c r="AS18" s="125">
        <v>1</v>
      </c>
      <c r="AT18" s="125">
        <v>1</v>
      </c>
      <c r="AU18" s="118" t="s">
        <v>803</v>
      </c>
      <c r="AV18" s="92" t="s">
        <v>769</v>
      </c>
      <c r="AW18" s="92" t="s">
        <v>769</v>
      </c>
      <c r="AX18" s="92" t="s">
        <v>769</v>
      </c>
      <c r="AY18" s="118">
        <v>82</v>
      </c>
      <c r="AZ18" s="92">
        <v>0.8</v>
      </c>
      <c r="BA18" s="94">
        <v>0.37</v>
      </c>
      <c r="BB18" s="92">
        <v>0.18</v>
      </c>
      <c r="BC18" s="94">
        <v>0.44</v>
      </c>
      <c r="BD18" s="92">
        <v>0.3</v>
      </c>
      <c r="BE18" s="92">
        <v>0</v>
      </c>
      <c r="BF18" s="92">
        <v>0</v>
      </c>
      <c r="BG18" s="173">
        <v>0</v>
      </c>
    </row>
    <row r="19" spans="1:61" s="94" customFormat="1" ht="29.25" customHeight="1">
      <c r="A19" s="92">
        <v>17</v>
      </c>
      <c r="B19" s="123" t="s">
        <v>35</v>
      </c>
      <c r="C19" s="104" t="s">
        <v>763</v>
      </c>
      <c r="D19" s="100" t="s">
        <v>14</v>
      </c>
      <c r="E19" s="133" t="s">
        <v>869</v>
      </c>
      <c r="F19" s="114" t="s">
        <v>821</v>
      </c>
      <c r="G19" s="100" t="s">
        <v>829</v>
      </c>
      <c r="H19" s="103" t="str">
        <f>(INDEX([0]!BuildingData,MATCH($C19,[0]!CLBuildingTypes,FALSE),MATCH("building_source",[0]!BuildingInformation,FALSE)))</f>
        <v>B96(Trailer)</v>
      </c>
      <c r="I19">
        <v>1211.462215</v>
      </c>
      <c r="J19">
        <v>584</v>
      </c>
      <c r="K19" s="103" t="s">
        <v>800</v>
      </c>
      <c r="L19" s="103" t="s">
        <v>826</v>
      </c>
      <c r="M19" s="103" t="s">
        <v>811</v>
      </c>
      <c r="N19" s="103" t="s">
        <v>798</v>
      </c>
      <c r="O19" s="107">
        <v>3.5223670306445931</v>
      </c>
      <c r="P19" s="107">
        <v>3.170130327580134</v>
      </c>
      <c r="Q19" s="107">
        <v>3.170130327580134</v>
      </c>
      <c r="R19" s="107">
        <v>1.7611835153222966</v>
      </c>
      <c r="S19" s="107">
        <v>1.7611835153222966</v>
      </c>
      <c r="T19" s="107">
        <v>1.7611835153222966</v>
      </c>
      <c r="U19" s="107">
        <v>0.3170130327580134</v>
      </c>
      <c r="V19" s="107">
        <v>0.3170130327580134</v>
      </c>
      <c r="W19" s="107">
        <v>0.70447340612891862</v>
      </c>
      <c r="X19" s="107">
        <v>0.3170130327580134</v>
      </c>
      <c r="Y19" s="107">
        <v>1.7611835153222966</v>
      </c>
      <c r="Z19" s="101" t="s">
        <v>34</v>
      </c>
      <c r="AA19" s="100">
        <f>(INDEX([0]!InfiltrationRates,MATCH($Z19,[0]!InfiltrationBuildingType,FALSE),MATCH($D19,[0]!InfiltrationVintages,FALSE)))</f>
        <v>3.5E-4</v>
      </c>
      <c r="AB19" s="102">
        <f>(INDEX([0]!equipment_efficiencies,MATCH("cop",[0]!pump_fan_type,FALSE),MATCH($D19,[0]!EfficiencyVintages,FALSE)))</f>
        <v>3</v>
      </c>
      <c r="AC19" s="140" t="s">
        <v>769</v>
      </c>
      <c r="AD19" s="102">
        <f>(INDEX([0]!equipment_efficiencies,MATCH("fan_motor_eff",[0]!pump_fan_type,FALSE),MATCH($D19,[0]!EfficiencyVintages,FALSE)))</f>
        <v>0.879</v>
      </c>
      <c r="AE19" s="102">
        <f>(INDEX([0]!equipment_efficiencies,MATCH("fan_total_eff",[0]!pump_fan_type,FALSE),MATCH($D19,[0]!EfficiencyVintages,FALSE)))</f>
        <v>0.75</v>
      </c>
      <c r="AF19" s="102">
        <f>(INDEX([0]!equipment_efficiencies,MATCH("pump_eff",[0]!pump_fan_type,FALSE),MATCH($D19,[0]!EfficiencyVintages,FALSE)))</f>
        <v>0.7</v>
      </c>
      <c r="AG19" s="139" t="s">
        <v>905</v>
      </c>
      <c r="AH19" s="139" t="s">
        <v>901</v>
      </c>
      <c r="AI19" s="108" t="b">
        <v>0</v>
      </c>
      <c r="AJ19" s="92" t="s">
        <v>710</v>
      </c>
      <c r="AK19" s="92" t="s">
        <v>711</v>
      </c>
      <c r="AL19" s="92">
        <v>19</v>
      </c>
      <c r="AM19" s="92">
        <v>64000</v>
      </c>
      <c r="AN19" s="92">
        <v>0</v>
      </c>
      <c r="AO19" s="92">
        <v>-100</v>
      </c>
      <c r="AP19" s="92" t="b">
        <v>0</v>
      </c>
      <c r="AQ19" s="92">
        <v>1.1000000000000001</v>
      </c>
      <c r="AR19" s="92">
        <v>1.25</v>
      </c>
      <c r="AS19" s="125">
        <v>1</v>
      </c>
      <c r="AT19" s="125">
        <v>1</v>
      </c>
      <c r="AU19" s="118" t="s">
        <v>803</v>
      </c>
      <c r="AV19" s="92" t="s">
        <v>769</v>
      </c>
      <c r="AW19" s="92" t="s">
        <v>769</v>
      </c>
      <c r="AX19" s="92" t="s">
        <v>769</v>
      </c>
      <c r="AY19" s="118">
        <v>82</v>
      </c>
      <c r="AZ19" s="92">
        <v>0.8</v>
      </c>
      <c r="BA19" s="94">
        <v>0.37</v>
      </c>
      <c r="BB19" s="92">
        <v>0.18</v>
      </c>
      <c r="BC19" s="94">
        <v>0.44</v>
      </c>
      <c r="BD19" s="92">
        <v>0.3</v>
      </c>
      <c r="BE19" s="92">
        <v>0</v>
      </c>
      <c r="BF19" s="92">
        <v>0</v>
      </c>
      <c r="BG19" s="173">
        <v>0</v>
      </c>
    </row>
    <row r="20" spans="1:61" s="94" customFormat="1" ht="29.25" customHeight="1">
      <c r="A20" s="92">
        <v>18</v>
      </c>
      <c r="B20" s="123" t="s">
        <v>35</v>
      </c>
      <c r="C20" s="104" t="s">
        <v>763</v>
      </c>
      <c r="D20" s="100" t="s">
        <v>546</v>
      </c>
      <c r="E20" s="133" t="s">
        <v>869</v>
      </c>
      <c r="F20" s="114" t="s">
        <v>821</v>
      </c>
      <c r="G20" s="100" t="s">
        <v>829</v>
      </c>
      <c r="H20" s="103" t="str">
        <f>(INDEX([0]!BuildingData,MATCH($C20,[0]!CLBuildingTypes,FALSE),MATCH("building_source",[0]!BuildingInformation,FALSE)))</f>
        <v>B96(Trailer)</v>
      </c>
      <c r="I20">
        <v>1211.462215</v>
      </c>
      <c r="J20">
        <v>584</v>
      </c>
      <c r="K20" s="103" t="s">
        <v>800</v>
      </c>
      <c r="L20" s="103" t="s">
        <v>826</v>
      </c>
      <c r="M20" s="103" t="s">
        <v>811</v>
      </c>
      <c r="N20" s="103" t="s">
        <v>798</v>
      </c>
      <c r="O20" s="107">
        <v>5.2835505459668894</v>
      </c>
      <c r="P20" s="107">
        <v>4.5790771398379713</v>
      </c>
      <c r="Q20" s="107">
        <v>4.5790771398379713</v>
      </c>
      <c r="R20" s="107">
        <v>1.7611835153222966</v>
      </c>
      <c r="S20" s="107">
        <v>1.7611835153222966</v>
      </c>
      <c r="T20" s="107">
        <v>1.7611835153222966</v>
      </c>
      <c r="U20" s="107">
        <v>0.3170130327580134</v>
      </c>
      <c r="V20" s="107">
        <v>0.3170130327580134</v>
      </c>
      <c r="W20" s="107">
        <v>0.70447340612891862</v>
      </c>
      <c r="X20" s="107">
        <v>0.3170130327580134</v>
      </c>
      <c r="Y20" s="107">
        <v>1.7611835153222966</v>
      </c>
      <c r="Z20" s="101" t="s">
        <v>34</v>
      </c>
      <c r="AA20" s="100">
        <f>(INDEX([0]!InfiltrationRates,MATCH($Z20,[0]!InfiltrationBuildingType,FALSE),MATCH($D20,[0]!InfiltrationVintages,FALSE)))</f>
        <v>2.0000000000000001E-4</v>
      </c>
      <c r="AB20" s="102">
        <f>(INDEX([0]!equipment_efficiencies,MATCH("cop",[0]!pump_fan_type,FALSE),MATCH($D20,[0]!EfficiencyVintages,FALSE)))</f>
        <v>3.5</v>
      </c>
      <c r="AC20" s="140" t="s">
        <v>769</v>
      </c>
      <c r="AD20" s="102">
        <f>(INDEX([0]!equipment_efficiencies,MATCH("fan_motor_eff",[0]!pump_fan_type,FALSE),MATCH($D20,[0]!EfficiencyVintages,FALSE)))</f>
        <v>0.879</v>
      </c>
      <c r="AE20" s="102">
        <f>(INDEX([0]!equipment_efficiencies,MATCH("fan_total_eff",[0]!pump_fan_type,FALSE),MATCH($D20,[0]!EfficiencyVintages,FALSE)))</f>
        <v>0.8</v>
      </c>
      <c r="AF20" s="102">
        <f>(INDEX([0]!equipment_efficiencies,MATCH("pump_eff",[0]!pump_fan_type,FALSE),MATCH($D20,[0]!EfficiencyVintages,FALSE)))</f>
        <v>0.7</v>
      </c>
      <c r="AG20" s="139" t="s">
        <v>905</v>
      </c>
      <c r="AH20" s="139" t="s">
        <v>901</v>
      </c>
      <c r="AI20" s="108" t="b">
        <v>0</v>
      </c>
      <c r="AJ20" s="92" t="s">
        <v>710</v>
      </c>
      <c r="AK20" s="92" t="s">
        <v>711</v>
      </c>
      <c r="AL20" s="92">
        <v>19</v>
      </c>
      <c r="AM20" s="92">
        <v>64000</v>
      </c>
      <c r="AN20" s="92">
        <v>0</v>
      </c>
      <c r="AO20" s="92">
        <v>-100</v>
      </c>
      <c r="AP20" s="92" t="b">
        <v>0</v>
      </c>
      <c r="AQ20" s="92">
        <v>1.1000000000000001</v>
      </c>
      <c r="AR20" s="92">
        <v>1.25</v>
      </c>
      <c r="AS20" s="125">
        <v>1</v>
      </c>
      <c r="AT20" s="125">
        <v>1</v>
      </c>
      <c r="AU20" s="118" t="s">
        <v>803</v>
      </c>
      <c r="AV20" s="92" t="s">
        <v>769</v>
      </c>
      <c r="AW20" s="92" t="s">
        <v>769</v>
      </c>
      <c r="AX20" s="92" t="s">
        <v>769</v>
      </c>
      <c r="AY20" s="118">
        <v>82</v>
      </c>
      <c r="AZ20" s="92">
        <v>0.8</v>
      </c>
      <c r="BA20" s="94">
        <v>0.42</v>
      </c>
      <c r="BB20" s="92">
        <v>0.18</v>
      </c>
      <c r="BC20" s="94">
        <v>0</v>
      </c>
      <c r="BD20" s="92">
        <v>0.3</v>
      </c>
      <c r="BE20" s="92">
        <v>0</v>
      </c>
      <c r="BF20" s="92">
        <v>0</v>
      </c>
      <c r="BG20" s="173">
        <v>0</v>
      </c>
    </row>
    <row r="21" spans="1:61" s="94" customFormat="1" ht="29.25" customHeight="1">
      <c r="A21" s="92">
        <v>19</v>
      </c>
      <c r="B21" s="123" t="s">
        <v>62</v>
      </c>
      <c r="C21" s="104" t="s">
        <v>712</v>
      </c>
      <c r="D21" s="100" t="s">
        <v>14</v>
      </c>
      <c r="E21" s="133" t="s">
        <v>869</v>
      </c>
      <c r="F21" s="114" t="s">
        <v>822</v>
      </c>
      <c r="G21" s="100" t="s">
        <v>829</v>
      </c>
      <c r="H21" s="103" t="str">
        <f>(INDEX([0]!BuildingData,MATCH($C21,[0]!CLBuildingTypes,FALSE),MATCH("building_source",[0]!BuildingInformation,FALSE)))</f>
        <v>B720</v>
      </c>
      <c r="I21">
        <v>12612.73388</v>
      </c>
      <c r="J21">
        <v>12612.73388</v>
      </c>
      <c r="K21" s="103" t="s">
        <v>800</v>
      </c>
      <c r="L21" s="103" t="s">
        <v>769</v>
      </c>
      <c r="M21" s="103" t="s">
        <v>769</v>
      </c>
      <c r="N21" s="108" t="s">
        <v>769</v>
      </c>
      <c r="O21" s="108" t="s">
        <v>769</v>
      </c>
      <c r="P21" s="108" t="s">
        <v>769</v>
      </c>
      <c r="Q21" s="108" t="s">
        <v>769</v>
      </c>
      <c r="R21" s="108" t="s">
        <v>769</v>
      </c>
      <c r="S21" s="108" t="s">
        <v>769</v>
      </c>
      <c r="T21" s="108" t="s">
        <v>769</v>
      </c>
      <c r="U21" s="108" t="s">
        <v>769</v>
      </c>
      <c r="V21" s="108" t="s">
        <v>769</v>
      </c>
      <c r="W21" s="108" t="s">
        <v>769</v>
      </c>
      <c r="X21" s="108" t="s">
        <v>769</v>
      </c>
      <c r="Y21" s="108" t="s">
        <v>769</v>
      </c>
      <c r="Z21" s="101" t="s">
        <v>61</v>
      </c>
      <c r="AA21" s="100">
        <f>(INDEX([0]!InfiltrationRates,MATCH($Z21,[0]!InfiltrationBuildingType,FALSE),MATCH($D21,[0]!InfiltrationVintages,FALSE)))</f>
        <v>3.5E-4</v>
      </c>
      <c r="AB21" s="102">
        <f>(INDEX([0]!equipment_efficiencies,MATCH("cop",[0]!pump_fan_type,FALSE),MATCH($D21,[0]!EfficiencyVintages,FALSE)))</f>
        <v>3</v>
      </c>
      <c r="AC21" s="140" t="s">
        <v>769</v>
      </c>
      <c r="AD21" s="102">
        <f>(INDEX([0]!equipment_efficiencies,MATCH("fan_motor_eff",[0]!pump_fan_type,FALSE),MATCH($D21,[0]!EfficiencyVintages,FALSE)))</f>
        <v>0.879</v>
      </c>
      <c r="AE21" s="102">
        <f>(INDEX([0]!equipment_efficiencies,MATCH("fan_total_eff",[0]!pump_fan_type,FALSE),MATCH($D21,[0]!EfficiencyVintages,FALSE)))</f>
        <v>0.75</v>
      </c>
      <c r="AF21" s="102">
        <f>(INDEX([0]!equipment_efficiencies,MATCH("pump_eff",[0]!pump_fan_type,FALSE),MATCH($D21,[0]!EfficiencyVintages,FALSE)))</f>
        <v>0.7</v>
      </c>
      <c r="AG21" s="139" t="s">
        <v>905</v>
      </c>
      <c r="AH21" s="139" t="s">
        <v>901</v>
      </c>
      <c r="AI21" s="108" t="b">
        <v>0</v>
      </c>
      <c r="AJ21" s="100" t="s">
        <v>710</v>
      </c>
      <c r="AK21" s="100" t="s">
        <v>711</v>
      </c>
      <c r="AL21" s="100">
        <v>19</v>
      </c>
      <c r="AM21" s="100">
        <v>64000</v>
      </c>
      <c r="AN21" s="100">
        <v>0</v>
      </c>
      <c r="AO21" s="100">
        <v>-100</v>
      </c>
      <c r="AP21" s="92" t="b">
        <v>0</v>
      </c>
      <c r="AQ21" s="92">
        <v>1.1000000000000001</v>
      </c>
      <c r="AR21" s="92">
        <v>1.25</v>
      </c>
      <c r="AS21" s="125">
        <v>1</v>
      </c>
      <c r="AT21" s="125">
        <v>1</v>
      </c>
      <c r="AU21" s="118" t="s">
        <v>803</v>
      </c>
      <c r="AV21" s="92" t="s">
        <v>769</v>
      </c>
      <c r="AW21" s="92" t="s">
        <v>769</v>
      </c>
      <c r="AX21" s="92" t="s">
        <v>769</v>
      </c>
      <c r="AY21" s="118">
        <v>82</v>
      </c>
      <c r="AZ21" s="92">
        <v>0.8</v>
      </c>
      <c r="BA21" s="94">
        <v>0.42</v>
      </c>
      <c r="BB21" s="92">
        <v>0.18</v>
      </c>
      <c r="BC21" s="94">
        <v>0</v>
      </c>
      <c r="BD21" s="92">
        <v>0.3</v>
      </c>
      <c r="BE21" s="92">
        <v>0</v>
      </c>
      <c r="BF21" s="92">
        <v>0</v>
      </c>
      <c r="BG21" s="173">
        <v>0</v>
      </c>
    </row>
    <row r="22" spans="1:61" s="94" customFormat="1" ht="29.25" customHeight="1">
      <c r="A22" s="92">
        <v>20</v>
      </c>
      <c r="B22" s="123" t="s">
        <v>29</v>
      </c>
      <c r="C22" s="104" t="s">
        <v>2</v>
      </c>
      <c r="D22" s="100" t="s">
        <v>881</v>
      </c>
      <c r="E22" s="133" t="s">
        <v>869</v>
      </c>
      <c r="F22" s="114" t="s">
        <v>823</v>
      </c>
      <c r="G22" s="100" t="s">
        <v>829</v>
      </c>
      <c r="H22" s="103" t="str">
        <f>(INDEX([0]!BuildingData,MATCH($C22,[0]!CLBuildingTypes,FALSE),MATCH("building_source",[0]!BuildingInformation,FALSE)))</f>
        <v>B782</v>
      </c>
      <c r="I22">
        <v>965.15690400000005</v>
      </c>
      <c r="J22">
        <v>1171</v>
      </c>
      <c r="K22" s="103" t="s">
        <v>800</v>
      </c>
      <c r="L22" s="103" t="s">
        <v>826</v>
      </c>
      <c r="M22" s="103" t="s">
        <v>811</v>
      </c>
      <c r="N22" s="103" t="s">
        <v>798</v>
      </c>
      <c r="O22" s="108">
        <v>0.88059175766114828</v>
      </c>
      <c r="P22" s="108">
        <v>3.5223670306445931</v>
      </c>
      <c r="Q22" s="108">
        <v>3.5223670306445931</v>
      </c>
      <c r="R22" s="108">
        <v>1.7611835153222966</v>
      </c>
      <c r="S22" s="108">
        <v>1.7611835153222966</v>
      </c>
      <c r="T22" s="108">
        <v>1.7611835153222966</v>
      </c>
      <c r="U22" s="108">
        <v>0.28178936245156749</v>
      </c>
      <c r="V22" s="108">
        <v>0.28178936245156749</v>
      </c>
      <c r="W22" s="108">
        <v>0.70447340612891862</v>
      </c>
      <c r="X22" s="108">
        <v>0.28178936245156749</v>
      </c>
      <c r="Y22" s="108">
        <v>1.7611835153222966</v>
      </c>
      <c r="Z22" s="101" t="s">
        <v>703</v>
      </c>
      <c r="AA22" s="100">
        <f>(INDEX([0]!InfiltrationRates,MATCH($Z22,[0]!InfiltrationBuildingType,FALSE),MATCH($D22,[0]!InfiltrationVintages,FALSE)))</f>
        <v>6.9999999999999999E-4</v>
      </c>
      <c r="AB22" s="102">
        <f>(INDEX([0]!equipment_efficiencies,MATCH("cop",[0]!pump_fan_type,FALSE),MATCH($D22,[0]!EfficiencyVintages,FALSE)))</f>
        <v>2.5</v>
      </c>
      <c r="AC22" s="140" t="s">
        <v>769</v>
      </c>
      <c r="AD22" s="102">
        <f>(INDEX([0]!equipment_efficiencies,MATCH("fan_motor_eff",[0]!pump_fan_type,FALSE),MATCH($D22,[0]!EfficiencyVintages,FALSE)))</f>
        <v>0.75</v>
      </c>
      <c r="AE22" s="102">
        <f>(INDEX([0]!equipment_efficiencies,MATCH("fan_total_eff",[0]!pump_fan_type,FALSE),MATCH($D22,[0]!EfficiencyVintages,FALSE)))</f>
        <v>0.75</v>
      </c>
      <c r="AF22" s="102">
        <f>(INDEX([0]!equipment_efficiencies,MATCH("pump_eff",[0]!pump_fan_type,FALSE),MATCH($D22,[0]!EfficiencyVintages,FALSE)))</f>
        <v>0.7</v>
      </c>
      <c r="AG22" s="139" t="s">
        <v>900</v>
      </c>
      <c r="AH22" s="139" t="s">
        <v>901</v>
      </c>
      <c r="AI22" s="108" t="b">
        <v>0</v>
      </c>
      <c r="AJ22" s="92" t="s">
        <v>710</v>
      </c>
      <c r="AK22" s="92" t="s">
        <v>711</v>
      </c>
      <c r="AL22" s="92">
        <v>19</v>
      </c>
      <c r="AM22" s="92">
        <v>64000</v>
      </c>
      <c r="AN22" s="92">
        <v>0</v>
      </c>
      <c r="AO22" s="92">
        <v>-100</v>
      </c>
      <c r="AP22" s="92" t="b">
        <v>0</v>
      </c>
      <c r="AQ22" s="92">
        <v>1.1000000000000001</v>
      </c>
      <c r="AR22" s="92">
        <v>1.25</v>
      </c>
      <c r="AS22" s="125">
        <v>1</v>
      </c>
      <c r="AT22" s="125">
        <v>1</v>
      </c>
      <c r="AU22" s="118" t="s">
        <v>803</v>
      </c>
      <c r="AV22" s="92" t="s">
        <v>769</v>
      </c>
      <c r="AW22" s="92" t="s">
        <v>769</v>
      </c>
      <c r="AX22" s="92" t="s">
        <v>769</v>
      </c>
      <c r="AY22" s="118">
        <v>82</v>
      </c>
      <c r="AZ22" s="92">
        <v>0.8</v>
      </c>
      <c r="BA22" s="94">
        <v>0.37</v>
      </c>
      <c r="BB22" s="92">
        <v>0.18</v>
      </c>
      <c r="BC22" s="94">
        <v>0.44</v>
      </c>
      <c r="BD22" s="92">
        <v>0.3</v>
      </c>
      <c r="BE22" s="92">
        <v>0</v>
      </c>
      <c r="BF22" s="92">
        <v>0</v>
      </c>
      <c r="BG22" s="173">
        <v>0</v>
      </c>
    </row>
    <row r="23" spans="1:61" s="94" customFormat="1" ht="29.25" customHeight="1">
      <c r="A23" s="92">
        <v>21</v>
      </c>
      <c r="B23" s="123" t="s">
        <v>29</v>
      </c>
      <c r="C23" s="104" t="s">
        <v>2</v>
      </c>
      <c r="D23" s="100" t="s">
        <v>13</v>
      </c>
      <c r="E23" s="133" t="s">
        <v>869</v>
      </c>
      <c r="F23" s="114" t="s">
        <v>823</v>
      </c>
      <c r="G23" s="100" t="s">
        <v>829</v>
      </c>
      <c r="H23" s="103" t="str">
        <f>(INDEX([0]!BuildingData,MATCH($C23,[0]!CLBuildingTypes,FALSE),MATCH("building_source",[0]!BuildingInformation,FALSE)))</f>
        <v>B782</v>
      </c>
      <c r="I23">
        <v>965.15690400000005</v>
      </c>
      <c r="J23">
        <v>1171</v>
      </c>
      <c r="K23" s="103" t="s">
        <v>800</v>
      </c>
      <c r="L23" s="103" t="s">
        <v>826</v>
      </c>
      <c r="M23" s="103" t="s">
        <v>811</v>
      </c>
      <c r="N23" s="103" t="s">
        <v>798</v>
      </c>
      <c r="O23" s="107">
        <v>1.9373018668545263</v>
      </c>
      <c r="P23" s="107">
        <v>1.585065163790067</v>
      </c>
      <c r="Q23" s="107">
        <v>1.585065163790067</v>
      </c>
      <c r="R23" s="107">
        <v>1.2328284607256077</v>
      </c>
      <c r="S23" s="107">
        <v>1.2328284607256077</v>
      </c>
      <c r="T23" s="107">
        <v>1.2328284607256077</v>
      </c>
      <c r="U23" s="108">
        <v>0.28178936245156749</v>
      </c>
      <c r="V23" s="108">
        <v>0.28178936245156749</v>
      </c>
      <c r="W23" s="107">
        <v>0.70447340612891862</v>
      </c>
      <c r="X23" s="108">
        <v>0.28178936245156749</v>
      </c>
      <c r="Y23" s="107">
        <v>1.585065163790067</v>
      </c>
      <c r="Z23" s="101" t="s">
        <v>703</v>
      </c>
      <c r="AA23" s="100">
        <f>(INDEX([0]!InfiltrationRates,MATCH($Z23,[0]!InfiltrationBuildingType,FALSE),MATCH($D23,[0]!InfiltrationVintages,FALSE)))</f>
        <v>5.0000000000000001E-4</v>
      </c>
      <c r="AB23" s="102">
        <f>(INDEX([0]!equipment_efficiencies,MATCH("cop",[0]!pump_fan_type,FALSE),MATCH($D23,[0]!EfficiencyVintages,FALSE)))</f>
        <v>2.5</v>
      </c>
      <c r="AC23" s="140" t="s">
        <v>769</v>
      </c>
      <c r="AD23" s="102">
        <f>(INDEX([0]!equipment_efficiencies,MATCH("fan_motor_eff",[0]!pump_fan_type,FALSE),MATCH($D23,[0]!EfficiencyVintages,FALSE)))</f>
        <v>0.82299999999999995</v>
      </c>
      <c r="AE23" s="102">
        <f>(INDEX([0]!equipment_efficiencies,MATCH("fan_total_eff",[0]!pump_fan_type,FALSE),MATCH($D23,[0]!EfficiencyVintages,FALSE)))</f>
        <v>0.75</v>
      </c>
      <c r="AF23" s="102">
        <f>(INDEX([0]!equipment_efficiencies,MATCH("pump_eff",[0]!pump_fan_type,FALSE),MATCH($D23,[0]!EfficiencyVintages,FALSE)))</f>
        <v>0.7</v>
      </c>
      <c r="AG23" s="139" t="s">
        <v>905</v>
      </c>
      <c r="AH23" s="139" t="s">
        <v>901</v>
      </c>
      <c r="AI23" s="108" t="b">
        <v>0</v>
      </c>
      <c r="AJ23" s="92" t="s">
        <v>710</v>
      </c>
      <c r="AK23" s="92" t="s">
        <v>711</v>
      </c>
      <c r="AL23" s="92">
        <v>19</v>
      </c>
      <c r="AM23" s="92">
        <v>64000</v>
      </c>
      <c r="AN23" s="92">
        <v>0</v>
      </c>
      <c r="AO23" s="92">
        <v>-100</v>
      </c>
      <c r="AP23" s="92" t="b">
        <v>0</v>
      </c>
      <c r="AQ23" s="92">
        <v>1.1000000000000001</v>
      </c>
      <c r="AR23" s="92">
        <v>1.25</v>
      </c>
      <c r="AS23" s="125">
        <v>1</v>
      </c>
      <c r="AT23" s="125">
        <v>1</v>
      </c>
      <c r="AU23" s="118" t="s">
        <v>803</v>
      </c>
      <c r="AV23" s="92" t="s">
        <v>769</v>
      </c>
      <c r="AW23" s="92" t="s">
        <v>769</v>
      </c>
      <c r="AX23" s="92" t="s">
        <v>769</v>
      </c>
      <c r="AY23" s="118">
        <v>82</v>
      </c>
      <c r="AZ23" s="92">
        <v>0.8</v>
      </c>
      <c r="BA23" s="94">
        <v>0.42</v>
      </c>
      <c r="BB23" s="92">
        <v>0.18</v>
      </c>
      <c r="BC23" s="94">
        <v>0</v>
      </c>
      <c r="BD23" s="92">
        <v>0.3</v>
      </c>
      <c r="BE23" s="92">
        <v>0</v>
      </c>
      <c r="BF23" s="92">
        <v>0</v>
      </c>
      <c r="BG23" s="173">
        <v>0</v>
      </c>
    </row>
    <row r="24" spans="1:61" s="94" customFormat="1" ht="29.25" customHeight="1">
      <c r="A24" s="92">
        <v>22</v>
      </c>
      <c r="B24" s="123" t="s">
        <v>29</v>
      </c>
      <c r="C24" s="104" t="s">
        <v>2</v>
      </c>
      <c r="D24" s="100" t="s">
        <v>14</v>
      </c>
      <c r="E24" s="133" t="s">
        <v>869</v>
      </c>
      <c r="F24" s="114" t="s">
        <v>823</v>
      </c>
      <c r="G24" s="100" t="s">
        <v>829</v>
      </c>
      <c r="H24" s="103" t="str">
        <f>(INDEX([0]!BuildingData,MATCH($C24,[0]!CLBuildingTypes,FALSE),MATCH("building_source",[0]!BuildingInformation,FALSE)))</f>
        <v>B782</v>
      </c>
      <c r="I24">
        <v>965.15690400000005</v>
      </c>
      <c r="J24">
        <v>1171</v>
      </c>
      <c r="K24" s="103" t="s">
        <v>800</v>
      </c>
      <c r="L24" s="103" t="s">
        <v>826</v>
      </c>
      <c r="M24" s="103" t="s">
        <v>811</v>
      </c>
      <c r="N24" s="103" t="s">
        <v>798</v>
      </c>
      <c r="O24" s="107">
        <v>2.6417752729834447</v>
      </c>
      <c r="P24" s="107">
        <v>3.5223670306445931</v>
      </c>
      <c r="Q24" s="107">
        <v>3.5223670306445931</v>
      </c>
      <c r="R24" s="107">
        <v>1.7611835153222966</v>
      </c>
      <c r="S24" s="107">
        <v>1.7611835153222966</v>
      </c>
      <c r="T24" s="107">
        <v>1.7611835153222966</v>
      </c>
      <c r="U24" s="107">
        <v>0.3170130327580134</v>
      </c>
      <c r="V24" s="107">
        <v>0.3170130327580134</v>
      </c>
      <c r="W24" s="107">
        <v>0.70447340612891862</v>
      </c>
      <c r="X24" s="107">
        <v>0.3170130327580134</v>
      </c>
      <c r="Y24" s="107">
        <v>1.7611835153222966</v>
      </c>
      <c r="Z24" s="101" t="s">
        <v>703</v>
      </c>
      <c r="AA24" s="100">
        <f>(INDEX([0]!InfiltrationRates,MATCH($Z24,[0]!InfiltrationBuildingType,FALSE),MATCH($D24,[0]!InfiltrationVintages,FALSE)))</f>
        <v>3.5E-4</v>
      </c>
      <c r="AB24" s="102">
        <f>(INDEX([0]!equipment_efficiencies,MATCH("cop",[0]!pump_fan_type,FALSE),MATCH($D24,[0]!EfficiencyVintages,FALSE)))</f>
        <v>3</v>
      </c>
      <c r="AC24" s="140" t="s">
        <v>769</v>
      </c>
      <c r="AD24" s="102">
        <f>(INDEX([0]!equipment_efficiencies,MATCH("fan_motor_eff",[0]!pump_fan_type,FALSE),MATCH($D24,[0]!EfficiencyVintages,FALSE)))</f>
        <v>0.879</v>
      </c>
      <c r="AE24" s="102">
        <f>(INDEX([0]!equipment_efficiencies,MATCH("fan_total_eff",[0]!pump_fan_type,FALSE),MATCH($D24,[0]!EfficiencyVintages,FALSE)))</f>
        <v>0.75</v>
      </c>
      <c r="AF24" s="102">
        <f>(INDEX([0]!equipment_efficiencies,MATCH("pump_eff",[0]!pump_fan_type,FALSE),MATCH($D24,[0]!EfficiencyVintages,FALSE)))</f>
        <v>0.7</v>
      </c>
      <c r="AG24" s="139" t="s">
        <v>905</v>
      </c>
      <c r="AH24" s="139" t="s">
        <v>901</v>
      </c>
      <c r="AI24" s="108" t="b">
        <v>0</v>
      </c>
      <c r="AJ24" s="92" t="s">
        <v>710</v>
      </c>
      <c r="AK24" s="92" t="s">
        <v>711</v>
      </c>
      <c r="AL24" s="92">
        <v>19</v>
      </c>
      <c r="AM24" s="92">
        <v>64000</v>
      </c>
      <c r="AN24" s="92">
        <v>0</v>
      </c>
      <c r="AO24" s="92">
        <v>-100</v>
      </c>
      <c r="AP24" s="92" t="b">
        <v>0</v>
      </c>
      <c r="AQ24" s="92">
        <v>1.1000000000000001</v>
      </c>
      <c r="AR24" s="92">
        <v>1.25</v>
      </c>
      <c r="AS24" s="125">
        <v>1</v>
      </c>
      <c r="AT24" s="125">
        <v>1</v>
      </c>
      <c r="AU24" s="118" t="s">
        <v>803</v>
      </c>
      <c r="AV24" s="92" t="s">
        <v>769</v>
      </c>
      <c r="AW24" s="92" t="s">
        <v>769</v>
      </c>
      <c r="AX24" s="92" t="s">
        <v>769</v>
      </c>
      <c r="AY24" s="118">
        <v>82</v>
      </c>
      <c r="AZ24" s="92">
        <v>0.8</v>
      </c>
      <c r="BA24" s="94">
        <v>0.42</v>
      </c>
      <c r="BB24" s="92">
        <v>0.18</v>
      </c>
      <c r="BC24" s="94">
        <v>0</v>
      </c>
      <c r="BD24" s="92">
        <v>0.3</v>
      </c>
      <c r="BE24" s="92">
        <v>0</v>
      </c>
      <c r="BF24" s="92">
        <v>0</v>
      </c>
      <c r="BG24" s="173">
        <v>0</v>
      </c>
    </row>
    <row r="25" spans="1:61" s="94" customFormat="1" ht="30.75" customHeight="1">
      <c r="A25" s="92">
        <v>23</v>
      </c>
      <c r="B25" s="123" t="s">
        <v>29</v>
      </c>
      <c r="C25" s="104" t="s">
        <v>2</v>
      </c>
      <c r="D25" s="100" t="s">
        <v>546</v>
      </c>
      <c r="E25" s="133" t="s">
        <v>869</v>
      </c>
      <c r="F25" s="114" t="s">
        <v>823</v>
      </c>
      <c r="G25" s="100" t="s">
        <v>829</v>
      </c>
      <c r="H25" s="103" t="str">
        <f>(INDEX([0]!BuildingData,MATCH($C25,[0]!CLBuildingTypes,FALSE),MATCH("building_source",[0]!BuildingInformation,FALSE)))</f>
        <v>B782</v>
      </c>
      <c r="I25">
        <v>965.15690400000005</v>
      </c>
      <c r="J25">
        <v>1171</v>
      </c>
      <c r="K25" s="103" t="s">
        <v>800</v>
      </c>
      <c r="L25" s="103" t="s">
        <v>826</v>
      </c>
      <c r="M25" s="103" t="s">
        <v>811</v>
      </c>
      <c r="N25" s="103" t="s">
        <v>798</v>
      </c>
      <c r="O25" s="107">
        <v>5.2835505459668894</v>
      </c>
      <c r="P25" s="107">
        <v>4.5790771398379713</v>
      </c>
      <c r="Q25" s="107">
        <v>4.5790771398379713</v>
      </c>
      <c r="R25" s="107">
        <v>1.7611835153222966</v>
      </c>
      <c r="S25" s="107">
        <v>1.7611835153222966</v>
      </c>
      <c r="T25" s="107">
        <v>1.7611835153222966</v>
      </c>
      <c r="U25" s="107">
        <v>0.3170130327580134</v>
      </c>
      <c r="V25" s="107">
        <v>0.3170130327580134</v>
      </c>
      <c r="W25" s="107">
        <v>0.70447340612891862</v>
      </c>
      <c r="X25" s="107">
        <v>0.3170130327580134</v>
      </c>
      <c r="Y25" s="107">
        <v>1.7611835153222966</v>
      </c>
      <c r="Z25" s="101" t="s">
        <v>703</v>
      </c>
      <c r="AA25" s="100">
        <f>(INDEX([0]!InfiltrationRates,MATCH($Z25,[0]!InfiltrationBuildingType,FALSE),MATCH($D25,[0]!InfiltrationVintages,FALSE)))</f>
        <v>2.0000000000000001E-4</v>
      </c>
      <c r="AB25" s="102">
        <f>(INDEX([0]!equipment_efficiencies,MATCH("cop",[0]!pump_fan_type,FALSE),MATCH($D25,[0]!EfficiencyVintages,FALSE)))</f>
        <v>3.5</v>
      </c>
      <c r="AC25" s="140" t="s">
        <v>769</v>
      </c>
      <c r="AD25" s="102">
        <f>(INDEX([0]!equipment_efficiencies,MATCH("fan_motor_eff",[0]!pump_fan_type,FALSE),MATCH($D25,[0]!EfficiencyVintages,FALSE)))</f>
        <v>0.879</v>
      </c>
      <c r="AE25" s="102">
        <f>(INDEX([0]!equipment_efficiencies,MATCH("fan_total_eff",[0]!pump_fan_type,FALSE),MATCH($D25,[0]!EfficiencyVintages,FALSE)))</f>
        <v>0.8</v>
      </c>
      <c r="AF25" s="102">
        <f>(INDEX([0]!equipment_efficiencies,MATCH("pump_eff",[0]!pump_fan_type,FALSE),MATCH($D25,[0]!EfficiencyVintages,FALSE)))</f>
        <v>0.7</v>
      </c>
      <c r="AG25" s="139" t="s">
        <v>905</v>
      </c>
      <c r="AH25" s="139" t="s">
        <v>901</v>
      </c>
      <c r="AI25" s="108" t="b">
        <v>0</v>
      </c>
      <c r="AJ25" s="92" t="s">
        <v>710</v>
      </c>
      <c r="AK25" s="92" t="s">
        <v>711</v>
      </c>
      <c r="AL25" s="92">
        <v>19</v>
      </c>
      <c r="AM25" s="92">
        <v>64000</v>
      </c>
      <c r="AN25" s="92">
        <v>0</v>
      </c>
      <c r="AO25" s="92">
        <v>-100</v>
      </c>
      <c r="AP25" s="92" t="b">
        <v>0</v>
      </c>
      <c r="AQ25" s="92">
        <v>1.1000000000000001</v>
      </c>
      <c r="AR25" s="92">
        <v>1.25</v>
      </c>
      <c r="AS25" s="125">
        <v>1</v>
      </c>
      <c r="AT25" s="125">
        <v>1</v>
      </c>
      <c r="AU25" s="118" t="s">
        <v>803</v>
      </c>
      <c r="AV25" s="92" t="s">
        <v>769</v>
      </c>
      <c r="AW25" s="92" t="s">
        <v>769</v>
      </c>
      <c r="AX25" s="92" t="s">
        <v>769</v>
      </c>
      <c r="AY25" s="118">
        <v>82</v>
      </c>
      <c r="AZ25" s="92">
        <v>0.8</v>
      </c>
      <c r="BA25" s="94">
        <v>0.42</v>
      </c>
      <c r="BB25" s="92">
        <v>0.18</v>
      </c>
      <c r="BC25" s="94">
        <v>0</v>
      </c>
      <c r="BD25" s="92">
        <v>0.3</v>
      </c>
      <c r="BE25" s="92">
        <v>0</v>
      </c>
      <c r="BF25" s="92">
        <v>0</v>
      </c>
      <c r="BG25" s="173">
        <v>0</v>
      </c>
    </row>
    <row r="26" spans="1:61" s="94" customFormat="1" ht="30.75" customHeight="1">
      <c r="A26" s="92">
        <v>24</v>
      </c>
      <c r="B26" s="123" t="s">
        <v>54</v>
      </c>
      <c r="C26" s="104" t="s">
        <v>547</v>
      </c>
      <c r="D26" s="100" t="s">
        <v>881</v>
      </c>
      <c r="E26" s="133" t="s">
        <v>869</v>
      </c>
      <c r="F26" s="114" t="s">
        <v>824</v>
      </c>
      <c r="G26" s="100" t="s">
        <v>829</v>
      </c>
      <c r="H26" s="103" t="str">
        <f>(INDEX([0]!BuildingData,MATCH($C26,[0]!CLBuildingTypes,FALSE),MATCH("building_source",[0]!BuildingInformation,FALSE)))</f>
        <v>Trenton Training B34</v>
      </c>
      <c r="I26">
        <v>3699.892902</v>
      </c>
      <c r="J26">
        <v>3699.892902</v>
      </c>
      <c r="K26" s="103" t="s">
        <v>800</v>
      </c>
      <c r="L26" s="103" t="s">
        <v>826</v>
      </c>
      <c r="M26" s="103" t="s">
        <v>811</v>
      </c>
      <c r="N26" s="103" t="s">
        <v>798</v>
      </c>
      <c r="O26" s="108">
        <v>1.7611835153222966</v>
      </c>
      <c r="P26" s="108">
        <v>2.1134202183867559</v>
      </c>
      <c r="Q26" s="108">
        <v>2.1134202183867559</v>
      </c>
      <c r="R26" s="108">
        <v>1.7611835153222966</v>
      </c>
      <c r="S26" s="108">
        <v>1.7611835153222966</v>
      </c>
      <c r="T26" s="108">
        <v>1.7611835153222966</v>
      </c>
      <c r="U26" s="108">
        <v>0.28178936245156749</v>
      </c>
      <c r="V26" s="108">
        <v>0.28178936245156749</v>
      </c>
      <c r="W26" s="108">
        <v>0.70447340612891862</v>
      </c>
      <c r="X26" s="108">
        <v>0.28178936245156749</v>
      </c>
      <c r="Y26" s="108">
        <v>1.7611835153222966</v>
      </c>
      <c r="Z26" s="101" t="s">
        <v>22</v>
      </c>
      <c r="AA26" s="100">
        <f>(INDEX([0]!InfiltrationRates,MATCH($Z26,[0]!InfiltrationBuildingType,FALSE),MATCH($D26,[0]!InfiltrationVintages,FALSE)))</f>
        <v>6.9999999999999999E-4</v>
      </c>
      <c r="AB26" s="102">
        <f>(INDEX([0]!equipment_efficiencies,MATCH("cop",[0]!pump_fan_type,FALSE),MATCH($D26,[0]!EfficiencyVintages,FALSE)))</f>
        <v>2.5</v>
      </c>
      <c r="AC26" s="140" t="s">
        <v>769</v>
      </c>
      <c r="AD26" s="102">
        <f>(INDEX([0]!equipment_efficiencies,MATCH("fan_motor_eff",[0]!pump_fan_type,FALSE),MATCH($D26,[0]!EfficiencyVintages,FALSE)))</f>
        <v>0.75</v>
      </c>
      <c r="AE26" s="102">
        <f>(INDEX([0]!equipment_efficiencies,MATCH("fan_total_eff",[0]!pump_fan_type,FALSE),MATCH($D26,[0]!EfficiencyVintages,FALSE)))</f>
        <v>0.75</v>
      </c>
      <c r="AF26" s="102">
        <f>(INDEX([0]!equipment_efficiencies,MATCH("pump_eff",[0]!pump_fan_type,FALSE),MATCH($D26,[0]!EfficiencyVintages,FALSE)))</f>
        <v>0.7</v>
      </c>
      <c r="AG26" s="139" t="s">
        <v>905</v>
      </c>
      <c r="AH26" s="139" t="s">
        <v>901</v>
      </c>
      <c r="AI26" s="108" t="b">
        <v>0</v>
      </c>
      <c r="AJ26" s="92" t="s">
        <v>710</v>
      </c>
      <c r="AK26" s="92" t="s">
        <v>711</v>
      </c>
      <c r="AL26" s="92">
        <v>19</v>
      </c>
      <c r="AM26" s="92">
        <v>64000</v>
      </c>
      <c r="AN26" s="92">
        <v>0</v>
      </c>
      <c r="AO26" s="92">
        <v>-100</v>
      </c>
      <c r="AP26" s="92" t="b">
        <v>0</v>
      </c>
      <c r="AQ26" s="92">
        <v>1.1000000000000001</v>
      </c>
      <c r="AR26" s="92">
        <v>1.25</v>
      </c>
      <c r="AS26" s="125">
        <v>1</v>
      </c>
      <c r="AT26" s="125">
        <v>1</v>
      </c>
      <c r="AU26" s="118" t="s">
        <v>803</v>
      </c>
      <c r="AV26" s="92" t="s">
        <v>769</v>
      </c>
      <c r="AW26" s="92" t="s">
        <v>769</v>
      </c>
      <c r="AX26" s="92" t="s">
        <v>769</v>
      </c>
      <c r="AY26" s="118">
        <v>82</v>
      </c>
      <c r="AZ26" s="92">
        <v>0.8</v>
      </c>
      <c r="BA26" s="100">
        <v>0.42</v>
      </c>
      <c r="BB26" s="92">
        <v>0.18</v>
      </c>
      <c r="BC26" s="100">
        <v>0</v>
      </c>
      <c r="BD26" s="92">
        <v>0.3</v>
      </c>
      <c r="BE26" s="92">
        <v>0</v>
      </c>
      <c r="BF26" s="92">
        <v>0</v>
      </c>
      <c r="BG26" s="173">
        <v>0</v>
      </c>
    </row>
    <row r="27" spans="1:61" s="94" customFormat="1" ht="30.75" customHeight="1">
      <c r="A27" s="92">
        <v>25</v>
      </c>
      <c r="B27" s="123" t="s">
        <v>54</v>
      </c>
      <c r="C27" s="104" t="s">
        <v>547</v>
      </c>
      <c r="D27" s="100" t="s">
        <v>14</v>
      </c>
      <c r="E27" s="133" t="s">
        <v>869</v>
      </c>
      <c r="F27" s="114" t="s">
        <v>824</v>
      </c>
      <c r="G27" s="100" t="s">
        <v>829</v>
      </c>
      <c r="H27" s="103" t="str">
        <f>(INDEX([0]!BuildingData,MATCH($C27,[0]!CLBuildingTypes,FALSE),MATCH("building_source",[0]!BuildingInformation,FALSE)))</f>
        <v>Trenton Training B34</v>
      </c>
      <c r="I27">
        <v>3699.892902</v>
      </c>
      <c r="J27">
        <v>3699.892902</v>
      </c>
      <c r="K27" s="103" t="s">
        <v>800</v>
      </c>
      <c r="L27" s="103" t="s">
        <v>826</v>
      </c>
      <c r="M27" s="103" t="s">
        <v>811</v>
      </c>
      <c r="N27" s="103" t="s">
        <v>798</v>
      </c>
      <c r="O27" s="107">
        <v>3.5223670306445931</v>
      </c>
      <c r="P27" s="107">
        <v>3.170130327580134</v>
      </c>
      <c r="Q27" s="107">
        <v>3.170130327580134</v>
      </c>
      <c r="R27" s="107">
        <v>1.7611835153222966</v>
      </c>
      <c r="S27" s="107">
        <v>1.7611835153222966</v>
      </c>
      <c r="T27" s="107">
        <v>1.7611835153222966</v>
      </c>
      <c r="U27" s="107">
        <v>0.3170130327580134</v>
      </c>
      <c r="V27" s="107">
        <v>0.3170130327580134</v>
      </c>
      <c r="W27" s="107">
        <v>0.70447340612891862</v>
      </c>
      <c r="X27" s="107">
        <v>0.3170130327580134</v>
      </c>
      <c r="Y27" s="107">
        <v>1.7611835153222966</v>
      </c>
      <c r="Z27" s="101" t="s">
        <v>22</v>
      </c>
      <c r="AA27" s="100">
        <f>(INDEX([0]!InfiltrationRates,MATCH($Z27,[0]!InfiltrationBuildingType,FALSE),MATCH($D27,[0]!InfiltrationVintages,FALSE)))</f>
        <v>3.5E-4</v>
      </c>
      <c r="AB27" s="102">
        <f>(INDEX([0]!equipment_efficiencies,MATCH("cop",[0]!pump_fan_type,FALSE),MATCH($D27,[0]!EfficiencyVintages,FALSE)))</f>
        <v>3</v>
      </c>
      <c r="AC27" s="140" t="s">
        <v>769</v>
      </c>
      <c r="AD27" s="102">
        <f>(INDEX([0]!equipment_efficiencies,MATCH("fan_motor_eff",[0]!pump_fan_type,FALSE),MATCH($D27,[0]!EfficiencyVintages,FALSE)))</f>
        <v>0.879</v>
      </c>
      <c r="AE27" s="102">
        <f>(INDEX([0]!equipment_efficiencies,MATCH("fan_total_eff",[0]!pump_fan_type,FALSE),MATCH($D27,[0]!EfficiencyVintages,FALSE)))</f>
        <v>0.75</v>
      </c>
      <c r="AF27" s="102">
        <f>(INDEX([0]!equipment_efficiencies,MATCH("pump_eff",[0]!pump_fan_type,FALSE),MATCH($D27,[0]!EfficiencyVintages,FALSE)))</f>
        <v>0.7</v>
      </c>
      <c r="AG27" s="139" t="s">
        <v>900</v>
      </c>
      <c r="AH27" s="139" t="s">
        <v>901</v>
      </c>
      <c r="AI27" s="108" t="b">
        <v>0</v>
      </c>
      <c r="AJ27" s="92" t="s">
        <v>710</v>
      </c>
      <c r="AK27" s="92" t="s">
        <v>711</v>
      </c>
      <c r="AL27" s="92">
        <v>19</v>
      </c>
      <c r="AM27" s="92">
        <v>64000</v>
      </c>
      <c r="AN27" s="92">
        <v>0</v>
      </c>
      <c r="AO27" s="92">
        <v>-100</v>
      </c>
      <c r="AP27" s="92" t="b">
        <v>0</v>
      </c>
      <c r="AQ27" s="92">
        <v>1.1000000000000001</v>
      </c>
      <c r="AR27" s="92">
        <v>1.25</v>
      </c>
      <c r="AS27" s="125">
        <v>1</v>
      </c>
      <c r="AT27" s="125">
        <v>1</v>
      </c>
      <c r="AU27" s="118" t="s">
        <v>803</v>
      </c>
      <c r="AV27" s="92" t="s">
        <v>769</v>
      </c>
      <c r="AW27" s="92" t="s">
        <v>769</v>
      </c>
      <c r="AX27" s="92" t="s">
        <v>769</v>
      </c>
      <c r="AY27" s="118">
        <v>82</v>
      </c>
      <c r="AZ27" s="92">
        <v>0.8</v>
      </c>
      <c r="BA27" s="94">
        <v>0.37</v>
      </c>
      <c r="BB27" s="92">
        <v>0.18</v>
      </c>
      <c r="BC27" s="94">
        <v>0.44</v>
      </c>
      <c r="BD27" s="92">
        <v>0.3</v>
      </c>
      <c r="BE27" s="92">
        <v>0</v>
      </c>
      <c r="BF27" s="92">
        <v>0</v>
      </c>
      <c r="BG27" s="173">
        <v>0</v>
      </c>
    </row>
    <row r="28" spans="1:61" s="100" customFormat="1" ht="30.75" customHeight="1">
      <c r="A28" s="92">
        <v>26</v>
      </c>
      <c r="B28" s="123" t="s">
        <v>54</v>
      </c>
      <c r="C28" s="104" t="s">
        <v>547</v>
      </c>
      <c r="D28" s="100" t="s">
        <v>546</v>
      </c>
      <c r="E28" s="133" t="s">
        <v>869</v>
      </c>
      <c r="F28" s="114" t="s">
        <v>824</v>
      </c>
      <c r="G28" s="100" t="s">
        <v>829</v>
      </c>
      <c r="H28" s="103" t="str">
        <f>(INDEX([0]!BuildingData,MATCH($C28,[0]!CLBuildingTypes,FALSE),MATCH("building_source",[0]!BuildingInformation,FALSE)))</f>
        <v>Trenton Training B34</v>
      </c>
      <c r="I28">
        <v>3699.892902</v>
      </c>
      <c r="J28">
        <v>3699.892902</v>
      </c>
      <c r="K28" s="103" t="s">
        <v>800</v>
      </c>
      <c r="L28" s="103" t="s">
        <v>826</v>
      </c>
      <c r="M28" s="103" t="s">
        <v>811</v>
      </c>
      <c r="N28" s="103" t="s">
        <v>798</v>
      </c>
      <c r="O28" s="107">
        <v>5.2835505459668894</v>
      </c>
      <c r="P28" s="107">
        <v>4.5790771398379713</v>
      </c>
      <c r="Q28" s="107">
        <v>4.5790771398379713</v>
      </c>
      <c r="R28" s="107">
        <v>1.7611835153222966</v>
      </c>
      <c r="S28" s="107">
        <v>1.7611835153222966</v>
      </c>
      <c r="T28" s="107">
        <v>1.7611835153222966</v>
      </c>
      <c r="U28" s="107">
        <v>0.3170130327580134</v>
      </c>
      <c r="V28" s="107">
        <v>0.3170130327580134</v>
      </c>
      <c r="W28" s="107">
        <v>0.70447340612891862</v>
      </c>
      <c r="X28" s="107">
        <v>0.3170130327580134</v>
      </c>
      <c r="Y28" s="107">
        <v>1.7611835153222966</v>
      </c>
      <c r="Z28" s="101" t="s">
        <v>22</v>
      </c>
      <c r="AA28" s="100">
        <f>(INDEX([0]!InfiltrationRates,MATCH($Z28,[0]!InfiltrationBuildingType,FALSE),MATCH($D28,[0]!InfiltrationVintages,FALSE)))</f>
        <v>2.0000000000000001E-4</v>
      </c>
      <c r="AB28" s="102">
        <f>(INDEX([0]!equipment_efficiencies,MATCH("cop",[0]!pump_fan_type,FALSE),MATCH($D28,[0]!EfficiencyVintages,FALSE)))</f>
        <v>3.5</v>
      </c>
      <c r="AC28" s="140" t="s">
        <v>769</v>
      </c>
      <c r="AD28" s="102">
        <f>(INDEX([0]!equipment_efficiencies,MATCH("fan_motor_eff",[0]!pump_fan_type,FALSE),MATCH($D28,[0]!EfficiencyVintages,FALSE)))</f>
        <v>0.879</v>
      </c>
      <c r="AE28" s="102">
        <f>(INDEX([0]!equipment_efficiencies,MATCH("fan_total_eff",[0]!pump_fan_type,FALSE),MATCH($D28,[0]!EfficiencyVintages,FALSE)))</f>
        <v>0.8</v>
      </c>
      <c r="AF28" s="102">
        <f>(INDEX([0]!equipment_efficiencies,MATCH("pump_eff",[0]!pump_fan_type,FALSE),MATCH($D28,[0]!EfficiencyVintages,FALSE)))</f>
        <v>0.7</v>
      </c>
      <c r="AG28" s="139" t="s">
        <v>900</v>
      </c>
      <c r="AH28" s="139" t="s">
        <v>901</v>
      </c>
      <c r="AI28" s="108" t="b">
        <v>0</v>
      </c>
      <c r="AJ28" s="92" t="s">
        <v>710</v>
      </c>
      <c r="AK28" s="92" t="s">
        <v>711</v>
      </c>
      <c r="AL28" s="92">
        <v>19</v>
      </c>
      <c r="AM28" s="92">
        <v>64000</v>
      </c>
      <c r="AN28" s="92">
        <v>0</v>
      </c>
      <c r="AO28" s="92">
        <v>-100</v>
      </c>
      <c r="AP28" s="92" t="b">
        <v>0</v>
      </c>
      <c r="AQ28" s="92">
        <v>1.1000000000000001</v>
      </c>
      <c r="AR28" s="92">
        <v>1.25</v>
      </c>
      <c r="AS28" s="125">
        <v>1</v>
      </c>
      <c r="AT28" s="125">
        <v>1</v>
      </c>
      <c r="AU28" s="118" t="s">
        <v>803</v>
      </c>
      <c r="AV28" s="92" t="s">
        <v>769</v>
      </c>
      <c r="AW28" s="92" t="s">
        <v>769</v>
      </c>
      <c r="AX28" s="92" t="s">
        <v>769</v>
      </c>
      <c r="AY28" s="118">
        <v>82</v>
      </c>
      <c r="AZ28" s="92">
        <v>0.8</v>
      </c>
      <c r="BA28" s="94">
        <v>0.37</v>
      </c>
      <c r="BB28" s="92">
        <v>0.18</v>
      </c>
      <c r="BC28" s="94">
        <v>0.44</v>
      </c>
      <c r="BD28" s="92">
        <v>0.3</v>
      </c>
      <c r="BE28" s="92">
        <v>0</v>
      </c>
      <c r="BF28" s="92">
        <v>0</v>
      </c>
      <c r="BG28" s="173">
        <v>0</v>
      </c>
    </row>
    <row r="29" spans="1:61" s="100" customFormat="1" ht="30.75" customHeight="1">
      <c r="A29" s="92">
        <v>27</v>
      </c>
      <c r="B29" s="124" t="s">
        <v>70</v>
      </c>
      <c r="C29" s="104" t="s">
        <v>1</v>
      </c>
      <c r="D29" s="100" t="s">
        <v>881</v>
      </c>
      <c r="E29" s="133" t="s">
        <v>869</v>
      </c>
      <c r="F29" s="114" t="s">
        <v>825</v>
      </c>
      <c r="G29" s="100" t="s">
        <v>829</v>
      </c>
      <c r="H29" s="103" t="str">
        <f>(INDEX([0]!BuildingData,MATCH($C29,[0]!CLBuildingTypes,FALSE),MATCH("building_source",[0]!BuildingInformation,FALSE)))</f>
        <v>B624</v>
      </c>
      <c r="I29">
        <v>3744.5971479999998</v>
      </c>
      <c r="J29">
        <v>2270</v>
      </c>
      <c r="K29" s="103" t="s">
        <v>800</v>
      </c>
      <c r="L29" s="103" t="s">
        <v>826</v>
      </c>
      <c r="M29" s="103" t="s">
        <v>811</v>
      </c>
      <c r="N29" s="103" t="s">
        <v>798</v>
      </c>
      <c r="O29" s="108">
        <v>1.7611835153222966</v>
      </c>
      <c r="P29" s="108">
        <v>2.1134202183867559</v>
      </c>
      <c r="Q29" s="108">
        <v>2.1134202183867559</v>
      </c>
      <c r="R29" s="108">
        <v>1.7611835153222966</v>
      </c>
      <c r="S29" s="108">
        <v>1.7611835153222966</v>
      </c>
      <c r="T29" s="108">
        <v>1.7611835153222966</v>
      </c>
      <c r="U29" s="108">
        <v>0.28178936245156749</v>
      </c>
      <c r="V29" s="108">
        <v>0.28178936245156749</v>
      </c>
      <c r="W29" s="108">
        <v>0.70447340612891862</v>
      </c>
      <c r="X29" s="108">
        <v>0.28178936245156749</v>
      </c>
      <c r="Y29" s="108">
        <v>1.7611835153222966</v>
      </c>
      <c r="Z29" s="101" t="s">
        <v>3</v>
      </c>
      <c r="AA29" s="100">
        <f>(INDEX([0]!InfiltrationRates,MATCH($Z29,[0]!InfiltrationBuildingType,FALSE),MATCH($D29,[0]!InfiltrationVintages,FALSE)))</f>
        <v>8.0000000000000004E-4</v>
      </c>
      <c r="AB29" s="102">
        <f>(INDEX([0]!equipment_efficiencies,MATCH("cop",[0]!pump_fan_type,FALSE),MATCH($D29,[0]!EfficiencyVintages,FALSE)))</f>
        <v>2.5</v>
      </c>
      <c r="AC29" s="140" t="s">
        <v>769</v>
      </c>
      <c r="AD29" s="102">
        <f>(INDEX([0]!equipment_efficiencies,MATCH("fan_motor_eff",[0]!pump_fan_type,FALSE),MATCH($D29,[0]!EfficiencyVintages,FALSE)))</f>
        <v>0.75</v>
      </c>
      <c r="AE29" s="102">
        <f>(INDEX([0]!equipment_efficiencies,MATCH("fan_total_eff",[0]!pump_fan_type,FALSE),MATCH($D29,[0]!EfficiencyVintages,FALSE)))</f>
        <v>0.75</v>
      </c>
      <c r="AF29" s="102">
        <f>(INDEX([0]!equipment_efficiencies,MATCH("pump_eff",[0]!pump_fan_type,FALSE),MATCH($D29,[0]!EfficiencyVintages,FALSE)))</f>
        <v>0.7</v>
      </c>
      <c r="AG29" s="139" t="s">
        <v>905</v>
      </c>
      <c r="AH29" s="139" t="s">
        <v>901</v>
      </c>
      <c r="AI29" s="108" t="b">
        <v>0</v>
      </c>
      <c r="AJ29" s="100" t="s">
        <v>710</v>
      </c>
      <c r="AK29" s="100" t="s">
        <v>711</v>
      </c>
      <c r="AL29" s="100">
        <v>19</v>
      </c>
      <c r="AM29" s="100">
        <v>64000</v>
      </c>
      <c r="AN29" s="100">
        <v>0</v>
      </c>
      <c r="AO29" s="100">
        <v>-100</v>
      </c>
      <c r="AP29" s="92" t="b">
        <v>0</v>
      </c>
      <c r="AQ29" s="100">
        <v>1.1000000000000001</v>
      </c>
      <c r="AR29" s="100">
        <v>1.25</v>
      </c>
      <c r="AS29" s="102">
        <v>1</v>
      </c>
      <c r="AT29" s="102">
        <v>1</v>
      </c>
      <c r="AU29" s="118" t="s">
        <v>803</v>
      </c>
      <c r="AV29" s="100" t="s">
        <v>769</v>
      </c>
      <c r="AW29" s="92" t="s">
        <v>769</v>
      </c>
      <c r="AX29" s="92" t="s">
        <v>769</v>
      </c>
      <c r="AY29" s="119">
        <v>82</v>
      </c>
      <c r="AZ29" s="92">
        <v>0.8</v>
      </c>
      <c r="BA29" s="92">
        <v>0.72</v>
      </c>
      <c r="BB29" s="92">
        <v>0.18</v>
      </c>
      <c r="BC29" s="100">
        <v>0</v>
      </c>
      <c r="BD29" s="92">
        <v>0.4</v>
      </c>
      <c r="BE29" s="92">
        <v>0.3</v>
      </c>
      <c r="BF29" s="92">
        <v>0</v>
      </c>
      <c r="BG29" s="173">
        <v>0</v>
      </c>
    </row>
    <row r="30" spans="1:61" ht="29.25" customHeight="1">
      <c r="A30" s="92">
        <v>28</v>
      </c>
      <c r="B30" s="124" t="s">
        <v>70</v>
      </c>
      <c r="C30" s="104" t="s">
        <v>1</v>
      </c>
      <c r="D30" s="161" t="s">
        <v>14</v>
      </c>
      <c r="E30" s="133" t="s">
        <v>869</v>
      </c>
      <c r="F30" s="114" t="s">
        <v>825</v>
      </c>
      <c r="G30" s="100" t="s">
        <v>829</v>
      </c>
      <c r="H30" s="103" t="str">
        <f>(INDEX([0]!BuildingData,MATCH($C30,[0]!CLBuildingTypes,FALSE),MATCH("building_source",[0]!BuildingInformation,FALSE)))</f>
        <v>B624</v>
      </c>
      <c r="I30">
        <v>3744.5971479999998</v>
      </c>
      <c r="J30">
        <v>2270</v>
      </c>
      <c r="K30" s="103" t="s">
        <v>800</v>
      </c>
      <c r="L30" s="103" t="s">
        <v>826</v>
      </c>
      <c r="M30" s="103" t="s">
        <v>811</v>
      </c>
      <c r="N30" s="103" t="s">
        <v>798</v>
      </c>
      <c r="O30" s="107">
        <v>2.6417752729834447</v>
      </c>
      <c r="P30" s="107">
        <v>3.170130327580134</v>
      </c>
      <c r="Q30" s="107">
        <v>3.170130327580134</v>
      </c>
      <c r="R30" s="107">
        <v>1.7611835153222966</v>
      </c>
      <c r="S30" s="107">
        <v>1.7611835153222966</v>
      </c>
      <c r="T30" s="107">
        <v>1.7611835153222966</v>
      </c>
      <c r="U30" s="107">
        <v>0.3170130327580134</v>
      </c>
      <c r="V30" s="107">
        <v>0.3170130327580134</v>
      </c>
      <c r="W30" s="107">
        <v>0.70447340612891862</v>
      </c>
      <c r="X30" s="107">
        <v>0.3170130327580134</v>
      </c>
      <c r="Y30" s="107">
        <v>1.7611835153222966</v>
      </c>
      <c r="Z30" s="101" t="s">
        <v>3</v>
      </c>
      <c r="AA30" s="100">
        <f>(INDEX([0]!InfiltrationRates,MATCH($Z30,[0]!InfiltrationBuildingType,FALSE),MATCH($D30,[0]!InfiltrationVintages,FALSE)))</f>
        <v>4.4999999999999999E-4</v>
      </c>
      <c r="AB30" s="102">
        <f>(INDEX([0]!equipment_efficiencies,MATCH("cop",[0]!pump_fan_type,FALSE),MATCH($D30,[0]!EfficiencyVintages,FALSE)))</f>
        <v>3</v>
      </c>
      <c r="AC30" s="140" t="s">
        <v>769</v>
      </c>
      <c r="AD30" s="102">
        <f>(INDEX([0]!equipment_efficiencies,MATCH("fan_motor_eff",[0]!pump_fan_type,FALSE),MATCH($D30,[0]!EfficiencyVintages,FALSE)))</f>
        <v>0.879</v>
      </c>
      <c r="AE30" s="102">
        <f>(INDEX([0]!equipment_efficiencies,MATCH("fan_total_eff",[0]!pump_fan_type,FALSE),MATCH($D30,[0]!EfficiencyVintages,FALSE)))</f>
        <v>0.75</v>
      </c>
      <c r="AF30" s="102">
        <f>(INDEX([0]!equipment_efficiencies,MATCH("pump_eff",[0]!pump_fan_type,FALSE),MATCH($D30,[0]!EfficiencyVintages,FALSE)))</f>
        <v>0.7</v>
      </c>
      <c r="AG30" s="139" t="s">
        <v>905</v>
      </c>
      <c r="AH30" s="139" t="s">
        <v>901</v>
      </c>
      <c r="AI30" s="108" t="b">
        <v>0</v>
      </c>
      <c r="AJ30" s="100" t="s">
        <v>710</v>
      </c>
      <c r="AK30" s="100" t="s">
        <v>711</v>
      </c>
      <c r="AL30" s="100">
        <v>19</v>
      </c>
      <c r="AM30" s="100">
        <v>64000</v>
      </c>
      <c r="AN30" s="100">
        <v>0</v>
      </c>
      <c r="AO30" s="100">
        <v>-100</v>
      </c>
      <c r="AP30" s="92" t="b">
        <v>0</v>
      </c>
      <c r="AQ30" s="100">
        <v>1.1000000000000001</v>
      </c>
      <c r="AR30" s="100">
        <v>1.25</v>
      </c>
      <c r="AS30" s="102">
        <v>1</v>
      </c>
      <c r="AT30" s="102">
        <v>1</v>
      </c>
      <c r="AU30" s="118" t="s">
        <v>803</v>
      </c>
      <c r="AV30" s="100" t="s">
        <v>769</v>
      </c>
      <c r="AW30" s="92" t="s">
        <v>769</v>
      </c>
      <c r="AX30" s="92" t="s">
        <v>769</v>
      </c>
      <c r="AY30" s="119">
        <v>82</v>
      </c>
      <c r="AZ30" s="92">
        <v>0.8</v>
      </c>
      <c r="BA30" s="100">
        <v>0.42</v>
      </c>
      <c r="BB30" s="92">
        <v>0.18</v>
      </c>
      <c r="BC30" s="100">
        <v>0</v>
      </c>
      <c r="BD30" s="92">
        <v>0.3</v>
      </c>
      <c r="BE30" s="92">
        <v>0</v>
      </c>
      <c r="BF30" s="92">
        <v>0</v>
      </c>
      <c r="BG30" s="173">
        <v>0</v>
      </c>
    </row>
    <row r="31" spans="1:61">
      <c r="A31" s="92">
        <v>29</v>
      </c>
      <c r="B31" s="123" t="s">
        <v>51</v>
      </c>
      <c r="C31" s="104" t="s">
        <v>761</v>
      </c>
      <c r="D31" s="100" t="s">
        <v>546</v>
      </c>
      <c r="E31" s="133" t="s">
        <v>869</v>
      </c>
      <c r="F31" s="114" t="s">
        <v>817</v>
      </c>
      <c r="G31" s="100" t="s">
        <v>829</v>
      </c>
      <c r="H31" s="103" t="str">
        <f>(INDEX([0]!BuildingData,MATCH($C31,[0]!CLBuildingTypes,FALSE),MATCH("building_source",[0]!BuildingInformation,FALSE)))</f>
        <v>Hangar 4</v>
      </c>
      <c r="I31">
        <v>6276.5798480000003</v>
      </c>
      <c r="J31">
        <v>6423</v>
      </c>
      <c r="K31" s="103" t="s">
        <v>800</v>
      </c>
      <c r="L31" s="103" t="s">
        <v>826</v>
      </c>
      <c r="M31" s="103" t="s">
        <v>811</v>
      </c>
      <c r="N31" s="103" t="s">
        <v>798</v>
      </c>
      <c r="O31" s="107">
        <v>5.2835505459668894</v>
      </c>
      <c r="P31" s="107">
        <v>4.5790771398379713</v>
      </c>
      <c r="Q31" s="107">
        <v>4.5790771398379713</v>
      </c>
      <c r="R31" s="107">
        <v>1.7611835153222966</v>
      </c>
      <c r="S31" s="107">
        <v>1.7611835153222966</v>
      </c>
      <c r="T31" s="107">
        <v>1.7611835153222966</v>
      </c>
      <c r="U31" s="107">
        <v>0.3170130327580134</v>
      </c>
      <c r="V31" s="107">
        <v>0.3170130327580134</v>
      </c>
      <c r="W31" s="107">
        <v>0.70447340612891862</v>
      </c>
      <c r="X31" s="107">
        <v>0.3170130327580134</v>
      </c>
      <c r="Y31" s="107">
        <v>1.7611835153222966</v>
      </c>
      <c r="Z31" s="101" t="s">
        <v>3</v>
      </c>
      <c r="AA31" s="100">
        <f>(INDEX([0]!InfiltrationRates,MATCH($Z31,[0]!InfiltrationBuildingType,FALSE),MATCH($D31,[0]!InfiltrationVintages,FALSE)))</f>
        <v>2.9999999999999997E-4</v>
      </c>
      <c r="AB31" s="102">
        <f>(INDEX([0]!equipment_efficiencies,MATCH("cop",[0]!pump_fan_type,FALSE),MATCH($D31,[0]!EfficiencyVintages,FALSE)))</f>
        <v>3.5</v>
      </c>
      <c r="AC31" s="140" t="s">
        <v>769</v>
      </c>
      <c r="AD31" s="102">
        <f>(INDEX([0]!equipment_efficiencies,MATCH("fan_motor_eff",[0]!pump_fan_type,FALSE),MATCH($D31,[0]!EfficiencyVintages,FALSE)))</f>
        <v>0.879</v>
      </c>
      <c r="AE31" s="102">
        <f>(INDEX([0]!equipment_efficiencies,MATCH("fan_total_eff",[0]!pump_fan_type,FALSE),MATCH($D31,[0]!EfficiencyVintages,FALSE)))</f>
        <v>0.8</v>
      </c>
      <c r="AF31" s="102">
        <f>(INDEX([0]!equipment_efficiencies,MATCH("pump_eff",[0]!pump_fan_type,FALSE),MATCH($D31,[0]!EfficiencyVintages,FALSE)))</f>
        <v>0.7</v>
      </c>
      <c r="AG31" s="139" t="s">
        <v>905</v>
      </c>
      <c r="AH31" s="139" t="s">
        <v>901</v>
      </c>
      <c r="AI31" s="108" t="b">
        <v>0</v>
      </c>
      <c r="AJ31" s="92" t="s">
        <v>710</v>
      </c>
      <c r="AK31" s="92" t="s">
        <v>711</v>
      </c>
      <c r="AL31" s="92">
        <v>19</v>
      </c>
      <c r="AM31" s="92">
        <v>64000</v>
      </c>
      <c r="AN31" s="92">
        <v>0</v>
      </c>
      <c r="AO31" s="92">
        <v>-100</v>
      </c>
      <c r="AP31" s="92" t="b">
        <v>0</v>
      </c>
      <c r="AQ31" s="92">
        <v>1.1000000000000001</v>
      </c>
      <c r="AR31" s="92">
        <v>1.25</v>
      </c>
      <c r="AS31" s="125">
        <v>1</v>
      </c>
      <c r="AT31" s="125">
        <v>1</v>
      </c>
      <c r="AU31" s="118" t="s">
        <v>803</v>
      </c>
      <c r="AV31" s="92" t="s">
        <v>769</v>
      </c>
      <c r="AW31" s="92" t="s">
        <v>769</v>
      </c>
      <c r="AX31" s="92" t="s">
        <v>769</v>
      </c>
      <c r="AY31" s="118">
        <v>82</v>
      </c>
      <c r="AZ31" s="92">
        <v>0.8</v>
      </c>
      <c r="BA31" s="94">
        <v>0.42</v>
      </c>
      <c r="BB31" s="92">
        <v>0.18</v>
      </c>
      <c r="BC31" s="94">
        <v>0</v>
      </c>
      <c r="BD31" s="92">
        <v>0.3</v>
      </c>
      <c r="BE31" s="92">
        <v>0</v>
      </c>
      <c r="BF31" s="92">
        <v>0</v>
      </c>
      <c r="BG31" s="173">
        <v>0</v>
      </c>
      <c r="BH31" s="94"/>
      <c r="BI31" s="94"/>
    </row>
    <row r="32" spans="1:61">
      <c r="A32" s="92">
        <v>30</v>
      </c>
      <c r="B32" s="123" t="s">
        <v>31</v>
      </c>
      <c r="C32" s="104" t="s">
        <v>0</v>
      </c>
      <c r="D32" s="100" t="s">
        <v>546</v>
      </c>
      <c r="E32" s="133" t="s">
        <v>869</v>
      </c>
      <c r="F32" s="114" t="s">
        <v>814</v>
      </c>
      <c r="G32" s="100" t="s">
        <v>829</v>
      </c>
      <c r="H32" s="103" t="str">
        <f>(INDEX([0]!BuildingData,MATCH($C32,[0]!CLBuildingTypes,FALSE),MATCH("building_source",[0]!BuildingInformation,FALSE)))</f>
        <v>B45</v>
      </c>
      <c r="I32">
        <v>5495.7245919999996</v>
      </c>
      <c r="J32">
        <v>3989</v>
      </c>
      <c r="K32" s="103" t="s">
        <v>800</v>
      </c>
      <c r="L32" s="103" t="s">
        <v>826</v>
      </c>
      <c r="M32" s="103" t="s">
        <v>811</v>
      </c>
      <c r="N32" s="103" t="s">
        <v>798</v>
      </c>
      <c r="O32" s="107">
        <v>5.2835505459668894</v>
      </c>
      <c r="P32" s="107">
        <v>4.5790771398379713</v>
      </c>
      <c r="Q32" s="107">
        <v>4.5790771398379713</v>
      </c>
      <c r="R32" s="107">
        <v>1.7611835153222966</v>
      </c>
      <c r="S32" s="107">
        <v>1.7611835153222966</v>
      </c>
      <c r="T32" s="107">
        <v>1.7611835153222966</v>
      </c>
      <c r="U32" s="107">
        <v>0.3170130327580134</v>
      </c>
      <c r="V32" s="107">
        <v>0.3170130327580134</v>
      </c>
      <c r="W32" s="107">
        <v>0.70447340612891862</v>
      </c>
      <c r="X32" s="107">
        <v>0.3170130327580134</v>
      </c>
      <c r="Y32" s="107">
        <v>1.7611835153222966</v>
      </c>
      <c r="Z32" s="101" t="s">
        <v>57</v>
      </c>
      <c r="AA32" s="100">
        <f>(INDEX([0]!InfiltrationRates,MATCH($Z32,[0]!InfiltrationBuildingType,FALSE),MATCH($D32,[0]!InfiltrationVintages,FALSE)))</f>
        <v>2.0000000000000001E-4</v>
      </c>
      <c r="AB32" s="102">
        <f>(INDEX([0]!equipment_efficiencies,MATCH("cop",[0]!pump_fan_type,FALSE),MATCH($D32,[0]!EfficiencyVintages,FALSE)))</f>
        <v>3.5</v>
      </c>
      <c r="AC32" s="140" t="s">
        <v>769</v>
      </c>
      <c r="AD32" s="102">
        <f>(INDEX([0]!equipment_efficiencies,MATCH("fan_motor_eff",[0]!pump_fan_type,FALSE),MATCH($D32,[0]!EfficiencyVintages,FALSE)))</f>
        <v>0.879</v>
      </c>
      <c r="AE32" s="102">
        <f>(INDEX([0]!equipment_efficiencies,MATCH("fan_total_eff",[0]!pump_fan_type,FALSE),MATCH($D32,[0]!EfficiencyVintages,FALSE)))</f>
        <v>0.8</v>
      </c>
      <c r="AF32" s="102">
        <f>(INDEX([0]!equipment_efficiencies,MATCH("pump_eff",[0]!pump_fan_type,FALSE),MATCH($D32,[0]!EfficiencyVintages,FALSE)))</f>
        <v>0.7</v>
      </c>
      <c r="AG32" s="139" t="s">
        <v>900</v>
      </c>
      <c r="AH32" s="139" t="s">
        <v>901</v>
      </c>
      <c r="AI32" s="108" t="b">
        <v>0</v>
      </c>
      <c r="AJ32" s="92" t="s">
        <v>710</v>
      </c>
      <c r="AK32" s="92" t="s">
        <v>711</v>
      </c>
      <c r="AL32" s="92">
        <v>19</v>
      </c>
      <c r="AM32" s="92">
        <v>64000</v>
      </c>
      <c r="AN32" s="92">
        <v>0</v>
      </c>
      <c r="AO32" s="92">
        <v>-100</v>
      </c>
      <c r="AP32" s="92" t="b">
        <v>0</v>
      </c>
      <c r="AQ32" s="92">
        <v>1.1000000000000001</v>
      </c>
      <c r="AR32" s="92">
        <v>1.25</v>
      </c>
      <c r="AS32" s="125">
        <v>1</v>
      </c>
      <c r="AT32" s="125">
        <v>1</v>
      </c>
      <c r="AU32" s="118" t="s">
        <v>803</v>
      </c>
      <c r="AV32" s="92" t="s">
        <v>769</v>
      </c>
      <c r="AW32" s="92" t="s">
        <v>769</v>
      </c>
      <c r="AX32" s="92" t="s">
        <v>769</v>
      </c>
      <c r="AY32" s="118">
        <v>82</v>
      </c>
      <c r="AZ32" s="92">
        <v>0.8</v>
      </c>
      <c r="BA32" s="94">
        <v>0.42</v>
      </c>
      <c r="BB32" s="92">
        <v>0.18</v>
      </c>
      <c r="BC32" s="94">
        <v>0</v>
      </c>
      <c r="BD32" s="92">
        <v>0.3</v>
      </c>
      <c r="BE32" s="92">
        <v>0</v>
      </c>
      <c r="BF32" s="92">
        <v>0</v>
      </c>
      <c r="BG32" s="173">
        <v>0</v>
      </c>
      <c r="BH32" s="94"/>
      <c r="BI32" s="94"/>
    </row>
    <row r="33" spans="1:61">
      <c r="A33" s="92">
        <v>31</v>
      </c>
      <c r="B33" s="123" t="s">
        <v>79</v>
      </c>
      <c r="C33" s="104" t="s">
        <v>78</v>
      </c>
      <c r="D33" s="100" t="s">
        <v>546</v>
      </c>
      <c r="E33" s="133" t="s">
        <v>869</v>
      </c>
      <c r="F33" s="114" t="s">
        <v>815</v>
      </c>
      <c r="G33" s="100" t="s">
        <v>829</v>
      </c>
      <c r="H33" s="103" t="str">
        <f>(INDEX([0]!BuildingData,MATCH($C33,[0]!CLBuildingTypes,FALSE),MATCH("building_source",[0]!BuildingInformation,FALSE)))</f>
        <v>Trenton FH B19</v>
      </c>
      <c r="I33">
        <v>911.73353310000005</v>
      </c>
      <c r="J33">
        <v>911.73353310000005</v>
      </c>
      <c r="K33" s="103" t="s">
        <v>800</v>
      </c>
      <c r="L33" s="103" t="s">
        <v>826</v>
      </c>
      <c r="M33" s="103" t="s">
        <v>811</v>
      </c>
      <c r="N33" s="103" t="s">
        <v>798</v>
      </c>
      <c r="O33" s="107">
        <v>5.2835505459668894</v>
      </c>
      <c r="P33" s="107">
        <v>4.5790771398379713</v>
      </c>
      <c r="Q33" s="107">
        <v>4.5790771398379713</v>
      </c>
      <c r="R33" s="107">
        <v>1.7611835153222966</v>
      </c>
      <c r="S33" s="107">
        <v>1.7611835153222966</v>
      </c>
      <c r="T33" s="107">
        <v>1.7611835153222966</v>
      </c>
      <c r="U33" s="107">
        <v>0.3170130327580134</v>
      </c>
      <c r="V33" s="107">
        <v>0.3170130327580134</v>
      </c>
      <c r="W33" s="107">
        <v>0.70447340612891862</v>
      </c>
      <c r="X33" s="107">
        <v>0.3170130327580134</v>
      </c>
      <c r="Y33" s="107">
        <v>1.7611835153222966</v>
      </c>
      <c r="Z33" s="101" t="s">
        <v>78</v>
      </c>
      <c r="AA33" s="100">
        <f>(INDEX([0]!InfiltrationRates,MATCH($Z33,[0]!InfiltrationBuildingType,FALSE),MATCH($D33,[0]!InfiltrationVintages,FALSE)))</f>
        <v>2.9999999999999997E-4</v>
      </c>
      <c r="AB33" s="102">
        <f>(INDEX([0]!equipment_efficiencies,MATCH("cop",[0]!pump_fan_type,FALSE),MATCH($D33,[0]!EfficiencyVintages,FALSE)))</f>
        <v>3.5</v>
      </c>
      <c r="AC33" s="140" t="s">
        <v>769</v>
      </c>
      <c r="AD33" s="102">
        <f>(INDEX([0]!equipment_efficiencies,MATCH("fan_motor_eff",[0]!pump_fan_type,FALSE),MATCH($D33,[0]!EfficiencyVintages,FALSE)))</f>
        <v>0.879</v>
      </c>
      <c r="AE33" s="102">
        <f>(INDEX([0]!equipment_efficiencies,MATCH("fan_total_eff",[0]!pump_fan_type,FALSE),MATCH($D33,[0]!EfficiencyVintages,FALSE)))</f>
        <v>0.8</v>
      </c>
      <c r="AF33" s="102">
        <f>(INDEX([0]!equipment_efficiencies,MATCH("pump_eff",[0]!pump_fan_type,FALSE),MATCH($D33,[0]!EfficiencyVintages,FALSE)))</f>
        <v>0.7</v>
      </c>
      <c r="AG33" s="139" t="s">
        <v>905</v>
      </c>
      <c r="AH33" s="139" t="s">
        <v>901</v>
      </c>
      <c r="AI33" s="108" t="b">
        <v>0</v>
      </c>
      <c r="AJ33" s="92" t="s">
        <v>710</v>
      </c>
      <c r="AK33" s="92" t="s">
        <v>711</v>
      </c>
      <c r="AL33" s="92">
        <v>19</v>
      </c>
      <c r="AM33" s="92">
        <v>64000</v>
      </c>
      <c r="AN33" s="92">
        <v>0</v>
      </c>
      <c r="AO33" s="92">
        <v>-100</v>
      </c>
      <c r="AP33" s="92" t="b">
        <v>0</v>
      </c>
      <c r="AQ33" s="92">
        <v>1.1000000000000001</v>
      </c>
      <c r="AR33" s="92">
        <v>1.25</v>
      </c>
      <c r="AS33" s="125">
        <v>1</v>
      </c>
      <c r="AT33" s="125">
        <v>1</v>
      </c>
      <c r="AU33" s="118" t="s">
        <v>803</v>
      </c>
      <c r="AV33" s="92" t="s">
        <v>769</v>
      </c>
      <c r="AW33" s="92" t="s">
        <v>769</v>
      </c>
      <c r="AX33" s="92" t="s">
        <v>769</v>
      </c>
      <c r="AY33" s="118">
        <v>82</v>
      </c>
      <c r="AZ33" s="92">
        <v>0.8</v>
      </c>
      <c r="BA33" s="94">
        <v>0.42</v>
      </c>
      <c r="BB33" s="92">
        <v>0.18</v>
      </c>
      <c r="BC33" s="94">
        <v>0</v>
      </c>
      <c r="BD33" s="92">
        <v>0.3</v>
      </c>
      <c r="BE33" s="92">
        <v>0</v>
      </c>
      <c r="BF33" s="92">
        <v>0</v>
      </c>
      <c r="BG33" s="173">
        <v>0</v>
      </c>
      <c r="BH33" s="94"/>
      <c r="BI33" s="94"/>
    </row>
  </sheetData>
  <sortState ref="A2:BI29">
    <sortCondition ref="C2:C29"/>
    <sortCondition ref="D2:D29"/>
  </sortState>
  <dataValidations count="4">
    <dataValidation type="list" allowBlank="1" showInputMessage="1" showErrorMessage="1" sqref="Z3:Z1048576">
      <formula1>InfiltrationBuildingType</formula1>
    </dataValidation>
    <dataValidation type="list" allowBlank="1" showInputMessage="1" showErrorMessage="1" sqref="AU3:AU33 L3:M33">
      <formula1>schedule_names</formula1>
    </dataValidation>
    <dataValidation type="list" allowBlank="1" showInputMessage="1" showErrorMessage="1" promptTitle="Cold Lake Building Types" prompt="Available building types. Edit Indexes Sheet to add more. " sqref="C3:C1048576">
      <formula1>CLBuildingTypes</formula1>
    </dataValidation>
    <dataValidation type="list" allowBlank="1" showInputMessage="1" showErrorMessage="1" sqref="D3:D1048576 G34:G1048576">
      <formula1>CLVintages</formula1>
    </dataValidation>
  </dataValidations>
  <printOptions gridLines="1"/>
  <pageMargins left="0.70866141732283472" right="0.70866141732283472" top="0.74803149606299213" bottom="0.74803149606299213" header="0.31496062992125984" footer="0.31496062992125984"/>
  <pageSetup orientation="portrait" r:id="rId1"/>
  <legacyDrawing r:id="rId2"/>
  <extLst xmlns:x14="http://schemas.microsoft.com/office/spreadsheetml/2009/9/main">
    <ext uri="{CCE6A557-97BC-4b89-ADB6-D9C93CAAB3DF}">
      <x14:dataValidations xmlns:xm="http://schemas.microsoft.com/office/excel/2006/main" count="3">
        <x14:dataValidation type="list" allowBlank="1" showInputMessage="1" showErrorMessage="1">
          <x14:formula1>
            <xm:f>Indexes!$A$28:$A$39</xm:f>
          </x14:formula1>
          <xm:sqref>AX3:AX33</xm:sqref>
        </x14:dataValidation>
        <x14:dataValidation type="list" allowBlank="1" showInputMessage="1" showErrorMessage="1">
          <x14:formula1>
            <xm:f>Indexes!$A$42:$A$54</xm:f>
          </x14:formula1>
          <xm:sqref>AV3</xm:sqref>
        </x14:dataValidation>
        <x14:dataValidation type="list" allowBlank="1" showInputMessage="1" showErrorMessage="1">
          <x14:formula1>
            <xm:f>Indexes!$A$23:$A$25</xm:f>
          </x14:formula1>
          <xm:sqref>N3:N19 N21:N30</xm:sqref>
        </x14:dataValidation>
      </x14:dataValidations>
    </ext>
  </extLst>
</worksheet>
</file>

<file path=xl/worksheets/sheet15.xml><?xml version="1.0" encoding="utf-8"?>
<worksheet xmlns="http://schemas.openxmlformats.org/spreadsheetml/2006/main" xmlns:r="http://schemas.openxmlformats.org/officeDocument/2006/relationships">
  <sheetPr>
    <tabColor rgb="FF00B050"/>
  </sheetPr>
  <dimension ref="A1:H49"/>
  <sheetViews>
    <sheetView topLeftCell="C1" workbookViewId="0">
      <selection activeCell="H1" sqref="H1:H49"/>
    </sheetView>
  </sheetViews>
  <sheetFormatPr defaultRowHeight="14.4"/>
  <cols>
    <col min="1" max="1" width="23.44140625" customWidth="1"/>
    <col min="2" max="2" width="23.44140625" bestFit="1" customWidth="1"/>
    <col min="3" max="3" width="13.6640625" bestFit="1" customWidth="1"/>
    <col min="4" max="4" width="30.44140625" customWidth="1"/>
    <col min="5" max="5" width="23.88671875" customWidth="1"/>
    <col min="6" max="6" width="36.5546875" customWidth="1"/>
    <col min="7" max="7" width="36" customWidth="1"/>
    <col min="8" max="8" width="17.88671875" customWidth="1"/>
    <col min="9" max="9" width="14.33203125" customWidth="1"/>
  </cols>
  <sheetData>
    <row r="1" spans="1:8">
      <c r="A1" t="s">
        <v>920</v>
      </c>
      <c r="B1" t="s">
        <v>766</v>
      </c>
      <c r="C1" t="s">
        <v>748</v>
      </c>
      <c r="D1" t="s">
        <v>774</v>
      </c>
      <c r="E1" t="s">
        <v>878</v>
      </c>
      <c r="F1" t="s">
        <v>879</v>
      </c>
      <c r="G1" t="s">
        <v>880</v>
      </c>
      <c r="H1" t="s">
        <v>899</v>
      </c>
    </row>
    <row r="2" spans="1:8">
      <c r="A2" s="45" t="str">
        <f>IFERROR(INDEX(baseline!$A$3:$A$201,MATCH($B2&amp;$C2,baseline!$C$3:$C$201&amp;baseline!$D$3:$D$201,0)),"NA")</f>
        <v>NA</v>
      </c>
      <c r="B2" t="s">
        <v>0</v>
      </c>
      <c r="C2" t="s">
        <v>881</v>
      </c>
      <c r="D2" t="s">
        <v>877</v>
      </c>
      <c r="E2" t="b">
        <v>1</v>
      </c>
      <c r="F2">
        <v>20</v>
      </c>
      <c r="G2">
        <v>13</v>
      </c>
      <c r="H2" s="45">
        <v>10864</v>
      </c>
    </row>
    <row r="3" spans="1:8">
      <c r="A3" s="45">
        <f t="array" ref="A3">IFERROR(INDEX(baseline!$A$3:$A$201,MATCH($B3&amp;$C3,baseline!$C$3:$C$201&amp;baseline!$D$3:$D$201,0)),"NA")</f>
        <v>2</v>
      </c>
      <c r="B3" t="s">
        <v>78</v>
      </c>
      <c r="C3" t="s">
        <v>881</v>
      </c>
      <c r="D3" t="s">
        <v>877</v>
      </c>
      <c r="E3" t="b">
        <v>1</v>
      </c>
      <c r="F3">
        <v>20</v>
      </c>
      <c r="G3">
        <v>13</v>
      </c>
      <c r="H3" s="45">
        <v>3621</v>
      </c>
    </row>
    <row r="4" spans="1:8">
      <c r="A4" s="45">
        <f t="array" ref="A4">IFERROR(INDEX(baseline!$A$3:$A$201,MATCH($B4&amp;$C4,baseline!$C$3:$C$201&amp;baseline!$D$3:$D$201,0)),"NA")</f>
        <v>3</v>
      </c>
      <c r="B4" t="s">
        <v>545</v>
      </c>
      <c r="C4" t="s">
        <v>881</v>
      </c>
      <c r="D4" t="s">
        <v>877</v>
      </c>
      <c r="E4" t="b">
        <v>1</v>
      </c>
      <c r="F4">
        <v>20</v>
      </c>
      <c r="G4">
        <v>13</v>
      </c>
      <c r="H4" s="45">
        <v>14485</v>
      </c>
    </row>
    <row r="5" spans="1:8">
      <c r="A5" s="45">
        <f t="array" ref="A5">IFERROR(INDEX(baseline!$A$3:$A$201,MATCH($B5&amp;$C5,baseline!$C$3:$C$201&amp;baseline!$D$3:$D$201,0)),"NA")</f>
        <v>4</v>
      </c>
      <c r="B5" t="s">
        <v>545</v>
      </c>
      <c r="C5" t="s">
        <v>546</v>
      </c>
      <c r="D5" t="s">
        <v>877</v>
      </c>
      <c r="E5" t="b">
        <v>1</v>
      </c>
      <c r="F5">
        <v>20</v>
      </c>
      <c r="G5">
        <v>13</v>
      </c>
      <c r="H5" s="45">
        <v>14485</v>
      </c>
    </row>
    <row r="6" spans="1:8">
      <c r="A6" s="45">
        <f t="array" ref="A6">IFERROR(INDEX(baseline!$A$3:$A$201,MATCH($B6&amp;$C6,baseline!$C$3:$C$201&amp;baseline!$D$3:$D$201,0)),"NA")</f>
        <v>5</v>
      </c>
      <c r="B6" t="s">
        <v>761</v>
      </c>
      <c r="C6" t="s">
        <v>881</v>
      </c>
      <c r="D6" t="s">
        <v>877</v>
      </c>
      <c r="E6" t="b">
        <v>1</v>
      </c>
      <c r="F6">
        <v>20</v>
      </c>
      <c r="G6">
        <v>13</v>
      </c>
      <c r="H6" s="45">
        <v>7243</v>
      </c>
    </row>
    <row r="7" spans="1:8">
      <c r="A7" s="45">
        <f t="array" ref="A7">IFERROR(INDEX(baseline!$A$3:$A$201,MATCH($B7&amp;$C7,baseline!$C$3:$C$201&amp;baseline!$D$3:$D$201,0)),"NA")</f>
        <v>6</v>
      </c>
      <c r="B7" t="s">
        <v>761</v>
      </c>
      <c r="C7" t="s">
        <v>13</v>
      </c>
      <c r="D7" t="s">
        <v>877</v>
      </c>
      <c r="E7" t="b">
        <v>1</v>
      </c>
      <c r="F7">
        <v>20</v>
      </c>
      <c r="G7">
        <v>13</v>
      </c>
      <c r="H7" s="45">
        <v>7243</v>
      </c>
    </row>
    <row r="8" spans="1:8">
      <c r="A8" s="45">
        <f t="array" ref="A8">IFERROR(INDEX(baseline!$A$3:$A$201,MATCH($B8&amp;$C8,baseline!$C$3:$C$201&amp;baseline!$D$3:$D$201,0)),"NA")</f>
        <v>7</v>
      </c>
      <c r="B8" t="s">
        <v>761</v>
      </c>
      <c r="C8" t="s">
        <v>14</v>
      </c>
      <c r="D8" t="s">
        <v>877</v>
      </c>
      <c r="E8" t="b">
        <v>1</v>
      </c>
      <c r="F8">
        <v>20</v>
      </c>
      <c r="G8">
        <v>13</v>
      </c>
      <c r="H8" s="45">
        <v>7243</v>
      </c>
    </row>
    <row r="9" spans="1:8">
      <c r="A9" s="45">
        <f t="array" ref="A9">IFERROR(INDEX(baseline!$A$3:$A$201,MATCH($B9&amp;$C9,baseline!$C$3:$C$201&amp;baseline!$D$3:$D$201,0)),"NA")</f>
        <v>8</v>
      </c>
      <c r="B9" t="s">
        <v>697</v>
      </c>
      <c r="C9" t="s">
        <v>881</v>
      </c>
      <c r="D9" t="s">
        <v>877</v>
      </c>
      <c r="E9" t="b">
        <v>1</v>
      </c>
      <c r="F9">
        <v>20</v>
      </c>
      <c r="G9">
        <v>13</v>
      </c>
      <c r="H9" s="45">
        <v>3621</v>
      </c>
    </row>
    <row r="10" spans="1:8">
      <c r="A10" s="45">
        <f t="array" ref="A10">IFERROR(INDEX(baseline!$A$3:$A$201,MATCH($B10&amp;$C10,baseline!$C$3:$C$201&amp;baseline!$D$3:$D$201,0)),"NA")</f>
        <v>9</v>
      </c>
      <c r="B10" t="s">
        <v>697</v>
      </c>
      <c r="C10" t="s">
        <v>14</v>
      </c>
      <c r="D10" t="s">
        <v>877</v>
      </c>
      <c r="E10" t="b">
        <v>1</v>
      </c>
      <c r="F10">
        <v>20</v>
      </c>
      <c r="G10">
        <v>13</v>
      </c>
      <c r="H10" s="45">
        <v>3621</v>
      </c>
    </row>
    <row r="11" spans="1:8">
      <c r="A11" s="45">
        <f t="array" ref="A11">IFERROR(INDEX(baseline!$A$3:$A$201,MATCH($B11&amp;$C11,baseline!$C$3:$C$201&amp;baseline!$D$3:$D$201,0)),"NA")</f>
        <v>10</v>
      </c>
      <c r="B11" t="s">
        <v>713</v>
      </c>
      <c r="C11" t="s">
        <v>881</v>
      </c>
      <c r="D11" t="s">
        <v>877</v>
      </c>
      <c r="E11" t="b">
        <v>1</v>
      </c>
      <c r="F11">
        <v>20</v>
      </c>
      <c r="G11">
        <v>13</v>
      </c>
      <c r="H11" s="45">
        <v>3621</v>
      </c>
    </row>
    <row r="12" spans="1:8">
      <c r="A12" s="45">
        <f t="array" ref="A12">IFERROR(INDEX(baseline!$A$3:$A$201,MATCH($B12&amp;$C12,baseline!$C$3:$C$201&amp;baseline!$D$3:$D$201,0)),"NA")</f>
        <v>11</v>
      </c>
      <c r="B12" t="s">
        <v>713</v>
      </c>
      <c r="C12" t="s">
        <v>13</v>
      </c>
      <c r="D12" t="s">
        <v>877</v>
      </c>
      <c r="E12" t="b">
        <v>1</v>
      </c>
      <c r="F12">
        <v>20</v>
      </c>
      <c r="G12">
        <v>13</v>
      </c>
      <c r="H12" s="45">
        <v>3621</v>
      </c>
    </row>
    <row r="13" spans="1:8">
      <c r="A13" s="45">
        <f t="array" ref="A13">IFERROR(INDEX(baseline!$A$3:$A$201,MATCH($B13&amp;$C13,baseline!$C$3:$C$201&amp;baseline!$D$3:$D$201,0)),"NA")</f>
        <v>12</v>
      </c>
      <c r="B13" t="s">
        <v>713</v>
      </c>
      <c r="C13" t="s">
        <v>14</v>
      </c>
      <c r="D13" t="s">
        <v>877</v>
      </c>
      <c r="E13" t="b">
        <v>1</v>
      </c>
      <c r="F13">
        <v>20</v>
      </c>
      <c r="G13">
        <v>13</v>
      </c>
      <c r="H13" s="45">
        <v>3621</v>
      </c>
    </row>
    <row r="14" spans="1:8">
      <c r="A14" s="45">
        <f t="array" ref="A14">IFERROR(INDEX(baseline!$A$3:$A$201,MATCH($B14&amp;$C14,baseline!$C$3:$C$201&amp;baseline!$D$3:$D$201,0)),"NA")</f>
        <v>13</v>
      </c>
      <c r="B14" t="s">
        <v>762</v>
      </c>
      <c r="C14" t="s">
        <v>881</v>
      </c>
      <c r="D14" t="s">
        <v>877</v>
      </c>
      <c r="E14" t="b">
        <v>1</v>
      </c>
      <c r="F14">
        <v>20</v>
      </c>
      <c r="G14">
        <v>13</v>
      </c>
      <c r="H14" s="45">
        <v>18106</v>
      </c>
    </row>
    <row r="15" spans="1:8">
      <c r="A15" s="45">
        <f t="array" ref="A15">IFERROR(INDEX(baseline!$A$3:$A$201,MATCH($B15&amp;$C15,baseline!$C$3:$C$201&amp;baseline!$D$3:$D$201,0)),"NA")</f>
        <v>14</v>
      </c>
      <c r="B15" t="s">
        <v>762</v>
      </c>
      <c r="C15" t="s">
        <v>13</v>
      </c>
      <c r="D15" t="s">
        <v>877</v>
      </c>
      <c r="E15" t="b">
        <v>1</v>
      </c>
      <c r="F15">
        <v>20</v>
      </c>
      <c r="G15">
        <v>13</v>
      </c>
      <c r="H15" s="45">
        <v>18106</v>
      </c>
    </row>
    <row r="16" spans="1:8">
      <c r="A16" s="45">
        <f t="array" ref="A16">IFERROR(INDEX(baseline!$A$3:$A$201,MATCH($B16&amp;$C16,baseline!$C$3:$C$201&amp;baseline!$D$3:$D$201,0)),"NA")</f>
        <v>15</v>
      </c>
      <c r="B16" t="s">
        <v>762</v>
      </c>
      <c r="C16" t="s">
        <v>14</v>
      </c>
      <c r="D16" t="s">
        <v>877</v>
      </c>
      <c r="E16" t="b">
        <v>1</v>
      </c>
      <c r="F16">
        <v>20</v>
      </c>
      <c r="G16">
        <v>13</v>
      </c>
      <c r="H16" s="45">
        <v>18106</v>
      </c>
    </row>
    <row r="17" spans="1:8">
      <c r="A17" s="45">
        <f t="array" ref="A17">IFERROR(INDEX(baseline!$A$3:$A$201,MATCH($B17&amp;$C17,baseline!$C$3:$C$201&amp;baseline!$D$3:$D$201,0)),"NA")</f>
        <v>16</v>
      </c>
      <c r="B17" t="s">
        <v>763</v>
      </c>
      <c r="C17" t="s">
        <v>13</v>
      </c>
      <c r="D17" t="s">
        <v>877</v>
      </c>
      <c r="E17" t="b">
        <v>1</v>
      </c>
      <c r="F17">
        <v>20</v>
      </c>
      <c r="G17">
        <v>13</v>
      </c>
      <c r="H17" s="45">
        <v>14485</v>
      </c>
    </row>
    <row r="18" spans="1:8">
      <c r="A18" s="45">
        <f t="array" ref="A18">IFERROR(INDEX(baseline!$A$3:$A$201,MATCH($B18&amp;$C18,baseline!$C$3:$C$201&amp;baseline!$D$3:$D$201,0)),"NA")</f>
        <v>17</v>
      </c>
      <c r="B18" t="s">
        <v>763</v>
      </c>
      <c r="C18" t="s">
        <v>14</v>
      </c>
      <c r="D18" t="s">
        <v>877</v>
      </c>
      <c r="E18" t="b">
        <v>1</v>
      </c>
      <c r="F18">
        <v>20</v>
      </c>
      <c r="G18">
        <v>13</v>
      </c>
      <c r="H18" s="45">
        <v>14485</v>
      </c>
    </row>
    <row r="19" spans="1:8">
      <c r="A19" s="45">
        <f t="array" ref="A19">IFERROR(INDEX(baseline!$A$3:$A$201,MATCH($B19&amp;$C19,baseline!$C$3:$C$201&amp;baseline!$D$3:$D$201,0)),"NA")</f>
        <v>18</v>
      </c>
      <c r="B19" t="s">
        <v>763</v>
      </c>
      <c r="C19" t="s">
        <v>546</v>
      </c>
      <c r="D19" t="s">
        <v>877</v>
      </c>
      <c r="E19" t="b">
        <v>1</v>
      </c>
      <c r="F19">
        <v>20</v>
      </c>
      <c r="G19">
        <v>13</v>
      </c>
      <c r="H19" s="45">
        <v>14485</v>
      </c>
    </row>
    <row r="20" spans="1:8">
      <c r="A20" s="45">
        <f t="array" ref="A20">IFERROR(INDEX(baseline!$A$3:$A$201,MATCH($B20&amp;$C20,baseline!$C$3:$C$201&amp;baseline!$D$3:$D$201,0)),"NA")</f>
        <v>19</v>
      </c>
      <c r="B20" t="s">
        <v>712</v>
      </c>
      <c r="C20" t="s">
        <v>14</v>
      </c>
      <c r="D20" t="s">
        <v>877</v>
      </c>
      <c r="E20" t="b">
        <v>1</v>
      </c>
      <c r="F20">
        <v>20</v>
      </c>
      <c r="G20">
        <v>13</v>
      </c>
      <c r="H20" s="45">
        <v>32591</v>
      </c>
    </row>
    <row r="21" spans="1:8">
      <c r="A21" s="45">
        <f t="array" ref="A21">IFERROR(INDEX(baseline!$A$3:$A$201,MATCH($B21&amp;$C21,baseline!$C$3:$C$201&amp;baseline!$D$3:$D$201,0)),"NA")</f>
        <v>20</v>
      </c>
      <c r="B21" t="s">
        <v>2</v>
      </c>
      <c r="C21" t="s">
        <v>881</v>
      </c>
      <c r="D21" t="s">
        <v>877</v>
      </c>
      <c r="E21" t="b">
        <v>1</v>
      </c>
      <c r="F21">
        <v>20</v>
      </c>
      <c r="G21">
        <v>13</v>
      </c>
      <c r="H21" s="45">
        <v>0</v>
      </c>
    </row>
    <row r="22" spans="1:8">
      <c r="A22" s="45">
        <f t="array" ref="A22">IFERROR(INDEX(baseline!$A$3:$A$201,MATCH($B22&amp;$C22,baseline!$C$3:$C$201&amp;baseline!$D$3:$D$201,0)),"NA")</f>
        <v>21</v>
      </c>
      <c r="B22" t="s">
        <v>2</v>
      </c>
      <c r="C22" t="s">
        <v>13</v>
      </c>
      <c r="D22" t="s">
        <v>877</v>
      </c>
      <c r="E22" t="b">
        <v>1</v>
      </c>
      <c r="F22">
        <v>20</v>
      </c>
      <c r="G22">
        <v>13</v>
      </c>
      <c r="H22" s="45">
        <v>0</v>
      </c>
    </row>
    <row r="23" spans="1:8">
      <c r="A23" s="45">
        <f t="array" ref="A23">IFERROR(INDEX(baseline!$A$3:$A$201,MATCH($B23&amp;$C23,baseline!$C$3:$C$201&amp;baseline!$D$3:$D$201,0)),"NA")</f>
        <v>22</v>
      </c>
      <c r="B23" t="s">
        <v>2</v>
      </c>
      <c r="C23" t="s">
        <v>14</v>
      </c>
      <c r="D23" t="s">
        <v>877</v>
      </c>
      <c r="E23" t="b">
        <v>1</v>
      </c>
      <c r="F23">
        <v>20</v>
      </c>
      <c r="G23">
        <v>13</v>
      </c>
      <c r="H23" s="45">
        <v>0</v>
      </c>
    </row>
    <row r="24" spans="1:8">
      <c r="A24" s="45">
        <f t="array" ref="A24">IFERROR(INDEX(baseline!$A$3:$A$201,MATCH($B24&amp;$C24,baseline!$C$3:$C$201&amp;baseline!$D$3:$D$201,0)),"NA")</f>
        <v>23</v>
      </c>
      <c r="B24" t="s">
        <v>2</v>
      </c>
      <c r="C24" t="s">
        <v>546</v>
      </c>
      <c r="D24" t="s">
        <v>877</v>
      </c>
      <c r="E24" t="b">
        <v>1</v>
      </c>
      <c r="F24">
        <v>20</v>
      </c>
      <c r="G24">
        <v>13</v>
      </c>
      <c r="H24" s="45">
        <v>0</v>
      </c>
    </row>
    <row r="25" spans="1:8">
      <c r="A25" s="45">
        <f t="array" ref="A25">IFERROR(INDEX(baseline!$A$3:$A$201,MATCH($B25&amp;$C25,baseline!$C$3:$C$201&amp;baseline!$D$3:$D$201,0)),"NA")</f>
        <v>24</v>
      </c>
      <c r="B25" t="s">
        <v>547</v>
      </c>
      <c r="C25" t="s">
        <v>881</v>
      </c>
      <c r="D25" t="s">
        <v>877</v>
      </c>
      <c r="E25" t="b">
        <v>1</v>
      </c>
      <c r="F25">
        <v>20</v>
      </c>
      <c r="G25">
        <v>13</v>
      </c>
      <c r="H25" s="45">
        <v>14485</v>
      </c>
    </row>
    <row r="26" spans="1:8">
      <c r="A26" s="45">
        <f t="array" ref="A26">IFERROR(INDEX(baseline!$A$3:$A$201,MATCH($B26&amp;$C26,baseline!$C$3:$C$201&amp;baseline!$D$3:$D$201,0)),"NA")</f>
        <v>25</v>
      </c>
      <c r="B26" t="s">
        <v>547</v>
      </c>
      <c r="C26" t="s">
        <v>14</v>
      </c>
      <c r="D26" t="s">
        <v>877</v>
      </c>
      <c r="E26" t="b">
        <v>1</v>
      </c>
      <c r="F26">
        <v>20</v>
      </c>
      <c r="G26">
        <v>13</v>
      </c>
      <c r="H26" s="45">
        <v>14485</v>
      </c>
    </row>
    <row r="27" spans="1:8">
      <c r="A27" s="45">
        <f t="array" ref="A27">IFERROR(INDEX(baseline!$A$3:$A$201,MATCH($B27&amp;$C27,baseline!$C$3:$C$201&amp;baseline!$D$3:$D$201,0)),"NA")</f>
        <v>26</v>
      </c>
      <c r="B27" t="s">
        <v>547</v>
      </c>
      <c r="C27" t="s">
        <v>546</v>
      </c>
      <c r="D27" t="s">
        <v>877</v>
      </c>
      <c r="E27" t="b">
        <v>1</v>
      </c>
      <c r="F27">
        <v>20</v>
      </c>
      <c r="G27">
        <v>13</v>
      </c>
      <c r="H27" s="45">
        <v>14485</v>
      </c>
    </row>
    <row r="28" spans="1:8">
      <c r="A28" s="45">
        <f t="array" ref="A28">IFERROR(INDEX(baseline!$A$3:$A$201,MATCH($B28&amp;$C28,baseline!$C$3:$C$201&amp;baseline!$D$3:$D$201,0)),"NA")</f>
        <v>27</v>
      </c>
      <c r="B28" t="s">
        <v>1</v>
      </c>
      <c r="C28" t="s">
        <v>881</v>
      </c>
      <c r="D28" t="s">
        <v>877</v>
      </c>
      <c r="E28" t="b">
        <v>1</v>
      </c>
      <c r="F28">
        <v>20</v>
      </c>
      <c r="G28">
        <v>13</v>
      </c>
      <c r="H28" s="45">
        <v>9315</v>
      </c>
    </row>
    <row r="29" spans="1:8">
      <c r="A29" s="45">
        <f t="array" ref="A29">IFERROR(INDEX(baseline!$A$3:$A$201,MATCH($B29&amp;$C29,baseline!$C$3:$C$201&amp;baseline!$D$3:$D$201,0)),"NA")</f>
        <v>28</v>
      </c>
      <c r="B29" t="s">
        <v>1</v>
      </c>
      <c r="C29" t="s">
        <v>14</v>
      </c>
      <c r="D29" t="s">
        <v>877</v>
      </c>
      <c r="E29" t="b">
        <v>1</v>
      </c>
      <c r="F29">
        <v>20</v>
      </c>
      <c r="G29">
        <v>13</v>
      </c>
      <c r="H29" s="45">
        <v>9315</v>
      </c>
    </row>
    <row r="30" spans="1:8">
      <c r="A30" s="45" t="str">
        <f t="array" ref="A30">IFERROR(INDEX(baseline!$A$3:$A$201,MATCH($B30&amp;$C30,baseline!$C$3:$C$201&amp;baseline!$D$3:$D$201,0)),"NA")</f>
        <v>NA</v>
      </c>
      <c r="B30" t="s">
        <v>0</v>
      </c>
      <c r="C30" t="s">
        <v>13</v>
      </c>
      <c r="D30" t="s">
        <v>877</v>
      </c>
      <c r="E30" t="b">
        <v>1</v>
      </c>
      <c r="F30">
        <v>20</v>
      </c>
      <c r="G30">
        <v>13</v>
      </c>
      <c r="H30" s="45">
        <v>10864</v>
      </c>
    </row>
    <row r="31" spans="1:8">
      <c r="A31" s="45" t="str">
        <f t="array" ref="A31">IFERROR(INDEX(baseline!$A$3:$A$201,MATCH($B31&amp;$C31,baseline!$C$3:$C$201&amp;baseline!$D$3:$D$201,0)),"NA")</f>
        <v>NA</v>
      </c>
      <c r="B31" t="s">
        <v>0</v>
      </c>
      <c r="C31" t="s">
        <v>14</v>
      </c>
      <c r="D31" t="s">
        <v>877</v>
      </c>
      <c r="E31" t="b">
        <v>1</v>
      </c>
      <c r="F31">
        <v>20</v>
      </c>
      <c r="G31">
        <v>13</v>
      </c>
      <c r="H31" s="45">
        <v>10864</v>
      </c>
    </row>
    <row r="32" spans="1:8">
      <c r="A32" s="45">
        <f t="array" ref="A32">IFERROR(INDEX(baseline!$A$3:$A$201,MATCH($B32&amp;$C32,baseline!$C$3:$C$201&amp;baseline!$D$3:$D$201,0)),"NA")</f>
        <v>30</v>
      </c>
      <c r="B32" t="s">
        <v>0</v>
      </c>
      <c r="C32" t="s">
        <v>546</v>
      </c>
      <c r="D32" t="s">
        <v>877</v>
      </c>
      <c r="E32" t="b">
        <v>1</v>
      </c>
      <c r="F32">
        <v>20</v>
      </c>
      <c r="G32">
        <v>13</v>
      </c>
      <c r="H32" s="45">
        <v>10864</v>
      </c>
    </row>
    <row r="33" spans="1:8">
      <c r="A33" s="45" t="str">
        <f t="array" ref="A33">IFERROR(INDEX(baseline!$A$3:$A$201,MATCH($B33&amp;$C33,baseline!$C$3:$C$201&amp;baseline!$D$3:$D$201,0)),"NA")</f>
        <v>NA</v>
      </c>
      <c r="B33" t="s">
        <v>78</v>
      </c>
      <c r="C33" t="s">
        <v>13</v>
      </c>
      <c r="D33" t="s">
        <v>877</v>
      </c>
      <c r="E33" t="b">
        <v>1</v>
      </c>
      <c r="F33">
        <v>20</v>
      </c>
      <c r="G33">
        <v>13</v>
      </c>
      <c r="H33" s="45">
        <v>3621</v>
      </c>
    </row>
    <row r="34" spans="1:8">
      <c r="A34" s="45" t="str">
        <f t="array" ref="A34">IFERROR(INDEX(baseline!$A$3:$A$201,MATCH($B34&amp;$C34,baseline!$C$3:$C$201&amp;baseline!$D$3:$D$201,0)),"NA")</f>
        <v>NA</v>
      </c>
      <c r="B34" t="s">
        <v>78</v>
      </c>
      <c r="C34" t="s">
        <v>14</v>
      </c>
      <c r="D34" t="s">
        <v>877</v>
      </c>
      <c r="E34" t="b">
        <v>1</v>
      </c>
      <c r="F34">
        <v>20</v>
      </c>
      <c r="G34">
        <v>13</v>
      </c>
      <c r="H34" s="45">
        <v>3621</v>
      </c>
    </row>
    <row r="35" spans="1:8">
      <c r="A35" s="45">
        <f t="array" ref="A35">IFERROR(INDEX(baseline!$A$3:$A$201,MATCH($B35&amp;$C35,baseline!$C$3:$C$201&amp;baseline!$D$3:$D$201,0)),"NA")</f>
        <v>31</v>
      </c>
      <c r="B35" t="s">
        <v>78</v>
      </c>
      <c r="C35" t="s">
        <v>546</v>
      </c>
      <c r="D35" t="s">
        <v>877</v>
      </c>
      <c r="E35" t="b">
        <v>1</v>
      </c>
      <c r="F35">
        <v>20</v>
      </c>
      <c r="G35">
        <v>13</v>
      </c>
      <c r="H35" s="45">
        <v>3621</v>
      </c>
    </row>
    <row r="36" spans="1:8">
      <c r="A36" s="45" t="str">
        <f t="array" ref="A36">IFERROR(INDEX(baseline!$A$3:$A$201,MATCH($B36&amp;$C36,baseline!$C$3:$C$201&amp;baseline!$D$3:$D$201,0)),"NA")</f>
        <v>NA</v>
      </c>
      <c r="B36" t="s">
        <v>545</v>
      </c>
      <c r="C36" t="s">
        <v>13</v>
      </c>
      <c r="D36" t="s">
        <v>877</v>
      </c>
      <c r="E36" t="b">
        <v>1</v>
      </c>
      <c r="F36">
        <v>20</v>
      </c>
      <c r="G36">
        <v>13</v>
      </c>
      <c r="H36" s="45">
        <v>14485</v>
      </c>
    </row>
    <row r="37" spans="1:8">
      <c r="A37" s="45" t="str">
        <f t="array" ref="A37">IFERROR(INDEX(baseline!$A$3:$A$201,MATCH($B37&amp;$C37,baseline!$C$3:$C$201&amp;baseline!$D$3:$D$201,0)),"NA")</f>
        <v>NA</v>
      </c>
      <c r="B37" t="s">
        <v>545</v>
      </c>
      <c r="C37" t="s">
        <v>14</v>
      </c>
      <c r="D37" t="s">
        <v>877</v>
      </c>
      <c r="E37" t="b">
        <v>1</v>
      </c>
      <c r="F37">
        <v>20</v>
      </c>
      <c r="G37">
        <v>13</v>
      </c>
      <c r="H37" s="45">
        <v>14485</v>
      </c>
    </row>
    <row r="38" spans="1:8">
      <c r="A38" s="45">
        <f t="array" ref="A38">IFERROR(INDEX(baseline!$A$3:$A$201,MATCH($B38&amp;$C38,baseline!$C$3:$C$201&amp;baseline!$D$3:$D$201,0)),"NA")</f>
        <v>29</v>
      </c>
      <c r="B38" t="s">
        <v>761</v>
      </c>
      <c r="C38" t="s">
        <v>546</v>
      </c>
      <c r="D38" t="s">
        <v>877</v>
      </c>
      <c r="E38" t="b">
        <v>1</v>
      </c>
      <c r="F38">
        <v>20</v>
      </c>
      <c r="G38">
        <v>13</v>
      </c>
      <c r="H38" s="45">
        <v>7243</v>
      </c>
    </row>
    <row r="39" spans="1:8">
      <c r="A39" s="45" t="str">
        <f t="array" ref="A39">IFERROR(INDEX(baseline!$A$3:$A$201,MATCH($B39&amp;$C39,baseline!$C$3:$C$201&amp;baseline!$D$3:$D$201,0)),"NA")</f>
        <v>NA</v>
      </c>
      <c r="B39" t="s">
        <v>697</v>
      </c>
      <c r="C39" t="s">
        <v>13</v>
      </c>
      <c r="D39" t="s">
        <v>877</v>
      </c>
      <c r="E39" t="b">
        <v>1</v>
      </c>
      <c r="F39">
        <v>20</v>
      </c>
      <c r="G39">
        <v>13</v>
      </c>
      <c r="H39" s="45">
        <v>3621</v>
      </c>
    </row>
    <row r="40" spans="1:8">
      <c r="A40" s="45" t="str">
        <f t="array" ref="A40">IFERROR(INDEX(baseline!$A$3:$A$201,MATCH($B40&amp;$C40,baseline!$C$3:$C$201&amp;baseline!$D$3:$D$201,0)),"NA")</f>
        <v>NA</v>
      </c>
      <c r="B40" t="s">
        <v>697</v>
      </c>
      <c r="C40" t="s">
        <v>546</v>
      </c>
      <c r="D40" t="s">
        <v>877</v>
      </c>
      <c r="E40" t="b">
        <v>1</v>
      </c>
      <c r="F40">
        <v>20</v>
      </c>
      <c r="G40">
        <v>13</v>
      </c>
      <c r="H40" s="45">
        <v>3621</v>
      </c>
    </row>
    <row r="41" spans="1:8">
      <c r="A41" s="45" t="str">
        <f t="array" ref="A41">IFERROR(INDEX(baseline!$A$3:$A$201,MATCH($B41&amp;$C41,baseline!$C$3:$C$201&amp;baseline!$D$3:$D$201,0)),"NA")</f>
        <v>NA</v>
      </c>
      <c r="B41" t="s">
        <v>713</v>
      </c>
      <c r="C41" t="s">
        <v>546</v>
      </c>
      <c r="D41" t="s">
        <v>877</v>
      </c>
      <c r="E41" t="b">
        <v>1</v>
      </c>
      <c r="F41">
        <v>20</v>
      </c>
      <c r="G41">
        <v>13</v>
      </c>
      <c r="H41" s="45">
        <v>3621</v>
      </c>
    </row>
    <row r="42" spans="1:8">
      <c r="A42" s="45" t="str">
        <f t="array" ref="A42">IFERROR(INDEX(baseline!$A$3:$A$201,MATCH($B42&amp;$C42,baseline!$C$3:$C$201&amp;baseline!$D$3:$D$201,0)),"NA")</f>
        <v>NA</v>
      </c>
      <c r="B42" t="s">
        <v>762</v>
      </c>
      <c r="C42" t="s">
        <v>546</v>
      </c>
      <c r="D42" t="s">
        <v>877</v>
      </c>
      <c r="E42" t="b">
        <v>1</v>
      </c>
      <c r="F42">
        <v>20</v>
      </c>
      <c r="G42">
        <v>13</v>
      </c>
      <c r="H42" s="45">
        <v>18106</v>
      </c>
    </row>
    <row r="43" spans="1:8">
      <c r="A43" s="45" t="str">
        <f t="array" ref="A43">IFERROR(INDEX(baseline!$A$3:$A$201,MATCH($B43&amp;$C43,baseline!$C$3:$C$201&amp;baseline!$D$3:$D$201,0)),"NA")</f>
        <v>NA</v>
      </c>
      <c r="B43" t="s">
        <v>763</v>
      </c>
      <c r="C43" t="s">
        <v>881</v>
      </c>
      <c r="D43" t="s">
        <v>877</v>
      </c>
      <c r="E43" t="b">
        <v>1</v>
      </c>
      <c r="F43">
        <v>20</v>
      </c>
      <c r="G43">
        <v>13</v>
      </c>
      <c r="H43" s="45">
        <v>14485</v>
      </c>
    </row>
    <row r="44" spans="1:8">
      <c r="A44" s="45" t="str">
        <f t="array" ref="A44">IFERROR(INDEX(baseline!$A$3:$A$201,MATCH($B44&amp;$C44,baseline!$C$3:$C$201&amp;baseline!$D$3:$D$201,0)),"NA")</f>
        <v>NA</v>
      </c>
      <c r="B44" t="s">
        <v>712</v>
      </c>
      <c r="C44" t="s">
        <v>881</v>
      </c>
      <c r="D44" t="s">
        <v>877</v>
      </c>
      <c r="E44" t="b">
        <v>1</v>
      </c>
      <c r="F44">
        <v>20</v>
      </c>
      <c r="G44">
        <v>13</v>
      </c>
      <c r="H44" s="45">
        <v>32591</v>
      </c>
    </row>
    <row r="45" spans="1:8">
      <c r="A45" s="45" t="str">
        <f t="array" ref="A45">IFERROR(INDEX(baseline!$A$3:$A$201,MATCH($B45&amp;$C45,baseline!$C$3:$C$201&amp;baseline!$D$3:$D$201,0)),"NA")</f>
        <v>NA</v>
      </c>
      <c r="B45" t="s">
        <v>712</v>
      </c>
      <c r="C45" t="s">
        <v>13</v>
      </c>
      <c r="D45" t="s">
        <v>877</v>
      </c>
      <c r="E45" t="b">
        <v>1</v>
      </c>
      <c r="F45">
        <v>20</v>
      </c>
      <c r="G45">
        <v>13</v>
      </c>
      <c r="H45" s="45">
        <v>32591</v>
      </c>
    </row>
    <row r="46" spans="1:8">
      <c r="A46" s="45" t="str">
        <f t="array" ref="A46">IFERROR(INDEX(baseline!$A$3:$A$201,MATCH($B46&amp;$C46,baseline!$C$3:$C$201&amp;baseline!$D$3:$D$201,0)),"NA")</f>
        <v>NA</v>
      </c>
      <c r="B46" t="s">
        <v>712</v>
      </c>
      <c r="C46" t="s">
        <v>546</v>
      </c>
      <c r="D46" t="s">
        <v>877</v>
      </c>
      <c r="E46" t="b">
        <v>1</v>
      </c>
      <c r="F46">
        <v>20</v>
      </c>
      <c r="G46">
        <v>13</v>
      </c>
      <c r="H46" s="45">
        <v>32591</v>
      </c>
    </row>
    <row r="47" spans="1:8">
      <c r="A47" s="45" t="str">
        <f t="array" ref="A47">IFERROR(INDEX(baseline!$A$3:$A$201,MATCH($B47&amp;$C47,baseline!$C$3:$C$201&amp;baseline!$D$3:$D$201,0)),"NA")</f>
        <v>NA</v>
      </c>
      <c r="B47" t="s">
        <v>547</v>
      </c>
      <c r="C47" t="s">
        <v>13</v>
      </c>
      <c r="D47" t="s">
        <v>877</v>
      </c>
      <c r="E47" t="b">
        <v>1</v>
      </c>
      <c r="F47">
        <v>20</v>
      </c>
      <c r="G47">
        <v>13</v>
      </c>
      <c r="H47" s="45">
        <v>14485</v>
      </c>
    </row>
    <row r="48" spans="1:8">
      <c r="A48" s="45" t="str">
        <f t="array" ref="A48">IFERROR(INDEX(baseline!$A$3:$A$201,MATCH($B48&amp;$C48,baseline!$C$3:$C$201&amp;baseline!$D$3:$D$201,0)),"NA")</f>
        <v>NA</v>
      </c>
      <c r="B48" t="s">
        <v>1</v>
      </c>
      <c r="C48" t="s">
        <v>13</v>
      </c>
      <c r="D48" t="s">
        <v>877</v>
      </c>
      <c r="E48" t="b">
        <v>1</v>
      </c>
      <c r="F48">
        <v>20</v>
      </c>
      <c r="G48">
        <v>13</v>
      </c>
      <c r="H48" s="45">
        <v>9315</v>
      </c>
    </row>
    <row r="49" spans="1:8">
      <c r="A49" s="45" t="str">
        <f t="array" ref="A49">IFERROR(INDEX(baseline!$A$3:$A$201,MATCH($B49&amp;$C49,baseline!$C$3:$C$201&amp;baseline!$D$3:$D$201,0)),"NA")</f>
        <v>NA</v>
      </c>
      <c r="B49" t="s">
        <v>1</v>
      </c>
      <c r="C49" t="s">
        <v>546</v>
      </c>
      <c r="D49" t="s">
        <v>877</v>
      </c>
      <c r="E49" t="b">
        <v>1</v>
      </c>
      <c r="F49">
        <v>20</v>
      </c>
      <c r="G49">
        <v>13</v>
      </c>
      <c r="H49" s="45">
        <v>9315</v>
      </c>
    </row>
  </sheetData>
  <sortState ref="A2:H49">
    <sortCondition ref="A2:A49"/>
    <sortCondition ref="B2:B49"/>
    <sortCondition ref="C2:C49"/>
    <sortCondition ref="D2:D49"/>
  </sortState>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00B050"/>
  </sheetPr>
  <dimension ref="A1:F49"/>
  <sheetViews>
    <sheetView topLeftCell="A11" workbookViewId="0">
      <selection activeCell="F1" sqref="F1"/>
    </sheetView>
  </sheetViews>
  <sheetFormatPr defaultColWidth="9.109375" defaultRowHeight="14.4"/>
  <cols>
    <col min="1" max="1" width="17.109375" customWidth="1"/>
    <col min="2" max="2" width="23.44140625" style="45" bestFit="1" customWidth="1"/>
    <col min="3" max="3" width="9.6640625" style="45" bestFit="1" customWidth="1"/>
    <col min="4" max="4" width="17.109375" style="132" customWidth="1"/>
    <col min="5" max="5" width="17.6640625" style="132" customWidth="1"/>
    <col min="6" max="6" width="21.44140625" style="45" bestFit="1" customWidth="1"/>
    <col min="7" max="16384" width="9.109375" style="45"/>
  </cols>
  <sheetData>
    <row r="1" spans="1:6" ht="15.6">
      <c r="A1" t="s">
        <v>920</v>
      </c>
      <c r="B1" s="128" t="s">
        <v>766</v>
      </c>
      <c r="C1" s="127" t="s">
        <v>748</v>
      </c>
      <c r="D1" s="132" t="s">
        <v>774</v>
      </c>
      <c r="E1" s="132" t="s">
        <v>726</v>
      </c>
      <c r="F1" s="45" t="s">
        <v>899</v>
      </c>
    </row>
    <row r="2" spans="1:6">
      <c r="A2" s="45">
        <f t="array" ref="A2">IFERROR(INDEX(baseline!$A$3:$A$201,MATCH($B2&amp;$C2,baseline!$C$3:$C$201&amp;baseline!$D$3:$D$201,0)),"NA")</f>
        <v>1</v>
      </c>
      <c r="B2" s="45" t="s">
        <v>0</v>
      </c>
      <c r="C2" s="45" t="s">
        <v>881</v>
      </c>
      <c r="D2" s="132" t="s">
        <v>839</v>
      </c>
      <c r="E2" s="132">
        <v>3.5</v>
      </c>
      <c r="F2" s="45">
        <v>15263</v>
      </c>
    </row>
    <row r="3" spans="1:6">
      <c r="A3" s="45">
        <f t="array" ref="A3">IFERROR(INDEX(baseline!$A$3:$A$201,MATCH($B3&amp;$C3,baseline!$C$3:$C$201&amp;baseline!$D$3:$D$201,0)),"NA")</f>
        <v>2</v>
      </c>
      <c r="B3" s="45" t="s">
        <v>78</v>
      </c>
      <c r="C3" s="45" t="s">
        <v>881</v>
      </c>
      <c r="D3" s="132" t="s">
        <v>839</v>
      </c>
      <c r="E3" s="132">
        <v>3.5</v>
      </c>
      <c r="F3" s="45">
        <v>10120</v>
      </c>
    </row>
    <row r="4" spans="1:6">
      <c r="A4" s="45">
        <f t="array" ref="A4">IFERROR(INDEX(baseline!$A$3:$A$201,MATCH($B4&amp;$C4,baseline!$C$3:$C$201&amp;baseline!$D$3:$D$201,0)),"NA")</f>
        <v>3</v>
      </c>
      <c r="B4" s="45" t="s">
        <v>545</v>
      </c>
      <c r="C4" s="45" t="s">
        <v>881</v>
      </c>
      <c r="D4" s="132" t="s">
        <v>839</v>
      </c>
      <c r="E4" s="132">
        <v>3.5</v>
      </c>
      <c r="F4" s="45">
        <v>20350</v>
      </c>
    </row>
    <row r="5" spans="1:6">
      <c r="A5" s="45">
        <f t="array" ref="A5">IFERROR(INDEX(baseline!$A$3:$A$201,MATCH($B5&amp;$C5,baseline!$C$3:$C$201&amp;baseline!$D$3:$D$201,0)),"NA")</f>
        <v>4</v>
      </c>
      <c r="B5" s="45" t="s">
        <v>545</v>
      </c>
      <c r="C5" s="45" t="s">
        <v>546</v>
      </c>
      <c r="D5" s="132" t="s">
        <v>839</v>
      </c>
      <c r="E5" s="132">
        <v>3.5</v>
      </c>
      <c r="F5" s="45">
        <v>20350</v>
      </c>
    </row>
    <row r="6" spans="1:6">
      <c r="A6" s="45">
        <f t="array" ref="A6">IFERROR(INDEX(baseline!$A$3:$A$201,MATCH($B6&amp;$C6,baseline!$C$3:$C$201&amp;baseline!$D$3:$D$201,0)),"NA")</f>
        <v>5</v>
      </c>
      <c r="B6" s="45" t="s">
        <v>761</v>
      </c>
      <c r="C6" s="45" t="s">
        <v>881</v>
      </c>
      <c r="D6" s="132" t="s">
        <v>839</v>
      </c>
      <c r="E6" s="132">
        <v>3.5</v>
      </c>
      <c r="F6" s="45">
        <v>16588</v>
      </c>
    </row>
    <row r="7" spans="1:6">
      <c r="A7" s="45">
        <f t="array" ref="A7">IFERROR(INDEX(baseline!$A$3:$A$201,MATCH($B7&amp;$C7,baseline!$C$3:$C$201&amp;baseline!$D$3:$D$201,0)),"NA")</f>
        <v>6</v>
      </c>
      <c r="B7" s="45" t="s">
        <v>761</v>
      </c>
      <c r="C7" s="45" t="s">
        <v>13</v>
      </c>
      <c r="D7" s="132" t="s">
        <v>839</v>
      </c>
      <c r="E7" s="132">
        <v>3.5</v>
      </c>
      <c r="F7" s="45">
        <v>16588</v>
      </c>
    </row>
    <row r="8" spans="1:6">
      <c r="A8" s="45">
        <f t="array" ref="A8">IFERROR(INDEX(baseline!$A$3:$A$201,MATCH($B8&amp;$C8,baseline!$C$3:$C$201&amp;baseline!$D$3:$D$201,0)),"NA")</f>
        <v>7</v>
      </c>
      <c r="B8" s="45" t="s">
        <v>761</v>
      </c>
      <c r="C8" s="45" t="s">
        <v>14</v>
      </c>
      <c r="D8" s="132" t="s">
        <v>839</v>
      </c>
      <c r="E8" s="132">
        <v>3.5</v>
      </c>
      <c r="F8" s="45">
        <v>16588</v>
      </c>
    </row>
    <row r="9" spans="1:6">
      <c r="A9" s="45">
        <f t="array" ref="A9">IFERROR(INDEX(baseline!$A$3:$A$201,MATCH($B9&amp;$C9,baseline!$C$3:$C$201&amp;baseline!$D$3:$D$201,0)),"NA")</f>
        <v>8</v>
      </c>
      <c r="B9" s="45" t="s">
        <v>697</v>
      </c>
      <c r="C9" s="45" t="s">
        <v>881</v>
      </c>
      <c r="D9" s="132" t="s">
        <v>839</v>
      </c>
      <c r="E9" s="132">
        <v>3.5</v>
      </c>
      <c r="F9" s="45">
        <v>5088</v>
      </c>
    </row>
    <row r="10" spans="1:6">
      <c r="A10" s="45">
        <f t="array" ref="A10">IFERROR(INDEX(baseline!$A$3:$A$201,MATCH($B10&amp;$C10,baseline!$C$3:$C$201&amp;baseline!$D$3:$D$201,0)),"NA")</f>
        <v>9</v>
      </c>
      <c r="B10" s="45" t="s">
        <v>697</v>
      </c>
      <c r="C10" s="45" t="s">
        <v>14</v>
      </c>
      <c r="D10" s="132" t="s">
        <v>839</v>
      </c>
      <c r="E10" s="132">
        <v>3.5</v>
      </c>
      <c r="F10" s="45">
        <v>5088</v>
      </c>
    </row>
    <row r="11" spans="1:6">
      <c r="A11" s="45">
        <f t="array" ref="A11">IFERROR(INDEX(baseline!$A$3:$A$201,MATCH($B11&amp;$C11,baseline!$C$3:$C$201&amp;baseline!$D$3:$D$201,0)),"NA")</f>
        <v>10</v>
      </c>
      <c r="B11" s="45" t="s">
        <v>713</v>
      </c>
      <c r="C11" s="45" t="s">
        <v>881</v>
      </c>
      <c r="D11" s="132" t="s">
        <v>839</v>
      </c>
      <c r="E11" s="132">
        <v>3.5</v>
      </c>
      <c r="F11" s="45">
        <v>10350</v>
      </c>
    </row>
    <row r="12" spans="1:6">
      <c r="A12" s="45">
        <f t="array" ref="A12">IFERROR(INDEX(baseline!$A$3:$A$201,MATCH($B12&amp;$C12,baseline!$C$3:$C$201&amp;baseline!$D$3:$D$201,0)),"NA")</f>
        <v>11</v>
      </c>
      <c r="B12" s="45" t="s">
        <v>713</v>
      </c>
      <c r="C12" s="45" t="s">
        <v>13</v>
      </c>
      <c r="D12" s="132" t="s">
        <v>839</v>
      </c>
      <c r="E12" s="132">
        <v>3.5</v>
      </c>
      <c r="F12" s="45">
        <v>10350</v>
      </c>
    </row>
    <row r="13" spans="1:6">
      <c r="A13" s="45">
        <f t="array" ref="A13">IFERROR(INDEX(baseline!$A$3:$A$201,MATCH($B13&amp;$C13,baseline!$C$3:$C$201&amp;baseline!$D$3:$D$201,0)),"NA")</f>
        <v>12</v>
      </c>
      <c r="B13" s="45" t="s">
        <v>713</v>
      </c>
      <c r="C13" s="45" t="s">
        <v>14</v>
      </c>
      <c r="D13" s="132" t="s">
        <v>839</v>
      </c>
      <c r="E13" s="132">
        <v>3.5</v>
      </c>
      <c r="F13" s="45">
        <v>10350</v>
      </c>
    </row>
    <row r="14" spans="1:6">
      <c r="A14" s="45">
        <f t="array" ref="A14">IFERROR(INDEX(baseline!$A$3:$A$201,MATCH($B14&amp;$C14,baseline!$C$3:$C$201&amp;baseline!$D$3:$D$201,0)),"NA")</f>
        <v>13</v>
      </c>
      <c r="B14" s="45" t="s">
        <v>762</v>
      </c>
      <c r="C14" s="45" t="s">
        <v>881</v>
      </c>
      <c r="D14" s="132" t="s">
        <v>839</v>
      </c>
      <c r="E14" s="132">
        <v>3.5</v>
      </c>
      <c r="F14" s="45">
        <v>20700</v>
      </c>
    </row>
    <row r="15" spans="1:6">
      <c r="A15" s="45">
        <f t="array" ref="A15">IFERROR(INDEX(baseline!$A$3:$A$201,MATCH($B15&amp;$C15,baseline!$C$3:$C$201&amp;baseline!$D$3:$D$201,0)),"NA")</f>
        <v>14</v>
      </c>
      <c r="B15" s="45" t="s">
        <v>762</v>
      </c>
      <c r="C15" s="45" t="s">
        <v>13</v>
      </c>
      <c r="D15" s="132" t="s">
        <v>839</v>
      </c>
      <c r="E15" s="132">
        <v>3.5</v>
      </c>
      <c r="F15" s="45">
        <v>20700</v>
      </c>
    </row>
    <row r="16" spans="1:6">
      <c r="A16" s="45">
        <f t="array" ref="A16">IFERROR(INDEX(baseline!$A$3:$A$201,MATCH($B16&amp;$C16,baseline!$C$3:$C$201&amp;baseline!$D$3:$D$201,0)),"NA")</f>
        <v>15</v>
      </c>
      <c r="B16" s="45" t="s">
        <v>762</v>
      </c>
      <c r="C16" s="45" t="s">
        <v>14</v>
      </c>
      <c r="D16" s="132" t="s">
        <v>839</v>
      </c>
      <c r="E16" s="132">
        <v>3.5</v>
      </c>
      <c r="F16" s="45">
        <v>20700</v>
      </c>
    </row>
    <row r="17" spans="1:6">
      <c r="A17" s="45">
        <f t="array" ref="A17">IFERROR(INDEX(baseline!$A$3:$A$201,MATCH($B17&amp;$C17,baseline!$C$3:$C$201&amp;baseline!$D$3:$D$201,0)),"NA")</f>
        <v>16</v>
      </c>
      <c r="B17" s="45" t="s">
        <v>763</v>
      </c>
      <c r="C17" s="45" t="s">
        <v>13</v>
      </c>
      <c r="D17" s="132" t="s">
        <v>839</v>
      </c>
      <c r="E17" s="132">
        <v>3.5</v>
      </c>
      <c r="F17" s="45">
        <v>17250</v>
      </c>
    </row>
    <row r="18" spans="1:6">
      <c r="A18" s="45">
        <f t="array" ref="A18">IFERROR(INDEX(baseline!$A$3:$A$201,MATCH($B18&amp;$C18,baseline!$C$3:$C$201&amp;baseline!$D$3:$D$201,0)),"NA")</f>
        <v>17</v>
      </c>
      <c r="B18" s="45" t="s">
        <v>763</v>
      </c>
      <c r="C18" s="45" t="s">
        <v>14</v>
      </c>
      <c r="D18" s="132" t="s">
        <v>839</v>
      </c>
      <c r="E18" s="132">
        <v>3.5</v>
      </c>
      <c r="F18" s="45">
        <v>17250</v>
      </c>
    </row>
    <row r="19" spans="1:6">
      <c r="A19" s="45">
        <f t="array" ref="A19">IFERROR(INDEX(baseline!$A$3:$A$201,MATCH($B19&amp;$C19,baseline!$C$3:$C$201&amp;baseline!$D$3:$D$201,0)),"NA")</f>
        <v>18</v>
      </c>
      <c r="B19" s="45" t="s">
        <v>763</v>
      </c>
      <c r="C19" s="45" t="s">
        <v>546</v>
      </c>
      <c r="D19" s="132" t="s">
        <v>839</v>
      </c>
      <c r="E19" s="132">
        <v>3.5</v>
      </c>
      <c r="F19" s="45">
        <v>17250</v>
      </c>
    </row>
    <row r="20" spans="1:6">
      <c r="A20" s="45">
        <f t="array" ref="A20">IFERROR(INDEX(baseline!$A$3:$A$201,MATCH($B20&amp;$C20,baseline!$C$3:$C$201&amp;baseline!$D$3:$D$201,0)),"NA")</f>
        <v>19</v>
      </c>
      <c r="B20" s="45" t="s">
        <v>712</v>
      </c>
      <c r="C20" s="45" t="s">
        <v>14</v>
      </c>
      <c r="D20" s="132" t="s">
        <v>839</v>
      </c>
      <c r="E20" s="132">
        <v>3.5</v>
      </c>
      <c r="F20" s="45">
        <v>44675</v>
      </c>
    </row>
    <row r="21" spans="1:6">
      <c r="A21" s="45">
        <f t="array" ref="A21">IFERROR(INDEX(baseline!$A$3:$A$201,MATCH($B21&amp;$C21,baseline!$C$3:$C$201&amp;baseline!$D$3:$D$201,0)),"NA")</f>
        <v>20</v>
      </c>
      <c r="B21" s="45" t="s">
        <v>2</v>
      </c>
      <c r="C21" s="45" t="s">
        <v>881</v>
      </c>
      <c r="D21" s="132" t="s">
        <v>769</v>
      </c>
      <c r="E21" s="132" t="s">
        <v>769</v>
      </c>
      <c r="F21" s="132" t="s">
        <v>769</v>
      </c>
    </row>
    <row r="22" spans="1:6">
      <c r="A22" s="45">
        <f t="array" ref="A22">IFERROR(INDEX(baseline!$A$3:$A$201,MATCH($B22&amp;$C22,baseline!$C$3:$C$201&amp;baseline!$D$3:$D$201,0)),"NA")</f>
        <v>21</v>
      </c>
      <c r="B22" s="45" t="s">
        <v>2</v>
      </c>
      <c r="C22" s="45" t="s">
        <v>13</v>
      </c>
      <c r="D22" s="132" t="s">
        <v>769</v>
      </c>
      <c r="E22" s="132" t="s">
        <v>769</v>
      </c>
      <c r="F22" s="132" t="s">
        <v>769</v>
      </c>
    </row>
    <row r="23" spans="1:6">
      <c r="A23" s="45">
        <f t="array" ref="A23">IFERROR(INDEX(baseline!$A$3:$A$201,MATCH($B23&amp;$C23,baseline!$C$3:$C$201&amp;baseline!$D$3:$D$201,0)),"NA")</f>
        <v>22</v>
      </c>
      <c r="B23" s="45" t="s">
        <v>2</v>
      </c>
      <c r="C23" s="45" t="s">
        <v>14</v>
      </c>
      <c r="D23" s="132" t="s">
        <v>769</v>
      </c>
      <c r="E23" s="132" t="s">
        <v>769</v>
      </c>
      <c r="F23" s="132" t="s">
        <v>769</v>
      </c>
    </row>
    <row r="24" spans="1:6">
      <c r="A24" s="45">
        <f t="array" ref="A24">IFERROR(INDEX(baseline!$A$3:$A$201,MATCH($B24&amp;$C24,baseline!$C$3:$C$201&amp;baseline!$D$3:$D$201,0)),"NA")</f>
        <v>23</v>
      </c>
      <c r="B24" s="45" t="s">
        <v>2</v>
      </c>
      <c r="C24" s="45" t="s">
        <v>546</v>
      </c>
      <c r="D24" s="132" t="s">
        <v>769</v>
      </c>
      <c r="E24" s="132" t="s">
        <v>769</v>
      </c>
      <c r="F24" s="132" t="s">
        <v>769</v>
      </c>
    </row>
    <row r="25" spans="1:6">
      <c r="A25" s="45">
        <f t="array" ref="A25">IFERROR(INDEX(baseline!$A$3:$A$201,MATCH($B25&amp;$C25,baseline!$C$3:$C$201&amp;baseline!$D$3:$D$201,0)),"NA")</f>
        <v>24</v>
      </c>
      <c r="B25" s="45" t="s">
        <v>547</v>
      </c>
      <c r="C25" s="45" t="s">
        <v>881</v>
      </c>
      <c r="D25" s="132" t="s">
        <v>839</v>
      </c>
      <c r="E25" s="132">
        <v>3.5</v>
      </c>
      <c r="F25" s="45">
        <v>20350</v>
      </c>
    </row>
    <row r="26" spans="1:6">
      <c r="A26" s="45">
        <f t="array" ref="A26">IFERROR(INDEX(baseline!$A$3:$A$201,MATCH($B26&amp;$C26,baseline!$C$3:$C$201&amp;baseline!$D$3:$D$201,0)),"NA")</f>
        <v>25</v>
      </c>
      <c r="B26" s="45" t="s">
        <v>547</v>
      </c>
      <c r="C26" s="45" t="s">
        <v>14</v>
      </c>
      <c r="D26" s="132" t="s">
        <v>839</v>
      </c>
      <c r="E26" s="132">
        <v>3.5</v>
      </c>
      <c r="F26" s="45">
        <v>20350</v>
      </c>
    </row>
    <row r="27" spans="1:6">
      <c r="A27" s="45">
        <f t="array" ref="A27">IFERROR(INDEX(baseline!$A$3:$A$201,MATCH($B27&amp;$C27,baseline!$C$3:$C$201&amp;baseline!$D$3:$D$201,0)),"NA")</f>
        <v>26</v>
      </c>
      <c r="B27" s="45" t="s">
        <v>547</v>
      </c>
      <c r="C27" s="45" t="s">
        <v>546</v>
      </c>
      <c r="D27" s="132" t="s">
        <v>839</v>
      </c>
      <c r="E27" s="132">
        <v>3.5</v>
      </c>
      <c r="F27" s="45">
        <v>20350</v>
      </c>
    </row>
    <row r="28" spans="1:6">
      <c r="A28" s="45">
        <f t="array" ref="A28">IFERROR(INDEX(baseline!$A$3:$A$201,MATCH($B28&amp;$C28,baseline!$C$3:$C$201&amp;baseline!$D$3:$D$201,0)),"NA")</f>
        <v>27</v>
      </c>
      <c r="B28" s="45" t="s">
        <v>1</v>
      </c>
      <c r="C28" s="45" t="s">
        <v>881</v>
      </c>
      <c r="D28" s="132" t="s">
        <v>769</v>
      </c>
      <c r="E28" s="132" t="s">
        <v>769</v>
      </c>
      <c r="F28" s="132" t="s">
        <v>769</v>
      </c>
    </row>
    <row r="29" spans="1:6">
      <c r="A29" s="45">
        <f t="array" ref="A29">IFERROR(INDEX(baseline!$A$3:$A$201,MATCH($B29&amp;$C29,baseline!$C$3:$C$201&amp;baseline!$D$3:$D$201,0)),"NA")</f>
        <v>28</v>
      </c>
      <c r="B29" s="45" t="s">
        <v>1</v>
      </c>
      <c r="C29" s="45" t="s">
        <v>14</v>
      </c>
      <c r="D29" s="132" t="s">
        <v>769</v>
      </c>
      <c r="E29" s="132" t="s">
        <v>769</v>
      </c>
      <c r="F29" s="132" t="s">
        <v>769</v>
      </c>
    </row>
    <row r="30" spans="1:6">
      <c r="A30" s="45" t="str">
        <f t="array" ref="A30">IFERROR(INDEX(baseline!$A$3:$A$201,MATCH($B30&amp;$C30,baseline!$C$3:$C$201&amp;baseline!$D$3:$D$201,0)),"NA")</f>
        <v>NA</v>
      </c>
      <c r="B30" s="45" t="s">
        <v>0</v>
      </c>
      <c r="C30" s="45" t="s">
        <v>13</v>
      </c>
      <c r="D30" s="132" t="s">
        <v>839</v>
      </c>
      <c r="E30" s="132">
        <v>3.5</v>
      </c>
      <c r="F30" s="45">
        <v>15263</v>
      </c>
    </row>
    <row r="31" spans="1:6">
      <c r="A31" s="45" t="str">
        <f t="array" ref="A31">IFERROR(INDEX(baseline!$A$3:$A$201,MATCH($B31&amp;$C31,baseline!$C$3:$C$201&amp;baseline!$D$3:$D$201,0)),"NA")</f>
        <v>NA</v>
      </c>
      <c r="B31" s="45" t="s">
        <v>0</v>
      </c>
      <c r="C31" s="45" t="s">
        <v>14</v>
      </c>
      <c r="D31" s="132" t="s">
        <v>839</v>
      </c>
      <c r="E31" s="132">
        <v>3.5</v>
      </c>
      <c r="F31" s="45">
        <v>15263</v>
      </c>
    </row>
    <row r="32" spans="1:6">
      <c r="A32" s="45">
        <f t="array" ref="A32">IFERROR(INDEX(baseline!$A$3:$A$201,MATCH($B32&amp;$C32,baseline!$C$3:$C$201&amp;baseline!$D$3:$D$201,0)),"NA")</f>
        <v>30</v>
      </c>
      <c r="B32" s="45" t="s">
        <v>0</v>
      </c>
      <c r="C32" s="45" t="s">
        <v>546</v>
      </c>
      <c r="D32" s="132" t="s">
        <v>839</v>
      </c>
      <c r="E32" s="132">
        <v>3.5</v>
      </c>
      <c r="F32" s="45">
        <v>15263</v>
      </c>
    </row>
    <row r="33" spans="1:6">
      <c r="A33" s="45" t="str">
        <f t="array" ref="A33">IFERROR(INDEX(baseline!$A$3:$A$201,MATCH($B33&amp;$C33,baseline!$C$3:$C$201&amp;baseline!$D$3:$D$201,0)),"NA")</f>
        <v>NA</v>
      </c>
      <c r="B33" s="45" t="s">
        <v>78</v>
      </c>
      <c r="C33" s="45" t="s">
        <v>13</v>
      </c>
      <c r="D33" s="132" t="s">
        <v>839</v>
      </c>
      <c r="E33" s="132">
        <v>3.5</v>
      </c>
      <c r="F33" s="45">
        <v>10120</v>
      </c>
    </row>
    <row r="34" spans="1:6">
      <c r="A34" s="45" t="str">
        <f t="array" ref="A34">IFERROR(INDEX(baseline!$A$3:$A$201,MATCH($B34&amp;$C34,baseline!$C$3:$C$201&amp;baseline!$D$3:$D$201,0)),"NA")</f>
        <v>NA</v>
      </c>
      <c r="B34" s="45" t="s">
        <v>78</v>
      </c>
      <c r="C34" s="45" t="s">
        <v>14</v>
      </c>
      <c r="D34" s="132" t="s">
        <v>839</v>
      </c>
      <c r="E34" s="132">
        <v>3.5</v>
      </c>
      <c r="F34" s="45">
        <v>10120</v>
      </c>
    </row>
    <row r="35" spans="1:6">
      <c r="A35" s="45">
        <f t="array" ref="A35">IFERROR(INDEX(baseline!$A$3:$A$201,MATCH($B35&amp;$C35,baseline!$C$3:$C$201&amp;baseline!$D$3:$D$201,0)),"NA")</f>
        <v>31</v>
      </c>
      <c r="B35" s="45" t="s">
        <v>78</v>
      </c>
      <c r="C35" s="45" t="s">
        <v>546</v>
      </c>
      <c r="D35" s="132" t="s">
        <v>839</v>
      </c>
      <c r="E35" s="132">
        <v>3.5</v>
      </c>
      <c r="F35" s="45">
        <v>10120</v>
      </c>
    </row>
    <row r="36" spans="1:6">
      <c r="A36" s="45" t="str">
        <f t="array" ref="A36">IFERROR(INDEX(baseline!$A$3:$A$201,MATCH($B36&amp;$C36,baseline!$C$3:$C$201&amp;baseline!$D$3:$D$201,0)),"NA")</f>
        <v>NA</v>
      </c>
      <c r="B36" s="45" t="s">
        <v>545</v>
      </c>
      <c r="C36" s="45" t="s">
        <v>13</v>
      </c>
      <c r="D36" s="132" t="s">
        <v>839</v>
      </c>
      <c r="E36" s="132">
        <v>3.5</v>
      </c>
      <c r="F36" s="45">
        <v>20350</v>
      </c>
    </row>
    <row r="37" spans="1:6">
      <c r="A37" s="45" t="str">
        <f t="array" ref="A37">IFERROR(INDEX(baseline!$A$3:$A$201,MATCH($B37&amp;$C37,baseline!$C$3:$C$201&amp;baseline!$D$3:$D$201,0)),"NA")</f>
        <v>NA</v>
      </c>
      <c r="B37" s="45" t="s">
        <v>545</v>
      </c>
      <c r="C37" s="45" t="s">
        <v>14</v>
      </c>
      <c r="D37" s="132" t="s">
        <v>839</v>
      </c>
      <c r="E37" s="132">
        <v>3.5</v>
      </c>
      <c r="F37" s="45">
        <v>20350</v>
      </c>
    </row>
    <row r="38" spans="1:6">
      <c r="A38" s="45">
        <f t="array" ref="A38">IFERROR(INDEX(baseline!$A$3:$A$201,MATCH($B38&amp;$C38,baseline!$C$3:$C$201&amp;baseline!$D$3:$D$201,0)),"NA")</f>
        <v>29</v>
      </c>
      <c r="B38" s="45" t="s">
        <v>761</v>
      </c>
      <c r="C38" s="45" t="s">
        <v>546</v>
      </c>
      <c r="D38" s="132" t="s">
        <v>839</v>
      </c>
      <c r="E38" s="132">
        <v>3.5</v>
      </c>
      <c r="F38" s="45">
        <v>16588</v>
      </c>
    </row>
    <row r="39" spans="1:6">
      <c r="A39" s="45" t="str">
        <f t="array" ref="A39">IFERROR(INDEX(baseline!$A$3:$A$201,MATCH($B39&amp;$C39,baseline!$C$3:$C$201&amp;baseline!$D$3:$D$201,0)),"NA")</f>
        <v>NA</v>
      </c>
      <c r="B39" s="45" t="s">
        <v>697</v>
      </c>
      <c r="C39" s="45" t="s">
        <v>13</v>
      </c>
      <c r="D39" s="132" t="s">
        <v>839</v>
      </c>
      <c r="E39" s="132">
        <v>3.5</v>
      </c>
      <c r="F39" s="45">
        <v>5088</v>
      </c>
    </row>
    <row r="40" spans="1:6">
      <c r="A40" s="45" t="str">
        <f t="array" ref="A40">IFERROR(INDEX(baseline!$A$3:$A$201,MATCH($B40&amp;$C40,baseline!$C$3:$C$201&amp;baseline!$D$3:$D$201,0)),"NA")</f>
        <v>NA</v>
      </c>
      <c r="B40" s="45" t="s">
        <v>697</v>
      </c>
      <c r="C40" s="45" t="s">
        <v>546</v>
      </c>
      <c r="D40" s="132" t="s">
        <v>839</v>
      </c>
      <c r="E40" s="132">
        <v>3.5</v>
      </c>
      <c r="F40" s="45">
        <v>5088</v>
      </c>
    </row>
    <row r="41" spans="1:6">
      <c r="A41" s="45" t="str">
        <f t="array" ref="A41">IFERROR(INDEX(baseline!$A$3:$A$201,MATCH($B41&amp;$C41,baseline!$C$3:$C$201&amp;baseline!$D$3:$D$201,0)),"NA")</f>
        <v>NA</v>
      </c>
      <c r="B41" s="45" t="s">
        <v>713</v>
      </c>
      <c r="C41" s="45" t="s">
        <v>546</v>
      </c>
      <c r="D41" s="132" t="s">
        <v>839</v>
      </c>
      <c r="E41" s="132">
        <v>3.5</v>
      </c>
      <c r="F41" s="45">
        <v>10350</v>
      </c>
    </row>
    <row r="42" spans="1:6">
      <c r="A42" s="45" t="str">
        <f t="array" ref="A42">IFERROR(INDEX(baseline!$A$3:$A$201,MATCH($B42&amp;$C42,baseline!$C$3:$C$201&amp;baseline!$D$3:$D$201,0)),"NA")</f>
        <v>NA</v>
      </c>
      <c r="B42" s="45" t="s">
        <v>762</v>
      </c>
      <c r="C42" s="45" t="s">
        <v>546</v>
      </c>
      <c r="D42" s="132" t="s">
        <v>839</v>
      </c>
      <c r="E42" s="132">
        <v>3.5</v>
      </c>
      <c r="F42" s="45">
        <v>20700</v>
      </c>
    </row>
    <row r="43" spans="1:6">
      <c r="A43" s="45" t="str">
        <f t="array" ref="A43">IFERROR(INDEX(baseline!$A$3:$A$201,MATCH($B43&amp;$C43,baseline!$C$3:$C$201&amp;baseline!$D$3:$D$201,0)),"NA")</f>
        <v>NA</v>
      </c>
      <c r="B43" s="45" t="s">
        <v>763</v>
      </c>
      <c r="C43" s="45" t="s">
        <v>881</v>
      </c>
      <c r="D43" s="132" t="s">
        <v>839</v>
      </c>
      <c r="E43" s="132">
        <v>3.5</v>
      </c>
      <c r="F43" s="45">
        <v>17250</v>
      </c>
    </row>
    <row r="44" spans="1:6">
      <c r="A44" s="45" t="str">
        <f t="array" ref="A44">IFERROR(INDEX(baseline!$A$3:$A$201,MATCH($B44&amp;$C44,baseline!$C$3:$C$201&amp;baseline!$D$3:$D$201,0)),"NA")</f>
        <v>NA</v>
      </c>
      <c r="B44" s="45" t="s">
        <v>712</v>
      </c>
      <c r="C44" s="45" t="s">
        <v>881</v>
      </c>
      <c r="D44" s="132" t="s">
        <v>839</v>
      </c>
      <c r="E44" s="132">
        <v>3.5</v>
      </c>
      <c r="F44" s="45">
        <v>44675</v>
      </c>
    </row>
    <row r="45" spans="1:6">
      <c r="A45" s="45" t="str">
        <f t="array" ref="A45">IFERROR(INDEX(baseline!$A$3:$A$201,MATCH($B45&amp;$C45,baseline!$C$3:$C$201&amp;baseline!$D$3:$D$201,0)),"NA")</f>
        <v>NA</v>
      </c>
      <c r="B45" s="45" t="s">
        <v>712</v>
      </c>
      <c r="C45" s="45" t="s">
        <v>13</v>
      </c>
      <c r="D45" s="132" t="s">
        <v>839</v>
      </c>
      <c r="E45" s="132">
        <v>3.5</v>
      </c>
      <c r="F45" s="45">
        <v>44675</v>
      </c>
    </row>
    <row r="46" spans="1:6">
      <c r="A46" s="45" t="str">
        <f t="array" ref="A46">IFERROR(INDEX(baseline!$A$3:$A$201,MATCH($B46&amp;$C46,baseline!$C$3:$C$201&amp;baseline!$D$3:$D$201,0)),"NA")</f>
        <v>NA</v>
      </c>
      <c r="B46" s="45" t="s">
        <v>712</v>
      </c>
      <c r="C46" s="45" t="s">
        <v>546</v>
      </c>
      <c r="D46" s="132" t="s">
        <v>839</v>
      </c>
      <c r="E46" s="132">
        <v>3.5</v>
      </c>
      <c r="F46" s="45">
        <v>44675</v>
      </c>
    </row>
    <row r="47" spans="1:6">
      <c r="A47" s="45" t="str">
        <f t="array" ref="A47">IFERROR(INDEX(baseline!$A$3:$A$201,MATCH($B47&amp;$C47,baseline!$C$3:$C$201&amp;baseline!$D$3:$D$201,0)),"NA")</f>
        <v>NA</v>
      </c>
      <c r="B47" s="45" t="s">
        <v>547</v>
      </c>
      <c r="C47" s="45" t="s">
        <v>13</v>
      </c>
      <c r="D47" s="132" t="s">
        <v>839</v>
      </c>
      <c r="E47" s="132">
        <v>3.5</v>
      </c>
      <c r="F47" s="45">
        <v>20350</v>
      </c>
    </row>
    <row r="48" spans="1:6">
      <c r="A48" s="45" t="str">
        <f t="array" ref="A48">IFERROR(INDEX(baseline!$A$3:$A$201,MATCH($B48&amp;$C48,baseline!$C$3:$C$201&amp;baseline!$D$3:$D$201,0)),"NA")</f>
        <v>NA</v>
      </c>
      <c r="B48" s="45" t="s">
        <v>1</v>
      </c>
      <c r="C48" s="45" t="s">
        <v>13</v>
      </c>
      <c r="D48" s="132" t="s">
        <v>769</v>
      </c>
      <c r="E48" s="132" t="s">
        <v>769</v>
      </c>
      <c r="F48" s="132" t="s">
        <v>769</v>
      </c>
    </row>
    <row r="49" spans="1:6">
      <c r="A49" s="45" t="str">
        <f t="array" ref="A49">IFERROR(INDEX(baseline!$A$3:$A$201,MATCH($B49&amp;$C49,baseline!$C$3:$C$201&amp;baseline!$D$3:$D$201,0)),"NA")</f>
        <v>NA</v>
      </c>
      <c r="B49" s="45" t="s">
        <v>1</v>
      </c>
      <c r="C49" s="45" t="s">
        <v>546</v>
      </c>
      <c r="D49" s="132" t="s">
        <v>769</v>
      </c>
      <c r="E49" s="132" t="s">
        <v>769</v>
      </c>
      <c r="F49" s="132" t="s">
        <v>769</v>
      </c>
    </row>
  </sheetData>
  <sortState ref="A2:F49">
    <sortCondition ref="A2:A49"/>
    <sortCondition ref="B2:B49"/>
    <sortCondition ref="C2:C49"/>
    <sortCondition ref="D2:D49"/>
  </sortState>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00B050"/>
  </sheetPr>
  <dimension ref="A1:F49"/>
  <sheetViews>
    <sheetView workbookViewId="0">
      <selection activeCell="E1" sqref="E1:F1048576"/>
    </sheetView>
  </sheetViews>
  <sheetFormatPr defaultRowHeight="14.4"/>
  <cols>
    <col min="2" max="2" width="23.44140625" bestFit="1" customWidth="1"/>
    <col min="3" max="3" width="13.6640625" bestFit="1" customWidth="1"/>
    <col min="4" max="4" width="14.6640625" customWidth="1"/>
    <col min="5" max="5" width="15.109375" customWidth="1"/>
    <col min="6" max="6" width="26.6640625" customWidth="1"/>
  </cols>
  <sheetData>
    <row r="1" spans="1:6" ht="15.6">
      <c r="A1" t="s">
        <v>920</v>
      </c>
      <c r="B1" s="128" t="s">
        <v>766</v>
      </c>
      <c r="C1" s="127" t="s">
        <v>748</v>
      </c>
      <c r="D1" t="s">
        <v>774</v>
      </c>
      <c r="E1" t="s">
        <v>805</v>
      </c>
      <c r="F1" t="s">
        <v>899</v>
      </c>
    </row>
    <row r="2" spans="1:6">
      <c r="A2" s="45">
        <f t="array" ref="A2">IFERROR(INDEX(baseline!$A$3:$A$201,MATCH($B2&amp;$C2,baseline!$C$3:$C$201&amp;baseline!$D$3:$D$201,0)),"NA")</f>
        <v>1</v>
      </c>
      <c r="B2" t="s">
        <v>0</v>
      </c>
      <c r="C2" t="s">
        <v>881</v>
      </c>
      <c r="D2" t="s">
        <v>805</v>
      </c>
      <c r="E2" t="b">
        <v>1</v>
      </c>
      <c r="F2">
        <v>64275</v>
      </c>
    </row>
    <row r="3" spans="1:6">
      <c r="A3" s="45">
        <f t="array" ref="A3">IFERROR(INDEX(baseline!$A$3:$A$201,MATCH($B3&amp;$C3,baseline!$C$3:$C$201&amp;baseline!$D$3:$D$201,0)),"NA")</f>
        <v>2</v>
      </c>
      <c r="B3" t="s">
        <v>78</v>
      </c>
      <c r="C3" t="s">
        <v>881</v>
      </c>
      <c r="D3" t="s">
        <v>805</v>
      </c>
      <c r="E3" t="b">
        <v>1</v>
      </c>
      <c r="F3">
        <v>8668</v>
      </c>
    </row>
    <row r="4" spans="1:6">
      <c r="A4" s="45">
        <f t="array" ref="A4">IFERROR(INDEX(baseline!$A$3:$A$201,MATCH($B4&amp;$C4,baseline!$C$3:$C$201&amp;baseline!$D$3:$D$201,0)),"NA")</f>
        <v>3</v>
      </c>
      <c r="B4" t="s">
        <v>545</v>
      </c>
      <c r="C4" t="s">
        <v>881</v>
      </c>
      <c r="D4" t="s">
        <v>805</v>
      </c>
      <c r="E4" t="b">
        <v>1</v>
      </c>
      <c r="F4">
        <v>7713</v>
      </c>
    </row>
    <row r="5" spans="1:6">
      <c r="A5" s="45">
        <f t="array" ref="A5">IFERROR(INDEX(baseline!$A$3:$A$201,MATCH($B5&amp;$C5,baseline!$C$3:$C$201&amp;baseline!$D$3:$D$201,0)),"NA")</f>
        <v>4</v>
      </c>
      <c r="B5" t="s">
        <v>545</v>
      </c>
      <c r="C5" t="s">
        <v>546</v>
      </c>
      <c r="D5" t="s">
        <v>805</v>
      </c>
      <c r="E5" t="b">
        <v>1</v>
      </c>
      <c r="F5">
        <v>7713</v>
      </c>
    </row>
    <row r="6" spans="1:6">
      <c r="A6" s="45">
        <f t="array" ref="A6">IFERROR(INDEX(baseline!$A$3:$A$201,MATCH($B6&amp;$C6,baseline!$C$3:$C$201&amp;baseline!$D$3:$D$201,0)),"NA")</f>
        <v>5</v>
      </c>
      <c r="B6" t="s">
        <v>761</v>
      </c>
      <c r="C6" t="s">
        <v>881</v>
      </c>
      <c r="D6" t="s">
        <v>805</v>
      </c>
      <c r="E6" t="b">
        <v>1</v>
      </c>
      <c r="F6">
        <v>65989</v>
      </c>
    </row>
    <row r="7" spans="1:6">
      <c r="A7" s="45">
        <f t="array" ref="A7">IFERROR(INDEX(baseline!$A$3:$A$201,MATCH($B7&amp;$C7,baseline!$C$3:$C$201&amp;baseline!$D$3:$D$201,0)),"NA")</f>
        <v>6</v>
      </c>
      <c r="B7" t="s">
        <v>761</v>
      </c>
      <c r="C7" t="s">
        <v>13</v>
      </c>
      <c r="D7" t="s">
        <v>805</v>
      </c>
      <c r="E7" t="b">
        <v>1</v>
      </c>
      <c r="F7">
        <v>65989</v>
      </c>
    </row>
    <row r="8" spans="1:6">
      <c r="A8" s="45">
        <f t="array" ref="A8">IFERROR(INDEX(baseline!$A$3:$A$201,MATCH($B8&amp;$C8,baseline!$C$3:$C$201&amp;baseline!$D$3:$D$201,0)),"NA")</f>
        <v>7</v>
      </c>
      <c r="B8" t="s">
        <v>761</v>
      </c>
      <c r="C8" t="s">
        <v>14</v>
      </c>
      <c r="D8" t="s">
        <v>805</v>
      </c>
      <c r="E8" t="b">
        <v>1</v>
      </c>
      <c r="F8">
        <v>65989</v>
      </c>
    </row>
    <row r="9" spans="1:6">
      <c r="A9" s="45">
        <f t="array" ref="A9">IFERROR(INDEX(baseline!$A$3:$A$201,MATCH($B9&amp;$C9,baseline!$C$3:$C$201&amp;baseline!$D$3:$D$201,0)),"NA")</f>
        <v>8</v>
      </c>
      <c r="B9" t="s">
        <v>697</v>
      </c>
      <c r="C9" t="s">
        <v>881</v>
      </c>
      <c r="D9" t="s">
        <v>805</v>
      </c>
      <c r="E9" t="b">
        <v>1</v>
      </c>
      <c r="F9">
        <v>9427</v>
      </c>
    </row>
    <row r="10" spans="1:6">
      <c r="A10" s="45">
        <f t="array" ref="A10">IFERROR(INDEX(baseline!$A$3:$A$201,MATCH($B10&amp;$C10,baseline!$C$3:$C$201&amp;baseline!$D$3:$D$201,0)),"NA")</f>
        <v>9</v>
      </c>
      <c r="B10" t="s">
        <v>697</v>
      </c>
      <c r="C10" t="s">
        <v>14</v>
      </c>
      <c r="D10" t="s">
        <v>805</v>
      </c>
      <c r="E10" t="b">
        <v>1</v>
      </c>
      <c r="F10">
        <v>9427</v>
      </c>
    </row>
    <row r="11" spans="1:6">
      <c r="A11" s="45">
        <f t="array" ref="A11">IFERROR(INDEX(baseline!$A$3:$A$201,MATCH($B11&amp;$C11,baseline!$C$3:$C$201&amp;baseline!$D$3:$D$201,0)),"NA")</f>
        <v>10</v>
      </c>
      <c r="B11" t="s">
        <v>713</v>
      </c>
      <c r="C11" t="s">
        <v>881</v>
      </c>
      <c r="D11" t="s">
        <v>805</v>
      </c>
      <c r="E11" t="b">
        <v>1</v>
      </c>
      <c r="F11">
        <v>7713</v>
      </c>
    </row>
    <row r="12" spans="1:6">
      <c r="A12" s="45">
        <f t="array" ref="A12">IFERROR(INDEX(baseline!$A$3:$A$201,MATCH($B12&amp;$C12,baseline!$C$3:$C$201&amp;baseline!$D$3:$D$201,0)),"NA")</f>
        <v>11</v>
      </c>
      <c r="B12" t="s">
        <v>713</v>
      </c>
      <c r="C12" t="s">
        <v>13</v>
      </c>
      <c r="D12" t="s">
        <v>805</v>
      </c>
      <c r="E12" t="b">
        <v>1</v>
      </c>
      <c r="F12">
        <v>7713</v>
      </c>
    </row>
    <row r="13" spans="1:6">
      <c r="A13" s="45">
        <f t="array" ref="A13">IFERROR(INDEX(baseline!$A$3:$A$201,MATCH($B13&amp;$C13,baseline!$C$3:$C$201&amp;baseline!$D$3:$D$201,0)),"NA")</f>
        <v>12</v>
      </c>
      <c r="B13" t="s">
        <v>713</v>
      </c>
      <c r="C13" t="s">
        <v>14</v>
      </c>
      <c r="D13" t="s">
        <v>805</v>
      </c>
      <c r="E13" t="b">
        <v>1</v>
      </c>
      <c r="F13">
        <v>7713</v>
      </c>
    </row>
    <row r="14" spans="1:6">
      <c r="A14" s="45">
        <f t="array" ref="A14">IFERROR(INDEX(baseline!$A$3:$A$201,MATCH($B14&amp;$C14,baseline!$C$3:$C$201&amp;baseline!$D$3:$D$201,0)),"NA")</f>
        <v>13</v>
      </c>
      <c r="B14" t="s">
        <v>762</v>
      </c>
      <c r="C14" t="s">
        <v>881</v>
      </c>
      <c r="D14" t="s">
        <v>805</v>
      </c>
      <c r="E14" t="b">
        <v>1</v>
      </c>
      <c r="F14">
        <v>43707</v>
      </c>
    </row>
    <row r="15" spans="1:6">
      <c r="A15" s="45">
        <f t="array" ref="A15">IFERROR(INDEX(baseline!$A$3:$A$201,MATCH($B15&amp;$C15,baseline!$C$3:$C$201&amp;baseline!$D$3:$D$201,0)),"NA")</f>
        <v>14</v>
      </c>
      <c r="B15" t="s">
        <v>762</v>
      </c>
      <c r="C15" t="s">
        <v>13</v>
      </c>
      <c r="D15" t="s">
        <v>805</v>
      </c>
      <c r="E15" t="b">
        <v>1</v>
      </c>
      <c r="F15">
        <v>43707</v>
      </c>
    </row>
    <row r="16" spans="1:6">
      <c r="A16" s="45">
        <f t="array" ref="A16">IFERROR(INDEX(baseline!$A$3:$A$201,MATCH($B16&amp;$C16,baseline!$C$3:$C$201&amp;baseline!$D$3:$D$201,0)),"NA")</f>
        <v>15</v>
      </c>
      <c r="B16" t="s">
        <v>762</v>
      </c>
      <c r="C16" t="s">
        <v>14</v>
      </c>
      <c r="D16" t="s">
        <v>805</v>
      </c>
      <c r="E16" t="b">
        <v>1</v>
      </c>
      <c r="F16">
        <v>43707</v>
      </c>
    </row>
    <row r="17" spans="1:6">
      <c r="A17" s="45">
        <f t="array" ref="A17">IFERROR(INDEX(baseline!$A$3:$A$201,MATCH($B17&amp;$C17,baseline!$C$3:$C$201&amp;baseline!$D$3:$D$201,0)),"NA")</f>
        <v>16</v>
      </c>
      <c r="B17" t="s">
        <v>763</v>
      </c>
      <c r="C17" t="s">
        <v>13</v>
      </c>
      <c r="D17" t="s">
        <v>805</v>
      </c>
      <c r="E17" t="b">
        <v>1</v>
      </c>
      <c r="F17">
        <v>13712</v>
      </c>
    </row>
    <row r="18" spans="1:6">
      <c r="A18" s="45">
        <f t="array" ref="A18">IFERROR(INDEX(baseline!$A$3:$A$201,MATCH($B18&amp;$C18,baseline!$C$3:$C$201&amp;baseline!$D$3:$D$201,0)),"NA")</f>
        <v>17</v>
      </c>
      <c r="B18" t="s">
        <v>763</v>
      </c>
      <c r="C18" t="s">
        <v>14</v>
      </c>
      <c r="D18" t="s">
        <v>805</v>
      </c>
      <c r="E18" t="b">
        <v>1</v>
      </c>
      <c r="F18">
        <v>13712</v>
      </c>
    </row>
    <row r="19" spans="1:6">
      <c r="A19" s="45">
        <f t="array" ref="A19">IFERROR(INDEX(baseline!$A$3:$A$201,MATCH($B19&amp;$C19,baseline!$C$3:$C$201&amp;baseline!$D$3:$D$201,0)),"NA")</f>
        <v>18</v>
      </c>
      <c r="B19" t="s">
        <v>763</v>
      </c>
      <c r="C19" t="s">
        <v>546</v>
      </c>
      <c r="D19" t="s">
        <v>805</v>
      </c>
      <c r="E19" t="b">
        <v>1</v>
      </c>
      <c r="F19">
        <v>13712</v>
      </c>
    </row>
    <row r="20" spans="1:6">
      <c r="A20" s="45">
        <f t="array" ref="A20">IFERROR(INDEX(baseline!$A$3:$A$201,MATCH($B20&amp;$C20,baseline!$C$3:$C$201&amp;baseline!$D$3:$D$201,0)),"NA")</f>
        <v>19</v>
      </c>
      <c r="B20" t="s">
        <v>712</v>
      </c>
      <c r="C20" t="s">
        <v>14</v>
      </c>
      <c r="D20" t="s">
        <v>805</v>
      </c>
      <c r="E20" t="b">
        <v>1</v>
      </c>
      <c r="F20">
        <v>27424</v>
      </c>
    </row>
    <row r="21" spans="1:6">
      <c r="A21" s="45">
        <f t="array" ref="A21">IFERROR(INDEX(baseline!$A$3:$A$201,MATCH($B21&amp;$C21,baseline!$C$3:$C$201&amp;baseline!$D$3:$D$201,0)),"NA")</f>
        <v>20</v>
      </c>
      <c r="B21" t="s">
        <v>2</v>
      </c>
      <c r="C21" t="s">
        <v>881</v>
      </c>
      <c r="D21" t="s">
        <v>805</v>
      </c>
      <c r="E21" t="b">
        <v>1</v>
      </c>
      <c r="F21">
        <v>857</v>
      </c>
    </row>
    <row r="22" spans="1:6">
      <c r="A22" s="45">
        <f t="array" ref="A22">IFERROR(INDEX(baseline!$A$3:$A$201,MATCH($B22&amp;$C22,baseline!$C$3:$C$201&amp;baseline!$D$3:$D$201,0)),"NA")</f>
        <v>21</v>
      </c>
      <c r="B22" t="s">
        <v>2</v>
      </c>
      <c r="C22" t="s">
        <v>13</v>
      </c>
      <c r="D22" t="s">
        <v>805</v>
      </c>
      <c r="E22" t="b">
        <v>1</v>
      </c>
      <c r="F22">
        <v>857</v>
      </c>
    </row>
    <row r="23" spans="1:6">
      <c r="A23" s="45">
        <f t="array" ref="A23">IFERROR(INDEX(baseline!$A$3:$A$201,MATCH($B23&amp;$C23,baseline!$C$3:$C$201&amp;baseline!$D$3:$D$201,0)),"NA")</f>
        <v>22</v>
      </c>
      <c r="B23" t="s">
        <v>2</v>
      </c>
      <c r="C23" t="s">
        <v>14</v>
      </c>
      <c r="D23" t="s">
        <v>805</v>
      </c>
      <c r="E23" t="b">
        <v>1</v>
      </c>
      <c r="F23">
        <v>857</v>
      </c>
    </row>
    <row r="24" spans="1:6">
      <c r="A24" s="45">
        <f t="array" ref="A24">IFERROR(INDEX(baseline!$A$3:$A$201,MATCH($B24&amp;$C24,baseline!$C$3:$C$201&amp;baseline!$D$3:$D$201,0)),"NA")</f>
        <v>23</v>
      </c>
      <c r="B24" t="s">
        <v>2</v>
      </c>
      <c r="C24" t="s">
        <v>546</v>
      </c>
      <c r="D24" t="s">
        <v>805</v>
      </c>
      <c r="E24" t="b">
        <v>1</v>
      </c>
      <c r="F24">
        <v>857</v>
      </c>
    </row>
    <row r="25" spans="1:6">
      <c r="A25" s="45">
        <f t="array" ref="A25">IFERROR(INDEX(baseline!$A$3:$A$201,MATCH($B25&amp;$C25,baseline!$C$3:$C$201&amp;baseline!$D$3:$D$201,0)),"NA")</f>
        <v>24</v>
      </c>
      <c r="B25" t="s">
        <v>547</v>
      </c>
      <c r="C25" t="s">
        <v>881</v>
      </c>
      <c r="D25" t="s">
        <v>805</v>
      </c>
      <c r="E25" t="b">
        <v>1</v>
      </c>
      <c r="F25">
        <v>35137</v>
      </c>
    </row>
    <row r="26" spans="1:6">
      <c r="A26" s="45">
        <f t="array" ref="A26">IFERROR(INDEX(baseline!$A$3:$A$201,MATCH($B26&amp;$C26,baseline!$C$3:$C$201&amp;baseline!$D$3:$D$201,0)),"NA")</f>
        <v>25</v>
      </c>
      <c r="B26" t="s">
        <v>547</v>
      </c>
      <c r="C26" t="s">
        <v>14</v>
      </c>
      <c r="D26" t="s">
        <v>805</v>
      </c>
      <c r="E26" t="b">
        <v>1</v>
      </c>
      <c r="F26">
        <v>35137</v>
      </c>
    </row>
    <row r="27" spans="1:6">
      <c r="A27" s="45">
        <f t="array" ref="A27">IFERROR(INDEX(baseline!$A$3:$A$201,MATCH($B27&amp;$C27,baseline!$C$3:$C$201&amp;baseline!$D$3:$D$201,0)),"NA")</f>
        <v>26</v>
      </c>
      <c r="B27" t="s">
        <v>547</v>
      </c>
      <c r="C27" t="s">
        <v>546</v>
      </c>
      <c r="D27" t="s">
        <v>805</v>
      </c>
      <c r="E27" t="b">
        <v>1</v>
      </c>
      <c r="F27">
        <v>35137</v>
      </c>
    </row>
    <row r="28" spans="1:6">
      <c r="A28" s="45">
        <f t="array" ref="A28">IFERROR(INDEX(baseline!$A$3:$A$201,MATCH($B28&amp;$C28,baseline!$C$3:$C$201&amp;baseline!$D$3:$D$201,0)),"NA")</f>
        <v>27</v>
      </c>
      <c r="B28" t="s">
        <v>1</v>
      </c>
      <c r="C28" t="s">
        <v>881</v>
      </c>
      <c r="D28" t="s">
        <v>805</v>
      </c>
      <c r="E28" t="b">
        <v>1</v>
      </c>
      <c r="F28">
        <v>8750</v>
      </c>
    </row>
    <row r="29" spans="1:6">
      <c r="A29" s="45">
        <f t="array" ref="A29">IFERROR(INDEX(baseline!$A$3:$A$201,MATCH($B29&amp;$C29,baseline!$C$3:$C$201&amp;baseline!$D$3:$D$201,0)),"NA")</f>
        <v>28</v>
      </c>
      <c r="B29" t="s">
        <v>1</v>
      </c>
      <c r="C29" t="s">
        <v>14</v>
      </c>
      <c r="D29" t="s">
        <v>805</v>
      </c>
      <c r="E29" t="b">
        <v>1</v>
      </c>
      <c r="F29">
        <v>8750</v>
      </c>
    </row>
    <row r="30" spans="1:6">
      <c r="A30" s="45" t="str">
        <f t="array" ref="A30">IFERROR(INDEX(baseline!$A$3:$A$201,MATCH($B30&amp;$C30,baseline!$C$3:$C$201&amp;baseline!$D$3:$D$201,0)),"NA")</f>
        <v>NA</v>
      </c>
      <c r="B30" t="s">
        <v>0</v>
      </c>
      <c r="C30" t="s">
        <v>13</v>
      </c>
      <c r="D30" t="s">
        <v>805</v>
      </c>
      <c r="E30" t="b">
        <v>1</v>
      </c>
      <c r="F30">
        <v>64275</v>
      </c>
    </row>
    <row r="31" spans="1:6">
      <c r="A31" s="45" t="str">
        <f t="array" ref="A31">IFERROR(INDEX(baseline!$A$3:$A$201,MATCH($B31&amp;$C31,baseline!$C$3:$C$201&amp;baseline!$D$3:$D$201,0)),"NA")</f>
        <v>NA</v>
      </c>
      <c r="B31" t="s">
        <v>0</v>
      </c>
      <c r="C31" t="s">
        <v>14</v>
      </c>
      <c r="D31" t="s">
        <v>805</v>
      </c>
      <c r="E31" t="b">
        <v>1</v>
      </c>
      <c r="F31">
        <v>64275</v>
      </c>
    </row>
    <row r="32" spans="1:6">
      <c r="A32" s="45">
        <f t="array" ref="A32">IFERROR(INDEX(baseline!$A$3:$A$201,MATCH($B32&amp;$C32,baseline!$C$3:$C$201&amp;baseline!$D$3:$D$201,0)),"NA")</f>
        <v>30</v>
      </c>
      <c r="B32" t="s">
        <v>0</v>
      </c>
      <c r="C32" t="s">
        <v>546</v>
      </c>
      <c r="D32" t="s">
        <v>805</v>
      </c>
      <c r="E32" t="b">
        <v>1</v>
      </c>
      <c r="F32">
        <v>64275</v>
      </c>
    </row>
    <row r="33" spans="1:6">
      <c r="A33" s="45" t="str">
        <f t="array" ref="A33">IFERROR(INDEX(baseline!$A$3:$A$201,MATCH($B33&amp;$C33,baseline!$C$3:$C$201&amp;baseline!$D$3:$D$201,0)),"NA")</f>
        <v>NA</v>
      </c>
      <c r="B33" t="s">
        <v>78</v>
      </c>
      <c r="C33" t="s">
        <v>13</v>
      </c>
      <c r="D33" t="s">
        <v>805</v>
      </c>
      <c r="E33" t="b">
        <v>1</v>
      </c>
      <c r="F33">
        <v>8668</v>
      </c>
    </row>
    <row r="34" spans="1:6">
      <c r="A34" s="45" t="str">
        <f t="array" ref="A34">IFERROR(INDEX(baseline!$A$3:$A$201,MATCH($B34&amp;$C34,baseline!$C$3:$C$201&amp;baseline!$D$3:$D$201,0)),"NA")</f>
        <v>NA</v>
      </c>
      <c r="B34" t="s">
        <v>78</v>
      </c>
      <c r="C34" t="s">
        <v>14</v>
      </c>
      <c r="D34" t="s">
        <v>805</v>
      </c>
      <c r="E34" t="b">
        <v>1</v>
      </c>
      <c r="F34">
        <v>8668</v>
      </c>
    </row>
    <row r="35" spans="1:6">
      <c r="A35" s="45">
        <f t="array" ref="A35">IFERROR(INDEX(baseline!$A$3:$A$201,MATCH($B35&amp;$C35,baseline!$C$3:$C$201&amp;baseline!$D$3:$D$201,0)),"NA")</f>
        <v>31</v>
      </c>
      <c r="B35" t="s">
        <v>78</v>
      </c>
      <c r="C35" t="s">
        <v>546</v>
      </c>
      <c r="D35" t="s">
        <v>805</v>
      </c>
      <c r="E35" t="b">
        <v>1</v>
      </c>
      <c r="F35">
        <v>8668</v>
      </c>
    </row>
    <row r="36" spans="1:6">
      <c r="A36" s="45" t="str">
        <f t="array" ref="A36">IFERROR(INDEX(baseline!$A$3:$A$201,MATCH($B36&amp;$C36,baseline!$C$3:$C$201&amp;baseline!$D$3:$D$201,0)),"NA")</f>
        <v>NA</v>
      </c>
      <c r="B36" t="s">
        <v>545</v>
      </c>
      <c r="C36" t="s">
        <v>13</v>
      </c>
      <c r="D36" t="s">
        <v>805</v>
      </c>
      <c r="E36" t="b">
        <v>1</v>
      </c>
      <c r="F36">
        <v>7713</v>
      </c>
    </row>
    <row r="37" spans="1:6">
      <c r="A37" s="45" t="str">
        <f t="array" ref="A37">IFERROR(INDEX(baseline!$A$3:$A$201,MATCH($B37&amp;$C37,baseline!$C$3:$C$201&amp;baseline!$D$3:$D$201,0)),"NA")</f>
        <v>NA</v>
      </c>
      <c r="B37" t="s">
        <v>545</v>
      </c>
      <c r="C37" t="s">
        <v>14</v>
      </c>
      <c r="D37" t="s">
        <v>805</v>
      </c>
      <c r="E37" t="b">
        <v>1</v>
      </c>
      <c r="F37">
        <v>7713</v>
      </c>
    </row>
    <row r="38" spans="1:6">
      <c r="A38" s="45">
        <f t="array" ref="A38">IFERROR(INDEX(baseline!$A$3:$A$201,MATCH($B38&amp;$C38,baseline!$C$3:$C$201&amp;baseline!$D$3:$D$201,0)),"NA")</f>
        <v>29</v>
      </c>
      <c r="B38" t="s">
        <v>761</v>
      </c>
      <c r="C38" t="s">
        <v>546</v>
      </c>
      <c r="D38" t="s">
        <v>805</v>
      </c>
      <c r="E38" t="b">
        <v>1</v>
      </c>
      <c r="F38">
        <v>65989</v>
      </c>
    </row>
    <row r="39" spans="1:6">
      <c r="A39" s="45" t="str">
        <f t="array" ref="A39">IFERROR(INDEX(baseline!$A$3:$A$201,MATCH($B39&amp;$C39,baseline!$C$3:$C$201&amp;baseline!$D$3:$D$201,0)),"NA")</f>
        <v>NA</v>
      </c>
      <c r="B39" t="s">
        <v>697</v>
      </c>
      <c r="C39" t="s">
        <v>13</v>
      </c>
      <c r="D39" t="s">
        <v>805</v>
      </c>
      <c r="E39" t="b">
        <v>1</v>
      </c>
      <c r="F39">
        <v>9427</v>
      </c>
    </row>
    <row r="40" spans="1:6">
      <c r="A40" s="45" t="str">
        <f t="array" ref="A40">IFERROR(INDEX(baseline!$A$3:$A$201,MATCH($B40&amp;$C40,baseline!$C$3:$C$201&amp;baseline!$D$3:$D$201,0)),"NA")</f>
        <v>NA</v>
      </c>
      <c r="B40" t="s">
        <v>697</v>
      </c>
      <c r="C40" t="s">
        <v>546</v>
      </c>
      <c r="D40" t="s">
        <v>805</v>
      </c>
      <c r="E40" t="b">
        <v>1</v>
      </c>
      <c r="F40">
        <v>9427</v>
      </c>
    </row>
    <row r="41" spans="1:6">
      <c r="A41" s="45" t="str">
        <f t="array" ref="A41">IFERROR(INDEX(baseline!$A$3:$A$201,MATCH($B41&amp;$C41,baseline!$C$3:$C$201&amp;baseline!$D$3:$D$201,0)),"NA")</f>
        <v>NA</v>
      </c>
      <c r="B41" t="s">
        <v>713</v>
      </c>
      <c r="C41" t="s">
        <v>546</v>
      </c>
      <c r="D41" t="s">
        <v>805</v>
      </c>
      <c r="E41" t="b">
        <v>1</v>
      </c>
      <c r="F41">
        <v>7713</v>
      </c>
    </row>
    <row r="42" spans="1:6">
      <c r="A42" s="45" t="str">
        <f t="array" ref="A42">IFERROR(INDEX(baseline!$A$3:$A$201,MATCH($B42&amp;$C42,baseline!$C$3:$C$201&amp;baseline!$D$3:$D$201,0)),"NA")</f>
        <v>NA</v>
      </c>
      <c r="B42" t="s">
        <v>762</v>
      </c>
      <c r="C42" t="s">
        <v>546</v>
      </c>
      <c r="D42" t="s">
        <v>805</v>
      </c>
      <c r="E42" t="b">
        <v>1</v>
      </c>
      <c r="F42">
        <v>43707</v>
      </c>
    </row>
    <row r="43" spans="1:6">
      <c r="A43" s="45" t="str">
        <f t="array" ref="A43">IFERROR(INDEX(baseline!$A$3:$A$201,MATCH($B43&amp;$C43,baseline!$C$3:$C$201&amp;baseline!$D$3:$D$201,0)),"NA")</f>
        <v>NA</v>
      </c>
      <c r="B43" t="s">
        <v>763</v>
      </c>
      <c r="C43" t="s">
        <v>881</v>
      </c>
      <c r="D43" t="s">
        <v>805</v>
      </c>
      <c r="E43" t="b">
        <v>1</v>
      </c>
      <c r="F43">
        <v>13712</v>
      </c>
    </row>
    <row r="44" spans="1:6">
      <c r="A44" s="45" t="str">
        <f t="array" ref="A44">IFERROR(INDEX(baseline!$A$3:$A$201,MATCH($B44&amp;$C44,baseline!$C$3:$C$201&amp;baseline!$D$3:$D$201,0)),"NA")</f>
        <v>NA</v>
      </c>
      <c r="B44" t="s">
        <v>712</v>
      </c>
      <c r="C44" t="s">
        <v>881</v>
      </c>
      <c r="D44" t="s">
        <v>805</v>
      </c>
      <c r="E44" t="b">
        <v>1</v>
      </c>
      <c r="F44">
        <v>27424</v>
      </c>
    </row>
    <row r="45" spans="1:6">
      <c r="A45" s="45" t="str">
        <f t="array" ref="A45">IFERROR(INDEX(baseline!$A$3:$A$201,MATCH($B45&amp;$C45,baseline!$C$3:$C$201&amp;baseline!$D$3:$D$201,0)),"NA")</f>
        <v>NA</v>
      </c>
      <c r="B45" t="s">
        <v>712</v>
      </c>
      <c r="C45" t="s">
        <v>13</v>
      </c>
      <c r="D45" t="s">
        <v>805</v>
      </c>
      <c r="E45" t="b">
        <v>1</v>
      </c>
      <c r="F45">
        <v>27424</v>
      </c>
    </row>
    <row r="46" spans="1:6">
      <c r="A46" s="45" t="str">
        <f t="array" ref="A46">IFERROR(INDEX(baseline!$A$3:$A$201,MATCH($B46&amp;$C46,baseline!$C$3:$C$201&amp;baseline!$D$3:$D$201,0)),"NA")</f>
        <v>NA</v>
      </c>
      <c r="B46" t="s">
        <v>712</v>
      </c>
      <c r="C46" t="s">
        <v>546</v>
      </c>
      <c r="D46" t="s">
        <v>805</v>
      </c>
      <c r="E46" t="b">
        <v>1</v>
      </c>
      <c r="F46">
        <v>27424</v>
      </c>
    </row>
    <row r="47" spans="1:6">
      <c r="A47" s="45" t="str">
        <f t="array" ref="A47">IFERROR(INDEX(baseline!$A$3:$A$201,MATCH($B47&amp;$C47,baseline!$C$3:$C$201&amp;baseline!$D$3:$D$201,0)),"NA")</f>
        <v>NA</v>
      </c>
      <c r="B47" t="s">
        <v>547</v>
      </c>
      <c r="C47" t="s">
        <v>13</v>
      </c>
      <c r="D47" t="s">
        <v>805</v>
      </c>
      <c r="E47" t="b">
        <v>1</v>
      </c>
      <c r="F47">
        <v>35137</v>
      </c>
    </row>
    <row r="48" spans="1:6">
      <c r="A48" s="45" t="str">
        <f t="array" ref="A48">IFERROR(INDEX(baseline!$A$3:$A$201,MATCH($B48&amp;$C48,baseline!$C$3:$C$201&amp;baseline!$D$3:$D$201,0)),"NA")</f>
        <v>NA</v>
      </c>
      <c r="B48" t="s">
        <v>1</v>
      </c>
      <c r="C48" t="s">
        <v>13</v>
      </c>
      <c r="D48" t="s">
        <v>805</v>
      </c>
      <c r="E48" t="b">
        <v>1</v>
      </c>
      <c r="F48">
        <v>8750</v>
      </c>
    </row>
    <row r="49" spans="1:6">
      <c r="A49" s="45" t="str">
        <f t="array" ref="A49">IFERROR(INDEX(baseline!$A$3:$A$201,MATCH($B49&amp;$C49,baseline!$C$3:$C$201&amp;baseline!$D$3:$D$201,0)),"NA")</f>
        <v>NA</v>
      </c>
      <c r="B49" t="s">
        <v>1</v>
      </c>
      <c r="C49" t="s">
        <v>546</v>
      </c>
      <c r="D49" t="s">
        <v>805</v>
      </c>
      <c r="E49" t="b">
        <v>1</v>
      </c>
      <c r="F49">
        <v>8750</v>
      </c>
    </row>
  </sheetData>
  <sortState ref="A2:F49">
    <sortCondition ref="A2:A49"/>
    <sortCondition ref="B2:B49"/>
    <sortCondition ref="C2:C49"/>
    <sortCondition ref="D2:D49"/>
  </sortState>
  <pageMargins left="0.7" right="0.7" top="0.75" bottom="0.75" header="0.3" footer="0.3"/>
</worksheet>
</file>

<file path=xl/worksheets/sheet18.xml><?xml version="1.0" encoding="utf-8"?>
<worksheet xmlns="http://schemas.openxmlformats.org/spreadsheetml/2006/main" xmlns:r="http://schemas.openxmlformats.org/officeDocument/2006/relationships">
  <sheetPr>
    <tabColor rgb="FF00B050"/>
  </sheetPr>
  <dimension ref="A1:K49"/>
  <sheetViews>
    <sheetView zoomScale="110" zoomScaleNormal="110" workbookViewId="0">
      <selection activeCell="I33" sqref="I33:I34"/>
    </sheetView>
  </sheetViews>
  <sheetFormatPr defaultRowHeight="14.4"/>
  <cols>
    <col min="2" max="2" width="23.44140625" bestFit="1" customWidth="1"/>
    <col min="3" max="3" width="9.6640625" bestFit="1" customWidth="1"/>
    <col min="4" max="4" width="21.44140625" style="131" customWidth="1"/>
    <col min="5" max="5" width="24.109375" style="131" bestFit="1" customWidth="1"/>
    <col min="6" max="6" width="30.88671875" style="131" bestFit="1" customWidth="1"/>
    <col min="7" max="7" width="48.88671875" style="131" bestFit="1" customWidth="1"/>
    <col min="8" max="8" width="36.109375" style="131" bestFit="1" customWidth="1"/>
    <col min="9" max="9" width="49.5546875" style="131" bestFit="1" customWidth="1"/>
    <col min="10" max="10" width="48.5546875" style="131" bestFit="1" customWidth="1"/>
    <col min="11" max="11" width="28.88671875" bestFit="1" customWidth="1"/>
  </cols>
  <sheetData>
    <row r="1" spans="1:11" ht="15.6">
      <c r="A1" t="s">
        <v>921</v>
      </c>
      <c r="B1" s="128" t="s">
        <v>766</v>
      </c>
      <c r="C1" s="127" t="s">
        <v>748</v>
      </c>
      <c r="D1" s="131" t="s">
        <v>774</v>
      </c>
      <c r="E1" s="131" t="s">
        <v>730</v>
      </c>
      <c r="F1" s="131" t="s">
        <v>731</v>
      </c>
      <c r="G1" s="131" t="s">
        <v>732</v>
      </c>
      <c r="H1" s="131" t="s">
        <v>733</v>
      </c>
      <c r="I1" s="131" t="s">
        <v>775</v>
      </c>
      <c r="J1" s="131" t="s">
        <v>734</v>
      </c>
      <c r="K1" t="s">
        <v>899</v>
      </c>
    </row>
    <row r="2" spans="1:11">
      <c r="A2" s="45">
        <f t="array" ref="A2">IFERROR(INDEX(baseline!$A$3:$A$201,MATCH($B2&amp;$C2,baseline!$C$3:$C$201&amp;baseline!$D$3:$D$201,0)),"NA")</f>
        <v>1</v>
      </c>
      <c r="B2" t="s">
        <v>0</v>
      </c>
      <c r="C2" t="s">
        <v>881</v>
      </c>
      <c r="D2" s="131" t="s">
        <v>838</v>
      </c>
      <c r="E2" s="131" t="s">
        <v>710</v>
      </c>
      <c r="F2" s="131" t="s">
        <v>711</v>
      </c>
      <c r="G2" s="131">
        <v>19</v>
      </c>
      <c r="H2" s="131">
        <v>64000</v>
      </c>
      <c r="I2" s="131">
        <v>12</v>
      </c>
      <c r="J2" s="131">
        <v>-40</v>
      </c>
      <c r="K2">
        <v>4245</v>
      </c>
    </row>
    <row r="3" spans="1:11">
      <c r="A3" s="45">
        <f t="array" ref="A3">IFERROR(INDEX(baseline!$A$3:$A$201,MATCH($B3&amp;$C3,baseline!$C$3:$C$201&amp;baseline!$D$3:$D$201,0)),"NA")</f>
        <v>2</v>
      </c>
      <c r="B3" t="s">
        <v>78</v>
      </c>
      <c r="C3" t="s">
        <v>881</v>
      </c>
      <c r="D3" s="131" t="s">
        <v>838</v>
      </c>
      <c r="E3" s="131" t="s">
        <v>710</v>
      </c>
      <c r="F3" s="131" t="s">
        <v>711</v>
      </c>
      <c r="G3" s="131">
        <v>19</v>
      </c>
      <c r="H3" s="131">
        <v>64000</v>
      </c>
      <c r="I3" s="131">
        <v>12</v>
      </c>
      <c r="J3" s="131">
        <v>-40</v>
      </c>
      <c r="K3">
        <v>1104</v>
      </c>
    </row>
    <row r="4" spans="1:11">
      <c r="A4" s="45">
        <f t="array" ref="A4">IFERROR(INDEX(baseline!$A$3:$A$201,MATCH($B4&amp;$C4,baseline!$C$3:$C$201&amp;baseline!$D$3:$D$201,0)),"NA")</f>
        <v>3</v>
      </c>
      <c r="B4" t="s">
        <v>545</v>
      </c>
      <c r="C4" t="s">
        <v>881</v>
      </c>
      <c r="D4" s="131" t="s">
        <v>838</v>
      </c>
      <c r="E4" s="131" t="s">
        <v>710</v>
      </c>
      <c r="F4" s="131" t="s">
        <v>711</v>
      </c>
      <c r="G4" s="131">
        <v>19</v>
      </c>
      <c r="H4" s="131">
        <v>64000</v>
      </c>
      <c r="I4" s="131">
        <v>12</v>
      </c>
      <c r="J4" s="131">
        <v>-40</v>
      </c>
      <c r="K4">
        <v>4830</v>
      </c>
    </row>
    <row r="5" spans="1:11">
      <c r="A5" s="45">
        <f t="array" ref="A5">IFERROR(INDEX(baseline!$A$3:$A$201,MATCH($B5&amp;$C5,baseline!$C$3:$C$201&amp;baseline!$D$3:$D$201,0)),"NA")</f>
        <v>4</v>
      </c>
      <c r="B5" t="s">
        <v>545</v>
      </c>
      <c r="C5" t="s">
        <v>546</v>
      </c>
      <c r="D5" s="131" t="s">
        <v>838</v>
      </c>
      <c r="E5" s="131" t="s">
        <v>710</v>
      </c>
      <c r="F5" s="131" t="s">
        <v>711</v>
      </c>
      <c r="G5" s="131">
        <v>19</v>
      </c>
      <c r="H5" s="131">
        <v>64000</v>
      </c>
      <c r="I5" s="131">
        <v>12</v>
      </c>
      <c r="J5" s="131">
        <v>-40</v>
      </c>
      <c r="K5">
        <v>4830</v>
      </c>
    </row>
    <row r="6" spans="1:11">
      <c r="A6" s="45">
        <f t="array" ref="A6">IFERROR(INDEX(baseline!$A$3:$A$201,MATCH($B6&amp;$C6,baseline!$C$3:$C$201&amp;baseline!$D$3:$D$201,0)),"NA")</f>
        <v>5</v>
      </c>
      <c r="B6" t="s">
        <v>761</v>
      </c>
      <c r="C6" t="s">
        <v>881</v>
      </c>
      <c r="D6" s="131" t="s">
        <v>838</v>
      </c>
      <c r="E6" s="131" t="s">
        <v>710</v>
      </c>
      <c r="F6" s="131" t="s">
        <v>711</v>
      </c>
      <c r="G6" s="131">
        <v>19</v>
      </c>
      <c r="H6" s="131">
        <v>64000</v>
      </c>
      <c r="I6" s="131">
        <v>12</v>
      </c>
      <c r="J6" s="131">
        <v>-40</v>
      </c>
      <c r="K6">
        <v>2830</v>
      </c>
    </row>
    <row r="7" spans="1:11">
      <c r="A7" s="45">
        <f t="array" ref="A7">IFERROR(INDEX(baseline!$A$3:$A$201,MATCH($B7&amp;$C7,baseline!$C$3:$C$201&amp;baseline!$D$3:$D$201,0)),"NA")</f>
        <v>6</v>
      </c>
      <c r="B7" t="s">
        <v>761</v>
      </c>
      <c r="C7" t="s">
        <v>13</v>
      </c>
      <c r="D7" s="131" t="s">
        <v>838</v>
      </c>
      <c r="E7" s="131" t="s">
        <v>710</v>
      </c>
      <c r="F7" s="131" t="s">
        <v>711</v>
      </c>
      <c r="G7" s="131">
        <v>19</v>
      </c>
      <c r="H7" s="131">
        <v>64000</v>
      </c>
      <c r="I7" s="131">
        <v>12</v>
      </c>
      <c r="J7" s="131">
        <v>-40</v>
      </c>
      <c r="K7">
        <v>2830</v>
      </c>
    </row>
    <row r="8" spans="1:11">
      <c r="A8" s="45">
        <f t="array" ref="A8">IFERROR(INDEX(baseline!$A$3:$A$201,MATCH($B8&amp;$C8,baseline!$C$3:$C$201&amp;baseline!$D$3:$D$201,0)),"NA")</f>
        <v>7</v>
      </c>
      <c r="B8" t="s">
        <v>761</v>
      </c>
      <c r="C8" t="s">
        <v>14</v>
      </c>
      <c r="D8" s="131" t="s">
        <v>838</v>
      </c>
      <c r="E8" s="131" t="s">
        <v>710</v>
      </c>
      <c r="F8" s="131" t="s">
        <v>711</v>
      </c>
      <c r="G8" s="131">
        <v>19</v>
      </c>
      <c r="H8" s="131">
        <v>64000</v>
      </c>
      <c r="I8" s="131">
        <v>12</v>
      </c>
      <c r="J8" s="131">
        <v>-40</v>
      </c>
      <c r="K8">
        <v>2830</v>
      </c>
    </row>
    <row r="9" spans="1:11">
      <c r="A9" s="45">
        <f t="array" ref="A9">IFERROR(INDEX(baseline!$A$3:$A$201,MATCH($B9&amp;$C9,baseline!$C$3:$C$201&amp;baseline!$D$3:$D$201,0)),"NA")</f>
        <v>8</v>
      </c>
      <c r="B9" t="s">
        <v>697</v>
      </c>
      <c r="C9" t="s">
        <v>881</v>
      </c>
      <c r="D9" s="131" t="s">
        <v>838</v>
      </c>
      <c r="E9" s="131" t="s">
        <v>710</v>
      </c>
      <c r="F9" s="131" t="s">
        <v>711</v>
      </c>
      <c r="G9" s="131">
        <v>19</v>
      </c>
      <c r="H9" s="131">
        <v>64000</v>
      </c>
      <c r="I9" s="131">
        <v>12</v>
      </c>
      <c r="J9" s="131">
        <v>-40</v>
      </c>
      <c r="K9">
        <v>1208</v>
      </c>
    </row>
    <row r="10" spans="1:11">
      <c r="A10" s="45">
        <f t="array" ref="A10">IFERROR(INDEX(baseline!$A$3:$A$201,MATCH($B10&amp;$C10,baseline!$C$3:$C$201&amp;baseline!$D$3:$D$201,0)),"NA")</f>
        <v>9</v>
      </c>
      <c r="B10" t="s">
        <v>697</v>
      </c>
      <c r="C10" t="s">
        <v>14</v>
      </c>
      <c r="D10" s="131" t="s">
        <v>838</v>
      </c>
      <c r="E10" s="131" t="s">
        <v>710</v>
      </c>
      <c r="F10" s="131" t="s">
        <v>711</v>
      </c>
      <c r="G10" s="131">
        <v>19</v>
      </c>
      <c r="H10" s="131">
        <v>64000</v>
      </c>
      <c r="I10" s="131">
        <v>12</v>
      </c>
      <c r="J10" s="131">
        <v>-40</v>
      </c>
      <c r="K10">
        <v>1208</v>
      </c>
    </row>
    <row r="11" spans="1:11">
      <c r="A11" s="45">
        <f t="array" ref="A11">IFERROR(INDEX(baseline!$A$3:$A$201,MATCH($B11&amp;$C11,baseline!$C$3:$C$201&amp;baseline!$D$3:$D$201,0)),"NA")</f>
        <v>10</v>
      </c>
      <c r="B11" t="s">
        <v>713</v>
      </c>
      <c r="C11" t="s">
        <v>881</v>
      </c>
      <c r="D11" s="131" t="s">
        <v>838</v>
      </c>
      <c r="E11" s="131" t="s">
        <v>710</v>
      </c>
      <c r="F11" s="131" t="s">
        <v>711</v>
      </c>
      <c r="G11" s="131">
        <v>19</v>
      </c>
      <c r="H11" s="131">
        <v>64000</v>
      </c>
      <c r="I11" s="131">
        <v>12</v>
      </c>
      <c r="J11" s="131">
        <v>-40</v>
      </c>
      <c r="K11">
        <v>1415</v>
      </c>
    </row>
    <row r="12" spans="1:11">
      <c r="A12" s="45">
        <f t="array" ref="A12">IFERROR(INDEX(baseline!$A$3:$A$201,MATCH($B12&amp;$C12,baseline!$C$3:$C$201&amp;baseline!$D$3:$D$201,0)),"NA")</f>
        <v>11</v>
      </c>
      <c r="B12" t="s">
        <v>713</v>
      </c>
      <c r="C12" t="s">
        <v>13</v>
      </c>
      <c r="D12" s="131" t="s">
        <v>838</v>
      </c>
      <c r="E12" s="131" t="s">
        <v>710</v>
      </c>
      <c r="F12" s="131" t="s">
        <v>711</v>
      </c>
      <c r="G12" s="131">
        <v>19</v>
      </c>
      <c r="H12" s="131">
        <v>64000</v>
      </c>
      <c r="I12" s="131">
        <v>12</v>
      </c>
      <c r="J12" s="131">
        <v>-40</v>
      </c>
      <c r="K12">
        <v>1415</v>
      </c>
    </row>
    <row r="13" spans="1:11">
      <c r="A13" s="45">
        <f t="array" ref="A13">IFERROR(INDEX(baseline!$A$3:$A$201,MATCH($B13&amp;$C13,baseline!$C$3:$C$201&amp;baseline!$D$3:$D$201,0)),"NA")</f>
        <v>12</v>
      </c>
      <c r="B13" t="s">
        <v>713</v>
      </c>
      <c r="C13" t="s">
        <v>14</v>
      </c>
      <c r="D13" s="131" t="s">
        <v>838</v>
      </c>
      <c r="E13" s="131" t="s">
        <v>710</v>
      </c>
      <c r="F13" s="131" t="s">
        <v>711</v>
      </c>
      <c r="G13" s="131">
        <v>19</v>
      </c>
      <c r="H13" s="131">
        <v>64000</v>
      </c>
      <c r="I13" s="131">
        <v>12</v>
      </c>
      <c r="J13" s="131">
        <v>-40</v>
      </c>
      <c r="K13">
        <v>1415</v>
      </c>
    </row>
    <row r="14" spans="1:11">
      <c r="A14" s="45">
        <f t="array" ref="A14">IFERROR(INDEX(baseline!$A$3:$A$201,MATCH($B14&amp;$C14,baseline!$C$3:$C$201&amp;baseline!$D$3:$D$201,0)),"NA")</f>
        <v>13</v>
      </c>
      <c r="B14" t="s">
        <v>762</v>
      </c>
      <c r="C14" t="s">
        <v>881</v>
      </c>
      <c r="D14" s="131" t="s">
        <v>838</v>
      </c>
      <c r="E14" s="131" t="s">
        <v>710</v>
      </c>
      <c r="F14" s="131" t="s">
        <v>711</v>
      </c>
      <c r="G14" s="131">
        <v>19</v>
      </c>
      <c r="H14" s="131">
        <v>64000</v>
      </c>
      <c r="I14" s="131">
        <v>12</v>
      </c>
      <c r="J14" s="131">
        <v>-40</v>
      </c>
      <c r="K14">
        <v>7075</v>
      </c>
    </row>
    <row r="15" spans="1:11">
      <c r="A15" s="45">
        <f t="array" ref="A15">IFERROR(INDEX(baseline!$A$3:$A$201,MATCH($B15&amp;$C15,baseline!$C$3:$C$201&amp;baseline!$D$3:$D$201,0)),"NA")</f>
        <v>14</v>
      </c>
      <c r="B15" t="s">
        <v>762</v>
      </c>
      <c r="C15" t="s">
        <v>13</v>
      </c>
      <c r="D15" s="131" t="s">
        <v>838</v>
      </c>
      <c r="E15" s="131" t="s">
        <v>710</v>
      </c>
      <c r="F15" s="131" t="s">
        <v>711</v>
      </c>
      <c r="G15" s="131">
        <v>19</v>
      </c>
      <c r="H15" s="131">
        <v>64000</v>
      </c>
      <c r="I15" s="131">
        <v>12</v>
      </c>
      <c r="J15" s="131">
        <v>-40</v>
      </c>
      <c r="K15">
        <v>7075</v>
      </c>
    </row>
    <row r="16" spans="1:11">
      <c r="A16" s="45">
        <f t="array" ref="A16">IFERROR(INDEX(baseline!$A$3:$A$201,MATCH($B16&amp;$C16,baseline!$C$3:$C$201&amp;baseline!$D$3:$D$201,0)),"NA")</f>
        <v>15</v>
      </c>
      <c r="B16" t="s">
        <v>762</v>
      </c>
      <c r="C16" t="s">
        <v>14</v>
      </c>
      <c r="D16" s="131" t="s">
        <v>838</v>
      </c>
      <c r="E16" s="131" t="s">
        <v>710</v>
      </c>
      <c r="F16" s="131" t="s">
        <v>711</v>
      </c>
      <c r="G16" s="131">
        <v>19</v>
      </c>
      <c r="H16" s="131">
        <v>64000</v>
      </c>
      <c r="I16" s="131">
        <v>12</v>
      </c>
      <c r="J16" s="131">
        <v>-40</v>
      </c>
      <c r="K16">
        <v>7075</v>
      </c>
    </row>
    <row r="17" spans="1:11">
      <c r="A17" s="45">
        <f t="array" ref="A17">IFERROR(INDEX(baseline!$A$3:$A$201,MATCH($B17&amp;$C17,baseline!$C$3:$C$201&amp;baseline!$D$3:$D$201,0)),"NA")</f>
        <v>16</v>
      </c>
      <c r="B17" t="s">
        <v>763</v>
      </c>
      <c r="C17" t="s">
        <v>13</v>
      </c>
      <c r="D17" s="131" t="s">
        <v>838</v>
      </c>
      <c r="E17" s="131" t="s">
        <v>710</v>
      </c>
      <c r="F17" s="131" t="s">
        <v>711</v>
      </c>
      <c r="G17" s="131">
        <v>19</v>
      </c>
      <c r="H17" s="131">
        <v>64000</v>
      </c>
      <c r="I17" s="131">
        <v>12</v>
      </c>
      <c r="J17" s="131">
        <v>-40</v>
      </c>
      <c r="K17">
        <v>5660</v>
      </c>
    </row>
    <row r="18" spans="1:11">
      <c r="A18" s="45">
        <f t="array" ref="A18">IFERROR(INDEX(baseline!$A$3:$A$201,MATCH($B18&amp;$C18,baseline!$C$3:$C$201&amp;baseline!$D$3:$D$201,0)),"NA")</f>
        <v>17</v>
      </c>
      <c r="B18" t="s">
        <v>763</v>
      </c>
      <c r="C18" t="s">
        <v>14</v>
      </c>
      <c r="D18" s="131" t="s">
        <v>838</v>
      </c>
      <c r="E18" s="131" t="s">
        <v>710</v>
      </c>
      <c r="F18" s="131" t="s">
        <v>711</v>
      </c>
      <c r="G18" s="131">
        <v>19</v>
      </c>
      <c r="H18" s="131">
        <v>64000</v>
      </c>
      <c r="I18" s="131">
        <v>12</v>
      </c>
      <c r="J18" s="131">
        <v>-40</v>
      </c>
      <c r="K18">
        <v>5660</v>
      </c>
    </row>
    <row r="19" spans="1:11">
      <c r="A19" s="45">
        <f t="array" ref="A19">IFERROR(INDEX(baseline!$A$3:$A$201,MATCH($B19&amp;$C19,baseline!$C$3:$C$201&amp;baseline!$D$3:$D$201,0)),"NA")</f>
        <v>18</v>
      </c>
      <c r="B19" t="s">
        <v>763</v>
      </c>
      <c r="C19" t="s">
        <v>546</v>
      </c>
      <c r="D19" s="131" t="s">
        <v>838</v>
      </c>
      <c r="E19" s="131" t="s">
        <v>710</v>
      </c>
      <c r="F19" s="131" t="s">
        <v>711</v>
      </c>
      <c r="G19" s="131">
        <v>19</v>
      </c>
      <c r="H19" s="131">
        <v>64000</v>
      </c>
      <c r="I19" s="131">
        <v>12</v>
      </c>
      <c r="J19" s="131">
        <v>-40</v>
      </c>
      <c r="K19">
        <v>5660</v>
      </c>
    </row>
    <row r="20" spans="1:11">
      <c r="A20" s="45">
        <f t="array" ref="A20">IFERROR(INDEX(baseline!$A$3:$A$201,MATCH($B20&amp;$C20,baseline!$C$3:$C$201&amp;baseline!$D$3:$D$201,0)),"NA")</f>
        <v>19</v>
      </c>
      <c r="B20" t="s">
        <v>712</v>
      </c>
      <c r="C20" t="s">
        <v>14</v>
      </c>
      <c r="D20" s="131" t="s">
        <v>838</v>
      </c>
      <c r="E20" s="131" t="s">
        <v>710</v>
      </c>
      <c r="F20" s="131" t="s">
        <v>711</v>
      </c>
      <c r="G20" s="131">
        <v>19</v>
      </c>
      <c r="H20" s="131">
        <v>64000</v>
      </c>
      <c r="I20" s="131">
        <v>12</v>
      </c>
      <c r="J20" s="131">
        <v>-40</v>
      </c>
      <c r="K20">
        <v>8490</v>
      </c>
    </row>
    <row r="21" spans="1:11">
      <c r="A21" s="45">
        <f t="array" ref="A21">IFERROR(INDEX(baseline!$A$3:$A$201,MATCH($B21&amp;$C21,baseline!$C$3:$C$201&amp;baseline!$D$3:$D$201,0)),"NA")</f>
        <v>20</v>
      </c>
      <c r="B21" t="s">
        <v>2</v>
      </c>
      <c r="C21" t="s">
        <v>881</v>
      </c>
      <c r="D21" s="131" t="s">
        <v>769</v>
      </c>
      <c r="E21" s="131" t="s">
        <v>769</v>
      </c>
      <c r="F21" s="131" t="s">
        <v>769</v>
      </c>
      <c r="G21" s="131" t="s">
        <v>769</v>
      </c>
      <c r="H21" s="131" t="s">
        <v>769</v>
      </c>
      <c r="I21" s="131" t="s">
        <v>769</v>
      </c>
      <c r="J21" s="131" t="s">
        <v>769</v>
      </c>
      <c r="K21" s="131" t="s">
        <v>769</v>
      </c>
    </row>
    <row r="22" spans="1:11">
      <c r="A22" s="45">
        <f t="array" ref="A22">IFERROR(INDEX(baseline!$A$3:$A$201,MATCH($B22&amp;$C22,baseline!$C$3:$C$201&amp;baseline!$D$3:$D$201,0)),"NA")</f>
        <v>21</v>
      </c>
      <c r="B22" t="s">
        <v>2</v>
      </c>
      <c r="C22" t="s">
        <v>13</v>
      </c>
      <c r="D22" s="131" t="s">
        <v>769</v>
      </c>
      <c r="E22" s="131" t="s">
        <v>769</v>
      </c>
      <c r="F22" s="131" t="s">
        <v>769</v>
      </c>
      <c r="G22" s="131" t="s">
        <v>769</v>
      </c>
      <c r="H22" s="131" t="s">
        <v>769</v>
      </c>
      <c r="I22" s="131" t="s">
        <v>769</v>
      </c>
      <c r="J22" s="131" t="s">
        <v>769</v>
      </c>
      <c r="K22" s="131" t="s">
        <v>769</v>
      </c>
    </row>
    <row r="23" spans="1:11">
      <c r="A23" s="45">
        <f t="array" ref="A23">IFERROR(INDEX(baseline!$A$3:$A$201,MATCH($B23&amp;$C23,baseline!$C$3:$C$201&amp;baseline!$D$3:$D$201,0)),"NA")</f>
        <v>22</v>
      </c>
      <c r="B23" t="s">
        <v>2</v>
      </c>
      <c r="C23" t="s">
        <v>14</v>
      </c>
      <c r="D23" s="131" t="s">
        <v>769</v>
      </c>
      <c r="E23" s="131" t="s">
        <v>769</v>
      </c>
      <c r="F23" s="131" t="s">
        <v>769</v>
      </c>
      <c r="G23" s="131" t="s">
        <v>769</v>
      </c>
      <c r="H23" s="131" t="s">
        <v>769</v>
      </c>
      <c r="I23" s="131" t="s">
        <v>769</v>
      </c>
      <c r="J23" s="131" t="s">
        <v>769</v>
      </c>
      <c r="K23" s="131" t="s">
        <v>769</v>
      </c>
    </row>
    <row r="24" spans="1:11">
      <c r="A24" s="45">
        <f t="array" ref="A24">IFERROR(INDEX(baseline!$A$3:$A$201,MATCH($B24&amp;$C24,baseline!$C$3:$C$201&amp;baseline!$D$3:$D$201,0)),"NA")</f>
        <v>23</v>
      </c>
      <c r="B24" t="s">
        <v>2</v>
      </c>
      <c r="C24" t="s">
        <v>546</v>
      </c>
      <c r="D24" s="131" t="s">
        <v>769</v>
      </c>
      <c r="E24" s="131" t="s">
        <v>769</v>
      </c>
      <c r="F24" s="131" t="s">
        <v>769</v>
      </c>
      <c r="G24" s="131" t="s">
        <v>769</v>
      </c>
      <c r="H24" s="131" t="s">
        <v>769</v>
      </c>
      <c r="I24" s="131" t="s">
        <v>769</v>
      </c>
      <c r="J24" s="131" t="s">
        <v>769</v>
      </c>
      <c r="K24" s="131" t="s">
        <v>769</v>
      </c>
    </row>
    <row r="25" spans="1:11">
      <c r="A25" s="45">
        <f t="array" ref="A25">IFERROR(INDEX(baseline!$A$3:$A$201,MATCH($B25&amp;$C25,baseline!$C$3:$C$201&amp;baseline!$D$3:$D$201,0)),"NA")</f>
        <v>24</v>
      </c>
      <c r="B25" t="s">
        <v>547</v>
      </c>
      <c r="C25" t="s">
        <v>881</v>
      </c>
      <c r="D25" s="131" t="s">
        <v>838</v>
      </c>
      <c r="E25" s="131" t="s">
        <v>710</v>
      </c>
      <c r="F25" s="131" t="s">
        <v>711</v>
      </c>
      <c r="G25" s="131">
        <v>19</v>
      </c>
      <c r="H25" s="131">
        <v>64000</v>
      </c>
      <c r="I25" s="131">
        <v>12</v>
      </c>
      <c r="J25" s="131">
        <v>-40</v>
      </c>
      <c r="K25">
        <v>5660</v>
      </c>
    </row>
    <row r="26" spans="1:11">
      <c r="A26" s="45">
        <f t="array" ref="A26">IFERROR(INDEX(baseline!$A$3:$A$201,MATCH($B26&amp;$C26,baseline!$C$3:$C$201&amp;baseline!$D$3:$D$201,0)),"NA")</f>
        <v>25</v>
      </c>
      <c r="B26" t="s">
        <v>547</v>
      </c>
      <c r="C26" t="s">
        <v>14</v>
      </c>
      <c r="D26" s="131" t="s">
        <v>838</v>
      </c>
      <c r="E26" s="131" t="s">
        <v>710</v>
      </c>
      <c r="F26" s="131" t="s">
        <v>711</v>
      </c>
      <c r="G26" s="131">
        <v>19</v>
      </c>
      <c r="H26" s="131">
        <v>64000</v>
      </c>
      <c r="I26" s="131">
        <v>12</v>
      </c>
      <c r="J26" s="131">
        <v>-40</v>
      </c>
      <c r="K26">
        <v>5660</v>
      </c>
    </row>
    <row r="27" spans="1:11">
      <c r="A27" s="45">
        <f t="array" ref="A27">IFERROR(INDEX(baseline!$A$3:$A$201,MATCH($B27&amp;$C27,baseline!$C$3:$C$201&amp;baseline!$D$3:$D$201,0)),"NA")</f>
        <v>26</v>
      </c>
      <c r="B27" t="s">
        <v>547</v>
      </c>
      <c r="C27" t="s">
        <v>546</v>
      </c>
      <c r="D27" s="131" t="s">
        <v>838</v>
      </c>
      <c r="E27" s="131" t="s">
        <v>710</v>
      </c>
      <c r="F27" s="131" t="s">
        <v>711</v>
      </c>
      <c r="G27" s="131">
        <v>19</v>
      </c>
      <c r="H27" s="131">
        <v>64000</v>
      </c>
      <c r="I27" s="131">
        <v>12</v>
      </c>
      <c r="J27" s="131">
        <v>-40</v>
      </c>
      <c r="K27">
        <v>5660</v>
      </c>
    </row>
    <row r="28" spans="1:11">
      <c r="A28" s="45">
        <f t="array" ref="A28">IFERROR(INDEX(baseline!$A$3:$A$201,MATCH($B28&amp;$C28,baseline!$C$3:$C$201&amp;baseline!$D$3:$D$201,0)),"NA")</f>
        <v>27</v>
      </c>
      <c r="B28" t="s">
        <v>1</v>
      </c>
      <c r="C28" t="s">
        <v>881</v>
      </c>
      <c r="D28" s="131" t="s">
        <v>838</v>
      </c>
      <c r="E28" s="131" t="s">
        <v>710</v>
      </c>
      <c r="F28" s="131" t="s">
        <v>711</v>
      </c>
      <c r="G28" s="131">
        <v>19</v>
      </c>
      <c r="H28" s="131">
        <v>64000</v>
      </c>
      <c r="I28" s="131">
        <v>12</v>
      </c>
      <c r="J28" s="131">
        <v>-40</v>
      </c>
      <c r="K28">
        <v>3623</v>
      </c>
    </row>
    <row r="29" spans="1:11">
      <c r="A29" s="45">
        <f t="array" ref="A29">IFERROR(INDEX(baseline!$A$3:$A$201,MATCH($B29&amp;$C29,baseline!$C$3:$C$201&amp;baseline!$D$3:$D$201,0)),"NA")</f>
        <v>28</v>
      </c>
      <c r="B29" t="s">
        <v>1</v>
      </c>
      <c r="C29" t="s">
        <v>14</v>
      </c>
      <c r="D29" s="131" t="s">
        <v>838</v>
      </c>
      <c r="E29" s="131" t="s">
        <v>710</v>
      </c>
      <c r="F29" s="131" t="s">
        <v>711</v>
      </c>
      <c r="G29" s="131">
        <v>19</v>
      </c>
      <c r="H29" s="131">
        <v>64000</v>
      </c>
      <c r="I29" s="131">
        <v>12</v>
      </c>
      <c r="J29" s="131">
        <v>-40</v>
      </c>
      <c r="K29">
        <v>3623</v>
      </c>
    </row>
    <row r="30" spans="1:11">
      <c r="A30" s="45" t="str">
        <f t="array" ref="A30">IFERROR(INDEX(baseline!$A$3:$A$201,MATCH($B30&amp;$C30,baseline!$C$3:$C$201&amp;baseline!$D$3:$D$201,0)),"NA")</f>
        <v>NA</v>
      </c>
      <c r="B30" t="s">
        <v>0</v>
      </c>
      <c r="C30" t="s">
        <v>13</v>
      </c>
      <c r="D30" s="131" t="s">
        <v>838</v>
      </c>
      <c r="E30" s="131" t="s">
        <v>710</v>
      </c>
      <c r="F30" s="131" t="s">
        <v>711</v>
      </c>
      <c r="G30" s="131">
        <v>19</v>
      </c>
      <c r="H30" s="131">
        <v>64000</v>
      </c>
      <c r="I30" s="131">
        <v>12</v>
      </c>
      <c r="J30" s="131">
        <v>-40</v>
      </c>
      <c r="K30">
        <v>4245</v>
      </c>
    </row>
    <row r="31" spans="1:11">
      <c r="A31" s="45" t="str">
        <f t="array" ref="A31">IFERROR(INDEX(baseline!$A$3:$A$201,MATCH($B31&amp;$C31,baseline!$C$3:$C$201&amp;baseline!$D$3:$D$201,0)),"NA")</f>
        <v>NA</v>
      </c>
      <c r="B31" t="s">
        <v>0</v>
      </c>
      <c r="C31" t="s">
        <v>14</v>
      </c>
      <c r="D31" s="131" t="s">
        <v>838</v>
      </c>
      <c r="E31" s="131" t="s">
        <v>710</v>
      </c>
      <c r="F31" s="131" t="s">
        <v>711</v>
      </c>
      <c r="G31" s="131">
        <v>19</v>
      </c>
      <c r="H31" s="131">
        <v>64000</v>
      </c>
      <c r="I31" s="131">
        <v>12</v>
      </c>
      <c r="J31" s="131">
        <v>-40</v>
      </c>
      <c r="K31">
        <v>4245</v>
      </c>
    </row>
    <row r="32" spans="1:11">
      <c r="A32" s="45">
        <f t="array" ref="A32">IFERROR(INDEX(baseline!$A$3:$A$201,MATCH($B32&amp;$C32,baseline!$C$3:$C$201&amp;baseline!$D$3:$D$201,0)),"NA")</f>
        <v>30</v>
      </c>
      <c r="B32" t="s">
        <v>0</v>
      </c>
      <c r="C32" t="s">
        <v>546</v>
      </c>
      <c r="D32" s="131" t="s">
        <v>838</v>
      </c>
      <c r="E32" s="131" t="s">
        <v>710</v>
      </c>
      <c r="F32" s="131" t="s">
        <v>711</v>
      </c>
      <c r="G32" s="131">
        <v>19</v>
      </c>
      <c r="H32" s="131">
        <v>64000</v>
      </c>
      <c r="I32" s="131">
        <v>12</v>
      </c>
      <c r="J32" s="131">
        <v>-40</v>
      </c>
      <c r="K32">
        <v>4245</v>
      </c>
    </row>
    <row r="33" spans="1:11">
      <c r="A33" s="45" t="str">
        <f t="array" ref="A33">IFERROR(INDEX(baseline!$A$3:$A$201,MATCH($B33&amp;$C33,baseline!$C$3:$C$201&amp;baseline!$D$3:$D$201,0)),"NA")</f>
        <v>NA</v>
      </c>
      <c r="B33" t="s">
        <v>78</v>
      </c>
      <c r="C33" t="s">
        <v>13</v>
      </c>
      <c r="D33" s="131" t="s">
        <v>838</v>
      </c>
      <c r="E33" s="131" t="s">
        <v>710</v>
      </c>
      <c r="F33" s="131" t="s">
        <v>711</v>
      </c>
      <c r="G33" s="131">
        <v>19</v>
      </c>
      <c r="H33" s="131">
        <v>64000</v>
      </c>
      <c r="I33" s="131">
        <v>12</v>
      </c>
      <c r="J33" s="131">
        <v>-40</v>
      </c>
      <c r="K33">
        <v>1104</v>
      </c>
    </row>
    <row r="34" spans="1:11">
      <c r="A34" s="45" t="str">
        <f t="array" ref="A34">IFERROR(INDEX(baseline!$A$3:$A$201,MATCH($B34&amp;$C34,baseline!$C$3:$C$201&amp;baseline!$D$3:$D$201,0)),"NA")</f>
        <v>NA</v>
      </c>
      <c r="B34" t="s">
        <v>78</v>
      </c>
      <c r="C34" t="s">
        <v>14</v>
      </c>
      <c r="D34" s="131" t="s">
        <v>838</v>
      </c>
      <c r="E34" s="131" t="s">
        <v>710</v>
      </c>
      <c r="F34" s="131" t="s">
        <v>711</v>
      </c>
      <c r="G34" s="131">
        <v>19</v>
      </c>
      <c r="H34" s="131">
        <v>64000</v>
      </c>
      <c r="I34" s="131">
        <v>12</v>
      </c>
      <c r="J34" s="131">
        <v>-40</v>
      </c>
      <c r="K34">
        <v>1104</v>
      </c>
    </row>
    <row r="35" spans="1:11">
      <c r="A35" s="45">
        <f t="array" ref="A35">IFERROR(INDEX(baseline!$A$3:$A$201,MATCH($B35&amp;$C35,baseline!$C$3:$C$201&amp;baseline!$D$3:$D$201,0)),"NA")</f>
        <v>31</v>
      </c>
      <c r="B35" t="s">
        <v>78</v>
      </c>
      <c r="C35" t="s">
        <v>546</v>
      </c>
      <c r="D35" s="131" t="s">
        <v>838</v>
      </c>
      <c r="E35" s="131" t="s">
        <v>710</v>
      </c>
      <c r="F35" s="131" t="s">
        <v>711</v>
      </c>
      <c r="G35" s="131">
        <v>19</v>
      </c>
      <c r="H35" s="131">
        <v>64000</v>
      </c>
      <c r="I35" s="131">
        <v>12</v>
      </c>
      <c r="J35" s="131">
        <v>-40</v>
      </c>
      <c r="K35">
        <v>1104</v>
      </c>
    </row>
    <row r="36" spans="1:11">
      <c r="A36" s="45" t="str">
        <f t="array" ref="A36">IFERROR(INDEX(baseline!$A$3:$A$201,MATCH($B36&amp;$C36,baseline!$C$3:$C$201&amp;baseline!$D$3:$D$201,0)),"NA")</f>
        <v>NA</v>
      </c>
      <c r="B36" t="s">
        <v>545</v>
      </c>
      <c r="C36" t="s">
        <v>13</v>
      </c>
      <c r="D36" s="131" t="s">
        <v>838</v>
      </c>
      <c r="E36" s="131" t="s">
        <v>710</v>
      </c>
      <c r="F36" s="131" t="s">
        <v>711</v>
      </c>
      <c r="G36" s="131">
        <v>19</v>
      </c>
      <c r="H36" s="131">
        <v>64000</v>
      </c>
      <c r="I36" s="131">
        <v>12</v>
      </c>
      <c r="J36" s="131">
        <v>-40</v>
      </c>
      <c r="K36">
        <v>4830</v>
      </c>
    </row>
    <row r="37" spans="1:11">
      <c r="A37" s="45" t="str">
        <f t="array" ref="A37">IFERROR(INDEX(baseline!$A$3:$A$201,MATCH($B37&amp;$C37,baseline!$C$3:$C$201&amp;baseline!$D$3:$D$201,0)),"NA")</f>
        <v>NA</v>
      </c>
      <c r="B37" t="s">
        <v>545</v>
      </c>
      <c r="C37" t="s">
        <v>14</v>
      </c>
      <c r="D37" s="131" t="s">
        <v>838</v>
      </c>
      <c r="E37" s="131" t="s">
        <v>710</v>
      </c>
      <c r="F37" s="131" t="s">
        <v>711</v>
      </c>
      <c r="G37" s="131">
        <v>19</v>
      </c>
      <c r="H37" s="131">
        <v>64000</v>
      </c>
      <c r="I37" s="131">
        <v>12</v>
      </c>
      <c r="J37" s="131">
        <v>-40</v>
      </c>
      <c r="K37">
        <v>4830</v>
      </c>
    </row>
    <row r="38" spans="1:11">
      <c r="A38" s="45">
        <f t="array" ref="A38">IFERROR(INDEX(baseline!$A$3:$A$201,MATCH($B38&amp;$C38,baseline!$C$3:$C$201&amp;baseline!$D$3:$D$201,0)),"NA")</f>
        <v>29</v>
      </c>
      <c r="B38" t="s">
        <v>761</v>
      </c>
      <c r="C38" t="s">
        <v>546</v>
      </c>
      <c r="D38" s="131" t="s">
        <v>838</v>
      </c>
      <c r="E38" s="131" t="s">
        <v>710</v>
      </c>
      <c r="F38" s="131" t="s">
        <v>711</v>
      </c>
      <c r="G38" s="131">
        <v>19</v>
      </c>
      <c r="H38" s="131">
        <v>64000</v>
      </c>
      <c r="I38" s="131">
        <v>12</v>
      </c>
      <c r="J38" s="131">
        <v>-40</v>
      </c>
      <c r="K38">
        <v>2830</v>
      </c>
    </row>
    <row r="39" spans="1:11">
      <c r="A39" s="45" t="str">
        <f t="array" ref="A39">IFERROR(INDEX(baseline!$A$3:$A$201,MATCH($B39&amp;$C39,baseline!$C$3:$C$201&amp;baseline!$D$3:$D$201,0)),"NA")</f>
        <v>NA</v>
      </c>
      <c r="B39" t="s">
        <v>697</v>
      </c>
      <c r="C39" t="s">
        <v>13</v>
      </c>
      <c r="D39" s="131" t="s">
        <v>838</v>
      </c>
      <c r="E39" s="131" t="s">
        <v>710</v>
      </c>
      <c r="F39" s="131" t="s">
        <v>711</v>
      </c>
      <c r="G39" s="131">
        <v>19</v>
      </c>
      <c r="H39" s="131">
        <v>64000</v>
      </c>
      <c r="I39" s="131">
        <v>12</v>
      </c>
      <c r="J39" s="131">
        <v>-40</v>
      </c>
      <c r="K39">
        <v>1208</v>
      </c>
    </row>
    <row r="40" spans="1:11">
      <c r="A40" s="45" t="str">
        <f t="array" ref="A40">IFERROR(INDEX(baseline!$A$3:$A$201,MATCH($B40&amp;$C40,baseline!$C$3:$C$201&amp;baseline!$D$3:$D$201,0)),"NA")</f>
        <v>NA</v>
      </c>
      <c r="B40" t="s">
        <v>697</v>
      </c>
      <c r="C40" t="s">
        <v>546</v>
      </c>
      <c r="D40" s="131" t="s">
        <v>838</v>
      </c>
      <c r="E40" s="131" t="s">
        <v>710</v>
      </c>
      <c r="F40" s="131" t="s">
        <v>711</v>
      </c>
      <c r="G40" s="131">
        <v>19</v>
      </c>
      <c r="H40" s="131">
        <v>64000</v>
      </c>
      <c r="I40" s="131">
        <v>12</v>
      </c>
      <c r="J40" s="131">
        <v>-40</v>
      </c>
      <c r="K40">
        <v>1208</v>
      </c>
    </row>
    <row r="41" spans="1:11">
      <c r="A41" s="45" t="str">
        <f t="array" ref="A41">IFERROR(INDEX(baseline!$A$3:$A$201,MATCH($B41&amp;$C41,baseline!$C$3:$C$201&amp;baseline!$D$3:$D$201,0)),"NA")</f>
        <v>NA</v>
      </c>
      <c r="B41" t="s">
        <v>713</v>
      </c>
      <c r="C41" t="s">
        <v>546</v>
      </c>
      <c r="D41" s="131" t="s">
        <v>838</v>
      </c>
      <c r="E41" s="131" t="s">
        <v>710</v>
      </c>
      <c r="F41" s="131" t="s">
        <v>711</v>
      </c>
      <c r="G41" s="131">
        <v>19</v>
      </c>
      <c r="H41" s="131">
        <v>64000</v>
      </c>
      <c r="I41" s="131">
        <v>12</v>
      </c>
      <c r="J41" s="131">
        <v>-40</v>
      </c>
      <c r="K41">
        <v>1415</v>
      </c>
    </row>
    <row r="42" spans="1:11">
      <c r="A42" s="45" t="str">
        <f t="array" ref="A42">IFERROR(INDEX(baseline!$A$3:$A$201,MATCH($B42&amp;$C42,baseline!$C$3:$C$201&amp;baseline!$D$3:$D$201,0)),"NA")</f>
        <v>NA</v>
      </c>
      <c r="B42" t="s">
        <v>762</v>
      </c>
      <c r="C42" t="s">
        <v>546</v>
      </c>
      <c r="D42" s="131" t="s">
        <v>838</v>
      </c>
      <c r="E42" s="131" t="s">
        <v>710</v>
      </c>
      <c r="F42" s="131" t="s">
        <v>711</v>
      </c>
      <c r="G42" s="131">
        <v>19</v>
      </c>
      <c r="H42" s="131">
        <v>64000</v>
      </c>
      <c r="I42" s="131">
        <v>12</v>
      </c>
      <c r="J42" s="131">
        <v>-40</v>
      </c>
      <c r="K42">
        <v>7075</v>
      </c>
    </row>
    <row r="43" spans="1:11">
      <c r="A43" s="45" t="str">
        <f t="array" ref="A43">IFERROR(INDEX(baseline!$A$3:$A$201,MATCH($B43&amp;$C43,baseline!$C$3:$C$201&amp;baseline!$D$3:$D$201,0)),"NA")</f>
        <v>NA</v>
      </c>
      <c r="B43" t="s">
        <v>763</v>
      </c>
      <c r="C43" t="s">
        <v>881</v>
      </c>
      <c r="D43" s="131" t="s">
        <v>838</v>
      </c>
      <c r="E43" s="131" t="s">
        <v>710</v>
      </c>
      <c r="F43" s="131" t="s">
        <v>711</v>
      </c>
      <c r="G43" s="131">
        <v>19</v>
      </c>
      <c r="H43" s="131">
        <v>64000</v>
      </c>
      <c r="I43" s="131">
        <v>12</v>
      </c>
      <c r="J43" s="131">
        <v>-40</v>
      </c>
      <c r="K43">
        <v>5660</v>
      </c>
    </row>
    <row r="44" spans="1:11">
      <c r="A44" s="45" t="str">
        <f t="array" ref="A44">IFERROR(INDEX(baseline!$A$3:$A$201,MATCH($B44&amp;$C44,baseline!$C$3:$C$201&amp;baseline!$D$3:$D$201,0)),"NA")</f>
        <v>NA</v>
      </c>
      <c r="B44" t="s">
        <v>712</v>
      </c>
      <c r="C44" t="s">
        <v>881</v>
      </c>
      <c r="D44" s="131" t="s">
        <v>838</v>
      </c>
      <c r="E44" s="131" t="s">
        <v>710</v>
      </c>
      <c r="F44" s="131" t="s">
        <v>711</v>
      </c>
      <c r="G44" s="131">
        <v>19</v>
      </c>
      <c r="H44" s="131">
        <v>64000</v>
      </c>
      <c r="I44" s="131">
        <v>12</v>
      </c>
      <c r="J44" s="131">
        <v>-40</v>
      </c>
      <c r="K44">
        <v>8490</v>
      </c>
    </row>
    <row r="45" spans="1:11">
      <c r="A45" s="45" t="str">
        <f t="array" ref="A45">IFERROR(INDEX(baseline!$A$3:$A$201,MATCH($B45&amp;$C45,baseline!$C$3:$C$201&amp;baseline!$D$3:$D$201,0)),"NA")</f>
        <v>NA</v>
      </c>
      <c r="B45" t="s">
        <v>712</v>
      </c>
      <c r="C45" t="s">
        <v>13</v>
      </c>
      <c r="D45" s="131" t="s">
        <v>838</v>
      </c>
      <c r="E45" s="131" t="s">
        <v>710</v>
      </c>
      <c r="F45" s="131" t="s">
        <v>711</v>
      </c>
      <c r="G45" s="131">
        <v>19</v>
      </c>
      <c r="H45" s="131">
        <v>64000</v>
      </c>
      <c r="I45" s="131">
        <v>12</v>
      </c>
      <c r="J45" s="131">
        <v>-40</v>
      </c>
      <c r="K45">
        <v>8490</v>
      </c>
    </row>
    <row r="46" spans="1:11">
      <c r="A46" s="45" t="str">
        <f t="array" ref="A46">IFERROR(INDEX(baseline!$A$3:$A$201,MATCH($B46&amp;$C46,baseline!$C$3:$C$201&amp;baseline!$D$3:$D$201,0)),"NA")</f>
        <v>NA</v>
      </c>
      <c r="B46" t="s">
        <v>712</v>
      </c>
      <c r="C46" t="s">
        <v>546</v>
      </c>
      <c r="D46" s="131" t="s">
        <v>838</v>
      </c>
      <c r="E46" s="131" t="s">
        <v>710</v>
      </c>
      <c r="F46" s="131" t="s">
        <v>711</v>
      </c>
      <c r="G46" s="131">
        <v>19</v>
      </c>
      <c r="H46" s="131">
        <v>64000</v>
      </c>
      <c r="I46" s="131">
        <v>12</v>
      </c>
      <c r="J46" s="131">
        <v>-40</v>
      </c>
      <c r="K46">
        <v>8490</v>
      </c>
    </row>
    <row r="47" spans="1:11">
      <c r="A47" s="45" t="str">
        <f t="array" ref="A47">IFERROR(INDEX(baseline!$A$3:$A$201,MATCH($B47&amp;$C47,baseline!$C$3:$C$201&amp;baseline!$D$3:$D$201,0)),"NA")</f>
        <v>NA</v>
      </c>
      <c r="B47" t="s">
        <v>547</v>
      </c>
      <c r="C47" t="s">
        <v>13</v>
      </c>
      <c r="D47" s="131" t="s">
        <v>838</v>
      </c>
      <c r="E47" s="131" t="s">
        <v>710</v>
      </c>
      <c r="F47" s="131" t="s">
        <v>711</v>
      </c>
      <c r="G47" s="131">
        <v>19</v>
      </c>
      <c r="H47" s="131">
        <v>64000</v>
      </c>
      <c r="I47" s="131">
        <v>12</v>
      </c>
      <c r="J47" s="131">
        <v>-40</v>
      </c>
      <c r="K47">
        <v>5660</v>
      </c>
    </row>
    <row r="48" spans="1:11">
      <c r="A48" s="45" t="str">
        <f t="array" ref="A48">IFERROR(INDEX(baseline!$A$3:$A$201,MATCH($B48&amp;$C48,baseline!$C$3:$C$201&amp;baseline!$D$3:$D$201,0)),"NA")</f>
        <v>NA</v>
      </c>
      <c r="B48" t="s">
        <v>1</v>
      </c>
      <c r="C48" t="s">
        <v>13</v>
      </c>
      <c r="D48" s="131" t="s">
        <v>838</v>
      </c>
      <c r="E48" s="131" t="s">
        <v>710</v>
      </c>
      <c r="F48" s="131" t="s">
        <v>711</v>
      </c>
      <c r="G48" s="131">
        <v>19</v>
      </c>
      <c r="H48" s="131">
        <v>64000</v>
      </c>
      <c r="I48" s="131">
        <v>12</v>
      </c>
      <c r="J48" s="131">
        <v>-40</v>
      </c>
      <c r="K48">
        <v>3623</v>
      </c>
    </row>
    <row r="49" spans="1:11">
      <c r="A49" s="45" t="str">
        <f t="array" ref="A49">IFERROR(INDEX(baseline!$A$3:$A$201,MATCH($B49&amp;$C49,baseline!$C$3:$C$201&amp;baseline!$D$3:$D$201,0)),"NA")</f>
        <v>NA</v>
      </c>
      <c r="B49" t="s">
        <v>1</v>
      </c>
      <c r="C49" t="s">
        <v>546</v>
      </c>
      <c r="D49" s="131" t="s">
        <v>838</v>
      </c>
      <c r="E49" s="131" t="s">
        <v>710</v>
      </c>
      <c r="F49" s="131" t="s">
        <v>711</v>
      </c>
      <c r="G49" s="131">
        <v>19</v>
      </c>
      <c r="H49" s="131">
        <v>64000</v>
      </c>
      <c r="I49" s="131">
        <v>12</v>
      </c>
      <c r="J49" s="131">
        <v>-40</v>
      </c>
      <c r="K49">
        <v>3623</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sheetPr>
    <tabColor rgb="FF00B050"/>
  </sheetPr>
  <dimension ref="A1:R145"/>
  <sheetViews>
    <sheetView workbookViewId="0">
      <selection activeCell="G123" sqref="G123"/>
    </sheetView>
  </sheetViews>
  <sheetFormatPr defaultColWidth="14.109375" defaultRowHeight="14.4"/>
  <cols>
    <col min="1" max="1" width="14.6640625" bestFit="1" customWidth="1"/>
    <col min="2" max="2" width="23.44140625" bestFit="1" customWidth="1"/>
    <col min="3" max="3" width="13.6640625" bestFit="1" customWidth="1"/>
    <col min="4" max="4" width="23.5546875" bestFit="1" customWidth="1"/>
    <col min="5" max="5" width="38.44140625" customWidth="1"/>
    <col min="6" max="6" width="32.88671875" customWidth="1"/>
    <col min="7" max="7" width="11.6640625" bestFit="1" customWidth="1"/>
    <col min="8" max="8" width="12.33203125" bestFit="1" customWidth="1"/>
    <col min="9" max="9" width="11.6640625" bestFit="1" customWidth="1"/>
    <col min="10" max="10" width="15.88671875" customWidth="1"/>
    <col min="11" max="12" width="15.33203125" customWidth="1"/>
    <col min="13" max="13" width="17" customWidth="1"/>
    <col min="14" max="15" width="20.5546875" customWidth="1"/>
    <col min="16" max="16" width="13.6640625" customWidth="1"/>
    <col min="17" max="17" width="18" customWidth="1"/>
    <col min="18" max="18" width="26.88671875" bestFit="1" customWidth="1"/>
  </cols>
  <sheetData>
    <row r="1" spans="1:18" ht="15.6">
      <c r="A1" t="s">
        <v>920</v>
      </c>
      <c r="B1" t="s">
        <v>766</v>
      </c>
      <c r="C1" t="s">
        <v>748</v>
      </c>
      <c r="D1" t="s">
        <v>774</v>
      </c>
      <c r="E1" s="130" t="s">
        <v>813</v>
      </c>
      <c r="F1" s="130" t="s">
        <v>801</v>
      </c>
      <c r="G1" s="127" t="s">
        <v>714</v>
      </c>
      <c r="H1" s="127" t="s">
        <v>715</v>
      </c>
      <c r="I1" s="127" t="s">
        <v>716</v>
      </c>
      <c r="J1" s="127" t="s">
        <v>718</v>
      </c>
      <c r="K1" s="127" t="s">
        <v>717</v>
      </c>
      <c r="L1" s="127" t="s">
        <v>719</v>
      </c>
      <c r="M1" s="127" t="s">
        <v>720</v>
      </c>
      <c r="N1" s="127" t="s">
        <v>721</v>
      </c>
      <c r="O1" s="127" t="s">
        <v>722</v>
      </c>
      <c r="P1" s="127" t="s">
        <v>723</v>
      </c>
      <c r="Q1" s="127" t="s">
        <v>724</v>
      </c>
      <c r="R1" s="127" t="s">
        <v>899</v>
      </c>
    </row>
    <row r="2" spans="1:18">
      <c r="A2" s="45">
        <f t="array" ref="A2">IFERROR(INDEX(baseline!$A$3:$A$201,MATCH($B2&amp;$C2,baseline!$C$3:$C$201&amp;baseline!$D$3:$D$201,0)),"NA")</f>
        <v>1</v>
      </c>
      <c r="B2" t="s">
        <v>0</v>
      </c>
      <c r="C2" t="s">
        <v>881</v>
      </c>
      <c r="D2" t="s">
        <v>893</v>
      </c>
      <c r="E2" s="103" t="s">
        <v>800</v>
      </c>
      <c r="F2" s="103" t="s">
        <v>798</v>
      </c>
      <c r="G2" s="108">
        <v>3.17</v>
      </c>
      <c r="H2" s="108">
        <v>6.5163790066924978</v>
      </c>
      <c r="I2" s="137">
        <v>9.1560000000000006</v>
      </c>
      <c r="J2" s="108">
        <v>1.7611835153222966</v>
      </c>
      <c r="K2" s="108">
        <v>1.7611835153222966</v>
      </c>
      <c r="L2" s="108">
        <v>1.7611835153222966</v>
      </c>
      <c r="M2" s="108">
        <v>0.28178936245156749</v>
      </c>
      <c r="N2" s="108">
        <v>0.28178936245156749</v>
      </c>
      <c r="O2" s="108">
        <v>0.70447340612891862</v>
      </c>
      <c r="P2" s="108">
        <v>0.28178936245156749</v>
      </c>
      <c r="Q2" s="108">
        <v>1.7611835153222966</v>
      </c>
      <c r="R2" s="108">
        <v>232280</v>
      </c>
    </row>
    <row r="3" spans="1:18">
      <c r="A3" s="45">
        <f t="array" ref="A3">IFERROR(INDEX(baseline!$A$3:$A$201,MATCH($B3&amp;$C3,baseline!$C$3:$C$201&amp;baseline!$D$3:$D$201,0)),"NA")</f>
        <v>1</v>
      </c>
      <c r="B3" t="s">
        <v>0</v>
      </c>
      <c r="C3" t="s">
        <v>881</v>
      </c>
      <c r="D3" t="s">
        <v>892</v>
      </c>
      <c r="E3" s="103" t="s">
        <v>800</v>
      </c>
      <c r="F3" s="103" t="s">
        <v>798</v>
      </c>
      <c r="G3" s="136">
        <v>5.17</v>
      </c>
      <c r="H3" s="108">
        <v>6.5163790066924978</v>
      </c>
      <c r="I3" s="108">
        <v>6.5163790066924978</v>
      </c>
      <c r="J3" s="108">
        <v>1.7611835153222966</v>
      </c>
      <c r="K3" s="108">
        <v>1.7611835153222966</v>
      </c>
      <c r="L3" s="108">
        <v>1.7611835153222966</v>
      </c>
      <c r="M3" s="108">
        <v>0.28178936245156749</v>
      </c>
      <c r="N3" s="108">
        <v>0.28178936245156749</v>
      </c>
      <c r="O3" s="108">
        <v>0.70447340612891862</v>
      </c>
      <c r="P3" s="108">
        <v>0.28178936245156749</v>
      </c>
      <c r="Q3" s="108">
        <v>1.7611835153222966</v>
      </c>
      <c r="R3" s="108">
        <v>512843</v>
      </c>
    </row>
    <row r="4" spans="1:18">
      <c r="A4" s="45">
        <f t="array" ref="A4">IFERROR(INDEX(baseline!$A$3:$A$201,MATCH($B4&amp;$C4,baseline!$C$3:$C$201&amp;baseline!$D$3:$D$201,0)),"NA")</f>
        <v>1</v>
      </c>
      <c r="B4" t="s">
        <v>0</v>
      </c>
      <c r="C4" t="s">
        <v>881</v>
      </c>
      <c r="D4" t="s">
        <v>894</v>
      </c>
      <c r="E4" s="103" t="s">
        <v>800</v>
      </c>
      <c r="F4" s="103" t="s">
        <v>798</v>
      </c>
      <c r="G4" s="108">
        <v>3.17</v>
      </c>
      <c r="H4" s="108">
        <v>6.5163790066924978</v>
      </c>
      <c r="I4" s="108">
        <v>6.5163790066924978</v>
      </c>
      <c r="J4" s="108">
        <v>1.7611835153222966</v>
      </c>
      <c r="K4" s="108">
        <v>1.7611835153222966</v>
      </c>
      <c r="L4" s="108">
        <v>1.7611835153222966</v>
      </c>
      <c r="M4" s="137">
        <v>0.45</v>
      </c>
      <c r="N4" s="137">
        <v>0.45</v>
      </c>
      <c r="O4" s="108">
        <v>0.70447340612891862</v>
      </c>
      <c r="P4" s="108">
        <v>0.28178936245156749</v>
      </c>
      <c r="Q4" s="108">
        <v>1.7611835153222966</v>
      </c>
      <c r="R4" s="108">
        <v>378182</v>
      </c>
    </row>
    <row r="5" spans="1:18" ht="15.75" customHeight="1">
      <c r="A5" s="45">
        <f t="array" ref="A5">IFERROR(INDEX(baseline!$A$3:$A$201,MATCH($B5&amp;$C5,baseline!$C$3:$C$201&amp;baseline!$D$3:$D$201,0)),"NA")</f>
        <v>2</v>
      </c>
      <c r="B5" t="s">
        <v>78</v>
      </c>
      <c r="C5" t="s">
        <v>881</v>
      </c>
      <c r="D5" t="s">
        <v>893</v>
      </c>
      <c r="E5" s="103" t="s">
        <v>800</v>
      </c>
      <c r="F5" s="103" t="s">
        <v>798</v>
      </c>
      <c r="G5" s="108">
        <v>3.170130327580134</v>
      </c>
      <c r="H5" s="108">
        <v>6.5163790066924978</v>
      </c>
      <c r="I5" s="137">
        <v>9.1560000000000006</v>
      </c>
      <c r="J5" s="108">
        <v>1.7611835153222966</v>
      </c>
      <c r="K5" s="108">
        <v>1.7611835153222966</v>
      </c>
      <c r="L5" s="108">
        <v>1.7611835153222966</v>
      </c>
      <c r="M5" s="108">
        <v>0.28178936245156749</v>
      </c>
      <c r="N5" s="108">
        <v>0.28178936245156749</v>
      </c>
      <c r="O5" s="108">
        <v>0.70447340612891862</v>
      </c>
      <c r="P5" s="108">
        <v>0.28178936245156749</v>
      </c>
      <c r="Q5" s="108">
        <v>1.7611835153222966</v>
      </c>
      <c r="R5" s="108">
        <v>178944</v>
      </c>
    </row>
    <row r="6" spans="1:18" ht="15.75" customHeight="1">
      <c r="A6" s="45">
        <f t="array" ref="A6">IFERROR(INDEX(baseline!$A$3:$A$201,MATCH($B6&amp;$C6,baseline!$C$3:$C$201&amp;baseline!$D$3:$D$201,0)),"NA")</f>
        <v>2</v>
      </c>
      <c r="B6" t="s">
        <v>78</v>
      </c>
      <c r="C6" t="s">
        <v>881</v>
      </c>
      <c r="D6" t="s">
        <v>892</v>
      </c>
      <c r="E6" s="103" t="s">
        <v>800</v>
      </c>
      <c r="F6" s="103" t="s">
        <v>798</v>
      </c>
      <c r="G6" s="136">
        <v>5.17</v>
      </c>
      <c r="H6" s="108">
        <v>6.5163790066924978</v>
      </c>
      <c r="I6" s="108">
        <v>6.5163790066924978</v>
      </c>
      <c r="J6" s="108">
        <v>1.7611835153222966</v>
      </c>
      <c r="K6" s="108">
        <v>1.7611835153222966</v>
      </c>
      <c r="L6" s="108">
        <v>1.7611835153222966</v>
      </c>
      <c r="M6" s="108">
        <v>0.28178936245156749</v>
      </c>
      <c r="N6" s="108">
        <v>0.28178936245156749</v>
      </c>
      <c r="O6" s="108">
        <v>0.70447340612891862</v>
      </c>
      <c r="P6" s="108">
        <v>0.28178936245156749</v>
      </c>
      <c r="Q6" s="108">
        <v>1.7611835153222966</v>
      </c>
      <c r="R6" s="108">
        <v>280000</v>
      </c>
    </row>
    <row r="7" spans="1:18" ht="15.75" customHeight="1">
      <c r="A7" s="45">
        <f t="array" ref="A7">IFERROR(INDEX(baseline!$A$3:$A$201,MATCH($B7&amp;$C7,baseline!$C$3:$C$201&amp;baseline!$D$3:$D$201,0)),"NA")</f>
        <v>2</v>
      </c>
      <c r="B7" t="s">
        <v>78</v>
      </c>
      <c r="C7" t="s">
        <v>881</v>
      </c>
      <c r="D7" t="s">
        <v>894</v>
      </c>
      <c r="E7" s="103" t="s">
        <v>800</v>
      </c>
      <c r="F7" s="103" t="s">
        <v>798</v>
      </c>
      <c r="G7" s="108">
        <v>3.170130327580134</v>
      </c>
      <c r="H7" s="108">
        <v>6.5163790066924978</v>
      </c>
      <c r="I7" s="108">
        <v>6.5163790066924978</v>
      </c>
      <c r="J7" s="108">
        <v>1.7611835153222966</v>
      </c>
      <c r="K7" s="108">
        <v>1.7611835153222966</v>
      </c>
      <c r="L7" s="108">
        <v>1.7611835153222966</v>
      </c>
      <c r="M7" s="137">
        <v>0.45</v>
      </c>
      <c r="N7" s="137">
        <v>0.45</v>
      </c>
      <c r="O7" s="108">
        <v>0.70447340612891862</v>
      </c>
      <c r="P7" s="108">
        <v>0.28178936245156749</v>
      </c>
      <c r="Q7" s="108">
        <v>1.7611835153222966</v>
      </c>
      <c r="R7" s="108">
        <v>61245</v>
      </c>
    </row>
    <row r="8" spans="1:18" ht="15.75" customHeight="1">
      <c r="A8" s="45">
        <f t="array" ref="A8">IFERROR(INDEX(baseline!$A$3:$A$201,MATCH($B8&amp;$C8,baseline!$C$3:$C$201&amp;baseline!$D$3:$D$201,0)),"NA")</f>
        <v>3</v>
      </c>
      <c r="B8" t="s">
        <v>545</v>
      </c>
      <c r="C8" t="s">
        <v>881</v>
      </c>
      <c r="D8" t="s">
        <v>893</v>
      </c>
      <c r="E8" s="103" t="s">
        <v>800</v>
      </c>
      <c r="F8" s="103" t="s">
        <v>798</v>
      </c>
      <c r="G8" s="108">
        <v>3.5219999999999998</v>
      </c>
      <c r="H8" s="108">
        <v>4.2268404367735117</v>
      </c>
      <c r="I8" s="137">
        <v>6.867</v>
      </c>
      <c r="J8" s="108">
        <v>1.7611835153222966</v>
      </c>
      <c r="K8" s="108">
        <v>1.7611835153222966</v>
      </c>
      <c r="L8" s="108">
        <v>1.7611835153222966</v>
      </c>
      <c r="M8" s="108">
        <v>0.28178936245156749</v>
      </c>
      <c r="N8" s="108">
        <v>0.28178936245156749</v>
      </c>
      <c r="O8" s="108">
        <v>0.70447340612891862</v>
      </c>
      <c r="P8" s="108">
        <v>0.28178936245156749</v>
      </c>
      <c r="Q8" s="108">
        <v>1.7611835153222966</v>
      </c>
      <c r="R8" s="108">
        <v>458471</v>
      </c>
    </row>
    <row r="9" spans="1:18">
      <c r="A9" s="45">
        <f t="array" ref="A9">IFERROR(INDEX(baseline!$A$3:$A$201,MATCH($B9&amp;$C9,baseline!$C$3:$C$201&amp;baseline!$D$3:$D$201,0)),"NA")</f>
        <v>3</v>
      </c>
      <c r="B9" t="s">
        <v>545</v>
      </c>
      <c r="C9" t="s">
        <v>881</v>
      </c>
      <c r="D9" t="s">
        <v>892</v>
      </c>
      <c r="E9" s="103" t="s">
        <v>800</v>
      </c>
      <c r="F9" s="103" t="s">
        <v>798</v>
      </c>
      <c r="G9" s="137">
        <v>5.5220000000000002</v>
      </c>
      <c r="H9" s="108">
        <v>4.2268404367735117</v>
      </c>
      <c r="I9" s="108">
        <v>4.2268404367735117</v>
      </c>
      <c r="J9" s="108">
        <v>1.7611835153222966</v>
      </c>
      <c r="K9" s="108">
        <v>1.7611835153222966</v>
      </c>
      <c r="L9" s="108">
        <v>1.7611835153222966</v>
      </c>
      <c r="M9" s="108">
        <v>0.28178936245156749</v>
      </c>
      <c r="N9" s="108">
        <v>0.28178936245156749</v>
      </c>
      <c r="O9" s="108">
        <v>0.70447340612891862</v>
      </c>
      <c r="P9" s="108">
        <v>0.28178936245156749</v>
      </c>
      <c r="Q9" s="108">
        <v>1.7611835153222966</v>
      </c>
      <c r="R9" s="108">
        <v>419941</v>
      </c>
    </row>
    <row r="10" spans="1:18" ht="15.75" customHeight="1">
      <c r="A10" s="45">
        <f t="array" ref="A10">IFERROR(INDEX(baseline!$A$3:$A$201,MATCH($B10&amp;$C10,baseline!$C$3:$C$201&amp;baseline!$D$3:$D$201,0)),"NA")</f>
        <v>3</v>
      </c>
      <c r="B10" t="s">
        <v>545</v>
      </c>
      <c r="C10" t="s">
        <v>881</v>
      </c>
      <c r="D10" t="s">
        <v>894</v>
      </c>
      <c r="E10" s="103" t="s">
        <v>800</v>
      </c>
      <c r="F10" s="103" t="s">
        <v>798</v>
      </c>
      <c r="G10" s="108">
        <v>3.5219999999999998</v>
      </c>
      <c r="H10" s="108">
        <v>4.2268404367735117</v>
      </c>
      <c r="I10" s="108">
        <v>4.2268404367735117</v>
      </c>
      <c r="J10" s="108">
        <v>1.7611835153222966</v>
      </c>
      <c r="K10" s="108">
        <v>1.7611835153222966</v>
      </c>
      <c r="L10" s="108">
        <v>1.7611835153222966</v>
      </c>
      <c r="M10" s="137">
        <v>0.45</v>
      </c>
      <c r="N10" s="137">
        <v>0.45</v>
      </c>
      <c r="O10" s="108">
        <v>0.70447340612891862</v>
      </c>
      <c r="P10" s="108">
        <v>0.28178936245156749</v>
      </c>
      <c r="Q10" s="108">
        <v>1.7611835153222966</v>
      </c>
      <c r="R10" s="108">
        <v>277780</v>
      </c>
    </row>
    <row r="11" spans="1:18" ht="15.75" customHeight="1">
      <c r="A11" s="45">
        <f t="array" ref="A11">IFERROR(INDEX(baseline!$A$3:$A$201,MATCH($B11&amp;$C11,baseline!$C$3:$C$201&amp;baseline!$D$3:$D$201,0)),"NA")</f>
        <v>4</v>
      </c>
      <c r="B11" t="s">
        <v>545</v>
      </c>
      <c r="C11" t="s">
        <v>546</v>
      </c>
      <c r="D11" t="s">
        <v>893</v>
      </c>
      <c r="E11" s="103" t="s">
        <v>800</v>
      </c>
      <c r="F11" s="103" t="s">
        <v>798</v>
      </c>
      <c r="G11" s="107">
        <v>5.2839999999999998</v>
      </c>
      <c r="H11" s="107">
        <v>4.5790771398379713</v>
      </c>
      <c r="I11" s="138">
        <v>7.2190000000000003</v>
      </c>
      <c r="J11" s="107">
        <v>1.7611835153222966</v>
      </c>
      <c r="K11" s="107">
        <v>1.7611835153222966</v>
      </c>
      <c r="L11" s="107">
        <v>1.7611835153222966</v>
      </c>
      <c r="M11" s="107">
        <v>0.3170130327580134</v>
      </c>
      <c r="N11" s="107">
        <v>0.3170130327580134</v>
      </c>
      <c r="O11" s="107">
        <v>0.70447340612891862</v>
      </c>
      <c r="P11" s="107">
        <v>0.3170130327580134</v>
      </c>
      <c r="Q11" s="107">
        <v>1.7611835153222966</v>
      </c>
      <c r="R11" s="108">
        <v>0</v>
      </c>
    </row>
    <row r="12" spans="1:18" ht="15.75" customHeight="1">
      <c r="A12" s="45">
        <f t="array" ref="A12">IFERROR(INDEX(baseline!$A$3:$A$201,MATCH($B12&amp;$C12,baseline!$C$3:$C$201&amp;baseline!$D$3:$D$201,0)),"NA")</f>
        <v>4</v>
      </c>
      <c r="B12" t="s">
        <v>545</v>
      </c>
      <c r="C12" t="s">
        <v>546</v>
      </c>
      <c r="D12" t="s">
        <v>892</v>
      </c>
      <c r="E12" s="103" t="s">
        <v>800</v>
      </c>
      <c r="F12" s="103" t="s">
        <v>798</v>
      </c>
      <c r="G12" s="138">
        <v>7.2839999999999998</v>
      </c>
      <c r="H12" s="107">
        <v>4.5790771398379713</v>
      </c>
      <c r="I12" s="107">
        <v>4.5790771398379713</v>
      </c>
      <c r="J12" s="107">
        <v>1.7611835153222966</v>
      </c>
      <c r="K12" s="107">
        <v>1.7611835153222966</v>
      </c>
      <c r="L12" s="107">
        <v>1.7611835153222966</v>
      </c>
      <c r="M12" s="107">
        <v>0.3170130327580134</v>
      </c>
      <c r="N12" s="107">
        <v>0.3170130327580134</v>
      </c>
      <c r="O12" s="107">
        <v>0.70447340612891862</v>
      </c>
      <c r="P12" s="107">
        <v>0.3170130327580134</v>
      </c>
      <c r="Q12" s="107">
        <v>1.7611835153222966</v>
      </c>
      <c r="R12" s="108">
        <v>0</v>
      </c>
    </row>
    <row r="13" spans="1:18">
      <c r="A13" s="45">
        <f t="array" ref="A13">IFERROR(INDEX(baseline!$A$3:$A$201,MATCH($B13&amp;$C13,baseline!$C$3:$C$201&amp;baseline!$D$3:$D$201,0)),"NA")</f>
        <v>4</v>
      </c>
      <c r="B13" t="s">
        <v>545</v>
      </c>
      <c r="C13" t="s">
        <v>546</v>
      </c>
      <c r="D13" t="s">
        <v>894</v>
      </c>
      <c r="E13" s="103" t="s">
        <v>800</v>
      </c>
      <c r="F13" s="103" t="s">
        <v>798</v>
      </c>
      <c r="G13" s="107">
        <v>5.2839999999999998</v>
      </c>
      <c r="H13" s="107">
        <v>4.5790771398379713</v>
      </c>
      <c r="I13" s="107">
        <v>4.5790771398379713</v>
      </c>
      <c r="J13" s="107">
        <v>1.7611835153222966</v>
      </c>
      <c r="K13" s="107">
        <v>1.7611835153222966</v>
      </c>
      <c r="L13" s="107">
        <v>1.7611835153222966</v>
      </c>
      <c r="M13" s="137">
        <v>0.45</v>
      </c>
      <c r="N13" s="137">
        <v>0.45</v>
      </c>
      <c r="O13" s="107">
        <v>0.70447340612891862</v>
      </c>
      <c r="P13" s="107">
        <v>0.3170130327580134</v>
      </c>
      <c r="Q13" s="107">
        <v>1.7611835153222966</v>
      </c>
      <c r="R13" s="108">
        <v>277780</v>
      </c>
    </row>
    <row r="14" spans="1:18">
      <c r="A14" s="45">
        <f t="array" ref="A14">IFERROR(INDEX(baseline!$A$3:$A$201,MATCH($B14&amp;$C14,baseline!$C$3:$C$201&amp;baseline!$D$3:$D$201,0)),"NA")</f>
        <v>5</v>
      </c>
      <c r="B14" t="s">
        <v>761</v>
      </c>
      <c r="C14" t="s">
        <v>881</v>
      </c>
      <c r="D14" t="s">
        <v>893</v>
      </c>
      <c r="E14" s="103" t="s">
        <v>800</v>
      </c>
      <c r="F14" s="103" t="s">
        <v>798</v>
      </c>
      <c r="G14" s="108">
        <v>1.4089468122578372</v>
      </c>
      <c r="H14" s="109">
        <v>2.1134202183867559</v>
      </c>
      <c r="I14" s="138">
        <v>4.7530000000000001</v>
      </c>
      <c r="J14" s="107">
        <v>1.7611835153222966</v>
      </c>
      <c r="K14" s="107">
        <v>1.7611835153222966</v>
      </c>
      <c r="L14" s="107">
        <v>1.7611835153222966</v>
      </c>
      <c r="M14" s="108">
        <v>0.28178936245156749</v>
      </c>
      <c r="N14" s="108">
        <v>0.28178936245156749</v>
      </c>
      <c r="O14" s="107">
        <v>0.70447340612891862</v>
      </c>
      <c r="P14" s="108">
        <v>0.28178936245156749</v>
      </c>
      <c r="Q14" s="107">
        <v>1.7611835153222966</v>
      </c>
      <c r="R14" s="108">
        <v>1150035</v>
      </c>
    </row>
    <row r="15" spans="1:18">
      <c r="A15" s="45">
        <f t="array" ref="A15">IFERROR(INDEX(baseline!$A$3:$A$201,MATCH($B15&amp;$C15,baseline!$C$3:$C$201&amp;baseline!$D$3:$D$201,0)),"NA")</f>
        <v>5</v>
      </c>
      <c r="B15" t="s">
        <v>761</v>
      </c>
      <c r="C15" t="s">
        <v>881</v>
      </c>
      <c r="D15" t="s">
        <v>892</v>
      </c>
      <c r="E15" s="103" t="s">
        <v>800</v>
      </c>
      <c r="F15" s="103" t="s">
        <v>798</v>
      </c>
      <c r="G15" s="137">
        <v>3.4089999999999998</v>
      </c>
      <c r="H15" s="109">
        <v>2.1134202183867559</v>
      </c>
      <c r="I15" s="107">
        <v>2.1134202183867559</v>
      </c>
      <c r="J15" s="107">
        <v>1.7611835153222966</v>
      </c>
      <c r="K15" s="107">
        <v>1.7611835153222966</v>
      </c>
      <c r="L15" s="107">
        <v>1.7611835153222966</v>
      </c>
      <c r="M15" s="108">
        <v>0.28178936245156749</v>
      </c>
      <c r="N15" s="108">
        <v>0.28178936245156749</v>
      </c>
      <c r="O15" s="107">
        <v>0.70447340612891862</v>
      </c>
      <c r="P15" s="108">
        <v>0.28178936245156749</v>
      </c>
      <c r="Q15" s="107">
        <v>1.7611835153222966</v>
      </c>
      <c r="R15" s="108">
        <v>922651</v>
      </c>
    </row>
    <row r="16" spans="1:18">
      <c r="A16" s="45">
        <f t="array" ref="A16">IFERROR(INDEX(baseline!$A$3:$A$201,MATCH($B16&amp;$C16,baseline!$C$3:$C$201&amp;baseline!$D$3:$D$201,0)),"NA")</f>
        <v>5</v>
      </c>
      <c r="B16" t="s">
        <v>761</v>
      </c>
      <c r="C16" t="s">
        <v>881</v>
      </c>
      <c r="D16" t="s">
        <v>894</v>
      </c>
      <c r="E16" s="103" t="s">
        <v>800</v>
      </c>
      <c r="F16" s="103" t="s">
        <v>798</v>
      </c>
      <c r="G16" s="108">
        <v>1.4089468122578372</v>
      </c>
      <c r="H16" s="109">
        <v>2.1134202183867559</v>
      </c>
      <c r="I16" s="107">
        <v>2.1134202183867559</v>
      </c>
      <c r="J16" s="107">
        <v>1.7611835153222966</v>
      </c>
      <c r="K16" s="107">
        <v>1.7611835153222966</v>
      </c>
      <c r="L16" s="107">
        <v>1.7611835153222966</v>
      </c>
      <c r="M16" s="137">
        <v>0.45</v>
      </c>
      <c r="N16" s="137">
        <v>0.45</v>
      </c>
      <c r="O16" s="107">
        <v>0.70447340612891862</v>
      </c>
      <c r="P16" s="108">
        <v>0.28178936245156749</v>
      </c>
      <c r="Q16" s="107">
        <v>1.7611835153222966</v>
      </c>
      <c r="R16" s="108">
        <v>193168</v>
      </c>
    </row>
    <row r="17" spans="1:18">
      <c r="A17" s="45">
        <f t="array" ref="A17">IFERROR(INDEX(baseline!$A$3:$A$201,MATCH($B17&amp;$C17,baseline!$C$3:$C$201&amp;baseline!$D$3:$D$201,0)),"NA")</f>
        <v>6</v>
      </c>
      <c r="B17" t="s">
        <v>761</v>
      </c>
      <c r="C17" t="s">
        <v>13</v>
      </c>
      <c r="D17" t="s">
        <v>893</v>
      </c>
      <c r="E17" s="103" t="s">
        <v>800</v>
      </c>
      <c r="F17" s="103" t="s">
        <v>798</v>
      </c>
      <c r="G17" s="107">
        <v>2.1134202183867559</v>
      </c>
      <c r="H17" s="108">
        <v>1.7611835153222966</v>
      </c>
      <c r="I17" s="137">
        <v>4.4009999999999998</v>
      </c>
      <c r="J17" s="107">
        <v>1.0567101091933779</v>
      </c>
      <c r="K17" s="107">
        <v>1.0567101091933779</v>
      </c>
      <c r="L17" s="107">
        <v>1.0567101091933779</v>
      </c>
      <c r="M17" s="107">
        <v>0.28178936245156749</v>
      </c>
      <c r="N17" s="107">
        <v>0.28178936245156749</v>
      </c>
      <c r="O17" s="107">
        <v>0.52835505459668897</v>
      </c>
      <c r="P17" s="107">
        <v>0.28178936245156749</v>
      </c>
      <c r="Q17" s="107">
        <v>1.4089468122578372</v>
      </c>
      <c r="R17" s="108">
        <v>1244509</v>
      </c>
    </row>
    <row r="18" spans="1:18">
      <c r="A18" s="45">
        <f t="array" ref="A18">IFERROR(INDEX(baseline!$A$3:$A$201,MATCH($B18&amp;$C18,baseline!$C$3:$C$201&amp;baseline!$D$3:$D$201,0)),"NA")</f>
        <v>6</v>
      </c>
      <c r="B18" t="s">
        <v>761</v>
      </c>
      <c r="C18" t="s">
        <v>13</v>
      </c>
      <c r="D18" t="s">
        <v>892</v>
      </c>
      <c r="E18" s="103" t="s">
        <v>800</v>
      </c>
      <c r="F18" s="103" t="s">
        <v>798</v>
      </c>
      <c r="G18" s="138">
        <v>4.1130000000000004</v>
      </c>
      <c r="H18" s="108">
        <v>1.7611835153222966</v>
      </c>
      <c r="I18" s="108">
        <v>1.7611835153222966</v>
      </c>
      <c r="J18" s="107">
        <v>1.0567101091933779</v>
      </c>
      <c r="K18" s="107">
        <v>1.0567101091933779</v>
      </c>
      <c r="L18" s="107">
        <v>1.0567101091933779</v>
      </c>
      <c r="M18" s="107">
        <v>0.28178936245156749</v>
      </c>
      <c r="N18" s="107">
        <v>0.28178936245156749</v>
      </c>
      <c r="O18" s="107">
        <v>0.52835505459668897</v>
      </c>
      <c r="P18" s="107">
        <v>0.28178936245156749</v>
      </c>
      <c r="Q18" s="107">
        <v>1.4089468122578372</v>
      </c>
      <c r="R18" s="108">
        <v>922651</v>
      </c>
    </row>
    <row r="19" spans="1:18">
      <c r="A19" s="45">
        <f t="array" ref="A19">IFERROR(INDEX(baseline!$A$3:$A$201,MATCH($B19&amp;$C19,baseline!$C$3:$C$201&amp;baseline!$D$3:$D$201,0)),"NA")</f>
        <v>6</v>
      </c>
      <c r="B19" t="s">
        <v>761</v>
      </c>
      <c r="C19" t="s">
        <v>13</v>
      </c>
      <c r="D19" t="s">
        <v>894</v>
      </c>
      <c r="E19" s="103" t="s">
        <v>800</v>
      </c>
      <c r="F19" s="103" t="s">
        <v>798</v>
      </c>
      <c r="G19" s="107">
        <v>2.1134202183867559</v>
      </c>
      <c r="H19" s="108">
        <v>1.7611835153222966</v>
      </c>
      <c r="I19" s="108">
        <v>1.7611835153222966</v>
      </c>
      <c r="J19" s="107">
        <v>1.0567101091933779</v>
      </c>
      <c r="K19" s="107">
        <v>1.0567101091933779</v>
      </c>
      <c r="L19" s="107">
        <v>1.0567101091933779</v>
      </c>
      <c r="M19" s="137">
        <v>0.45</v>
      </c>
      <c r="N19" s="137">
        <v>0.45</v>
      </c>
      <c r="O19" s="107">
        <v>0.52835505459668897</v>
      </c>
      <c r="P19" s="107">
        <v>0.28178936245156749</v>
      </c>
      <c r="Q19" s="107">
        <v>1.4089468122578372</v>
      </c>
      <c r="R19" s="108">
        <v>193168</v>
      </c>
    </row>
    <row r="20" spans="1:18">
      <c r="A20" s="45">
        <f t="array" ref="A20">IFERROR(INDEX(baseline!$A$3:$A$201,MATCH($B20&amp;$C20,baseline!$C$3:$C$201&amp;baseline!$D$3:$D$201,0)),"NA")</f>
        <v>7</v>
      </c>
      <c r="B20" t="s">
        <v>761</v>
      </c>
      <c r="C20" t="s">
        <v>14</v>
      </c>
      <c r="D20" t="s">
        <v>893</v>
      </c>
      <c r="E20" s="103" t="s">
        <v>800</v>
      </c>
      <c r="F20" s="103" t="s">
        <v>798</v>
      </c>
      <c r="G20" s="107">
        <v>3.5223670306445931</v>
      </c>
      <c r="H20" s="107">
        <v>3.170130327580134</v>
      </c>
      <c r="I20" s="138">
        <v>5.81</v>
      </c>
      <c r="J20" s="107">
        <v>1.7611835153222966</v>
      </c>
      <c r="K20" s="107">
        <v>1.7611835153222966</v>
      </c>
      <c r="L20" s="107">
        <v>1.7611835153222966</v>
      </c>
      <c r="M20" s="107">
        <v>0.3170130327580134</v>
      </c>
      <c r="N20" s="107">
        <v>0.3170130327580134</v>
      </c>
      <c r="O20" s="107">
        <v>0.70447340612891862</v>
      </c>
      <c r="P20" s="107">
        <v>0.3170130327580134</v>
      </c>
      <c r="Q20" s="107">
        <v>1.7611835153222966</v>
      </c>
      <c r="R20" s="108">
        <v>1150035</v>
      </c>
    </row>
    <row r="21" spans="1:18">
      <c r="A21" s="45">
        <f t="array" ref="A21">IFERROR(INDEX(baseline!$A$3:$A$201,MATCH($B21&amp;$C21,baseline!$C$3:$C$201&amp;baseline!$D$3:$D$201,0)),"NA")</f>
        <v>7</v>
      </c>
      <c r="B21" t="s">
        <v>761</v>
      </c>
      <c r="C21" t="s">
        <v>14</v>
      </c>
      <c r="D21" t="s">
        <v>892</v>
      </c>
      <c r="E21" s="103" t="s">
        <v>800</v>
      </c>
      <c r="F21" s="103" t="s">
        <v>798</v>
      </c>
      <c r="G21" s="138">
        <v>5.5220000000000002</v>
      </c>
      <c r="H21" s="107">
        <v>3.170130327580134</v>
      </c>
      <c r="I21" s="107">
        <v>3.170130327580134</v>
      </c>
      <c r="J21" s="107">
        <v>1.7611835153222966</v>
      </c>
      <c r="K21" s="107">
        <v>1.7611835153222966</v>
      </c>
      <c r="L21" s="107">
        <v>1.7611835153222966</v>
      </c>
      <c r="M21" s="107">
        <v>0.3170130327580134</v>
      </c>
      <c r="N21" s="107">
        <v>0.3170130327580134</v>
      </c>
      <c r="O21" s="107">
        <v>0.70447340612891862</v>
      </c>
      <c r="P21" s="107">
        <v>0.3170130327580134</v>
      </c>
      <c r="Q21" s="107">
        <v>1.7611835153222966</v>
      </c>
      <c r="R21" s="108">
        <v>922651</v>
      </c>
    </row>
    <row r="22" spans="1:18">
      <c r="A22" s="45">
        <f t="array" ref="A22">IFERROR(INDEX(baseline!$A$3:$A$201,MATCH($B22&amp;$C22,baseline!$C$3:$C$201&amp;baseline!$D$3:$D$201,0)),"NA")</f>
        <v>7</v>
      </c>
      <c r="B22" t="s">
        <v>761</v>
      </c>
      <c r="C22" t="s">
        <v>14</v>
      </c>
      <c r="D22" t="s">
        <v>894</v>
      </c>
      <c r="E22" s="103" t="s">
        <v>800</v>
      </c>
      <c r="F22" s="103" t="s">
        <v>798</v>
      </c>
      <c r="G22" s="107">
        <v>3.5223670306445931</v>
      </c>
      <c r="H22" s="107">
        <v>3.170130327580134</v>
      </c>
      <c r="I22" s="107">
        <v>3.170130327580134</v>
      </c>
      <c r="J22" s="107">
        <v>1.7611835153222966</v>
      </c>
      <c r="K22" s="107">
        <v>1.7611835153222966</v>
      </c>
      <c r="L22" s="107">
        <v>1.7611835153222966</v>
      </c>
      <c r="M22" s="137">
        <v>0.45</v>
      </c>
      <c r="N22" s="137">
        <v>0.45</v>
      </c>
      <c r="O22" s="107">
        <v>0.70447340612891862</v>
      </c>
      <c r="P22" s="107">
        <v>0.3170130327580134</v>
      </c>
      <c r="Q22" s="107">
        <v>1.7611835153222966</v>
      </c>
      <c r="R22" s="108">
        <v>193168</v>
      </c>
    </row>
    <row r="23" spans="1:18">
      <c r="A23" s="45">
        <f t="array" ref="A23">IFERROR(INDEX(baseline!$A$3:$A$201,MATCH($B23&amp;$C23,baseline!$C$3:$C$201&amp;baseline!$D$3:$D$201,0)),"NA")</f>
        <v>8</v>
      </c>
      <c r="B23" t="s">
        <v>697</v>
      </c>
      <c r="C23" t="s">
        <v>881</v>
      </c>
      <c r="D23" t="s">
        <v>893</v>
      </c>
      <c r="E23" s="103" t="s">
        <v>800</v>
      </c>
      <c r="F23" s="103" t="s">
        <v>798</v>
      </c>
      <c r="G23" s="108">
        <v>0.88059175766114828</v>
      </c>
      <c r="H23" s="108">
        <v>2.1134202183867559</v>
      </c>
      <c r="I23" s="137">
        <v>5.0830000000000002</v>
      </c>
      <c r="J23" s="108">
        <v>1.7611835153222966</v>
      </c>
      <c r="K23" s="108">
        <v>1.7611835153222966</v>
      </c>
      <c r="L23" s="108">
        <v>1.7611835153222966</v>
      </c>
      <c r="M23" s="108">
        <v>0.28178936245156749</v>
      </c>
      <c r="N23" s="108">
        <v>0.28178936245156749</v>
      </c>
      <c r="O23" s="108">
        <v>0.70447340612891862</v>
      </c>
      <c r="P23" s="108">
        <v>0.28178936245156749</v>
      </c>
      <c r="Q23" s="108">
        <v>1.7611835153222966</v>
      </c>
      <c r="R23" s="108">
        <v>265713</v>
      </c>
    </row>
    <row r="24" spans="1:18">
      <c r="A24" s="45">
        <f t="array" ref="A24">IFERROR(INDEX(baseline!$A$3:$A$201,MATCH($B24&amp;$C24,baseline!$C$3:$C$201&amp;baseline!$D$3:$D$201,0)),"NA")</f>
        <v>8</v>
      </c>
      <c r="B24" t="s">
        <v>697</v>
      </c>
      <c r="C24" t="s">
        <v>881</v>
      </c>
      <c r="D24" t="s">
        <v>892</v>
      </c>
      <c r="E24" s="103" t="s">
        <v>800</v>
      </c>
      <c r="F24" s="103" t="s">
        <v>798</v>
      </c>
      <c r="G24" s="137">
        <v>2.8809999999999998</v>
      </c>
      <c r="H24" s="108">
        <v>2.1134202183867559</v>
      </c>
      <c r="I24" s="108">
        <v>2.1134202183867559</v>
      </c>
      <c r="J24" s="108">
        <v>1.7611835153222966</v>
      </c>
      <c r="K24" s="108">
        <v>1.7611835153222966</v>
      </c>
      <c r="L24" s="108">
        <v>1.7611835153222966</v>
      </c>
      <c r="M24" s="108">
        <v>0.28178936245156749</v>
      </c>
      <c r="N24" s="108">
        <v>0.28178936245156749</v>
      </c>
      <c r="O24" s="108">
        <v>0.70447340612891862</v>
      </c>
      <c r="P24" s="108">
        <v>0.28178936245156749</v>
      </c>
      <c r="Q24" s="108">
        <v>1.7611835153222966</v>
      </c>
      <c r="R24" s="108">
        <v>515871</v>
      </c>
    </row>
    <row r="25" spans="1:18">
      <c r="A25" s="45">
        <f t="array" ref="A25">IFERROR(INDEX(baseline!$A$3:$A$201,MATCH($B25&amp;$C25,baseline!$C$3:$C$201&amp;baseline!$D$3:$D$201,0)),"NA")</f>
        <v>8</v>
      </c>
      <c r="B25" t="s">
        <v>697</v>
      </c>
      <c r="C25" t="s">
        <v>881</v>
      </c>
      <c r="D25" t="s">
        <v>894</v>
      </c>
      <c r="E25" s="103" t="s">
        <v>800</v>
      </c>
      <c r="F25" s="103" t="s">
        <v>798</v>
      </c>
      <c r="G25" s="108">
        <v>0.88059175766114828</v>
      </c>
      <c r="H25" s="108">
        <v>2.1134202183867559</v>
      </c>
      <c r="I25" s="108">
        <v>2.1134202183867559</v>
      </c>
      <c r="J25" s="108">
        <v>1.7611835153222966</v>
      </c>
      <c r="K25" s="108">
        <v>1.7611835153222966</v>
      </c>
      <c r="L25" s="108">
        <v>1.7611835153222966</v>
      </c>
      <c r="M25" s="137">
        <v>0.45</v>
      </c>
      <c r="N25" s="137">
        <v>0.45</v>
      </c>
      <c r="O25" s="108">
        <v>0.70447340612891862</v>
      </c>
      <c r="P25" s="108">
        <v>0.28178936245156749</v>
      </c>
      <c r="Q25" s="108">
        <v>1.7611835153222966</v>
      </c>
      <c r="R25" s="108">
        <v>74884</v>
      </c>
    </row>
    <row r="26" spans="1:18" ht="13.5" customHeight="1">
      <c r="A26" s="45">
        <f t="array" ref="A26">IFERROR(INDEX(baseline!$A$3:$A$201,MATCH($B26&amp;$C26,baseline!$C$3:$C$201&amp;baseline!$D$3:$D$201,0)),"NA")</f>
        <v>9</v>
      </c>
      <c r="B26" t="s">
        <v>697</v>
      </c>
      <c r="C26" t="s">
        <v>14</v>
      </c>
      <c r="D26" t="s">
        <v>893</v>
      </c>
      <c r="E26" s="103" t="s">
        <v>800</v>
      </c>
      <c r="F26" s="103" t="s">
        <v>798</v>
      </c>
      <c r="G26" s="107">
        <v>3.170130327580134</v>
      </c>
      <c r="H26" s="107">
        <v>4.2268404367735117</v>
      </c>
      <c r="I26" s="138">
        <v>6.867</v>
      </c>
      <c r="J26" s="107">
        <v>1.7611835153222966</v>
      </c>
      <c r="K26" s="107">
        <v>1.7611835153222966</v>
      </c>
      <c r="L26" s="107">
        <v>1.7611835153222966</v>
      </c>
      <c r="M26" s="107">
        <v>0.3170130327580134</v>
      </c>
      <c r="N26" s="107">
        <v>0.3170130327580134</v>
      </c>
      <c r="O26" s="107">
        <v>0.70447340612891862</v>
      </c>
      <c r="P26" s="107">
        <v>0.3170130327580134</v>
      </c>
      <c r="Q26" s="107">
        <v>1.7611835153222966</v>
      </c>
      <c r="R26" s="108">
        <v>265713</v>
      </c>
    </row>
    <row r="27" spans="1:18">
      <c r="A27" s="45">
        <f t="array" ref="A27">IFERROR(INDEX(baseline!$A$3:$A$201,MATCH($B27&amp;$C27,baseline!$C$3:$C$201&amp;baseline!$D$3:$D$201,0)),"NA")</f>
        <v>9</v>
      </c>
      <c r="B27" t="s">
        <v>697</v>
      </c>
      <c r="C27" t="s">
        <v>14</v>
      </c>
      <c r="D27" t="s">
        <v>892</v>
      </c>
      <c r="E27" s="103" t="s">
        <v>800</v>
      </c>
      <c r="F27" s="103" t="s">
        <v>798</v>
      </c>
      <c r="G27" s="138">
        <v>5.17</v>
      </c>
      <c r="H27" s="107">
        <v>4.2268404367735117</v>
      </c>
      <c r="I27" s="107">
        <v>4.2268404367735117</v>
      </c>
      <c r="J27" s="107">
        <v>1.7611835153222966</v>
      </c>
      <c r="K27" s="107">
        <v>1.7611835153222966</v>
      </c>
      <c r="L27" s="107">
        <v>1.7611835153222966</v>
      </c>
      <c r="M27" s="107">
        <v>0.3170130327580134</v>
      </c>
      <c r="N27" s="107">
        <v>0.3170130327580134</v>
      </c>
      <c r="O27" s="107">
        <v>0.70447340612891862</v>
      </c>
      <c r="P27" s="107">
        <v>0.3170130327580134</v>
      </c>
      <c r="Q27" s="107">
        <v>1.7611835153222966</v>
      </c>
      <c r="R27" s="108">
        <v>515871</v>
      </c>
    </row>
    <row r="28" spans="1:18">
      <c r="A28" s="45">
        <f t="array" ref="A28">IFERROR(INDEX(baseline!$A$3:$A$201,MATCH($B28&amp;$C28,baseline!$C$3:$C$201&amp;baseline!$D$3:$D$201,0)),"NA")</f>
        <v>9</v>
      </c>
      <c r="B28" t="s">
        <v>697</v>
      </c>
      <c r="C28" t="s">
        <v>14</v>
      </c>
      <c r="D28" t="s">
        <v>894</v>
      </c>
      <c r="E28" s="103" t="s">
        <v>800</v>
      </c>
      <c r="F28" s="103" t="s">
        <v>798</v>
      </c>
      <c r="G28" s="107">
        <v>3.170130327580134</v>
      </c>
      <c r="H28" s="107">
        <v>4.2268404367735117</v>
      </c>
      <c r="I28" s="107">
        <v>4.2268404367735117</v>
      </c>
      <c r="J28" s="107">
        <v>1.7611835153222966</v>
      </c>
      <c r="K28" s="107">
        <v>1.7611835153222966</v>
      </c>
      <c r="L28" s="107">
        <v>1.76</v>
      </c>
      <c r="M28" s="137">
        <v>0.45</v>
      </c>
      <c r="N28" s="137">
        <v>0.45</v>
      </c>
      <c r="O28" s="107">
        <v>0.70447340612891862</v>
      </c>
      <c r="P28" s="107">
        <v>0.3170130327580134</v>
      </c>
      <c r="Q28" s="107">
        <v>1.7611835153222966</v>
      </c>
      <c r="R28" s="108">
        <v>74884</v>
      </c>
    </row>
    <row r="29" spans="1:18">
      <c r="A29" s="45">
        <f t="array" ref="A29">IFERROR(INDEX(baseline!$A$3:$A$201,MATCH($B29&amp;$C29,baseline!$C$3:$C$201&amp;baseline!$D$3:$D$201,0)),"NA")</f>
        <v>10</v>
      </c>
      <c r="B29" t="s">
        <v>713</v>
      </c>
      <c r="C29" t="s">
        <v>881</v>
      </c>
      <c r="D29" t="s">
        <v>893</v>
      </c>
      <c r="E29" s="103" t="s">
        <v>800</v>
      </c>
      <c r="F29" s="103" t="s">
        <v>798</v>
      </c>
      <c r="G29" s="108">
        <v>0.88059175766114794</v>
      </c>
      <c r="H29" s="108">
        <v>2.1134202183867559</v>
      </c>
      <c r="I29" s="137">
        <v>5.0830000000000002</v>
      </c>
      <c r="J29" s="108">
        <v>1.7611835153222966</v>
      </c>
      <c r="K29" s="108">
        <v>1.7611835153222966</v>
      </c>
      <c r="L29" s="108">
        <v>1.7611835153222966</v>
      </c>
      <c r="M29" s="108">
        <v>0.28178936245156749</v>
      </c>
      <c r="N29" s="108">
        <v>0.28178936245156749</v>
      </c>
      <c r="O29" s="108">
        <v>0.70447340612891862</v>
      </c>
      <c r="P29" s="108">
        <v>0.28178936245156749</v>
      </c>
      <c r="Q29" s="108">
        <v>1.7611835153222966</v>
      </c>
      <c r="R29" s="108">
        <v>108148</v>
      </c>
    </row>
    <row r="30" spans="1:18" ht="13.5" customHeight="1">
      <c r="A30" s="45">
        <f t="array" ref="A30">IFERROR(INDEX(baseline!$A$3:$A$201,MATCH($B30&amp;$C30,baseline!$C$3:$C$201&amp;baseline!$D$3:$D$201,0)),"NA")</f>
        <v>10</v>
      </c>
      <c r="B30" t="s">
        <v>713</v>
      </c>
      <c r="C30" t="s">
        <v>881</v>
      </c>
      <c r="D30" t="s">
        <v>892</v>
      </c>
      <c r="E30" s="103" t="s">
        <v>800</v>
      </c>
      <c r="F30" s="103" t="s">
        <v>798</v>
      </c>
      <c r="G30" s="137">
        <v>2.8809999999999998</v>
      </c>
      <c r="H30" s="108">
        <v>2.1134202183867559</v>
      </c>
      <c r="I30" s="108">
        <v>2.1134202183867559</v>
      </c>
      <c r="J30" s="108">
        <v>1.7611835153222966</v>
      </c>
      <c r="K30" s="108">
        <v>1.7611835153222966</v>
      </c>
      <c r="L30" s="108">
        <v>1.7611835153222966</v>
      </c>
      <c r="M30" s="108">
        <v>0.28178936245156749</v>
      </c>
      <c r="N30" s="108">
        <v>0.28178936245156749</v>
      </c>
      <c r="O30" s="108">
        <v>0.70447340612891862</v>
      </c>
      <c r="P30" s="108">
        <v>0.28178936245156749</v>
      </c>
      <c r="Q30" s="108">
        <v>1.7611835153222966</v>
      </c>
      <c r="R30" s="108">
        <v>264909</v>
      </c>
    </row>
    <row r="31" spans="1:18">
      <c r="A31" s="45">
        <f t="array" ref="A31">IFERROR(INDEX(baseline!$A$3:$A$201,MATCH($B31&amp;$C31,baseline!$C$3:$C$201&amp;baseline!$D$3:$D$201,0)),"NA")</f>
        <v>10</v>
      </c>
      <c r="B31" t="s">
        <v>713</v>
      </c>
      <c r="C31" t="s">
        <v>881</v>
      </c>
      <c r="D31" t="s">
        <v>894</v>
      </c>
      <c r="E31" s="103" t="s">
        <v>800</v>
      </c>
      <c r="F31" s="103" t="s">
        <v>798</v>
      </c>
      <c r="G31" s="108">
        <v>0.88059175766114794</v>
      </c>
      <c r="H31" s="108">
        <v>2.1134202183867559</v>
      </c>
      <c r="I31" s="108">
        <v>2.1134202183867559</v>
      </c>
      <c r="J31" s="108">
        <v>1.7611835153222966</v>
      </c>
      <c r="K31" s="108">
        <v>1.7611835153222966</v>
      </c>
      <c r="L31" s="108">
        <v>1.7611835153222966</v>
      </c>
      <c r="M31" s="137">
        <v>0.45</v>
      </c>
      <c r="N31" s="137">
        <v>0.45</v>
      </c>
      <c r="O31" s="108">
        <v>0.70447340612891862</v>
      </c>
      <c r="P31" s="108">
        <v>0.28178936245156749</v>
      </c>
      <c r="Q31" s="108">
        <v>1.7611835153222966</v>
      </c>
      <c r="R31" s="108">
        <v>6887</v>
      </c>
    </row>
    <row r="32" spans="1:18">
      <c r="A32" s="45">
        <f t="array" ref="A32">IFERROR(INDEX(baseline!$A$3:$A$201,MATCH($B32&amp;$C32,baseline!$C$3:$C$201&amp;baseline!$D$3:$D$201,0)),"NA")</f>
        <v>11</v>
      </c>
      <c r="B32" t="s">
        <v>713</v>
      </c>
      <c r="C32" t="s">
        <v>13</v>
      </c>
      <c r="D32" t="s">
        <v>893</v>
      </c>
      <c r="E32" s="103" t="s">
        <v>800</v>
      </c>
      <c r="F32" s="103" t="s">
        <v>798</v>
      </c>
      <c r="G32" s="107">
        <v>1.7611835153222966</v>
      </c>
      <c r="H32" s="107">
        <v>1.4089468122578372</v>
      </c>
      <c r="I32" s="138">
        <v>4.0490000000000004</v>
      </c>
      <c r="J32" s="107">
        <v>1.0567101091933779</v>
      </c>
      <c r="K32" s="107">
        <v>1.0567101091933779</v>
      </c>
      <c r="L32" s="107">
        <v>1.0567101091933779</v>
      </c>
      <c r="M32" s="107">
        <v>0.28178936245156749</v>
      </c>
      <c r="N32" s="107">
        <v>0.28178936245156749</v>
      </c>
      <c r="O32" s="107">
        <v>0.52835505459668897</v>
      </c>
      <c r="P32" s="107">
        <v>0.28178936245156749</v>
      </c>
      <c r="Q32" s="107">
        <v>1.4089468122578372</v>
      </c>
      <c r="R32" s="108">
        <v>158367</v>
      </c>
    </row>
    <row r="33" spans="1:18">
      <c r="A33" s="45">
        <f t="array" ref="A33">IFERROR(INDEX(baseline!$A$3:$A$201,MATCH($B33&amp;$C33,baseline!$C$3:$C$201&amp;baseline!$D$3:$D$201,0)),"NA")</f>
        <v>11</v>
      </c>
      <c r="B33" t="s">
        <v>713</v>
      </c>
      <c r="C33" t="s">
        <v>13</v>
      </c>
      <c r="D33" t="s">
        <v>892</v>
      </c>
      <c r="E33" s="103" t="s">
        <v>800</v>
      </c>
      <c r="F33" s="103" t="s">
        <v>798</v>
      </c>
      <c r="G33" s="138">
        <v>3.7610000000000001</v>
      </c>
      <c r="H33" s="107">
        <v>1.4089468122578372</v>
      </c>
      <c r="I33" s="107">
        <v>1.4089468122578372</v>
      </c>
      <c r="J33" s="107">
        <v>1.0567101091933779</v>
      </c>
      <c r="K33" s="107">
        <v>1.0567101091933779</v>
      </c>
      <c r="L33" s="107">
        <v>1.0567101091933779</v>
      </c>
      <c r="M33" s="107">
        <v>0.28178936245156749</v>
      </c>
      <c r="N33" s="107">
        <v>0.28178936245156749</v>
      </c>
      <c r="O33" s="107">
        <v>0.52835505459668897</v>
      </c>
      <c r="P33" s="107">
        <v>0.28178936245156749</v>
      </c>
      <c r="Q33" s="107">
        <v>1.4089468122578372</v>
      </c>
      <c r="R33" s="108">
        <v>264909</v>
      </c>
    </row>
    <row r="34" spans="1:18">
      <c r="A34" s="45">
        <f t="array" ref="A34">IFERROR(INDEX(baseline!$A$3:$A$201,MATCH($B34&amp;$C34,baseline!$C$3:$C$201&amp;baseline!$D$3:$D$201,0)),"NA")</f>
        <v>11</v>
      </c>
      <c r="B34" t="s">
        <v>713</v>
      </c>
      <c r="C34" t="s">
        <v>13</v>
      </c>
      <c r="D34" t="s">
        <v>894</v>
      </c>
      <c r="E34" s="103" t="s">
        <v>800</v>
      </c>
      <c r="F34" s="103" t="s">
        <v>798</v>
      </c>
      <c r="G34" s="107">
        <v>1.7611835153222966</v>
      </c>
      <c r="H34" s="107">
        <v>1.4089468122578372</v>
      </c>
      <c r="I34" s="107">
        <v>1.4089468122578372</v>
      </c>
      <c r="J34" s="107">
        <v>1.0567101091933779</v>
      </c>
      <c r="K34" s="107">
        <v>1.0567101091933779</v>
      </c>
      <c r="L34" s="107">
        <v>1.0567101091933779</v>
      </c>
      <c r="M34" s="137">
        <v>0.45</v>
      </c>
      <c r="N34" s="137">
        <v>0.45</v>
      </c>
      <c r="O34" s="107">
        <v>0.52835505459668897</v>
      </c>
      <c r="P34" s="107">
        <v>0.28178936245156749</v>
      </c>
      <c r="Q34" s="107">
        <v>1.4089468122578372</v>
      </c>
      <c r="R34" s="108">
        <v>6887</v>
      </c>
    </row>
    <row r="35" spans="1:18">
      <c r="A35" s="45">
        <f t="array" ref="A35">IFERROR(INDEX(baseline!$A$3:$A$201,MATCH($B35&amp;$C35,baseline!$C$3:$C$201&amp;baseline!$D$3:$D$201,0)),"NA")</f>
        <v>12</v>
      </c>
      <c r="B35" t="s">
        <v>713</v>
      </c>
      <c r="C35" t="s">
        <v>14</v>
      </c>
      <c r="D35" t="s">
        <v>893</v>
      </c>
      <c r="E35" s="103" t="s">
        <v>800</v>
      </c>
      <c r="F35" s="103" t="s">
        <v>798</v>
      </c>
      <c r="G35" s="107">
        <v>3.170130327580134</v>
      </c>
      <c r="H35" s="107">
        <v>4.2268404367735117</v>
      </c>
      <c r="I35" s="138">
        <v>6.867</v>
      </c>
      <c r="J35" s="107">
        <v>1.7611835153222966</v>
      </c>
      <c r="K35" s="107">
        <v>1.7611835153222966</v>
      </c>
      <c r="L35" s="107">
        <v>1.7611835153222966</v>
      </c>
      <c r="M35" s="107">
        <v>0.3170130327580134</v>
      </c>
      <c r="N35" s="107">
        <v>0.3170130327580134</v>
      </c>
      <c r="O35" s="107">
        <v>0.70447340612891862</v>
      </c>
      <c r="P35" s="107">
        <v>0.3170130327580134</v>
      </c>
      <c r="Q35" s="107">
        <v>1.7611835153222966</v>
      </c>
      <c r="R35" s="108">
        <v>137338</v>
      </c>
    </row>
    <row r="36" spans="1:18">
      <c r="A36" s="45">
        <f t="array" ref="A36">IFERROR(INDEX(baseline!$A$3:$A$201,MATCH($B36&amp;$C36,baseline!$C$3:$C$201&amp;baseline!$D$3:$D$201,0)),"NA")</f>
        <v>12</v>
      </c>
      <c r="B36" t="s">
        <v>713</v>
      </c>
      <c r="C36" t="s">
        <v>14</v>
      </c>
      <c r="D36" t="s">
        <v>892</v>
      </c>
      <c r="E36" s="103" t="s">
        <v>800</v>
      </c>
      <c r="F36" s="103" t="s">
        <v>798</v>
      </c>
      <c r="G36" s="138">
        <v>4.17</v>
      </c>
      <c r="H36" s="107">
        <v>4.2268404367735117</v>
      </c>
      <c r="I36" s="107">
        <v>4.2268404367735117</v>
      </c>
      <c r="J36" s="107">
        <v>1.7611835153222966</v>
      </c>
      <c r="K36" s="107">
        <v>1.7611835153222966</v>
      </c>
      <c r="L36" s="107">
        <v>1.7611835153222966</v>
      </c>
      <c r="M36" s="107">
        <v>0.3170130327580134</v>
      </c>
      <c r="N36" s="107">
        <v>0.3170130327580134</v>
      </c>
      <c r="O36" s="107">
        <v>0.70447340612891862</v>
      </c>
      <c r="P36" s="107">
        <v>0.3170130327580134</v>
      </c>
      <c r="Q36" s="107">
        <v>1.7611835153222966</v>
      </c>
      <c r="R36" s="108">
        <v>264909</v>
      </c>
    </row>
    <row r="37" spans="1:18">
      <c r="A37" s="45">
        <f t="array" ref="A37">IFERROR(INDEX(baseline!$A$3:$A$201,MATCH($B37&amp;$C37,baseline!$C$3:$C$201&amp;baseline!$D$3:$D$201,0)),"NA")</f>
        <v>12</v>
      </c>
      <c r="B37" t="s">
        <v>713</v>
      </c>
      <c r="C37" t="s">
        <v>14</v>
      </c>
      <c r="D37" t="s">
        <v>894</v>
      </c>
      <c r="E37" s="103" t="s">
        <v>800</v>
      </c>
      <c r="F37" s="103" t="s">
        <v>798</v>
      </c>
      <c r="G37" s="107">
        <v>3.170130327580134</v>
      </c>
      <c r="H37" s="107">
        <v>4.2268404367735117</v>
      </c>
      <c r="I37" s="107">
        <v>4.2268404367735117</v>
      </c>
      <c r="J37" s="107">
        <v>1.7611835153222966</v>
      </c>
      <c r="K37" s="107">
        <v>1.7611835153222966</v>
      </c>
      <c r="L37" s="107">
        <v>1.7611835153222966</v>
      </c>
      <c r="M37" s="137">
        <v>0.45</v>
      </c>
      <c r="N37" s="137">
        <v>0.45</v>
      </c>
      <c r="O37" s="107">
        <v>0.70447340612891862</v>
      </c>
      <c r="P37" s="107">
        <v>0.3170130327580134</v>
      </c>
      <c r="Q37" s="107">
        <v>1.7611835153222966</v>
      </c>
      <c r="R37" s="108">
        <v>6887</v>
      </c>
    </row>
    <row r="38" spans="1:18">
      <c r="A38" s="45">
        <f t="array" ref="A38">IFERROR(INDEX(baseline!$A$3:$A$201,MATCH($B38&amp;$C38,baseline!$C$3:$C$201&amp;baseline!$D$3:$D$201,0)),"NA")</f>
        <v>13</v>
      </c>
      <c r="B38" t="s">
        <v>762</v>
      </c>
      <c r="C38" t="s">
        <v>881</v>
      </c>
      <c r="D38" t="s">
        <v>893</v>
      </c>
      <c r="E38" s="103" t="s">
        <v>800</v>
      </c>
      <c r="F38" s="103" t="s">
        <v>798</v>
      </c>
      <c r="G38" s="108">
        <v>1.7611835153222966</v>
      </c>
      <c r="H38" s="108">
        <v>2.8178936245156745</v>
      </c>
      <c r="I38" s="137">
        <v>5.4580000000000002</v>
      </c>
      <c r="J38" s="108">
        <v>1.7611835153222966</v>
      </c>
      <c r="K38" s="108">
        <v>1.7611835153222966</v>
      </c>
      <c r="L38" s="108">
        <v>1.7611835153222966</v>
      </c>
      <c r="M38" s="108">
        <v>0.28178936245156749</v>
      </c>
      <c r="N38" s="108">
        <v>0.28178936245156749</v>
      </c>
      <c r="O38" s="108">
        <v>0.70447340612891862</v>
      </c>
      <c r="P38" s="108">
        <v>0.28178936245156749</v>
      </c>
      <c r="Q38" s="108">
        <v>1.7611835153222966</v>
      </c>
      <c r="R38" s="108">
        <v>929286</v>
      </c>
    </row>
    <row r="39" spans="1:18">
      <c r="A39" s="45">
        <f t="array" ref="A39">IFERROR(INDEX(baseline!$A$3:$A$201,MATCH($B39&amp;$C39,baseline!$C$3:$C$201&amp;baseline!$D$3:$D$201,0)),"NA")</f>
        <v>13</v>
      </c>
      <c r="B39" t="s">
        <v>762</v>
      </c>
      <c r="C39" t="s">
        <v>881</v>
      </c>
      <c r="D39" t="s">
        <v>892</v>
      </c>
      <c r="E39" s="103" t="s">
        <v>800</v>
      </c>
      <c r="F39" s="103" t="s">
        <v>798</v>
      </c>
      <c r="G39" s="137">
        <v>3.7610000000000001</v>
      </c>
      <c r="H39" s="108">
        <v>2.8178936245156745</v>
      </c>
      <c r="I39" s="108">
        <v>2.8178936245156745</v>
      </c>
      <c r="J39" s="108">
        <v>1.7611835153222966</v>
      </c>
      <c r="K39" s="108">
        <v>1.7611835153222966</v>
      </c>
      <c r="L39" s="108">
        <v>1.7611835153222966</v>
      </c>
      <c r="M39" s="108">
        <v>0.28178936245156749</v>
      </c>
      <c r="N39" s="108">
        <v>0.28178936245156749</v>
      </c>
      <c r="O39" s="108">
        <v>0.70447340612891862</v>
      </c>
      <c r="P39" s="108">
        <v>0.28178936245156749</v>
      </c>
      <c r="Q39" s="108">
        <v>1.7611835153222966</v>
      </c>
      <c r="R39" s="108">
        <v>397004</v>
      </c>
    </row>
    <row r="40" spans="1:18">
      <c r="A40" s="45">
        <f t="array" ref="A40">IFERROR(INDEX(baseline!$A$3:$A$201,MATCH($B40&amp;$C40,baseline!$C$3:$C$201&amp;baseline!$D$3:$D$201,0)),"NA")</f>
        <v>13</v>
      </c>
      <c r="B40" t="s">
        <v>762</v>
      </c>
      <c r="C40" t="s">
        <v>881</v>
      </c>
      <c r="D40" t="s">
        <v>894</v>
      </c>
      <c r="E40" s="103" t="s">
        <v>800</v>
      </c>
      <c r="F40" s="103" t="s">
        <v>798</v>
      </c>
      <c r="G40" s="108">
        <v>1.7611835153222966</v>
      </c>
      <c r="H40" s="108">
        <v>2.8178936245156745</v>
      </c>
      <c r="I40" s="108">
        <v>2.8178936245156745</v>
      </c>
      <c r="J40" s="108">
        <v>1.7611835153222966</v>
      </c>
      <c r="K40" s="108">
        <v>1.7611835153222966</v>
      </c>
      <c r="L40" s="108">
        <v>1.7611835153222966</v>
      </c>
      <c r="M40" s="137">
        <v>0.45</v>
      </c>
      <c r="N40" s="137">
        <v>0.45</v>
      </c>
      <c r="O40" s="108">
        <v>0.70447340612891862</v>
      </c>
      <c r="P40" s="108">
        <v>0.28178936245156749</v>
      </c>
      <c r="Q40" s="108">
        <v>1.7611835153222966</v>
      </c>
      <c r="R40" s="108">
        <v>3124765</v>
      </c>
    </row>
    <row r="41" spans="1:18">
      <c r="A41" s="45">
        <f t="array" ref="A41">IFERROR(INDEX(baseline!$A$3:$A$201,MATCH($B41&amp;$C41,baseline!$C$3:$C$201&amp;baseline!$D$3:$D$201,0)),"NA")</f>
        <v>14</v>
      </c>
      <c r="B41" t="s">
        <v>762</v>
      </c>
      <c r="C41" t="s">
        <v>13</v>
      </c>
      <c r="D41" t="s">
        <v>893</v>
      </c>
      <c r="E41" s="103" t="s">
        <v>800</v>
      </c>
      <c r="F41" s="103" t="s">
        <v>798</v>
      </c>
      <c r="G41" s="107">
        <v>1.7611835153222966</v>
      </c>
      <c r="H41" s="107">
        <v>1.4089468122578372</v>
      </c>
      <c r="I41" s="138">
        <v>4.0490000000000004</v>
      </c>
      <c r="J41" s="107">
        <v>1.0567101091933779</v>
      </c>
      <c r="K41" s="107">
        <v>1.0567101091933779</v>
      </c>
      <c r="L41" s="107">
        <v>1.0567101091933779</v>
      </c>
      <c r="M41" s="107">
        <v>0.28178936245156749</v>
      </c>
      <c r="N41" s="107">
        <v>0.28178936245156749</v>
      </c>
      <c r="O41" s="107">
        <v>0.52835505459668897</v>
      </c>
      <c r="P41" s="107">
        <v>0.28178936245156749</v>
      </c>
      <c r="Q41" s="107">
        <v>1.4089468122578372</v>
      </c>
      <c r="R41" s="108">
        <v>854741</v>
      </c>
    </row>
    <row r="42" spans="1:18">
      <c r="A42" s="45">
        <f t="array" ref="A42">IFERROR(INDEX(baseline!$A$3:$A$201,MATCH($B42&amp;$C42,baseline!$C$3:$C$201&amp;baseline!$D$3:$D$201,0)),"NA")</f>
        <v>14</v>
      </c>
      <c r="B42" t="s">
        <v>762</v>
      </c>
      <c r="C42" t="s">
        <v>13</v>
      </c>
      <c r="D42" t="s">
        <v>892</v>
      </c>
      <c r="E42" s="103" t="s">
        <v>800</v>
      </c>
      <c r="F42" s="103" t="s">
        <v>798</v>
      </c>
      <c r="G42" s="138">
        <v>3.7610000000000001</v>
      </c>
      <c r="H42" s="107">
        <v>1.4089468122578372</v>
      </c>
      <c r="I42" s="107">
        <v>1.4089468122578372</v>
      </c>
      <c r="J42" s="107">
        <v>1.0567101091933779</v>
      </c>
      <c r="K42" s="107">
        <v>1.0567101091933779</v>
      </c>
      <c r="L42" s="107">
        <v>1.0567101091933779</v>
      </c>
      <c r="M42" s="107">
        <v>0.28178936245156749</v>
      </c>
      <c r="N42" s="107">
        <v>0.28178936245156749</v>
      </c>
      <c r="O42" s="107">
        <v>0.52835505459668897</v>
      </c>
      <c r="P42" s="107">
        <v>0.28178936245156749</v>
      </c>
      <c r="Q42" s="107">
        <v>1.4089468122578372</v>
      </c>
      <c r="R42" s="108">
        <v>397004</v>
      </c>
    </row>
    <row r="43" spans="1:18">
      <c r="A43" s="45">
        <f t="array" ref="A43">IFERROR(INDEX(baseline!$A$3:$A$201,MATCH($B43&amp;$C43,baseline!$C$3:$C$201&amp;baseline!$D$3:$D$201,0)),"NA")</f>
        <v>14</v>
      </c>
      <c r="B43" t="s">
        <v>762</v>
      </c>
      <c r="C43" t="s">
        <v>13</v>
      </c>
      <c r="D43" t="s">
        <v>894</v>
      </c>
      <c r="E43" s="103" t="s">
        <v>800</v>
      </c>
      <c r="F43" s="103" t="s">
        <v>798</v>
      </c>
      <c r="G43" s="107">
        <v>1.7611835153222966</v>
      </c>
      <c r="H43" s="107">
        <v>1.4089468122578372</v>
      </c>
      <c r="I43" s="107">
        <v>1.4089468122578372</v>
      </c>
      <c r="J43" s="107">
        <v>1.0567101091933779</v>
      </c>
      <c r="K43" s="107">
        <v>1.0567101091933779</v>
      </c>
      <c r="L43" s="107">
        <v>1.0567101091933779</v>
      </c>
      <c r="M43" s="137">
        <v>0.45</v>
      </c>
      <c r="N43" s="137">
        <v>0.45</v>
      </c>
      <c r="O43" s="107">
        <v>0.52835505459668897</v>
      </c>
      <c r="P43" s="107">
        <v>0.28178936245156749</v>
      </c>
      <c r="Q43" s="107">
        <v>1.4089468122578372</v>
      </c>
      <c r="R43" s="108">
        <v>3124765</v>
      </c>
    </row>
    <row r="44" spans="1:18">
      <c r="A44" s="45">
        <f t="array" ref="A44">IFERROR(INDEX(baseline!$A$3:$A$201,MATCH($B44&amp;$C44,baseline!$C$3:$C$201&amp;baseline!$D$3:$D$201,0)),"NA")</f>
        <v>15</v>
      </c>
      <c r="B44" t="s">
        <v>762</v>
      </c>
      <c r="C44" t="s">
        <v>14</v>
      </c>
      <c r="D44" t="s">
        <v>893</v>
      </c>
      <c r="E44" s="103" t="s">
        <v>800</v>
      </c>
      <c r="F44" s="103" t="s">
        <v>798</v>
      </c>
      <c r="G44" s="107">
        <v>3.5223670306445931</v>
      </c>
      <c r="H44" s="107">
        <v>3.170130327580134</v>
      </c>
      <c r="I44" s="138">
        <v>5.81</v>
      </c>
      <c r="J44" s="107">
        <v>1.7611835153222966</v>
      </c>
      <c r="K44" s="107">
        <v>1.7611835153222966</v>
      </c>
      <c r="L44" s="107">
        <v>1.7611835153222966</v>
      </c>
      <c r="M44" s="107">
        <v>0.3170130327580134</v>
      </c>
      <c r="N44" s="107">
        <v>0.3170130327580134</v>
      </c>
      <c r="O44" s="107">
        <v>0.70447340612891862</v>
      </c>
      <c r="P44" s="107">
        <v>0.3170130327580134</v>
      </c>
      <c r="Q44" s="107">
        <v>1.7611835153222966</v>
      </c>
      <c r="R44" s="108">
        <v>854741</v>
      </c>
    </row>
    <row r="45" spans="1:18">
      <c r="A45" s="45">
        <f t="array" ref="A45">IFERROR(INDEX(baseline!$A$3:$A$201,MATCH($B45&amp;$C45,baseline!$C$3:$C$201&amp;baseline!$D$3:$D$201,0)),"NA")</f>
        <v>15</v>
      </c>
      <c r="B45" t="s">
        <v>762</v>
      </c>
      <c r="C45" t="s">
        <v>14</v>
      </c>
      <c r="D45" t="s">
        <v>892</v>
      </c>
      <c r="E45" s="103" t="s">
        <v>800</v>
      </c>
      <c r="F45" s="103" t="s">
        <v>798</v>
      </c>
      <c r="G45" s="138">
        <v>5.5220000000000002</v>
      </c>
      <c r="H45" s="107">
        <v>3.170130327580134</v>
      </c>
      <c r="I45" s="107">
        <v>3.170130327580134</v>
      </c>
      <c r="J45" s="107">
        <v>1.7611835153222966</v>
      </c>
      <c r="K45" s="107">
        <v>1.7611835153222966</v>
      </c>
      <c r="L45" s="107">
        <v>1.7611835153222966</v>
      </c>
      <c r="M45" s="107">
        <v>0.3170130327580134</v>
      </c>
      <c r="N45" s="107">
        <v>0.3170130327580134</v>
      </c>
      <c r="O45" s="107">
        <v>0.70447340612891862</v>
      </c>
      <c r="P45" s="107">
        <v>0.3170130327580134</v>
      </c>
      <c r="Q45" s="107">
        <v>1.7611835153222966</v>
      </c>
      <c r="R45" s="108">
        <v>397004</v>
      </c>
    </row>
    <row r="46" spans="1:18">
      <c r="A46" s="45">
        <f t="array" ref="A46">IFERROR(INDEX(baseline!$A$3:$A$201,MATCH($B46&amp;$C46,baseline!$C$3:$C$201&amp;baseline!$D$3:$D$201,0)),"NA")</f>
        <v>15</v>
      </c>
      <c r="B46" t="s">
        <v>762</v>
      </c>
      <c r="C46" t="s">
        <v>14</v>
      </c>
      <c r="D46" t="s">
        <v>894</v>
      </c>
      <c r="E46" s="103" t="s">
        <v>800</v>
      </c>
      <c r="F46" s="103" t="s">
        <v>798</v>
      </c>
      <c r="G46" s="107">
        <v>3.5223670306445931</v>
      </c>
      <c r="H46" s="107">
        <v>3.170130327580134</v>
      </c>
      <c r="I46" s="107">
        <v>3.170130327580134</v>
      </c>
      <c r="J46" s="107">
        <v>1.7611835153222966</v>
      </c>
      <c r="K46" s="107">
        <v>1.7611835153222966</v>
      </c>
      <c r="L46" s="107">
        <v>1.7611835153222966</v>
      </c>
      <c r="M46" s="137">
        <v>0.45</v>
      </c>
      <c r="N46" s="137">
        <v>0.45</v>
      </c>
      <c r="O46" s="107">
        <v>0.70447340612891862</v>
      </c>
      <c r="P46" s="107">
        <v>0.3170130327580134</v>
      </c>
      <c r="Q46" s="107">
        <v>1.7611835153222966</v>
      </c>
      <c r="R46" s="108">
        <v>3124765</v>
      </c>
    </row>
    <row r="47" spans="1:18">
      <c r="A47" s="45">
        <f t="array" ref="A47">IFERROR(INDEX(baseline!$A$3:$A$201,MATCH($B47&amp;$C47,baseline!$C$3:$C$201&amp;baseline!$D$3:$D$201,0)),"NA")</f>
        <v>16</v>
      </c>
      <c r="B47" t="s">
        <v>763</v>
      </c>
      <c r="C47" t="s">
        <v>13</v>
      </c>
      <c r="D47" t="s">
        <v>893</v>
      </c>
      <c r="E47" s="103" t="s">
        <v>800</v>
      </c>
      <c r="F47" s="103" t="s">
        <v>798</v>
      </c>
      <c r="G47" s="107">
        <v>1.7611835153222966</v>
      </c>
      <c r="H47" s="107">
        <v>1.4089468122578372</v>
      </c>
      <c r="I47" s="138">
        <v>4.0490000000000004</v>
      </c>
      <c r="J47" s="107">
        <v>1.0567101091933779</v>
      </c>
      <c r="K47" s="107">
        <v>1.0567101091933779</v>
      </c>
      <c r="L47" s="107">
        <v>1.0567101091933779</v>
      </c>
      <c r="M47" s="107">
        <v>0.28178936245156749</v>
      </c>
      <c r="N47" s="107">
        <v>0.28178936245156749</v>
      </c>
      <c r="O47" s="107">
        <v>0.52835505459668897</v>
      </c>
      <c r="P47" s="107">
        <v>0.28178936245156749</v>
      </c>
      <c r="Q47" s="107">
        <v>1.4089468122578372</v>
      </c>
      <c r="R47" s="108">
        <v>156449</v>
      </c>
    </row>
    <row r="48" spans="1:18">
      <c r="A48" s="45">
        <f t="array" ref="A48">IFERROR(INDEX(baseline!$A$3:$A$201,MATCH($B48&amp;$C48,baseline!$C$3:$C$201&amp;baseline!$D$3:$D$201,0)),"NA")</f>
        <v>16</v>
      </c>
      <c r="B48" t="s">
        <v>763</v>
      </c>
      <c r="C48" t="s">
        <v>13</v>
      </c>
      <c r="D48" t="s">
        <v>892</v>
      </c>
      <c r="E48" s="103" t="s">
        <v>800</v>
      </c>
      <c r="F48" s="103" t="s">
        <v>798</v>
      </c>
      <c r="G48" s="138">
        <v>3.7610000000000001</v>
      </c>
      <c r="H48" s="107">
        <v>1.4089468122578372</v>
      </c>
      <c r="I48" s="107">
        <v>1.4089468122578372</v>
      </c>
      <c r="J48" s="107">
        <v>1.0567101091933779</v>
      </c>
      <c r="K48" s="107">
        <v>1.0567101091933779</v>
      </c>
      <c r="L48" s="107">
        <v>1.0567101091933779</v>
      </c>
      <c r="M48" s="107">
        <v>0.28178936245156749</v>
      </c>
      <c r="N48" s="107">
        <v>0.28178936245156749</v>
      </c>
      <c r="O48" s="107">
        <v>0.52835505459668897</v>
      </c>
      <c r="P48" s="107">
        <v>0.28178936245156749</v>
      </c>
      <c r="Q48" s="107">
        <v>1.4089468122578372</v>
      </c>
      <c r="R48" s="108">
        <v>130284</v>
      </c>
    </row>
    <row r="49" spans="1:18">
      <c r="A49" s="45">
        <f t="array" ref="A49">IFERROR(INDEX(baseline!$A$3:$A$201,MATCH($B49&amp;$C49,baseline!$C$3:$C$201&amp;baseline!$D$3:$D$201,0)),"NA")</f>
        <v>16</v>
      </c>
      <c r="B49" t="s">
        <v>763</v>
      </c>
      <c r="C49" t="s">
        <v>13</v>
      </c>
      <c r="D49" t="s">
        <v>894</v>
      </c>
      <c r="E49" s="103" t="s">
        <v>800</v>
      </c>
      <c r="F49" s="103" t="s">
        <v>798</v>
      </c>
      <c r="G49" s="107">
        <v>1.7611835153222966</v>
      </c>
      <c r="H49" s="107">
        <v>1.4089468122578372</v>
      </c>
      <c r="I49" s="107">
        <v>1.4089468122578372</v>
      </c>
      <c r="J49" s="107">
        <v>1.0567101091933779</v>
      </c>
      <c r="K49" s="107">
        <v>1.0567101091933779</v>
      </c>
      <c r="L49" s="107">
        <v>1.0567101091933779</v>
      </c>
      <c r="M49" s="137">
        <v>0.45</v>
      </c>
      <c r="N49" s="137">
        <v>0.45</v>
      </c>
      <c r="O49" s="107">
        <v>0.52835505459668897</v>
      </c>
      <c r="P49" s="107">
        <v>0.28178936245156749</v>
      </c>
      <c r="Q49" s="107">
        <v>1.4089468122578372</v>
      </c>
      <c r="R49" s="108">
        <v>48750</v>
      </c>
    </row>
    <row r="50" spans="1:18">
      <c r="A50" s="45">
        <f t="array" ref="A50">IFERROR(INDEX(baseline!$A$3:$A$201,MATCH($B50&amp;$C50,baseline!$C$3:$C$201&amp;baseline!$D$3:$D$201,0)),"NA")</f>
        <v>17</v>
      </c>
      <c r="B50" t="s">
        <v>763</v>
      </c>
      <c r="C50" t="s">
        <v>14</v>
      </c>
      <c r="D50" t="s">
        <v>893</v>
      </c>
      <c r="E50" s="103" t="s">
        <v>800</v>
      </c>
      <c r="F50" s="103" t="s">
        <v>798</v>
      </c>
      <c r="G50" s="107">
        <v>3.5223670306445931</v>
      </c>
      <c r="H50" s="107">
        <v>3.170130327580134</v>
      </c>
      <c r="I50" s="138">
        <v>5.81</v>
      </c>
      <c r="J50" s="107">
        <v>1.7611835153222966</v>
      </c>
      <c r="K50" s="107">
        <v>1.7611835153222966</v>
      </c>
      <c r="L50" s="107">
        <v>1.7611835153222966</v>
      </c>
      <c r="M50" s="107">
        <v>0.3170130327580134</v>
      </c>
      <c r="N50" s="107">
        <v>0.3170130327580134</v>
      </c>
      <c r="O50" s="107">
        <v>0.70447340612891862</v>
      </c>
      <c r="P50" s="107">
        <v>0.3170130327580134</v>
      </c>
      <c r="Q50" s="107">
        <v>1.7611835153222966</v>
      </c>
      <c r="R50" s="108">
        <v>156449</v>
      </c>
    </row>
    <row r="51" spans="1:18">
      <c r="A51" s="45">
        <f t="array" ref="A51">IFERROR(INDEX(baseline!$A$3:$A$201,MATCH($B51&amp;$C51,baseline!$C$3:$C$201&amp;baseline!$D$3:$D$201,0)),"NA")</f>
        <v>17</v>
      </c>
      <c r="B51" t="s">
        <v>763</v>
      </c>
      <c r="C51" t="s">
        <v>14</v>
      </c>
      <c r="D51" t="s">
        <v>892</v>
      </c>
      <c r="E51" s="103" t="s">
        <v>800</v>
      </c>
      <c r="F51" s="103" t="s">
        <v>798</v>
      </c>
      <c r="G51" s="138">
        <v>5.5220000000000002</v>
      </c>
      <c r="H51" s="107">
        <v>3.170130327580134</v>
      </c>
      <c r="I51" s="107">
        <v>3.170130327580134</v>
      </c>
      <c r="J51" s="107">
        <v>1.7611835153222966</v>
      </c>
      <c r="K51" s="107">
        <v>1.7611835153222966</v>
      </c>
      <c r="L51" s="107">
        <v>1.7611835153222966</v>
      </c>
      <c r="M51" s="107">
        <v>0.3170130327580134</v>
      </c>
      <c r="N51" s="107">
        <v>0.3170130327580134</v>
      </c>
      <c r="O51" s="107">
        <v>0.70447340612891862</v>
      </c>
      <c r="P51" s="107">
        <v>0.3170130327580134</v>
      </c>
      <c r="Q51" s="107">
        <v>1.7611835153222966</v>
      </c>
      <c r="R51" s="108">
        <v>130284</v>
      </c>
    </row>
    <row r="52" spans="1:18">
      <c r="A52" s="45">
        <f t="array" ref="A52">IFERROR(INDEX(baseline!$A$3:$A$201,MATCH($B52&amp;$C52,baseline!$C$3:$C$201&amp;baseline!$D$3:$D$201,0)),"NA")</f>
        <v>17</v>
      </c>
      <c r="B52" t="s">
        <v>763</v>
      </c>
      <c r="C52" t="s">
        <v>14</v>
      </c>
      <c r="D52" t="s">
        <v>894</v>
      </c>
      <c r="E52" s="103" t="s">
        <v>800</v>
      </c>
      <c r="F52" s="103" t="s">
        <v>798</v>
      </c>
      <c r="G52" s="107">
        <v>3.5223670306445931</v>
      </c>
      <c r="H52" s="107">
        <v>3.170130327580134</v>
      </c>
      <c r="I52" s="107">
        <v>3.170130327580134</v>
      </c>
      <c r="J52" s="107">
        <v>1.7611835153222966</v>
      </c>
      <c r="K52" s="107">
        <v>1.7611835153222966</v>
      </c>
      <c r="L52" s="107">
        <v>1.7611835153222966</v>
      </c>
      <c r="M52" s="137">
        <v>0.45</v>
      </c>
      <c r="N52" s="137">
        <v>0.45</v>
      </c>
      <c r="O52" s="107">
        <v>0.70447340612891862</v>
      </c>
      <c r="P52" s="107">
        <v>0.3170130327580134</v>
      </c>
      <c r="Q52" s="107">
        <v>1.7611835153222966</v>
      </c>
      <c r="R52" s="108">
        <v>48750</v>
      </c>
    </row>
    <row r="53" spans="1:18">
      <c r="A53" s="45">
        <f t="array" ref="A53">IFERROR(INDEX(baseline!$A$3:$A$201,MATCH($B53&amp;$C53,baseline!$C$3:$C$201&amp;baseline!$D$3:$D$201,0)),"NA")</f>
        <v>18</v>
      </c>
      <c r="B53" t="s">
        <v>763</v>
      </c>
      <c r="C53" t="s">
        <v>546</v>
      </c>
      <c r="D53" t="s">
        <v>893</v>
      </c>
      <c r="E53" s="103" t="s">
        <v>800</v>
      </c>
      <c r="F53" s="103" t="s">
        <v>798</v>
      </c>
      <c r="G53" s="107">
        <v>5.2835505459668894</v>
      </c>
      <c r="H53" s="107">
        <v>4.5790771398379713</v>
      </c>
      <c r="I53" s="138">
        <v>7.2190000000000003</v>
      </c>
      <c r="J53" s="107">
        <v>1.7611835153222966</v>
      </c>
      <c r="K53" s="107">
        <v>1.7611835153222966</v>
      </c>
      <c r="L53" s="107">
        <v>1.7611835153222966</v>
      </c>
      <c r="M53" s="107">
        <v>0.3170130327580134</v>
      </c>
      <c r="N53" s="107">
        <v>0.3170130327580134</v>
      </c>
      <c r="O53" s="107">
        <v>0.70447340612891862</v>
      </c>
      <c r="P53" s="107">
        <v>0.3170130327580134</v>
      </c>
      <c r="Q53" s="107">
        <v>1.7611835153222966</v>
      </c>
      <c r="R53" s="108">
        <v>0</v>
      </c>
    </row>
    <row r="54" spans="1:18">
      <c r="A54" s="45">
        <f t="array" ref="A54">IFERROR(INDEX(baseline!$A$3:$A$201,MATCH($B54&amp;$C54,baseline!$C$3:$C$201&amp;baseline!$D$3:$D$201,0)),"NA")</f>
        <v>18</v>
      </c>
      <c r="B54" t="s">
        <v>763</v>
      </c>
      <c r="C54" t="s">
        <v>546</v>
      </c>
      <c r="D54" t="s">
        <v>892</v>
      </c>
      <c r="E54" s="103" t="s">
        <v>800</v>
      </c>
      <c r="F54" s="103" t="s">
        <v>798</v>
      </c>
      <c r="G54" s="138">
        <v>7.2839999999999998</v>
      </c>
      <c r="H54" s="107">
        <v>4.5790771398379713</v>
      </c>
      <c r="I54" s="107">
        <v>4.5790771398379713</v>
      </c>
      <c r="J54" s="107">
        <v>1.7611835153222966</v>
      </c>
      <c r="K54" s="107">
        <v>1.7611835153222966</v>
      </c>
      <c r="L54" s="107">
        <v>1.7611835153222966</v>
      </c>
      <c r="M54" s="107">
        <v>0.3170130327580134</v>
      </c>
      <c r="N54" s="107">
        <v>0.3170130327580134</v>
      </c>
      <c r="O54" s="107">
        <v>0.70447340612891862</v>
      </c>
      <c r="P54" s="107">
        <v>0.3170130327580134</v>
      </c>
      <c r="Q54" s="107">
        <v>1.7611835153222966</v>
      </c>
      <c r="R54" s="108">
        <v>0</v>
      </c>
    </row>
    <row r="55" spans="1:18">
      <c r="A55" s="45">
        <f t="array" ref="A55">IFERROR(INDEX(baseline!$A$3:$A$201,MATCH($B55&amp;$C55,baseline!$C$3:$C$201&amp;baseline!$D$3:$D$201,0)),"NA")</f>
        <v>18</v>
      </c>
      <c r="B55" t="s">
        <v>763</v>
      </c>
      <c r="C55" t="s">
        <v>546</v>
      </c>
      <c r="D55" t="s">
        <v>894</v>
      </c>
      <c r="E55" s="103" t="s">
        <v>800</v>
      </c>
      <c r="F55" s="103" t="s">
        <v>798</v>
      </c>
      <c r="G55" s="107">
        <v>5.2835505459668894</v>
      </c>
      <c r="H55" s="107">
        <v>4.5790771398379713</v>
      </c>
      <c r="I55" s="107">
        <v>4.5790771398379713</v>
      </c>
      <c r="J55" s="107">
        <v>1.7611835153222966</v>
      </c>
      <c r="K55" s="107">
        <v>1.7611835153222966</v>
      </c>
      <c r="L55" s="107">
        <v>1.7611835153222966</v>
      </c>
      <c r="M55" s="137">
        <v>0.45</v>
      </c>
      <c r="N55" s="137">
        <v>0.45</v>
      </c>
      <c r="O55" s="107">
        <v>0.70447340612891862</v>
      </c>
      <c r="P55" s="107">
        <v>0.3170130327580134</v>
      </c>
      <c r="Q55" s="107">
        <v>1.7611835153222966</v>
      </c>
      <c r="R55" s="108">
        <v>48750</v>
      </c>
    </row>
    <row r="56" spans="1:18">
      <c r="A56" s="45">
        <f t="array" ref="A56">IFERROR(INDEX(baseline!$A$3:$A$201,MATCH($B56&amp;$C56,baseline!$C$3:$C$201&amp;baseline!$D$3:$D$201,0)),"NA")</f>
        <v>19</v>
      </c>
      <c r="B56" t="s">
        <v>712</v>
      </c>
      <c r="C56" t="s">
        <v>14</v>
      </c>
      <c r="D56" t="s">
        <v>893</v>
      </c>
      <c r="E56" s="103" t="s">
        <v>800</v>
      </c>
      <c r="F56" s="103" t="s">
        <v>798</v>
      </c>
      <c r="G56" s="107">
        <v>2.74</v>
      </c>
      <c r="H56" s="107">
        <v>2.77</v>
      </c>
      <c r="I56" s="138">
        <v>5.41</v>
      </c>
      <c r="J56" s="107">
        <v>1.7611835153222966</v>
      </c>
      <c r="K56" s="107">
        <v>1.7611835153222966</v>
      </c>
      <c r="L56" s="107">
        <v>1.7611835153222966</v>
      </c>
      <c r="M56" s="107">
        <v>0.3170130327580134</v>
      </c>
      <c r="N56" s="107">
        <v>0.3170130327580134</v>
      </c>
      <c r="O56" s="107">
        <v>0.70447340612891862</v>
      </c>
      <c r="P56" s="107">
        <v>0.3170130327580134</v>
      </c>
      <c r="Q56" s="107">
        <v>1.7611835153222966</v>
      </c>
      <c r="R56" s="108">
        <v>1484899</v>
      </c>
    </row>
    <row r="57" spans="1:18">
      <c r="A57" s="45">
        <f t="array" ref="A57">IFERROR(INDEX(baseline!$A$3:$A$201,MATCH($B57&amp;$C57,baseline!$C$3:$C$201&amp;baseline!$D$3:$D$201,0)),"NA")</f>
        <v>19</v>
      </c>
      <c r="B57" t="s">
        <v>712</v>
      </c>
      <c r="C57" t="s">
        <v>14</v>
      </c>
      <c r="D57" t="s">
        <v>892</v>
      </c>
      <c r="E57" s="103" t="s">
        <v>800</v>
      </c>
      <c r="F57" s="103" t="s">
        <v>798</v>
      </c>
      <c r="G57" s="138">
        <v>4.74</v>
      </c>
      <c r="H57" s="107">
        <v>2.77</v>
      </c>
      <c r="I57" s="107">
        <v>2.77</v>
      </c>
      <c r="J57" s="107">
        <v>1.7611835153222966</v>
      </c>
      <c r="K57" s="107">
        <v>1.7611835153222966</v>
      </c>
      <c r="L57" s="107">
        <v>1.7611835153222966</v>
      </c>
      <c r="M57" s="107">
        <v>0.3170130327580134</v>
      </c>
      <c r="N57" s="107">
        <v>0.3170130327580134</v>
      </c>
      <c r="O57" s="107">
        <v>0.70447340612891862</v>
      </c>
      <c r="P57" s="107">
        <v>0.3170130327580134</v>
      </c>
      <c r="Q57" s="107">
        <v>1.7611835153222966</v>
      </c>
      <c r="R57" s="108">
        <v>1363343</v>
      </c>
    </row>
    <row r="58" spans="1:18">
      <c r="A58" s="45">
        <f t="array" ref="A58">IFERROR(INDEX(baseline!$A$3:$A$201,MATCH($B58&amp;$C58,baseline!$C$3:$C$201&amp;baseline!$D$3:$D$201,0)),"NA")</f>
        <v>19</v>
      </c>
      <c r="B58" t="s">
        <v>712</v>
      </c>
      <c r="C58" t="s">
        <v>14</v>
      </c>
      <c r="D58" t="s">
        <v>894</v>
      </c>
      <c r="E58" s="103" t="s">
        <v>800</v>
      </c>
      <c r="F58" s="103" t="s">
        <v>798</v>
      </c>
      <c r="G58" s="107">
        <v>2.74</v>
      </c>
      <c r="H58" s="107">
        <v>2.77</v>
      </c>
      <c r="I58" s="107">
        <v>2.77</v>
      </c>
      <c r="J58" s="107">
        <v>1.7611835153222966</v>
      </c>
      <c r="K58" s="107">
        <v>1.7611835153222966</v>
      </c>
      <c r="L58" s="107">
        <v>1.7611835153222966</v>
      </c>
      <c r="M58" s="137">
        <v>0.45</v>
      </c>
      <c r="N58" s="137">
        <v>0.45</v>
      </c>
      <c r="O58" s="107">
        <v>0.70447340612891862</v>
      </c>
      <c r="P58" s="107">
        <v>0.3170130327580134</v>
      </c>
      <c r="Q58" s="107">
        <v>1.7611835153222966</v>
      </c>
      <c r="R58" s="108">
        <v>243369</v>
      </c>
    </row>
    <row r="59" spans="1:18">
      <c r="A59" s="45">
        <f t="array" ref="A59">IFERROR(INDEX(baseline!$A$3:$A$201,MATCH($B59&amp;$C59,baseline!$C$3:$C$201&amp;baseline!$D$3:$D$201,0)),"NA")</f>
        <v>20</v>
      </c>
      <c r="B59" t="s">
        <v>2</v>
      </c>
      <c r="C59" t="s">
        <v>881</v>
      </c>
      <c r="D59" t="s">
        <v>893</v>
      </c>
      <c r="E59" s="103" t="s">
        <v>800</v>
      </c>
      <c r="F59" s="103" t="s">
        <v>798</v>
      </c>
      <c r="G59" s="108">
        <v>0.88059175766114828</v>
      </c>
      <c r="H59" s="108">
        <v>3.5223670306445931</v>
      </c>
      <c r="I59" s="137">
        <v>6.1619999999999999</v>
      </c>
      <c r="J59" s="108">
        <v>1.7611835153222966</v>
      </c>
      <c r="K59" s="108">
        <v>1.7611835153222966</v>
      </c>
      <c r="L59" s="108">
        <v>1.7611835153222966</v>
      </c>
      <c r="M59" s="108">
        <v>0.28178936245156749</v>
      </c>
      <c r="N59" s="108">
        <v>0.28178936245156749</v>
      </c>
      <c r="O59" s="108">
        <v>0.70447340612891862</v>
      </c>
      <c r="P59" s="108">
        <v>0.28178936245156749</v>
      </c>
      <c r="Q59" s="108">
        <v>1.7611835153222966</v>
      </c>
      <c r="R59" s="108">
        <v>288135</v>
      </c>
    </row>
    <row r="60" spans="1:18">
      <c r="A60" s="45">
        <f t="array" ref="A60">IFERROR(INDEX(baseline!$A$3:$A$201,MATCH($B60&amp;$C60,baseline!$C$3:$C$201&amp;baseline!$D$3:$D$201,0)),"NA")</f>
        <v>20</v>
      </c>
      <c r="B60" t="s">
        <v>2</v>
      </c>
      <c r="C60" t="s">
        <v>881</v>
      </c>
      <c r="D60" t="s">
        <v>892</v>
      </c>
      <c r="E60" s="103" t="s">
        <v>800</v>
      </c>
      <c r="F60" s="103" t="s">
        <v>798</v>
      </c>
      <c r="G60" s="137">
        <v>2.8809999999999998</v>
      </c>
      <c r="H60" s="108">
        <v>3.5223670306445931</v>
      </c>
      <c r="I60" s="108">
        <v>3.5223670306445931</v>
      </c>
      <c r="J60" s="108">
        <v>1.7611835153222966</v>
      </c>
      <c r="K60" s="108">
        <v>1.7611835153222966</v>
      </c>
      <c r="L60" s="108">
        <v>1.7611835153222966</v>
      </c>
      <c r="M60" s="108">
        <v>0.28178936245156749</v>
      </c>
      <c r="N60" s="108">
        <v>0.28178936245156749</v>
      </c>
      <c r="O60" s="108">
        <v>0.70447340612891862</v>
      </c>
      <c r="P60" s="108">
        <v>0.28178936245156749</v>
      </c>
      <c r="Q60" s="108">
        <v>1.7611835153222966</v>
      </c>
      <c r="R60" s="108">
        <v>160914</v>
      </c>
    </row>
    <row r="61" spans="1:18">
      <c r="A61" s="45">
        <f t="array" ref="A61">IFERROR(INDEX(baseline!$A$3:$A$201,MATCH($B61&amp;$C61,baseline!$C$3:$C$201&amp;baseline!$D$3:$D$201,0)),"NA")</f>
        <v>20</v>
      </c>
      <c r="B61" t="s">
        <v>2</v>
      </c>
      <c r="C61" t="s">
        <v>881</v>
      </c>
      <c r="D61" t="s">
        <v>894</v>
      </c>
      <c r="E61" s="103" t="s">
        <v>800</v>
      </c>
      <c r="F61" s="103" t="s">
        <v>798</v>
      </c>
      <c r="G61" s="108">
        <v>0.88059175766114828</v>
      </c>
      <c r="H61" s="108">
        <v>3.5223670306445931</v>
      </c>
      <c r="I61" s="108">
        <v>3.5223670306445931</v>
      </c>
      <c r="J61" s="108">
        <v>1.7611835153222966</v>
      </c>
      <c r="K61" s="108">
        <v>1.7611835153222966</v>
      </c>
      <c r="L61" s="108">
        <v>1.7611835153222966</v>
      </c>
      <c r="M61" s="137">
        <v>0.45</v>
      </c>
      <c r="N61" s="137">
        <v>0.45</v>
      </c>
      <c r="O61" s="108">
        <v>0.70447340612891862</v>
      </c>
      <c r="P61" s="108">
        <v>0.28178936245156749</v>
      </c>
      <c r="Q61" s="108">
        <v>1.7611835153222966</v>
      </c>
      <c r="R61" s="108">
        <v>0</v>
      </c>
    </row>
    <row r="62" spans="1:18">
      <c r="A62" s="45">
        <f t="array" ref="A62">IFERROR(INDEX(baseline!$A$3:$A$201,MATCH($B62&amp;$C62,baseline!$C$3:$C$201&amp;baseline!$D$3:$D$201,0)),"NA")</f>
        <v>21</v>
      </c>
      <c r="B62" t="s">
        <v>2</v>
      </c>
      <c r="C62" t="s">
        <v>13</v>
      </c>
      <c r="D62" t="s">
        <v>893</v>
      </c>
      <c r="E62" s="103" t="s">
        <v>800</v>
      </c>
      <c r="F62" s="103" t="s">
        <v>798</v>
      </c>
      <c r="G62" s="107">
        <v>1.9373018668545263</v>
      </c>
      <c r="H62" s="107">
        <v>1.585065163790067</v>
      </c>
      <c r="I62" s="138">
        <v>4.2249999999999996</v>
      </c>
      <c r="J62" s="107">
        <v>1.2328284607256077</v>
      </c>
      <c r="K62" s="107">
        <v>1.2328284607256077</v>
      </c>
      <c r="L62" s="107">
        <v>1.2328284607256077</v>
      </c>
      <c r="M62" s="108">
        <v>0.28178936245156749</v>
      </c>
      <c r="N62" s="108">
        <v>0.28178936245156749</v>
      </c>
      <c r="O62" s="107">
        <v>0.70447340612891862</v>
      </c>
      <c r="P62" s="108">
        <v>0.28178936245156749</v>
      </c>
      <c r="Q62" s="107">
        <v>1.585065163790067</v>
      </c>
      <c r="R62" s="108">
        <v>188777</v>
      </c>
    </row>
    <row r="63" spans="1:18">
      <c r="A63" s="45">
        <f t="array" ref="A63">IFERROR(INDEX(baseline!$A$3:$A$201,MATCH($B63&amp;$C63,baseline!$C$3:$C$201&amp;baseline!$D$3:$D$201,0)),"NA")</f>
        <v>21</v>
      </c>
      <c r="B63" t="s">
        <v>2</v>
      </c>
      <c r="C63" t="s">
        <v>13</v>
      </c>
      <c r="D63" t="s">
        <v>892</v>
      </c>
      <c r="E63" s="103" t="s">
        <v>800</v>
      </c>
      <c r="F63" s="103" t="s">
        <v>798</v>
      </c>
      <c r="G63" s="138">
        <v>3.9369999999999998</v>
      </c>
      <c r="H63" s="107">
        <v>1.585065163790067</v>
      </c>
      <c r="I63" s="107">
        <v>1.585065163790067</v>
      </c>
      <c r="J63" s="107">
        <v>1.2328284607256077</v>
      </c>
      <c r="K63" s="107">
        <v>1.2328284607256077</v>
      </c>
      <c r="L63" s="107">
        <v>1.2328284607256077</v>
      </c>
      <c r="M63" s="108">
        <v>0.28178936245156749</v>
      </c>
      <c r="N63" s="108">
        <v>0.28178936245156749</v>
      </c>
      <c r="O63" s="107">
        <v>0.70447340612891862</v>
      </c>
      <c r="P63" s="108">
        <v>0.28178936245156749</v>
      </c>
      <c r="Q63" s="107">
        <v>1.585065163790067</v>
      </c>
      <c r="R63" s="108">
        <v>160914</v>
      </c>
    </row>
    <row r="64" spans="1:18">
      <c r="A64" s="45">
        <f t="array" ref="A64">IFERROR(INDEX(baseline!$A$3:$A$201,MATCH($B64&amp;$C64,baseline!$C$3:$C$201&amp;baseline!$D$3:$D$201,0)),"NA")</f>
        <v>21</v>
      </c>
      <c r="B64" t="s">
        <v>2</v>
      </c>
      <c r="C64" t="s">
        <v>13</v>
      </c>
      <c r="D64" t="s">
        <v>894</v>
      </c>
      <c r="E64" s="103" t="s">
        <v>800</v>
      </c>
      <c r="F64" s="103" t="s">
        <v>798</v>
      </c>
      <c r="G64" s="107">
        <v>1.9373018668545263</v>
      </c>
      <c r="H64" s="107">
        <v>1.585065163790067</v>
      </c>
      <c r="I64" s="107">
        <v>1.585065163790067</v>
      </c>
      <c r="J64" s="107">
        <v>1.2328284607256077</v>
      </c>
      <c r="K64" s="107">
        <v>1.2328284607256077</v>
      </c>
      <c r="L64" s="107">
        <v>1.2328284607256077</v>
      </c>
      <c r="M64" s="137">
        <v>0.45</v>
      </c>
      <c r="N64" s="137">
        <v>0.45</v>
      </c>
      <c r="O64" s="107">
        <v>0.70447340612891862</v>
      </c>
      <c r="P64" s="108">
        <v>0.28178936245156749</v>
      </c>
      <c r="Q64" s="107">
        <v>1.585065163790067</v>
      </c>
      <c r="R64" s="108">
        <v>0</v>
      </c>
    </row>
    <row r="65" spans="1:18">
      <c r="A65" s="45">
        <f t="array" ref="A65">IFERROR(INDEX(baseline!$A$3:$A$201,MATCH($B65&amp;$C65,baseline!$C$3:$C$201&amp;baseline!$D$3:$D$201,0)),"NA")</f>
        <v>22</v>
      </c>
      <c r="B65" t="s">
        <v>2</v>
      </c>
      <c r="C65" t="s">
        <v>14</v>
      </c>
      <c r="D65" t="s">
        <v>893</v>
      </c>
      <c r="E65" s="103" t="s">
        <v>800</v>
      </c>
      <c r="F65" s="103" t="s">
        <v>798</v>
      </c>
      <c r="G65" s="107">
        <v>2.6417752729834447</v>
      </c>
      <c r="H65" s="107">
        <v>3.5223670306445931</v>
      </c>
      <c r="I65" s="138">
        <v>6.1619999999999999</v>
      </c>
      <c r="J65" s="107">
        <v>1.7611835153222966</v>
      </c>
      <c r="K65" s="107">
        <v>1.7611835153222966</v>
      </c>
      <c r="L65" s="107">
        <v>1.7611835153222966</v>
      </c>
      <c r="M65" s="107">
        <v>0.3170130327580134</v>
      </c>
      <c r="N65" s="107">
        <v>0.3170130327580134</v>
      </c>
      <c r="O65" s="107">
        <v>0.70447340612891862</v>
      </c>
      <c r="P65" s="107">
        <v>0.3170130327580134</v>
      </c>
      <c r="Q65" s="107">
        <v>1.7611835153222966</v>
      </c>
      <c r="R65" s="108">
        <v>163711</v>
      </c>
    </row>
    <row r="66" spans="1:18">
      <c r="A66" s="45">
        <f t="array" ref="A66">IFERROR(INDEX(baseline!$A$3:$A$201,MATCH($B66&amp;$C66,baseline!$C$3:$C$201&amp;baseline!$D$3:$D$201,0)),"NA")</f>
        <v>22</v>
      </c>
      <c r="B66" t="s">
        <v>2</v>
      </c>
      <c r="C66" t="s">
        <v>14</v>
      </c>
      <c r="D66" t="s">
        <v>892</v>
      </c>
      <c r="E66" s="103" t="s">
        <v>800</v>
      </c>
      <c r="F66" s="103" t="s">
        <v>798</v>
      </c>
      <c r="G66" s="138">
        <v>4.6420000000000003</v>
      </c>
      <c r="H66" s="107">
        <v>3.5223670306445931</v>
      </c>
      <c r="I66" s="107">
        <v>3.5223670306445931</v>
      </c>
      <c r="J66" s="107">
        <v>1.7611835153222966</v>
      </c>
      <c r="K66" s="107">
        <v>1.7611835153222966</v>
      </c>
      <c r="L66" s="107">
        <v>1.7611835153222966</v>
      </c>
      <c r="M66" s="107">
        <v>0.3170130327580134</v>
      </c>
      <c r="N66" s="107">
        <v>0.3170130327580134</v>
      </c>
      <c r="O66" s="107">
        <v>0.70447340612891862</v>
      </c>
      <c r="P66" s="107">
        <v>0.3170130327580134</v>
      </c>
      <c r="Q66" s="107">
        <v>1.7611835153222966</v>
      </c>
      <c r="R66" s="108">
        <v>160914</v>
      </c>
    </row>
    <row r="67" spans="1:18">
      <c r="A67" s="45">
        <f t="array" ref="A67">IFERROR(INDEX(baseline!$A$3:$A$201,MATCH($B67&amp;$C67,baseline!$C$3:$C$201&amp;baseline!$D$3:$D$201,0)),"NA")</f>
        <v>22</v>
      </c>
      <c r="B67" t="s">
        <v>2</v>
      </c>
      <c r="C67" t="s">
        <v>14</v>
      </c>
      <c r="D67" t="s">
        <v>894</v>
      </c>
      <c r="E67" s="103" t="s">
        <v>800</v>
      </c>
      <c r="F67" s="103" t="s">
        <v>798</v>
      </c>
      <c r="G67" s="107">
        <v>2.6417752729834447</v>
      </c>
      <c r="H67" s="107">
        <v>3.5223670306445931</v>
      </c>
      <c r="I67" s="107">
        <v>3.5223670306445931</v>
      </c>
      <c r="J67" s="107">
        <v>1.7611835153222966</v>
      </c>
      <c r="K67" s="107">
        <v>1.7611835153222966</v>
      </c>
      <c r="L67" s="107">
        <v>1.7611835153222966</v>
      </c>
      <c r="M67" s="137">
        <v>0.45</v>
      </c>
      <c r="N67" s="137">
        <v>0.45</v>
      </c>
      <c r="O67" s="107">
        <v>0.70447340612891862</v>
      </c>
      <c r="P67" s="107">
        <v>0.3170130327580134</v>
      </c>
      <c r="Q67" s="107">
        <v>1.7611835153222966</v>
      </c>
      <c r="R67" s="108">
        <v>0</v>
      </c>
    </row>
    <row r="68" spans="1:18">
      <c r="A68" s="45">
        <f t="array" ref="A68">IFERROR(INDEX(baseline!$A$3:$A$201,MATCH($B68&amp;$C68,baseline!$C$3:$C$201&amp;baseline!$D$3:$D$201,0)),"NA")</f>
        <v>23</v>
      </c>
      <c r="B68" t="s">
        <v>2</v>
      </c>
      <c r="C68" t="s">
        <v>546</v>
      </c>
      <c r="D68" t="s">
        <v>893</v>
      </c>
      <c r="E68" s="103" t="s">
        <v>800</v>
      </c>
      <c r="F68" s="103" t="s">
        <v>798</v>
      </c>
      <c r="G68" s="107">
        <v>5.2835505459668894</v>
      </c>
      <c r="H68" s="107">
        <v>4.5790771398379713</v>
      </c>
      <c r="I68" s="138">
        <v>7.2190000000000003</v>
      </c>
      <c r="J68" s="107">
        <v>1.7611835153222966</v>
      </c>
      <c r="K68" s="107">
        <v>1.7611835153222966</v>
      </c>
      <c r="L68" s="107">
        <v>1.7611835153222966</v>
      </c>
      <c r="M68" s="107">
        <v>0.3170130327580134</v>
      </c>
      <c r="N68" s="107">
        <v>0.3170130327580134</v>
      </c>
      <c r="O68" s="107">
        <v>0.70447340612891862</v>
      </c>
      <c r="P68" s="107">
        <v>0.3170130327580134</v>
      </c>
      <c r="Q68" s="107">
        <v>1.7611835153222966</v>
      </c>
      <c r="R68" s="108">
        <v>0</v>
      </c>
    </row>
    <row r="69" spans="1:18">
      <c r="A69" s="45">
        <f t="array" ref="A69">IFERROR(INDEX(baseline!$A$3:$A$201,MATCH($B69&amp;$C69,baseline!$C$3:$C$201&amp;baseline!$D$3:$D$201,0)),"NA")</f>
        <v>23</v>
      </c>
      <c r="B69" t="s">
        <v>2</v>
      </c>
      <c r="C69" t="s">
        <v>546</v>
      </c>
      <c r="D69" t="s">
        <v>892</v>
      </c>
      <c r="E69" s="103" t="s">
        <v>800</v>
      </c>
      <c r="F69" s="103" t="s">
        <v>798</v>
      </c>
      <c r="G69" s="138">
        <v>7.2839999999999998</v>
      </c>
      <c r="H69" s="107">
        <v>4.5790771398379713</v>
      </c>
      <c r="I69" s="107">
        <v>4.5790771398379713</v>
      </c>
      <c r="J69" s="107">
        <v>1.7611835153222966</v>
      </c>
      <c r="K69" s="107">
        <v>1.7611835153222966</v>
      </c>
      <c r="L69" s="107">
        <v>1.7611835153222966</v>
      </c>
      <c r="M69" s="107">
        <v>0.3170130327580134</v>
      </c>
      <c r="N69" s="107">
        <v>0.3170130327580134</v>
      </c>
      <c r="O69" s="107">
        <v>0.70447340612891862</v>
      </c>
      <c r="P69" s="107">
        <v>0.3170130327580134</v>
      </c>
      <c r="Q69" s="107">
        <v>1.7611835153222966</v>
      </c>
      <c r="R69" s="108">
        <v>0</v>
      </c>
    </row>
    <row r="70" spans="1:18">
      <c r="A70" s="45">
        <f t="array" ref="A70">IFERROR(INDEX(baseline!$A$3:$A$201,MATCH($B70&amp;$C70,baseline!$C$3:$C$201&amp;baseline!$D$3:$D$201,0)),"NA")</f>
        <v>23</v>
      </c>
      <c r="B70" t="s">
        <v>2</v>
      </c>
      <c r="C70" t="s">
        <v>546</v>
      </c>
      <c r="D70" t="s">
        <v>894</v>
      </c>
      <c r="E70" s="103" t="s">
        <v>800</v>
      </c>
      <c r="F70" s="103" t="s">
        <v>798</v>
      </c>
      <c r="G70" s="107">
        <v>5.2835505459668894</v>
      </c>
      <c r="H70" s="107">
        <v>4.5790771398379713</v>
      </c>
      <c r="I70" s="107">
        <v>4.5790771398379713</v>
      </c>
      <c r="J70" s="107">
        <v>1.7611835153222966</v>
      </c>
      <c r="K70" s="107">
        <v>1.7611835153222966</v>
      </c>
      <c r="L70" s="107">
        <v>1.7611835153222966</v>
      </c>
      <c r="M70" s="137">
        <v>0.45</v>
      </c>
      <c r="N70" s="137">
        <v>0.45</v>
      </c>
      <c r="O70" s="107">
        <v>0.70447340612891862</v>
      </c>
      <c r="P70" s="107">
        <v>0.3170130327580134</v>
      </c>
      <c r="Q70" s="107">
        <v>1.7611835153222966</v>
      </c>
      <c r="R70" s="108">
        <v>0</v>
      </c>
    </row>
    <row r="71" spans="1:18">
      <c r="A71" s="45">
        <f t="array" ref="A71">IFERROR(INDEX(baseline!$A$3:$A$201,MATCH($B71&amp;$C71,baseline!$C$3:$C$201&amp;baseline!$D$3:$D$201,0)),"NA")</f>
        <v>24</v>
      </c>
      <c r="B71" t="s">
        <v>547</v>
      </c>
      <c r="C71" t="s">
        <v>881</v>
      </c>
      <c r="D71" t="s">
        <v>893</v>
      </c>
      <c r="E71" s="103" t="s">
        <v>800</v>
      </c>
      <c r="F71" s="103" t="s">
        <v>798</v>
      </c>
      <c r="G71" s="108">
        <v>1.7611835153222966</v>
      </c>
      <c r="H71" s="108">
        <v>2.1134202183867559</v>
      </c>
      <c r="I71" s="137">
        <v>4.7530000000000001</v>
      </c>
      <c r="J71" s="108">
        <v>1.7611835153222966</v>
      </c>
      <c r="K71" s="108">
        <v>1.7611835153222966</v>
      </c>
      <c r="L71" s="108">
        <v>1.7611835153222966</v>
      </c>
      <c r="M71" s="108">
        <v>0.28178936245156749</v>
      </c>
      <c r="N71" s="108">
        <v>0.28178936245156749</v>
      </c>
      <c r="O71" s="108">
        <v>0.70447340612891862</v>
      </c>
      <c r="P71" s="108">
        <v>0.28178936245156749</v>
      </c>
      <c r="Q71" s="108">
        <v>1.7611835153222966</v>
      </c>
      <c r="R71" s="108">
        <v>523108</v>
      </c>
    </row>
    <row r="72" spans="1:18">
      <c r="A72" s="45">
        <f t="array" ref="A72">IFERROR(INDEX(baseline!$A$3:$A$201,MATCH($B72&amp;$C72,baseline!$C$3:$C$201&amp;baseline!$D$3:$D$201,0)),"NA")</f>
        <v>24</v>
      </c>
      <c r="B72" t="s">
        <v>547</v>
      </c>
      <c r="C72" t="s">
        <v>881</v>
      </c>
      <c r="D72" t="s">
        <v>892</v>
      </c>
      <c r="E72" s="103" t="s">
        <v>800</v>
      </c>
      <c r="F72" s="103" t="s">
        <v>798</v>
      </c>
      <c r="G72" s="137">
        <v>3.7610000000000001</v>
      </c>
      <c r="H72" s="108">
        <v>2.1134202183867559</v>
      </c>
      <c r="I72" s="108">
        <v>2.1134202183867559</v>
      </c>
      <c r="J72" s="108">
        <v>1.7611835153222966</v>
      </c>
      <c r="K72" s="108">
        <v>1.7611835153222966</v>
      </c>
      <c r="L72" s="108">
        <v>1.7611835153222966</v>
      </c>
      <c r="M72" s="108">
        <v>0.28178936245156749</v>
      </c>
      <c r="N72" s="108">
        <v>0.28178936245156749</v>
      </c>
      <c r="O72" s="108">
        <v>0.70447340612891862</v>
      </c>
      <c r="P72" s="108">
        <v>0.28178936245156749</v>
      </c>
      <c r="Q72" s="108">
        <v>1.7611835153222966</v>
      </c>
      <c r="R72" s="108">
        <v>455483</v>
      </c>
    </row>
    <row r="73" spans="1:18">
      <c r="A73" s="45">
        <f t="array" ref="A73">IFERROR(INDEX(baseline!$A$3:$A$201,MATCH($B73&amp;$C73,baseline!$C$3:$C$201&amp;baseline!$D$3:$D$201,0)),"NA")</f>
        <v>24</v>
      </c>
      <c r="B73" t="s">
        <v>547</v>
      </c>
      <c r="C73" t="s">
        <v>881</v>
      </c>
      <c r="D73" t="s">
        <v>894</v>
      </c>
      <c r="E73" s="103" t="s">
        <v>800</v>
      </c>
      <c r="F73" s="103" t="s">
        <v>798</v>
      </c>
      <c r="G73" s="108">
        <v>1.7611835153222966</v>
      </c>
      <c r="H73" s="108">
        <v>2.1134202183867559</v>
      </c>
      <c r="I73" s="108">
        <v>2.1134202183867559</v>
      </c>
      <c r="J73" s="108">
        <v>1.7611835153222966</v>
      </c>
      <c r="K73" s="108">
        <v>1.7611835153222966</v>
      </c>
      <c r="L73" s="108">
        <v>1.7611835153222966</v>
      </c>
      <c r="M73" s="137">
        <v>0.45</v>
      </c>
      <c r="N73" s="137">
        <v>0.45</v>
      </c>
      <c r="O73" s="108">
        <v>0.70447340612891862</v>
      </c>
      <c r="P73" s="108">
        <v>0.28178936245156749</v>
      </c>
      <c r="Q73" s="108">
        <v>1.7611835153222966</v>
      </c>
      <c r="R73" s="108">
        <v>165362</v>
      </c>
    </row>
    <row r="74" spans="1:18">
      <c r="A74" s="45">
        <f t="array" ref="A74">IFERROR(INDEX(baseline!$A$3:$A$201,MATCH($B74&amp;$C74,baseline!$C$3:$C$201&amp;baseline!$D$3:$D$201,0)),"NA")</f>
        <v>25</v>
      </c>
      <c r="B74" t="s">
        <v>547</v>
      </c>
      <c r="C74" t="s">
        <v>14</v>
      </c>
      <c r="D74" t="s">
        <v>893</v>
      </c>
      <c r="E74" s="103" t="s">
        <v>800</v>
      </c>
      <c r="F74" s="103" t="s">
        <v>798</v>
      </c>
      <c r="G74" s="107">
        <v>3.5223670306445931</v>
      </c>
      <c r="H74" s="107">
        <v>3.170130327580134</v>
      </c>
      <c r="I74" s="138">
        <v>5.81</v>
      </c>
      <c r="J74" s="107">
        <v>1.7611835153222966</v>
      </c>
      <c r="K74" s="107">
        <v>1.7611835153222966</v>
      </c>
      <c r="L74" s="107">
        <v>1.7611835153222966</v>
      </c>
      <c r="M74" s="107">
        <v>0.3170130327580134</v>
      </c>
      <c r="N74" s="107">
        <v>0.3170130327580134</v>
      </c>
      <c r="O74" s="107">
        <v>0.70447340612891862</v>
      </c>
      <c r="P74" s="107">
        <v>0.3170130327580134</v>
      </c>
      <c r="Q74" s="107">
        <v>1.7611835153222966</v>
      </c>
      <c r="R74" s="108">
        <v>523108</v>
      </c>
    </row>
    <row r="75" spans="1:18">
      <c r="A75" s="45">
        <f t="array" ref="A75">IFERROR(INDEX(baseline!$A$3:$A$201,MATCH($B75&amp;$C75,baseline!$C$3:$C$201&amp;baseline!$D$3:$D$201,0)),"NA")</f>
        <v>25</v>
      </c>
      <c r="B75" t="s">
        <v>547</v>
      </c>
      <c r="C75" t="s">
        <v>14</v>
      </c>
      <c r="D75" t="s">
        <v>892</v>
      </c>
      <c r="E75" s="103" t="s">
        <v>800</v>
      </c>
      <c r="F75" s="103" t="s">
        <v>798</v>
      </c>
      <c r="G75" s="138">
        <v>5.5220000000000002</v>
      </c>
      <c r="H75" s="107">
        <v>3.170130327580134</v>
      </c>
      <c r="I75" s="107">
        <v>3.170130327580134</v>
      </c>
      <c r="J75" s="107">
        <v>1.7611835153222966</v>
      </c>
      <c r="K75" s="107">
        <v>1.7611835153222966</v>
      </c>
      <c r="L75" s="107">
        <v>1.7611835153222966</v>
      </c>
      <c r="M75" s="107">
        <v>0.3170130327580134</v>
      </c>
      <c r="N75" s="107">
        <v>0.3170130327580134</v>
      </c>
      <c r="O75" s="107">
        <v>0.70447340612891862</v>
      </c>
      <c r="P75" s="107">
        <v>0.3170130327580134</v>
      </c>
      <c r="Q75" s="107">
        <v>1.7611835153222966</v>
      </c>
      <c r="R75" s="108">
        <v>455483</v>
      </c>
    </row>
    <row r="76" spans="1:18">
      <c r="A76" s="45">
        <f t="array" ref="A76">IFERROR(INDEX(baseline!$A$3:$A$201,MATCH($B76&amp;$C76,baseline!$C$3:$C$201&amp;baseline!$D$3:$D$201,0)),"NA")</f>
        <v>25</v>
      </c>
      <c r="B76" t="s">
        <v>547</v>
      </c>
      <c r="C76" t="s">
        <v>14</v>
      </c>
      <c r="D76" t="s">
        <v>894</v>
      </c>
      <c r="E76" s="103" t="s">
        <v>800</v>
      </c>
      <c r="F76" s="103" t="s">
        <v>798</v>
      </c>
      <c r="G76" s="107">
        <v>3.5223670306445931</v>
      </c>
      <c r="H76" s="107">
        <v>3.170130327580134</v>
      </c>
      <c r="I76" s="107">
        <v>3.170130327580134</v>
      </c>
      <c r="J76" s="107">
        <v>1.7611835153222966</v>
      </c>
      <c r="K76" s="107">
        <v>1.7611835153222966</v>
      </c>
      <c r="L76" s="107">
        <v>1.7611835153222966</v>
      </c>
      <c r="M76" s="137">
        <v>0.45</v>
      </c>
      <c r="N76" s="137">
        <v>0.45</v>
      </c>
      <c r="O76" s="107">
        <v>0.70447340612891862</v>
      </c>
      <c r="P76" s="107">
        <v>0.3170130327580134</v>
      </c>
      <c r="Q76" s="107">
        <v>1.7611835153222966</v>
      </c>
      <c r="R76" s="108">
        <v>165362</v>
      </c>
    </row>
    <row r="77" spans="1:18">
      <c r="A77" s="45">
        <f t="array" ref="A77">IFERROR(INDEX(baseline!$A$3:$A$201,MATCH($B77&amp;$C77,baseline!$C$3:$C$201&amp;baseline!$D$3:$D$201,0)),"NA")</f>
        <v>26</v>
      </c>
      <c r="B77" t="s">
        <v>547</v>
      </c>
      <c r="C77" t="s">
        <v>546</v>
      </c>
      <c r="D77" t="s">
        <v>893</v>
      </c>
      <c r="E77" s="103" t="s">
        <v>800</v>
      </c>
      <c r="F77" s="103" t="s">
        <v>798</v>
      </c>
      <c r="G77" s="107">
        <v>5.2835505459668894</v>
      </c>
      <c r="H77" s="107">
        <v>4.5790771398379713</v>
      </c>
      <c r="I77" s="138">
        <v>7.2190000000000003</v>
      </c>
      <c r="J77" s="107">
        <v>1.7611835153222966</v>
      </c>
      <c r="K77" s="107">
        <v>1.7611835153222966</v>
      </c>
      <c r="L77" s="107">
        <v>1.7611835153222966</v>
      </c>
      <c r="M77" s="107">
        <v>0.3170130327580134</v>
      </c>
      <c r="N77" s="107">
        <v>0.3170130327580134</v>
      </c>
      <c r="O77" s="107">
        <v>0.70447340612891862</v>
      </c>
      <c r="P77" s="107">
        <v>0.3170130327580134</v>
      </c>
      <c r="Q77" s="107">
        <v>1.7611835153222966</v>
      </c>
      <c r="R77" s="108">
        <v>0</v>
      </c>
    </row>
    <row r="78" spans="1:18">
      <c r="A78" s="45">
        <f t="array" ref="A78">IFERROR(INDEX(baseline!$A$3:$A$201,MATCH($B78&amp;$C78,baseline!$C$3:$C$201&amp;baseline!$D$3:$D$201,0)),"NA")</f>
        <v>26</v>
      </c>
      <c r="B78" t="s">
        <v>547</v>
      </c>
      <c r="C78" t="s">
        <v>546</v>
      </c>
      <c r="D78" t="s">
        <v>892</v>
      </c>
      <c r="E78" s="103" t="s">
        <v>800</v>
      </c>
      <c r="F78" s="103" t="s">
        <v>798</v>
      </c>
      <c r="G78" s="138">
        <v>7.2839999999999998</v>
      </c>
      <c r="H78" s="107">
        <v>4.5790771398379713</v>
      </c>
      <c r="I78" s="107">
        <v>4.5790771398379713</v>
      </c>
      <c r="J78" s="107">
        <v>1.7611835153222966</v>
      </c>
      <c r="K78" s="107">
        <v>1.7611835153222966</v>
      </c>
      <c r="L78" s="107">
        <v>1.7611835153222966</v>
      </c>
      <c r="M78" s="107">
        <v>0.3170130327580134</v>
      </c>
      <c r="N78" s="107">
        <v>0.3170130327580134</v>
      </c>
      <c r="O78" s="107">
        <v>0.70447340612891862</v>
      </c>
      <c r="P78" s="107">
        <v>0.3170130327580134</v>
      </c>
      <c r="Q78" s="107">
        <v>1.7611835153222966</v>
      </c>
      <c r="R78" s="108">
        <v>0</v>
      </c>
    </row>
    <row r="79" spans="1:18">
      <c r="A79" s="45">
        <f t="array" ref="A79">IFERROR(INDEX(baseline!$A$3:$A$201,MATCH($B79&amp;$C79,baseline!$C$3:$C$201&amp;baseline!$D$3:$D$201,0)),"NA")</f>
        <v>26</v>
      </c>
      <c r="B79" t="s">
        <v>547</v>
      </c>
      <c r="C79" t="s">
        <v>546</v>
      </c>
      <c r="D79" t="s">
        <v>894</v>
      </c>
      <c r="E79" s="103" t="s">
        <v>800</v>
      </c>
      <c r="F79" s="103" t="s">
        <v>798</v>
      </c>
      <c r="G79" s="107">
        <v>5.2835505459668894</v>
      </c>
      <c r="H79" s="107">
        <v>4.5790771398379713</v>
      </c>
      <c r="I79" s="107">
        <v>4.5790771398379713</v>
      </c>
      <c r="J79" s="107">
        <v>1.7611835153222966</v>
      </c>
      <c r="K79" s="107">
        <v>1.7611835153222966</v>
      </c>
      <c r="L79" s="107">
        <v>1.7611835153222966</v>
      </c>
      <c r="M79" s="137">
        <v>0.45</v>
      </c>
      <c r="N79" s="137">
        <v>0.45</v>
      </c>
      <c r="O79" s="107">
        <v>0.70447340612891862</v>
      </c>
      <c r="P79" s="107">
        <v>0.3170130327580134</v>
      </c>
      <c r="Q79" s="107">
        <v>1.7611835153222966</v>
      </c>
      <c r="R79" s="108">
        <v>165362</v>
      </c>
    </row>
    <row r="80" spans="1:18">
      <c r="A80" s="45">
        <f t="array" ref="A80">IFERROR(INDEX(baseline!$A$3:$A$201,MATCH($B80&amp;$C80,baseline!$C$3:$C$201&amp;baseline!$D$3:$D$201,0)),"NA")</f>
        <v>27</v>
      </c>
      <c r="B80" t="s">
        <v>1</v>
      </c>
      <c r="C80" t="s">
        <v>881</v>
      </c>
      <c r="D80" t="s">
        <v>893</v>
      </c>
      <c r="E80" s="103" t="s">
        <v>800</v>
      </c>
      <c r="F80" s="103" t="s">
        <v>798</v>
      </c>
      <c r="G80" s="108">
        <v>1.7611835153222966</v>
      </c>
      <c r="H80" s="108">
        <v>2.1134202183867559</v>
      </c>
      <c r="I80" s="137">
        <v>4.7530000000000001</v>
      </c>
      <c r="J80" s="108">
        <v>1.7611835153222966</v>
      </c>
      <c r="K80" s="108">
        <v>1.7611835153222966</v>
      </c>
      <c r="L80" s="108">
        <v>1.7611835153222966</v>
      </c>
      <c r="M80" s="108">
        <v>0.28178936245156749</v>
      </c>
      <c r="N80" s="108">
        <v>0.28178936245156749</v>
      </c>
      <c r="O80" s="108">
        <v>0.70447340612891862</v>
      </c>
      <c r="P80" s="108">
        <v>0.28178936245156749</v>
      </c>
      <c r="Q80" s="108">
        <v>1.7611835153222966</v>
      </c>
      <c r="R80" s="108">
        <v>356996</v>
      </c>
    </row>
    <row r="81" spans="1:18">
      <c r="A81" s="45">
        <f t="array" ref="A81">IFERROR(INDEX(baseline!$A$3:$A$201,MATCH($B81&amp;$C81,baseline!$C$3:$C$201&amp;baseline!$D$3:$D$201,0)),"NA")</f>
        <v>27</v>
      </c>
      <c r="B81" t="s">
        <v>1</v>
      </c>
      <c r="C81" t="s">
        <v>881</v>
      </c>
      <c r="D81" t="s">
        <v>892</v>
      </c>
      <c r="E81" s="103" t="s">
        <v>800</v>
      </c>
      <c r="F81" s="103" t="s">
        <v>798</v>
      </c>
      <c r="G81" s="137">
        <v>3.7610000000000001</v>
      </c>
      <c r="H81" s="108">
        <v>2.1134202183867559</v>
      </c>
      <c r="I81" s="108">
        <v>2.1134202183867559</v>
      </c>
      <c r="J81" s="108">
        <v>1.7611835153222966</v>
      </c>
      <c r="K81" s="108">
        <v>1.7611835153222966</v>
      </c>
      <c r="L81" s="108">
        <v>1.7611835153222966</v>
      </c>
      <c r="M81" s="108">
        <v>0.28178936245156749</v>
      </c>
      <c r="N81" s="108">
        <v>0.28178936245156749</v>
      </c>
      <c r="O81" s="108">
        <v>0.70447340612891862</v>
      </c>
      <c r="P81" s="108">
        <v>0.28178936245156749</v>
      </c>
      <c r="Q81" s="108">
        <v>1.7611835153222966</v>
      </c>
      <c r="R81" s="108">
        <v>380269</v>
      </c>
    </row>
    <row r="82" spans="1:18">
      <c r="A82" s="45">
        <f t="array" ref="A82">IFERROR(INDEX(baseline!$A$3:$A$201,MATCH($B82&amp;$C82,baseline!$C$3:$C$201&amp;baseline!$D$3:$D$201,0)),"NA")</f>
        <v>27</v>
      </c>
      <c r="B82" t="s">
        <v>1</v>
      </c>
      <c r="C82" t="s">
        <v>881</v>
      </c>
      <c r="D82" t="s">
        <v>894</v>
      </c>
      <c r="E82" s="103" t="s">
        <v>800</v>
      </c>
      <c r="F82" s="103" t="s">
        <v>798</v>
      </c>
      <c r="G82" s="108">
        <v>1.7611835153222966</v>
      </c>
      <c r="H82" s="108">
        <v>2.1134202183867559</v>
      </c>
      <c r="I82" s="108">
        <v>2.1134202183867559</v>
      </c>
      <c r="J82" s="108">
        <v>1.7611835153222966</v>
      </c>
      <c r="K82" s="108">
        <v>1.7611835153222966</v>
      </c>
      <c r="L82" s="108">
        <v>1.7611835153222966</v>
      </c>
      <c r="M82" s="137">
        <v>0.45</v>
      </c>
      <c r="N82" s="137">
        <v>0.45</v>
      </c>
      <c r="O82" s="108">
        <v>0.70447340612891862</v>
      </c>
      <c r="P82" s="108">
        <v>0.28178936245156749</v>
      </c>
      <c r="Q82" s="108">
        <v>1.7611835153222966</v>
      </c>
      <c r="R82" s="108">
        <v>4464</v>
      </c>
    </row>
    <row r="83" spans="1:18">
      <c r="A83" s="45">
        <f t="array" ref="A83">IFERROR(INDEX(baseline!$A$3:$A$201,MATCH($B83&amp;$C83,baseline!$C$3:$C$201&amp;baseline!$D$3:$D$201,0)),"NA")</f>
        <v>28</v>
      </c>
      <c r="B83" t="s">
        <v>1</v>
      </c>
      <c r="C83" t="s">
        <v>14</v>
      </c>
      <c r="D83" t="s">
        <v>893</v>
      </c>
      <c r="E83" s="103" t="s">
        <v>800</v>
      </c>
      <c r="F83" s="103" t="s">
        <v>798</v>
      </c>
      <c r="G83" s="107">
        <v>2.6417752729834447</v>
      </c>
      <c r="H83" s="107">
        <v>3.170130327580134</v>
      </c>
      <c r="I83" s="138">
        <v>5.81</v>
      </c>
      <c r="J83" s="107">
        <v>1.7611835153222966</v>
      </c>
      <c r="K83" s="107">
        <v>1.7611835153222966</v>
      </c>
      <c r="L83" s="107">
        <v>1.7611835153222966</v>
      </c>
      <c r="M83" s="107">
        <v>0.3170130327580134</v>
      </c>
      <c r="N83" s="107">
        <v>0.3170130327580134</v>
      </c>
      <c r="O83" s="107">
        <v>0.70447340612891862</v>
      </c>
      <c r="P83" s="107">
        <v>0.3170130327580134</v>
      </c>
      <c r="Q83" s="107">
        <v>1.7611835153222966</v>
      </c>
      <c r="R83" s="108">
        <v>356996</v>
      </c>
    </row>
    <row r="84" spans="1:18">
      <c r="A84" s="45">
        <f t="array" ref="A84">IFERROR(INDEX(baseline!$A$3:$A$201,MATCH($B84&amp;$C84,baseline!$C$3:$C$201&amp;baseline!$D$3:$D$201,0)),"NA")</f>
        <v>28</v>
      </c>
      <c r="B84" t="s">
        <v>1</v>
      </c>
      <c r="C84" t="s">
        <v>14</v>
      </c>
      <c r="D84" t="s">
        <v>892</v>
      </c>
      <c r="E84" s="103" t="s">
        <v>800</v>
      </c>
      <c r="F84" s="103" t="s">
        <v>798</v>
      </c>
      <c r="G84" s="138">
        <v>4.6420000000000003</v>
      </c>
      <c r="H84" s="107">
        <v>3.170130327580134</v>
      </c>
      <c r="I84" s="107">
        <v>3.170130327580134</v>
      </c>
      <c r="J84" s="107">
        <v>1.7611835153222966</v>
      </c>
      <c r="K84" s="107">
        <v>1.7611835153222966</v>
      </c>
      <c r="L84" s="107">
        <v>1.7611835153222966</v>
      </c>
      <c r="M84" s="107">
        <v>0.3170130327580134</v>
      </c>
      <c r="N84" s="107">
        <v>0.3170130327580134</v>
      </c>
      <c r="O84" s="107">
        <v>0.70447340612891862</v>
      </c>
      <c r="P84" s="107">
        <v>0.3170130327580134</v>
      </c>
      <c r="Q84" s="107">
        <v>1.7611835153222966</v>
      </c>
      <c r="R84" s="108">
        <v>380269</v>
      </c>
    </row>
    <row r="85" spans="1:18">
      <c r="A85" s="45">
        <f t="array" ref="A85">IFERROR(INDEX(baseline!$A$3:$A$201,MATCH($B85&amp;$C85,baseline!$C$3:$C$201&amp;baseline!$D$3:$D$201,0)),"NA")</f>
        <v>28</v>
      </c>
      <c r="B85" t="s">
        <v>1</v>
      </c>
      <c r="C85" t="s">
        <v>14</v>
      </c>
      <c r="D85" t="s">
        <v>894</v>
      </c>
      <c r="E85" s="103" t="s">
        <v>800</v>
      </c>
      <c r="F85" s="103" t="s">
        <v>798</v>
      </c>
      <c r="G85" s="107">
        <v>2.6417752729834447</v>
      </c>
      <c r="H85" s="107">
        <v>3.170130327580134</v>
      </c>
      <c r="I85" s="107">
        <v>3.170130327580134</v>
      </c>
      <c r="J85" s="107">
        <v>1.7611835153222966</v>
      </c>
      <c r="K85" s="107">
        <v>1.7611835153222966</v>
      </c>
      <c r="L85" s="107">
        <v>1.7611835153222966</v>
      </c>
      <c r="M85" s="137">
        <v>0.45</v>
      </c>
      <c r="N85" s="137">
        <v>0.45</v>
      </c>
      <c r="O85" s="107">
        <v>0.70447340612891862</v>
      </c>
      <c r="P85" s="107">
        <v>0.3170130327580134</v>
      </c>
      <c r="Q85" s="107">
        <v>1.7611835153222966</v>
      </c>
      <c r="R85" s="108">
        <v>4464</v>
      </c>
    </row>
    <row r="86" spans="1:18">
      <c r="A86" s="45" t="str">
        <f t="array" ref="A86">IFERROR(INDEX(baseline!$A$3:$A$201,MATCH($B86&amp;$C86,baseline!$C$3:$C$201&amp;baseline!$D$3:$D$201,0)),"NA")</f>
        <v>NA</v>
      </c>
      <c r="B86" t="s">
        <v>0</v>
      </c>
      <c r="C86" t="s">
        <v>13</v>
      </c>
      <c r="D86" t="s">
        <v>893</v>
      </c>
      <c r="E86" s="103" t="s">
        <v>800</v>
      </c>
      <c r="F86" s="103" t="s">
        <v>798</v>
      </c>
      <c r="G86" s="108">
        <v>3.170130327580134</v>
      </c>
      <c r="H86" s="108">
        <v>6.5163790066924978</v>
      </c>
      <c r="I86" s="137">
        <v>9.1560000000000006</v>
      </c>
      <c r="J86" s="108">
        <v>1.7611835153222966</v>
      </c>
      <c r="K86" s="108">
        <v>1.7611835153222966</v>
      </c>
      <c r="L86" s="108">
        <v>1.7611835153222966</v>
      </c>
      <c r="M86" s="108">
        <v>0.28178936245156749</v>
      </c>
      <c r="N86" s="108">
        <v>0.28178936245156749</v>
      </c>
      <c r="O86" s="108">
        <v>0.70447340612891862</v>
      </c>
      <c r="P86" s="108">
        <v>0.28178936245156749</v>
      </c>
      <c r="Q86" s="108">
        <v>1.7611835153222966</v>
      </c>
      <c r="R86" s="108">
        <v>232280</v>
      </c>
    </row>
    <row r="87" spans="1:18">
      <c r="A87" s="45" t="str">
        <f t="array" ref="A87">IFERROR(INDEX(baseline!$A$3:$A$201,MATCH($B87&amp;$C87,baseline!$C$3:$C$201&amp;baseline!$D$3:$D$201,0)),"NA")</f>
        <v>NA</v>
      </c>
      <c r="B87" t="s">
        <v>0</v>
      </c>
      <c r="C87" t="s">
        <v>13</v>
      </c>
      <c r="D87" t="s">
        <v>892</v>
      </c>
      <c r="E87" s="103" t="s">
        <v>800</v>
      </c>
      <c r="F87" s="103" t="s">
        <v>798</v>
      </c>
      <c r="G87" s="136">
        <v>5.17</v>
      </c>
      <c r="H87" s="108">
        <v>6.5163790066924978</v>
      </c>
      <c r="I87" s="108">
        <v>6.5163790066924978</v>
      </c>
      <c r="J87" s="108">
        <v>1.7611835153222966</v>
      </c>
      <c r="K87" s="108">
        <v>1.7611835153222966</v>
      </c>
      <c r="L87" s="108">
        <v>1.7611835153222966</v>
      </c>
      <c r="M87" s="108">
        <v>0.28178936245156749</v>
      </c>
      <c r="N87" s="108">
        <v>0.28178936245156749</v>
      </c>
      <c r="O87" s="108">
        <v>0.70447340612891862</v>
      </c>
      <c r="P87" s="108">
        <v>0.28178936245156749</v>
      </c>
      <c r="Q87" s="108">
        <v>1.7611835153222966</v>
      </c>
      <c r="R87" s="108">
        <v>512843</v>
      </c>
    </row>
    <row r="88" spans="1:18">
      <c r="A88" s="45" t="str">
        <f t="array" ref="A88">IFERROR(INDEX(baseline!$A$3:$A$201,MATCH($B88&amp;$C88,baseline!$C$3:$C$201&amp;baseline!$D$3:$D$201,0)),"NA")</f>
        <v>NA</v>
      </c>
      <c r="B88" t="s">
        <v>0</v>
      </c>
      <c r="C88" t="s">
        <v>13</v>
      </c>
      <c r="D88" t="s">
        <v>894</v>
      </c>
      <c r="E88" s="103" t="s">
        <v>800</v>
      </c>
      <c r="F88" s="103" t="s">
        <v>798</v>
      </c>
      <c r="G88" s="108">
        <v>3.170130327580134</v>
      </c>
      <c r="H88" s="108">
        <v>6.5163790066924978</v>
      </c>
      <c r="I88" s="108">
        <v>6.5163790066924978</v>
      </c>
      <c r="J88" s="108">
        <v>1.7611835153222966</v>
      </c>
      <c r="K88" s="108">
        <v>1.7611835153222966</v>
      </c>
      <c r="L88" s="108">
        <v>1.7611835153222966</v>
      </c>
      <c r="M88" s="137">
        <v>0.45</v>
      </c>
      <c r="N88" s="137">
        <v>0.45</v>
      </c>
      <c r="O88" s="108">
        <v>0.70447340612891862</v>
      </c>
      <c r="P88" s="108">
        <v>0.28178936245156749</v>
      </c>
      <c r="Q88" s="108">
        <v>1.7611835153222966</v>
      </c>
      <c r="R88" s="108">
        <v>378182</v>
      </c>
    </row>
    <row r="89" spans="1:18">
      <c r="A89" s="45" t="str">
        <f t="array" ref="A89">IFERROR(INDEX(baseline!$A$3:$A$201,MATCH($B89&amp;$C89,baseline!$C$3:$C$201&amp;baseline!$D$3:$D$201,0)),"NA")</f>
        <v>NA</v>
      </c>
      <c r="B89" t="s">
        <v>0</v>
      </c>
      <c r="C89" t="s">
        <v>14</v>
      </c>
      <c r="D89" t="s">
        <v>893</v>
      </c>
      <c r="E89" s="103" t="s">
        <v>800</v>
      </c>
      <c r="F89" s="103" t="s">
        <v>798</v>
      </c>
      <c r="G89" s="108">
        <v>3.170130327580134</v>
      </c>
      <c r="H89" s="108">
        <v>6.5163790066924978</v>
      </c>
      <c r="I89" s="137">
        <v>9.1560000000000006</v>
      </c>
      <c r="J89" s="108">
        <v>1.7611835153222966</v>
      </c>
      <c r="K89" s="108">
        <v>1.7611835153222966</v>
      </c>
      <c r="L89" s="108">
        <v>1.7611835153222966</v>
      </c>
      <c r="M89" s="108">
        <v>0.28178936245156749</v>
      </c>
      <c r="N89" s="108">
        <v>0.28178936245156749</v>
      </c>
      <c r="O89" s="108">
        <v>0.70447340612891862</v>
      </c>
      <c r="P89" s="108">
        <v>0.28178936245156749</v>
      </c>
      <c r="Q89" s="108">
        <v>1.7611835153222966</v>
      </c>
      <c r="R89" s="108">
        <v>232280</v>
      </c>
    </row>
    <row r="90" spans="1:18">
      <c r="A90" s="45" t="str">
        <f t="array" ref="A90">IFERROR(INDEX(baseline!$A$3:$A$201,MATCH($B90&amp;$C90,baseline!$C$3:$C$201&amp;baseline!$D$3:$D$201,0)),"NA")</f>
        <v>NA</v>
      </c>
      <c r="B90" t="s">
        <v>0</v>
      </c>
      <c r="C90" t="s">
        <v>14</v>
      </c>
      <c r="D90" t="s">
        <v>892</v>
      </c>
      <c r="E90" s="103" t="s">
        <v>800</v>
      </c>
      <c r="F90" s="103" t="s">
        <v>798</v>
      </c>
      <c r="G90" s="136">
        <v>5.17</v>
      </c>
      <c r="H90" s="108">
        <v>6.5163790066924978</v>
      </c>
      <c r="I90" s="108">
        <v>6.5163790066924978</v>
      </c>
      <c r="J90" s="108">
        <v>1.7611835153222966</v>
      </c>
      <c r="K90" s="108">
        <v>1.7611835153222966</v>
      </c>
      <c r="L90" s="108">
        <v>1.7611835153222966</v>
      </c>
      <c r="M90" s="108">
        <v>0.28178936245156749</v>
      </c>
      <c r="N90" s="108">
        <v>0.28178936245156749</v>
      </c>
      <c r="O90" s="108">
        <v>0.70447340612891862</v>
      </c>
      <c r="P90" s="108">
        <v>0.28178936245156749</v>
      </c>
      <c r="Q90" s="108">
        <v>1.7611835153222966</v>
      </c>
      <c r="R90" s="108">
        <v>512843</v>
      </c>
    </row>
    <row r="91" spans="1:18">
      <c r="A91" s="45" t="str">
        <f t="array" ref="A91">IFERROR(INDEX(baseline!$A$3:$A$201,MATCH($B91&amp;$C91,baseline!$C$3:$C$201&amp;baseline!$D$3:$D$201,0)),"NA")</f>
        <v>NA</v>
      </c>
      <c r="B91" t="s">
        <v>0</v>
      </c>
      <c r="C91" t="s">
        <v>14</v>
      </c>
      <c r="D91" t="s">
        <v>894</v>
      </c>
      <c r="E91" s="103" t="s">
        <v>800</v>
      </c>
      <c r="F91" s="103" t="s">
        <v>798</v>
      </c>
      <c r="G91" s="108">
        <v>3.170130327580134</v>
      </c>
      <c r="H91" s="108">
        <v>6.5163790066924978</v>
      </c>
      <c r="I91" s="108">
        <v>6.5163790066924978</v>
      </c>
      <c r="J91" s="108">
        <v>1.7611835153222966</v>
      </c>
      <c r="K91" s="108">
        <v>1.7611835153222966</v>
      </c>
      <c r="L91" s="108">
        <v>1.7611835153222966</v>
      </c>
      <c r="M91" s="137">
        <v>0.45</v>
      </c>
      <c r="N91" s="137">
        <v>0.45</v>
      </c>
      <c r="O91" s="108">
        <v>0.70447340612891862</v>
      </c>
      <c r="P91" s="108">
        <v>0.28178936245156749</v>
      </c>
      <c r="Q91" s="108">
        <v>1.7611835153222966</v>
      </c>
      <c r="R91" s="108">
        <v>378182</v>
      </c>
    </row>
    <row r="92" spans="1:18">
      <c r="A92" s="45">
        <f t="array" ref="A92">IFERROR(INDEX(baseline!$A$3:$A$201,MATCH($B92&amp;$C92,baseline!$C$3:$C$201&amp;baseline!$D$3:$D$201,0)),"NA")</f>
        <v>30</v>
      </c>
      <c r="B92" t="s">
        <v>0</v>
      </c>
      <c r="C92" t="s">
        <v>546</v>
      </c>
      <c r="D92" t="s">
        <v>893</v>
      </c>
      <c r="E92" s="103" t="s">
        <v>800</v>
      </c>
      <c r="F92" s="103" t="s">
        <v>798</v>
      </c>
      <c r="G92" s="108">
        <v>3.170130327580134</v>
      </c>
      <c r="H92" s="108">
        <v>6.5163790066924978</v>
      </c>
      <c r="I92" s="137">
        <v>9.1560000000000006</v>
      </c>
      <c r="J92" s="108">
        <v>1.7611835153222966</v>
      </c>
      <c r="K92" s="108">
        <v>1.7611835153222966</v>
      </c>
      <c r="L92" s="108">
        <v>1.7611835153222966</v>
      </c>
      <c r="M92" s="108">
        <v>0.28178936245156749</v>
      </c>
      <c r="N92" s="108">
        <v>0.28178936245156749</v>
      </c>
      <c r="O92" s="108">
        <v>0.70447340612891862</v>
      </c>
      <c r="P92" s="108">
        <v>0.28178936245156749</v>
      </c>
      <c r="Q92" s="108">
        <v>1.7611835153222966</v>
      </c>
      <c r="R92" s="108">
        <v>0</v>
      </c>
    </row>
    <row r="93" spans="1:18">
      <c r="A93" s="45">
        <f t="array" ref="A93">IFERROR(INDEX(baseline!$A$3:$A$201,MATCH($B93&amp;$C93,baseline!$C$3:$C$201&amp;baseline!$D$3:$D$201,0)),"NA")</f>
        <v>30</v>
      </c>
      <c r="B93" t="s">
        <v>0</v>
      </c>
      <c r="C93" t="s">
        <v>546</v>
      </c>
      <c r="D93" t="s">
        <v>892</v>
      </c>
      <c r="E93" s="103" t="s">
        <v>800</v>
      </c>
      <c r="F93" s="103" t="s">
        <v>798</v>
      </c>
      <c r="G93" s="136">
        <v>5.17</v>
      </c>
      <c r="H93" s="108">
        <v>6.5163790066924978</v>
      </c>
      <c r="I93" s="108">
        <v>6.5163790066924978</v>
      </c>
      <c r="J93" s="108">
        <v>1.7611835153222966</v>
      </c>
      <c r="K93" s="108">
        <v>1.7611835153222966</v>
      </c>
      <c r="L93" s="108">
        <v>1.7611835153222966</v>
      </c>
      <c r="M93" s="108">
        <v>0.28178936245156749</v>
      </c>
      <c r="N93" s="108">
        <v>0.28178936245156749</v>
      </c>
      <c r="O93" s="108">
        <v>0.70447340612891862</v>
      </c>
      <c r="P93" s="108">
        <v>0.28178936245156749</v>
      </c>
      <c r="Q93" s="108">
        <v>1.7611835153222966</v>
      </c>
      <c r="R93" s="108">
        <v>0</v>
      </c>
    </row>
    <row r="94" spans="1:18">
      <c r="A94" s="45">
        <f t="array" ref="A94">IFERROR(INDEX(baseline!$A$3:$A$201,MATCH($B94&amp;$C94,baseline!$C$3:$C$201&amp;baseline!$D$3:$D$201,0)),"NA")</f>
        <v>30</v>
      </c>
      <c r="B94" t="s">
        <v>0</v>
      </c>
      <c r="C94" t="s">
        <v>546</v>
      </c>
      <c r="D94" t="s">
        <v>894</v>
      </c>
      <c r="E94" s="103" t="s">
        <v>800</v>
      </c>
      <c r="F94" s="103" t="s">
        <v>798</v>
      </c>
      <c r="G94" s="108">
        <v>3.170130327580134</v>
      </c>
      <c r="H94" s="108">
        <v>6.5163790066924978</v>
      </c>
      <c r="I94" s="108">
        <v>6.5163790066924978</v>
      </c>
      <c r="J94" s="108">
        <v>1.7611835153222966</v>
      </c>
      <c r="K94" s="108">
        <v>1.7611835153222966</v>
      </c>
      <c r="L94" s="108">
        <v>1.7611835153222966</v>
      </c>
      <c r="M94" s="137">
        <v>0.45</v>
      </c>
      <c r="N94" s="137">
        <v>0.45</v>
      </c>
      <c r="O94" s="108">
        <v>0.70447340612891862</v>
      </c>
      <c r="P94" s="108">
        <v>0.28178936245156749</v>
      </c>
      <c r="Q94" s="108">
        <v>1.7611835153222966</v>
      </c>
      <c r="R94" s="108">
        <v>378182</v>
      </c>
    </row>
    <row r="95" spans="1:18">
      <c r="A95" s="45" t="str">
        <f t="array" ref="A95">IFERROR(INDEX(baseline!$A$3:$A$201,MATCH($B95&amp;$C95,baseline!$C$3:$C$201&amp;baseline!$D$3:$D$201,0)),"NA")</f>
        <v>NA</v>
      </c>
      <c r="B95" t="s">
        <v>78</v>
      </c>
      <c r="C95" t="s">
        <v>13</v>
      </c>
      <c r="D95" t="s">
        <v>893</v>
      </c>
      <c r="E95" s="103" t="s">
        <v>800</v>
      </c>
      <c r="F95" s="103" t="s">
        <v>798</v>
      </c>
      <c r="G95" s="108">
        <v>3.170130327580134</v>
      </c>
      <c r="H95" s="108">
        <v>6.5163790066924978</v>
      </c>
      <c r="I95" s="137">
        <v>9.1560000000000006</v>
      </c>
      <c r="J95" s="108">
        <v>1.7611835153222966</v>
      </c>
      <c r="K95" s="108">
        <v>1.7611835153222966</v>
      </c>
      <c r="L95" s="108">
        <v>1.7611835153222966</v>
      </c>
      <c r="M95" s="108">
        <v>0.28178936245156749</v>
      </c>
      <c r="N95" s="108">
        <v>0.28178936245156749</v>
      </c>
      <c r="O95" s="108">
        <v>0.70447340612891862</v>
      </c>
      <c r="P95" s="108">
        <v>0.28178936245156749</v>
      </c>
      <c r="Q95" s="108">
        <v>1.7611835153222966</v>
      </c>
      <c r="R95" s="108">
        <v>178944</v>
      </c>
    </row>
    <row r="96" spans="1:18">
      <c r="A96" s="45" t="str">
        <f t="array" ref="A96">IFERROR(INDEX(baseline!$A$3:$A$201,MATCH($B96&amp;$C96,baseline!$C$3:$C$201&amp;baseline!$D$3:$D$201,0)),"NA")</f>
        <v>NA</v>
      </c>
      <c r="B96" t="s">
        <v>78</v>
      </c>
      <c r="C96" t="s">
        <v>13</v>
      </c>
      <c r="D96" t="s">
        <v>892</v>
      </c>
      <c r="E96" s="103" t="s">
        <v>800</v>
      </c>
      <c r="F96" s="103" t="s">
        <v>798</v>
      </c>
      <c r="G96" s="136">
        <v>5.17</v>
      </c>
      <c r="H96" s="108">
        <v>6.5163790066924978</v>
      </c>
      <c r="I96" s="108">
        <v>6.5163790066924978</v>
      </c>
      <c r="J96" s="108">
        <v>1.7611835153222966</v>
      </c>
      <c r="K96" s="108">
        <v>1.7611835153222966</v>
      </c>
      <c r="L96" s="108">
        <v>1.7611835153222966</v>
      </c>
      <c r="M96" s="108">
        <v>0.28178936245156749</v>
      </c>
      <c r="N96" s="108">
        <v>0.28178936245156749</v>
      </c>
      <c r="O96" s="108">
        <v>0.70447340612891862</v>
      </c>
      <c r="P96" s="108">
        <v>0.28178936245156749</v>
      </c>
      <c r="Q96" s="108">
        <v>1.7611835153222966</v>
      </c>
      <c r="R96" s="108">
        <v>280000</v>
      </c>
    </row>
    <row r="97" spans="1:18">
      <c r="A97" s="45" t="str">
        <f t="array" ref="A97">IFERROR(INDEX(baseline!$A$3:$A$201,MATCH($B97&amp;$C97,baseline!$C$3:$C$201&amp;baseline!$D$3:$D$201,0)),"NA")</f>
        <v>NA</v>
      </c>
      <c r="B97" t="s">
        <v>78</v>
      </c>
      <c r="C97" t="s">
        <v>13</v>
      </c>
      <c r="D97" t="s">
        <v>894</v>
      </c>
      <c r="E97" s="103" t="s">
        <v>800</v>
      </c>
      <c r="F97" s="103" t="s">
        <v>798</v>
      </c>
      <c r="G97" s="108">
        <v>3.170130327580134</v>
      </c>
      <c r="H97" s="108">
        <v>6.5163790066924978</v>
      </c>
      <c r="I97" s="108">
        <v>6.5163790066924978</v>
      </c>
      <c r="J97" s="108">
        <v>1.7611835153222966</v>
      </c>
      <c r="K97" s="108">
        <v>1.7611835153222966</v>
      </c>
      <c r="L97" s="108">
        <v>1.7611835153222966</v>
      </c>
      <c r="M97" s="137">
        <v>0.45</v>
      </c>
      <c r="N97" s="137">
        <v>0.45</v>
      </c>
      <c r="O97" s="108">
        <v>0.70447340612891862</v>
      </c>
      <c r="P97" s="108">
        <v>0.28178936245156749</v>
      </c>
      <c r="Q97" s="108">
        <v>1.7611835153222966</v>
      </c>
      <c r="R97" s="108">
        <v>61245</v>
      </c>
    </row>
    <row r="98" spans="1:18">
      <c r="A98" s="45" t="str">
        <f t="array" ref="A98">IFERROR(INDEX(baseline!$A$3:$A$201,MATCH($B98&amp;$C98,baseline!$C$3:$C$201&amp;baseline!$D$3:$D$201,0)),"NA")</f>
        <v>NA</v>
      </c>
      <c r="B98" t="s">
        <v>78</v>
      </c>
      <c r="C98" t="s">
        <v>14</v>
      </c>
      <c r="D98" t="s">
        <v>893</v>
      </c>
      <c r="E98" s="103" t="s">
        <v>800</v>
      </c>
      <c r="F98" s="103" t="s">
        <v>798</v>
      </c>
      <c r="G98" s="108">
        <v>3.170130327580134</v>
      </c>
      <c r="H98" s="108">
        <v>6.5163790066924978</v>
      </c>
      <c r="I98" s="137">
        <v>9.1560000000000006</v>
      </c>
      <c r="J98" s="108">
        <v>1.7611835153222966</v>
      </c>
      <c r="K98" s="108">
        <v>1.7611835153222966</v>
      </c>
      <c r="L98" s="108">
        <v>1.7611835153222966</v>
      </c>
      <c r="M98" s="108">
        <v>0.28178936245156749</v>
      </c>
      <c r="N98" s="108">
        <v>0.28178936245156749</v>
      </c>
      <c r="O98" s="108">
        <v>0.70447340612891862</v>
      </c>
      <c r="P98" s="108">
        <v>0.28178936245156749</v>
      </c>
      <c r="Q98" s="108">
        <v>1.7611835153222966</v>
      </c>
      <c r="R98" s="108">
        <v>178944</v>
      </c>
    </row>
    <row r="99" spans="1:18">
      <c r="A99" s="45" t="str">
        <f t="array" ref="A99">IFERROR(INDEX(baseline!$A$3:$A$201,MATCH($B99&amp;$C99,baseline!$C$3:$C$201&amp;baseline!$D$3:$D$201,0)),"NA")</f>
        <v>NA</v>
      </c>
      <c r="B99" t="s">
        <v>78</v>
      </c>
      <c r="C99" t="s">
        <v>14</v>
      </c>
      <c r="D99" t="s">
        <v>892</v>
      </c>
      <c r="E99" s="103" t="s">
        <v>800</v>
      </c>
      <c r="F99" s="103" t="s">
        <v>798</v>
      </c>
      <c r="G99" s="136">
        <v>5.17</v>
      </c>
      <c r="H99" s="108">
        <v>6.5163790066924978</v>
      </c>
      <c r="I99" s="108">
        <v>6.5163790066924978</v>
      </c>
      <c r="J99" s="108">
        <v>1.7611835153222966</v>
      </c>
      <c r="K99" s="108">
        <v>1.7611835153222966</v>
      </c>
      <c r="L99" s="108">
        <v>1.7611835153222966</v>
      </c>
      <c r="M99" s="108">
        <v>0.28178936245156749</v>
      </c>
      <c r="N99" s="108">
        <v>0.28178936245156749</v>
      </c>
      <c r="O99" s="108">
        <v>0.70447340612891862</v>
      </c>
      <c r="P99" s="108">
        <v>0.28178936245156749</v>
      </c>
      <c r="Q99" s="108">
        <v>1.7611835153222966</v>
      </c>
      <c r="R99" s="108">
        <v>280000</v>
      </c>
    </row>
    <row r="100" spans="1:18">
      <c r="A100" s="45" t="str">
        <f t="array" ref="A100">IFERROR(INDEX(baseline!$A$3:$A$201,MATCH($B100&amp;$C100,baseline!$C$3:$C$201&amp;baseline!$D$3:$D$201,0)),"NA")</f>
        <v>NA</v>
      </c>
      <c r="B100" t="s">
        <v>78</v>
      </c>
      <c r="C100" t="s">
        <v>14</v>
      </c>
      <c r="D100" t="s">
        <v>894</v>
      </c>
      <c r="E100" s="103" t="s">
        <v>800</v>
      </c>
      <c r="F100" s="103" t="s">
        <v>798</v>
      </c>
      <c r="G100" s="108">
        <v>3.170130327580134</v>
      </c>
      <c r="H100" s="108">
        <v>6.5163790066924978</v>
      </c>
      <c r="I100" s="108">
        <v>6.5163790066924978</v>
      </c>
      <c r="J100" s="108">
        <v>1.7611835153222966</v>
      </c>
      <c r="K100" s="108">
        <v>1.7611835153222966</v>
      </c>
      <c r="L100" s="108">
        <v>1.7611835153222966</v>
      </c>
      <c r="M100" s="137">
        <v>0.45</v>
      </c>
      <c r="N100" s="137">
        <v>0.45</v>
      </c>
      <c r="O100" s="108">
        <v>0.70447340612891862</v>
      </c>
      <c r="P100" s="108">
        <v>0.28178936245156749</v>
      </c>
      <c r="Q100" s="108">
        <v>1.7611835153222966</v>
      </c>
      <c r="R100" s="108">
        <v>61245</v>
      </c>
    </row>
    <row r="101" spans="1:18">
      <c r="A101" s="45">
        <f t="array" ref="A101">IFERROR(INDEX(baseline!$A$3:$A$201,MATCH($B101&amp;$C101,baseline!$C$3:$C$201&amp;baseline!$D$3:$D$201,0)),"NA")</f>
        <v>31</v>
      </c>
      <c r="B101" t="s">
        <v>78</v>
      </c>
      <c r="C101" t="s">
        <v>546</v>
      </c>
      <c r="D101" t="s">
        <v>893</v>
      </c>
      <c r="E101" s="103" t="s">
        <v>800</v>
      </c>
      <c r="F101" s="103" t="s">
        <v>798</v>
      </c>
      <c r="G101" s="108">
        <v>3.170130327580134</v>
      </c>
      <c r="H101" s="108">
        <v>6.5163790066924978</v>
      </c>
      <c r="I101" s="137">
        <v>9.1560000000000006</v>
      </c>
      <c r="J101" s="108">
        <v>1.7611835153222966</v>
      </c>
      <c r="K101" s="108">
        <v>1.7611835153222966</v>
      </c>
      <c r="L101" s="108">
        <v>1.7611835153222966</v>
      </c>
      <c r="M101" s="108">
        <v>0.28178936245156749</v>
      </c>
      <c r="N101" s="108">
        <v>0.28178936245156749</v>
      </c>
      <c r="O101" s="108">
        <v>0.70447340612891862</v>
      </c>
      <c r="P101" s="108">
        <v>0.28178936245156749</v>
      </c>
      <c r="Q101" s="108">
        <v>1.7611835153222966</v>
      </c>
      <c r="R101" s="108">
        <v>0</v>
      </c>
    </row>
    <row r="102" spans="1:18">
      <c r="A102" s="45">
        <f t="array" ref="A102">IFERROR(INDEX(baseline!$A$3:$A$201,MATCH($B102&amp;$C102,baseline!$C$3:$C$201&amp;baseline!$D$3:$D$201,0)),"NA")</f>
        <v>31</v>
      </c>
      <c r="B102" t="s">
        <v>78</v>
      </c>
      <c r="C102" t="s">
        <v>546</v>
      </c>
      <c r="D102" t="s">
        <v>892</v>
      </c>
      <c r="E102" s="103" t="s">
        <v>800</v>
      </c>
      <c r="F102" s="103" t="s">
        <v>798</v>
      </c>
      <c r="G102" s="136">
        <v>5.17</v>
      </c>
      <c r="H102" s="108">
        <v>6.5163790066924978</v>
      </c>
      <c r="I102" s="108">
        <v>6.5163790066924978</v>
      </c>
      <c r="J102" s="108">
        <v>1.7611835153222966</v>
      </c>
      <c r="K102" s="108">
        <v>1.7611835153222966</v>
      </c>
      <c r="L102" s="108">
        <v>1.7611835153222966</v>
      </c>
      <c r="M102" s="108">
        <v>0.28178936245156749</v>
      </c>
      <c r="N102" s="108">
        <v>0.28178936245156749</v>
      </c>
      <c r="O102" s="108">
        <v>0.70447340612891862</v>
      </c>
      <c r="P102" s="108">
        <v>0.28178936245156749</v>
      </c>
      <c r="Q102" s="108">
        <v>1.7611835153222966</v>
      </c>
      <c r="R102" s="108">
        <v>0</v>
      </c>
    </row>
    <row r="103" spans="1:18">
      <c r="A103" s="45">
        <f t="array" ref="A103">IFERROR(INDEX(baseline!$A$3:$A$201,MATCH($B103&amp;$C103,baseline!$C$3:$C$201&amp;baseline!$D$3:$D$201,0)),"NA")</f>
        <v>31</v>
      </c>
      <c r="B103" t="s">
        <v>78</v>
      </c>
      <c r="C103" t="s">
        <v>546</v>
      </c>
      <c r="D103" t="s">
        <v>894</v>
      </c>
      <c r="E103" s="103" t="s">
        <v>800</v>
      </c>
      <c r="F103" s="103" t="s">
        <v>798</v>
      </c>
      <c r="G103" s="108">
        <v>3.170130327580134</v>
      </c>
      <c r="H103" s="108">
        <v>6.5163790066924978</v>
      </c>
      <c r="I103" s="108">
        <v>6.5163790066924978</v>
      </c>
      <c r="J103" s="108">
        <v>1.7611835153222966</v>
      </c>
      <c r="K103" s="108">
        <v>1.7611835153222966</v>
      </c>
      <c r="L103" s="108">
        <v>1.7611835153222966</v>
      </c>
      <c r="M103" s="137">
        <v>0.45</v>
      </c>
      <c r="N103" s="137">
        <v>0.45</v>
      </c>
      <c r="O103" s="108">
        <v>0.70447340612891862</v>
      </c>
      <c r="P103" s="108">
        <v>0.28178936245156749</v>
      </c>
      <c r="Q103" s="108">
        <v>1.7611835153222966</v>
      </c>
      <c r="R103" s="108">
        <v>61245</v>
      </c>
    </row>
    <row r="104" spans="1:18">
      <c r="A104" s="45" t="str">
        <f t="array" ref="A104">IFERROR(INDEX(baseline!$A$3:$A$201,MATCH($B104&amp;$C104,baseline!$C$3:$C$201&amp;baseline!$D$3:$D$201,0)),"NA")</f>
        <v>NA</v>
      </c>
      <c r="B104" t="s">
        <v>545</v>
      </c>
      <c r="C104" t="s">
        <v>13</v>
      </c>
      <c r="D104" t="s">
        <v>893</v>
      </c>
      <c r="E104" s="103" t="s">
        <v>800</v>
      </c>
      <c r="F104" s="103" t="s">
        <v>798</v>
      </c>
      <c r="G104" s="108">
        <v>3.5219999999999998</v>
      </c>
      <c r="H104" s="108">
        <v>4.2268404367735117</v>
      </c>
      <c r="I104" s="137">
        <v>6.867</v>
      </c>
      <c r="J104" s="108">
        <v>1.7611835153222966</v>
      </c>
      <c r="K104" s="108">
        <v>1.7611835153222966</v>
      </c>
      <c r="L104" s="108">
        <v>1.7611835153222966</v>
      </c>
      <c r="M104" s="108">
        <v>0.28178936245156749</v>
      </c>
      <c r="N104" s="108">
        <v>0.28178936245156749</v>
      </c>
      <c r="O104" s="108">
        <v>0.70447340612891862</v>
      </c>
      <c r="P104" s="108">
        <v>0.28178936245156749</v>
      </c>
      <c r="Q104" s="108">
        <v>1.7611835153222966</v>
      </c>
      <c r="R104" s="108">
        <v>458471</v>
      </c>
    </row>
    <row r="105" spans="1:18">
      <c r="A105" s="45" t="str">
        <f t="array" ref="A105">IFERROR(INDEX(baseline!$A$3:$A$201,MATCH($B105&amp;$C105,baseline!$C$3:$C$201&amp;baseline!$D$3:$D$201,0)),"NA")</f>
        <v>NA</v>
      </c>
      <c r="B105" t="s">
        <v>545</v>
      </c>
      <c r="C105" t="s">
        <v>13</v>
      </c>
      <c r="D105" t="s">
        <v>892</v>
      </c>
      <c r="E105" s="103" t="s">
        <v>800</v>
      </c>
      <c r="F105" s="103" t="s">
        <v>798</v>
      </c>
      <c r="G105" s="137">
        <v>5.5220000000000002</v>
      </c>
      <c r="H105" s="108">
        <v>4.2268404367735117</v>
      </c>
      <c r="I105" s="108">
        <v>4.2268404367735117</v>
      </c>
      <c r="J105" s="108">
        <v>1.7611835153222966</v>
      </c>
      <c r="K105" s="108">
        <v>1.7611835153222966</v>
      </c>
      <c r="L105" s="108">
        <v>1.7611835153222966</v>
      </c>
      <c r="M105" s="108">
        <v>0.28178936245156749</v>
      </c>
      <c r="N105" s="108">
        <v>0.28178936245156749</v>
      </c>
      <c r="O105" s="108">
        <v>0.70447340612891862</v>
      </c>
      <c r="P105" s="108">
        <v>0.28178936245156749</v>
      </c>
      <c r="Q105" s="108">
        <v>1.7611835153222966</v>
      </c>
      <c r="R105" s="108">
        <v>419941</v>
      </c>
    </row>
    <row r="106" spans="1:18">
      <c r="A106" s="45" t="str">
        <f t="array" ref="A106">IFERROR(INDEX(baseline!$A$3:$A$201,MATCH($B106&amp;$C106,baseline!$C$3:$C$201&amp;baseline!$D$3:$D$201,0)),"NA")</f>
        <v>NA</v>
      </c>
      <c r="B106" t="s">
        <v>545</v>
      </c>
      <c r="C106" t="s">
        <v>13</v>
      </c>
      <c r="D106" t="s">
        <v>894</v>
      </c>
      <c r="E106" s="103" t="s">
        <v>800</v>
      </c>
      <c r="F106" s="103" t="s">
        <v>798</v>
      </c>
      <c r="G106" s="108">
        <v>3.5219999999999998</v>
      </c>
      <c r="H106" s="108">
        <v>4.2268404367735117</v>
      </c>
      <c r="I106" s="108">
        <v>4.2268404367735117</v>
      </c>
      <c r="J106" s="108">
        <v>1.7611835153222966</v>
      </c>
      <c r="K106" s="108">
        <v>1.7611835153222966</v>
      </c>
      <c r="L106" s="108">
        <v>1.7611835153222966</v>
      </c>
      <c r="M106" s="137">
        <v>0.45</v>
      </c>
      <c r="N106" s="137">
        <v>0.45</v>
      </c>
      <c r="O106" s="108">
        <v>0.70447340612891862</v>
      </c>
      <c r="P106" s="108">
        <v>0.28178936245156749</v>
      </c>
      <c r="Q106" s="108">
        <v>1.7611835153222966</v>
      </c>
      <c r="R106" s="108">
        <v>277780</v>
      </c>
    </row>
    <row r="107" spans="1:18">
      <c r="A107" s="45" t="str">
        <f t="array" ref="A107">IFERROR(INDEX(baseline!$A$3:$A$201,MATCH($B107&amp;$C107,baseline!$C$3:$C$201&amp;baseline!$D$3:$D$201,0)),"NA")</f>
        <v>NA</v>
      </c>
      <c r="B107" t="s">
        <v>545</v>
      </c>
      <c r="C107" t="s">
        <v>14</v>
      </c>
      <c r="D107" t="s">
        <v>893</v>
      </c>
      <c r="E107" s="103" t="s">
        <v>800</v>
      </c>
      <c r="F107" s="103" t="s">
        <v>798</v>
      </c>
      <c r="G107" s="108">
        <v>3.5219999999999998</v>
      </c>
      <c r="H107" s="108">
        <v>4.2268404367735117</v>
      </c>
      <c r="I107" s="137">
        <v>6.867</v>
      </c>
      <c r="J107" s="108">
        <v>1.7611835153222966</v>
      </c>
      <c r="K107" s="108">
        <v>1.7611835153222966</v>
      </c>
      <c r="L107" s="108">
        <v>1.7611835153222966</v>
      </c>
      <c r="M107" s="108">
        <v>0.28178936245156749</v>
      </c>
      <c r="N107" s="108">
        <v>0.28178936245156749</v>
      </c>
      <c r="O107" s="108">
        <v>0.70447340612891862</v>
      </c>
      <c r="P107" s="108">
        <v>0.28178936245156749</v>
      </c>
      <c r="Q107" s="108">
        <v>1.7611835153222966</v>
      </c>
      <c r="R107" s="108">
        <v>458471</v>
      </c>
    </row>
    <row r="108" spans="1:18">
      <c r="A108" s="45" t="str">
        <f t="array" ref="A108">IFERROR(INDEX(baseline!$A$3:$A$201,MATCH($B108&amp;$C108,baseline!$C$3:$C$201&amp;baseline!$D$3:$D$201,0)),"NA")</f>
        <v>NA</v>
      </c>
      <c r="B108" t="s">
        <v>545</v>
      </c>
      <c r="C108" t="s">
        <v>14</v>
      </c>
      <c r="D108" t="s">
        <v>892</v>
      </c>
      <c r="E108" s="103" t="s">
        <v>800</v>
      </c>
      <c r="F108" s="103" t="s">
        <v>798</v>
      </c>
      <c r="G108" s="137">
        <v>5.5220000000000002</v>
      </c>
      <c r="H108" s="108">
        <v>4.2268404367735117</v>
      </c>
      <c r="I108" s="108">
        <v>4.2268404367735117</v>
      </c>
      <c r="J108" s="108">
        <v>1.7611835153222966</v>
      </c>
      <c r="K108" s="108">
        <v>1.7611835153222966</v>
      </c>
      <c r="L108" s="108">
        <v>1.7611835153222966</v>
      </c>
      <c r="M108" s="108">
        <v>0.28178936245156749</v>
      </c>
      <c r="N108" s="108">
        <v>0.28178936245156749</v>
      </c>
      <c r="O108" s="108">
        <v>0.70447340612891862</v>
      </c>
      <c r="P108" s="108">
        <v>0.28178936245156749</v>
      </c>
      <c r="Q108" s="108">
        <v>1.7611835153222966</v>
      </c>
      <c r="R108" s="108">
        <v>419941</v>
      </c>
    </row>
    <row r="109" spans="1:18">
      <c r="A109" s="45" t="str">
        <f t="array" ref="A109">IFERROR(INDEX(baseline!$A$3:$A$201,MATCH($B109&amp;$C109,baseline!$C$3:$C$201&amp;baseline!$D$3:$D$201,0)),"NA")</f>
        <v>NA</v>
      </c>
      <c r="B109" t="s">
        <v>545</v>
      </c>
      <c r="C109" t="s">
        <v>14</v>
      </c>
      <c r="D109" t="s">
        <v>894</v>
      </c>
      <c r="E109" s="103" t="s">
        <v>800</v>
      </c>
      <c r="F109" s="103" t="s">
        <v>798</v>
      </c>
      <c r="G109" s="108">
        <v>3.5219999999999998</v>
      </c>
      <c r="H109" s="108">
        <v>4.2268404367735117</v>
      </c>
      <c r="I109" s="108">
        <v>4.2268404367735117</v>
      </c>
      <c r="J109" s="108">
        <v>1.7611835153222966</v>
      </c>
      <c r="K109" s="108">
        <v>1.7611835153222966</v>
      </c>
      <c r="L109" s="108">
        <v>1.7611835153222966</v>
      </c>
      <c r="M109" s="137">
        <v>0.45</v>
      </c>
      <c r="N109" s="137">
        <v>0.45</v>
      </c>
      <c r="O109" s="108">
        <v>0.70447340612891862</v>
      </c>
      <c r="P109" s="108">
        <v>0.28178936245156749</v>
      </c>
      <c r="Q109" s="108">
        <v>1.7611835153222966</v>
      </c>
      <c r="R109" s="108">
        <v>277780</v>
      </c>
    </row>
    <row r="110" spans="1:18">
      <c r="A110" s="45">
        <f t="array" ref="A110">IFERROR(INDEX(baseline!$A$3:$A$201,MATCH($B110&amp;$C110,baseline!$C$3:$C$201&amp;baseline!$D$3:$D$201,0)),"NA")</f>
        <v>29</v>
      </c>
      <c r="B110" t="s">
        <v>761</v>
      </c>
      <c r="C110" t="s">
        <v>546</v>
      </c>
      <c r="D110" t="s">
        <v>893</v>
      </c>
      <c r="E110" s="103" t="s">
        <v>800</v>
      </c>
      <c r="F110" s="103" t="s">
        <v>798</v>
      </c>
      <c r="G110" s="107">
        <v>5.2839999999999998</v>
      </c>
      <c r="H110" s="107">
        <v>4.5790771398379713</v>
      </c>
      <c r="I110" s="138">
        <v>7.2190000000000003</v>
      </c>
      <c r="J110" s="107">
        <v>1.7611835153222966</v>
      </c>
      <c r="K110" s="107">
        <v>1.7611835153222966</v>
      </c>
      <c r="L110" s="107">
        <v>1.7611835153222966</v>
      </c>
      <c r="M110" s="107">
        <v>0.3170130327580134</v>
      </c>
      <c r="N110" s="107">
        <v>0.3170130327580134</v>
      </c>
      <c r="O110" s="107">
        <v>0.70447340612891862</v>
      </c>
      <c r="P110" s="107">
        <v>0.3170130327580134</v>
      </c>
      <c r="Q110" s="107">
        <v>1.7611835153222966</v>
      </c>
      <c r="R110" s="108">
        <v>0</v>
      </c>
    </row>
    <row r="111" spans="1:18">
      <c r="A111" s="45">
        <f t="array" ref="A111">IFERROR(INDEX(baseline!$A$3:$A$201,MATCH($B111&amp;$C111,baseline!$C$3:$C$201&amp;baseline!$D$3:$D$201,0)),"NA")</f>
        <v>29</v>
      </c>
      <c r="B111" t="s">
        <v>761</v>
      </c>
      <c r="C111" t="s">
        <v>546</v>
      </c>
      <c r="D111" t="s">
        <v>892</v>
      </c>
      <c r="E111" s="103" t="s">
        <v>800</v>
      </c>
      <c r="F111" s="103" t="s">
        <v>798</v>
      </c>
      <c r="G111" s="138">
        <v>7.2839999999999998</v>
      </c>
      <c r="H111" s="107">
        <v>4.5790771398379713</v>
      </c>
      <c r="I111" s="107">
        <v>4.5790771398379713</v>
      </c>
      <c r="J111" s="107">
        <v>1.7611835153222966</v>
      </c>
      <c r="K111" s="107">
        <v>1.7611835153222966</v>
      </c>
      <c r="L111" s="107">
        <v>1.7611835153222966</v>
      </c>
      <c r="M111" s="107">
        <v>0.3170130327580134</v>
      </c>
      <c r="N111" s="107">
        <v>0.3170130327580134</v>
      </c>
      <c r="O111" s="107">
        <v>0.70447340612891862</v>
      </c>
      <c r="P111" s="107">
        <v>0.3170130327580134</v>
      </c>
      <c r="Q111" s="107">
        <v>1.7611835153222966</v>
      </c>
      <c r="R111" s="108">
        <v>0</v>
      </c>
    </row>
    <row r="112" spans="1:18">
      <c r="A112" s="45">
        <f t="array" ref="A112">IFERROR(INDEX(baseline!$A$3:$A$201,MATCH($B112&amp;$C112,baseline!$C$3:$C$201&amp;baseline!$D$3:$D$201,0)),"NA")</f>
        <v>29</v>
      </c>
      <c r="B112" t="s">
        <v>761</v>
      </c>
      <c r="C112" t="s">
        <v>546</v>
      </c>
      <c r="D112" t="s">
        <v>894</v>
      </c>
      <c r="E112" s="103" t="s">
        <v>800</v>
      </c>
      <c r="F112" s="103" t="s">
        <v>798</v>
      </c>
      <c r="G112" s="107">
        <v>5.2839999999999998</v>
      </c>
      <c r="H112" s="107">
        <v>4.5790771398379713</v>
      </c>
      <c r="I112" s="107">
        <v>4.5790771398379713</v>
      </c>
      <c r="J112" s="107">
        <v>1.7611835153222966</v>
      </c>
      <c r="K112" s="107">
        <v>1.7611835153222966</v>
      </c>
      <c r="L112" s="107">
        <v>1.7611835153222966</v>
      </c>
      <c r="M112" s="137">
        <v>0.45</v>
      </c>
      <c r="N112" s="137">
        <v>0.45</v>
      </c>
      <c r="O112" s="107">
        <v>0.70447340612891862</v>
      </c>
      <c r="P112" s="107">
        <v>0.3170130327580134</v>
      </c>
      <c r="Q112" s="107">
        <v>1.7611835153222966</v>
      </c>
      <c r="R112" s="108">
        <v>193168</v>
      </c>
    </row>
    <row r="113" spans="1:18">
      <c r="A113" s="45" t="str">
        <f t="array" ref="A113">IFERROR(INDEX(baseline!$A$3:$A$201,MATCH($B113&amp;$C113,baseline!$C$3:$C$201&amp;baseline!$D$3:$D$201,0)),"NA")</f>
        <v>NA</v>
      </c>
      <c r="B113" t="s">
        <v>697</v>
      </c>
      <c r="C113" t="s">
        <v>13</v>
      </c>
      <c r="D113" t="s">
        <v>893</v>
      </c>
      <c r="E113" s="103" t="s">
        <v>800</v>
      </c>
      <c r="F113" s="103" t="s">
        <v>798</v>
      </c>
      <c r="G113" s="107">
        <v>2.1134202183867559</v>
      </c>
      <c r="H113" s="108">
        <v>1.7611835153222966</v>
      </c>
      <c r="I113" s="138">
        <v>6.867</v>
      </c>
      <c r="J113" s="107">
        <v>1.7611835153222966</v>
      </c>
      <c r="K113" s="107">
        <v>1.7611835153222966</v>
      </c>
      <c r="L113" s="107">
        <v>1.7611835153222966</v>
      </c>
      <c r="M113" s="107">
        <v>0.3170130327580134</v>
      </c>
      <c r="N113" s="107">
        <v>0.3170130327580134</v>
      </c>
      <c r="O113" s="107">
        <v>0.70447340612891862</v>
      </c>
      <c r="P113" s="107">
        <v>0.3170130327580134</v>
      </c>
      <c r="Q113" s="107">
        <v>1.7611835153222966</v>
      </c>
      <c r="R113" s="108">
        <v>265713</v>
      </c>
    </row>
    <row r="114" spans="1:18">
      <c r="A114" s="45" t="str">
        <f t="array" ref="A114">IFERROR(INDEX(baseline!$A$3:$A$201,MATCH($B114&amp;$C114,baseline!$C$3:$C$201&amp;baseline!$D$3:$D$201,0)),"NA")</f>
        <v>NA</v>
      </c>
      <c r="B114" t="s">
        <v>697</v>
      </c>
      <c r="C114" t="s">
        <v>13</v>
      </c>
      <c r="D114" t="s">
        <v>892</v>
      </c>
      <c r="E114" s="103" t="s">
        <v>800</v>
      </c>
      <c r="F114" s="103" t="s">
        <v>798</v>
      </c>
      <c r="G114" s="138">
        <v>4.1130000000000004</v>
      </c>
      <c r="H114" s="108">
        <v>1.7611835153222966</v>
      </c>
      <c r="I114" s="107">
        <v>4.2268404367735117</v>
      </c>
      <c r="J114" s="107">
        <v>1.7611835153222966</v>
      </c>
      <c r="K114" s="107">
        <v>1.7611835153222966</v>
      </c>
      <c r="L114" s="107">
        <v>1.7611835153222966</v>
      </c>
      <c r="M114" s="107">
        <v>0.3170130327580134</v>
      </c>
      <c r="N114" s="107">
        <v>0.3170130327580134</v>
      </c>
      <c r="O114" s="107">
        <v>0.70447340612891862</v>
      </c>
      <c r="P114" s="107">
        <v>0.3170130327580134</v>
      </c>
      <c r="Q114" s="107">
        <v>1.7611835153222966</v>
      </c>
      <c r="R114" s="108">
        <v>515871</v>
      </c>
    </row>
    <row r="115" spans="1:18">
      <c r="A115" s="45" t="str">
        <f t="array" ref="A115">IFERROR(INDEX(baseline!$A$3:$A$201,MATCH($B115&amp;$C115,baseline!$C$3:$C$201&amp;baseline!$D$3:$D$201,0)),"NA")</f>
        <v>NA</v>
      </c>
      <c r="B115" t="s">
        <v>697</v>
      </c>
      <c r="C115" t="s">
        <v>13</v>
      </c>
      <c r="D115" t="s">
        <v>894</v>
      </c>
      <c r="E115" s="103" t="s">
        <v>800</v>
      </c>
      <c r="F115" s="103" t="s">
        <v>798</v>
      </c>
      <c r="G115" s="107">
        <v>2.1134202183867559</v>
      </c>
      <c r="H115" s="108">
        <v>1.7611835153222966</v>
      </c>
      <c r="I115" s="107">
        <v>4.2268404367735117</v>
      </c>
      <c r="J115" s="107">
        <v>1.7611835153222966</v>
      </c>
      <c r="K115" s="107">
        <v>1.7611835153222966</v>
      </c>
      <c r="L115" s="107">
        <v>1.7611835153222966</v>
      </c>
      <c r="M115" s="137">
        <v>0.45</v>
      </c>
      <c r="N115" s="137">
        <v>0.45</v>
      </c>
      <c r="O115" s="107">
        <v>0.70447340612891862</v>
      </c>
      <c r="P115" s="107">
        <v>0.3170130327580134</v>
      </c>
      <c r="Q115" s="107">
        <v>1.7611835153222966</v>
      </c>
      <c r="R115" s="108">
        <v>74884</v>
      </c>
    </row>
    <row r="116" spans="1:18">
      <c r="A116" s="45" t="str">
        <f t="array" ref="A116">IFERROR(INDEX(baseline!$A$3:$A$201,MATCH($B116&amp;$C116,baseline!$C$3:$C$201&amp;baseline!$D$3:$D$201,0)),"NA")</f>
        <v>NA</v>
      </c>
      <c r="B116" t="s">
        <v>697</v>
      </c>
      <c r="C116" t="s">
        <v>546</v>
      </c>
      <c r="D116" t="s">
        <v>893</v>
      </c>
      <c r="E116" s="103" t="s">
        <v>800</v>
      </c>
      <c r="F116" s="103" t="s">
        <v>798</v>
      </c>
      <c r="G116" s="107">
        <v>5.2839999999999998</v>
      </c>
      <c r="H116" s="107">
        <v>4.5790771398379713</v>
      </c>
      <c r="I116" s="138">
        <v>7.2190000000000003</v>
      </c>
      <c r="J116" s="107">
        <v>1.7611835153222966</v>
      </c>
      <c r="K116" s="107">
        <v>1.7611835153222966</v>
      </c>
      <c r="L116" s="107">
        <v>1.7611835153222966</v>
      </c>
      <c r="M116" s="107">
        <v>0.3170130327580134</v>
      </c>
      <c r="N116" s="107">
        <v>0.3170130327580134</v>
      </c>
      <c r="O116" s="107">
        <v>0.70447340612891862</v>
      </c>
      <c r="P116" s="107">
        <v>0.3170130327580134</v>
      </c>
      <c r="Q116" s="107">
        <v>1.7611835153222966</v>
      </c>
      <c r="R116" s="108">
        <v>0</v>
      </c>
    </row>
    <row r="117" spans="1:18">
      <c r="A117" s="45" t="str">
        <f t="array" ref="A117">IFERROR(INDEX(baseline!$A$3:$A$201,MATCH($B117&amp;$C117,baseline!$C$3:$C$201&amp;baseline!$D$3:$D$201,0)),"NA")</f>
        <v>NA</v>
      </c>
      <c r="B117" t="s">
        <v>697</v>
      </c>
      <c r="C117" t="s">
        <v>546</v>
      </c>
      <c r="D117" t="s">
        <v>892</v>
      </c>
      <c r="E117" s="103" t="s">
        <v>800</v>
      </c>
      <c r="F117" s="103" t="s">
        <v>798</v>
      </c>
      <c r="G117" s="138">
        <v>7.2839999999999998</v>
      </c>
      <c r="H117" s="107">
        <v>4.5790771398379713</v>
      </c>
      <c r="I117" s="107">
        <v>4.5790771398379713</v>
      </c>
      <c r="J117" s="107">
        <v>1.7611835153222966</v>
      </c>
      <c r="K117" s="107">
        <v>1.7611835153222966</v>
      </c>
      <c r="L117" s="107">
        <v>1.7611835153222966</v>
      </c>
      <c r="M117" s="107">
        <v>0.3170130327580134</v>
      </c>
      <c r="N117" s="107">
        <v>0.3170130327580134</v>
      </c>
      <c r="O117" s="107">
        <v>0.70447340612891862</v>
      </c>
      <c r="P117" s="107">
        <v>0.3170130327580134</v>
      </c>
      <c r="Q117" s="107">
        <v>1.7611835153222966</v>
      </c>
      <c r="R117" s="108">
        <v>0</v>
      </c>
    </row>
    <row r="118" spans="1:18">
      <c r="A118" s="45" t="str">
        <f t="array" ref="A118">IFERROR(INDEX(baseline!$A$3:$A$201,MATCH($B118&amp;$C118,baseline!$C$3:$C$201&amp;baseline!$D$3:$D$201,0)),"NA")</f>
        <v>NA</v>
      </c>
      <c r="B118" t="s">
        <v>697</v>
      </c>
      <c r="C118" t="s">
        <v>546</v>
      </c>
      <c r="D118" t="s">
        <v>894</v>
      </c>
      <c r="E118" s="103" t="s">
        <v>800</v>
      </c>
      <c r="F118" s="103" t="s">
        <v>798</v>
      </c>
      <c r="G118" s="107">
        <v>5.2839999999999998</v>
      </c>
      <c r="H118" s="107">
        <v>4.5790771398379713</v>
      </c>
      <c r="I118" s="107">
        <v>4.5790771398379713</v>
      </c>
      <c r="J118" s="107">
        <v>1.7611835153222966</v>
      </c>
      <c r="K118" s="107">
        <v>1.7611835153222966</v>
      </c>
      <c r="L118" s="107">
        <v>1.7611835153222966</v>
      </c>
      <c r="M118" s="137">
        <v>0.45</v>
      </c>
      <c r="N118" s="137">
        <v>0.45</v>
      </c>
      <c r="O118" s="107">
        <v>0.70447340612891862</v>
      </c>
      <c r="P118" s="107">
        <v>0.3170130327580134</v>
      </c>
      <c r="Q118" s="107">
        <v>1.7611835153222966</v>
      </c>
      <c r="R118" s="108">
        <v>74884</v>
      </c>
    </row>
    <row r="119" spans="1:18">
      <c r="A119" s="45" t="str">
        <f t="array" ref="A119">IFERROR(INDEX(baseline!$A$3:$A$201,MATCH($B119&amp;$C119,baseline!$C$3:$C$201&amp;baseline!$D$3:$D$201,0)),"NA")</f>
        <v>NA</v>
      </c>
      <c r="B119" t="s">
        <v>713</v>
      </c>
      <c r="C119" t="s">
        <v>546</v>
      </c>
      <c r="D119" t="s">
        <v>893</v>
      </c>
      <c r="E119" s="103" t="s">
        <v>800</v>
      </c>
      <c r="F119" s="103" t="s">
        <v>798</v>
      </c>
      <c r="G119" s="107">
        <v>5.2839999999999998</v>
      </c>
      <c r="H119" s="107">
        <v>4.5790771398379713</v>
      </c>
      <c r="I119" s="138">
        <v>7.2190000000000003</v>
      </c>
      <c r="J119" s="107">
        <v>1.7611835153222966</v>
      </c>
      <c r="K119" s="107">
        <v>1.7611835153222966</v>
      </c>
      <c r="L119" s="107">
        <v>1.7611835153222966</v>
      </c>
      <c r="M119" s="107">
        <v>0.3170130327580134</v>
      </c>
      <c r="N119" s="107">
        <v>0.3170130327580134</v>
      </c>
      <c r="O119" s="107">
        <v>0.70447340612891862</v>
      </c>
      <c r="P119" s="107">
        <v>0.3170130327580134</v>
      </c>
      <c r="Q119" s="107">
        <v>1.7611835153222966</v>
      </c>
      <c r="R119" s="108">
        <v>0</v>
      </c>
    </row>
    <row r="120" spans="1:18">
      <c r="A120" s="45" t="str">
        <f t="array" ref="A120">IFERROR(INDEX(baseline!$A$3:$A$201,MATCH($B120&amp;$C120,baseline!$C$3:$C$201&amp;baseline!$D$3:$D$201,0)),"NA")</f>
        <v>NA</v>
      </c>
      <c r="B120" t="s">
        <v>713</v>
      </c>
      <c r="C120" t="s">
        <v>546</v>
      </c>
      <c r="D120" t="s">
        <v>892</v>
      </c>
      <c r="E120" s="103" t="s">
        <v>800</v>
      </c>
      <c r="F120" s="103" t="s">
        <v>798</v>
      </c>
      <c r="G120" s="138">
        <v>7.2839999999999998</v>
      </c>
      <c r="H120" s="107">
        <v>4.5790771398379713</v>
      </c>
      <c r="I120" s="107">
        <v>4.5790771398379713</v>
      </c>
      <c r="J120" s="107">
        <v>1.7611835153222966</v>
      </c>
      <c r="K120" s="107">
        <v>1.7611835153222966</v>
      </c>
      <c r="L120" s="107">
        <v>1.7611835153222966</v>
      </c>
      <c r="M120" s="107">
        <v>0.3170130327580134</v>
      </c>
      <c r="N120" s="107">
        <v>0.3170130327580134</v>
      </c>
      <c r="O120" s="107">
        <v>0.70447340612891862</v>
      </c>
      <c r="P120" s="107">
        <v>0.3170130327580134</v>
      </c>
      <c r="Q120" s="107">
        <v>1.7611835153222966</v>
      </c>
      <c r="R120" s="108">
        <v>0</v>
      </c>
    </row>
    <row r="121" spans="1:18">
      <c r="A121" s="45" t="str">
        <f t="array" ref="A121">IFERROR(INDEX(baseline!$A$3:$A$201,MATCH($B121&amp;$C121,baseline!$C$3:$C$201&amp;baseline!$D$3:$D$201,0)),"NA")</f>
        <v>NA</v>
      </c>
      <c r="B121" t="s">
        <v>713</v>
      </c>
      <c r="C121" t="s">
        <v>546</v>
      </c>
      <c r="D121" t="s">
        <v>894</v>
      </c>
      <c r="E121" s="103" t="s">
        <v>800</v>
      </c>
      <c r="F121" s="103" t="s">
        <v>798</v>
      </c>
      <c r="G121" s="107">
        <v>5.2839999999999998</v>
      </c>
      <c r="H121" s="107">
        <v>4.5790771398379713</v>
      </c>
      <c r="I121" s="107">
        <v>4.5790771398379713</v>
      </c>
      <c r="J121" s="107">
        <v>1.7611835153222966</v>
      </c>
      <c r="K121" s="107">
        <v>1.7611835153222966</v>
      </c>
      <c r="L121" s="107">
        <v>1.7611835153222966</v>
      </c>
      <c r="M121" s="137">
        <v>0.45</v>
      </c>
      <c r="N121" s="137">
        <v>0.45</v>
      </c>
      <c r="O121" s="107">
        <v>0.70447340612891862</v>
      </c>
      <c r="P121" s="107">
        <v>0.3170130327580134</v>
      </c>
      <c r="Q121" s="107">
        <v>1.7611835153222966</v>
      </c>
      <c r="R121" s="108">
        <v>6887</v>
      </c>
    </row>
    <row r="122" spans="1:18">
      <c r="A122" s="45" t="str">
        <f t="array" ref="A122">IFERROR(INDEX(baseline!$A$3:$A$201,MATCH($B122&amp;$C122,baseline!$C$3:$C$201&amp;baseline!$D$3:$D$201,0)),"NA")</f>
        <v>NA</v>
      </c>
      <c r="B122" t="s">
        <v>762</v>
      </c>
      <c r="C122" t="s">
        <v>546</v>
      </c>
      <c r="D122" t="s">
        <v>893</v>
      </c>
      <c r="E122" s="103" t="s">
        <v>800</v>
      </c>
      <c r="F122" s="103" t="s">
        <v>798</v>
      </c>
      <c r="G122" s="107">
        <v>5.2839999999999998</v>
      </c>
      <c r="H122" s="107">
        <v>4.5790771398379713</v>
      </c>
      <c r="I122" s="138">
        <v>7.2190000000000003</v>
      </c>
      <c r="J122" s="107">
        <v>1.7611835153222966</v>
      </c>
      <c r="K122" s="107">
        <v>1.7611835153222966</v>
      </c>
      <c r="L122" s="107">
        <v>1.7611835153222966</v>
      </c>
      <c r="M122" s="107">
        <v>0.3170130327580134</v>
      </c>
      <c r="N122" s="107">
        <v>0.3170130327580134</v>
      </c>
      <c r="O122" s="107">
        <v>0.70447340612891862</v>
      </c>
      <c r="P122" s="107">
        <v>0.3170130327580134</v>
      </c>
      <c r="Q122" s="107">
        <v>1.7611835153222966</v>
      </c>
      <c r="R122" s="108">
        <v>0</v>
      </c>
    </row>
    <row r="123" spans="1:18">
      <c r="A123" s="45" t="str">
        <f t="array" ref="A123">IFERROR(INDEX(baseline!$A$3:$A$201,MATCH($B123&amp;$C123,baseline!$C$3:$C$201&amp;baseline!$D$3:$D$201,0)),"NA")</f>
        <v>NA</v>
      </c>
      <c r="B123" t="s">
        <v>762</v>
      </c>
      <c r="C123" t="s">
        <v>546</v>
      </c>
      <c r="D123" t="s">
        <v>892</v>
      </c>
      <c r="E123" s="103" t="s">
        <v>800</v>
      </c>
      <c r="F123" s="103" t="s">
        <v>798</v>
      </c>
      <c r="G123" s="138">
        <v>7.2839999999999998</v>
      </c>
      <c r="H123" s="107">
        <v>4.5790771398379713</v>
      </c>
      <c r="I123" s="107">
        <v>4.5790771398379713</v>
      </c>
      <c r="J123" s="107">
        <v>1.7611835153222966</v>
      </c>
      <c r="K123" s="107">
        <v>1.7611835153222966</v>
      </c>
      <c r="L123" s="107">
        <v>1.7611835153222966</v>
      </c>
      <c r="M123" s="107">
        <v>0.3170130327580134</v>
      </c>
      <c r="N123" s="107">
        <v>0.3170130327580134</v>
      </c>
      <c r="O123" s="107">
        <v>0.70447340612891862</v>
      </c>
      <c r="P123" s="107">
        <v>0.3170130327580134</v>
      </c>
      <c r="Q123" s="107">
        <v>1.7611835153222966</v>
      </c>
      <c r="R123" s="108">
        <v>0</v>
      </c>
    </row>
    <row r="124" spans="1:18">
      <c r="A124" s="45" t="str">
        <f t="array" ref="A124">IFERROR(INDEX(baseline!$A$3:$A$201,MATCH($B124&amp;$C124,baseline!$C$3:$C$201&amp;baseline!$D$3:$D$201,0)),"NA")</f>
        <v>NA</v>
      </c>
      <c r="B124" t="s">
        <v>762</v>
      </c>
      <c r="C124" t="s">
        <v>546</v>
      </c>
      <c r="D124" t="s">
        <v>894</v>
      </c>
      <c r="E124" s="103" t="s">
        <v>800</v>
      </c>
      <c r="F124" s="103" t="s">
        <v>798</v>
      </c>
      <c r="G124" s="107">
        <v>5.2839999999999998</v>
      </c>
      <c r="H124" s="107">
        <v>4.5790771398379713</v>
      </c>
      <c r="I124" s="107">
        <v>4.5790771398379713</v>
      </c>
      <c r="J124" s="107">
        <v>1.7611835153222966</v>
      </c>
      <c r="K124" s="107">
        <v>1.7611835153222966</v>
      </c>
      <c r="L124" s="107">
        <v>1.7611835153222966</v>
      </c>
      <c r="M124" s="137">
        <v>0.45</v>
      </c>
      <c r="N124" s="137">
        <v>0.45</v>
      </c>
      <c r="O124" s="107">
        <v>0.70447340612891862</v>
      </c>
      <c r="P124" s="107">
        <v>0.3170130327580134</v>
      </c>
      <c r="Q124" s="107">
        <v>1.7611835153222966</v>
      </c>
      <c r="R124" s="108">
        <v>3124765</v>
      </c>
    </row>
    <row r="125" spans="1:18">
      <c r="A125" s="45" t="str">
        <f t="array" ref="A125">IFERROR(INDEX(baseline!$A$3:$A$201,MATCH($B125&amp;$C125,baseline!$C$3:$C$201&amp;baseline!$D$3:$D$201,0)),"NA")</f>
        <v>NA</v>
      </c>
      <c r="B125" t="s">
        <v>763</v>
      </c>
      <c r="C125" t="s">
        <v>881</v>
      </c>
      <c r="D125" t="s">
        <v>893</v>
      </c>
      <c r="E125" s="103" t="s">
        <v>800</v>
      </c>
      <c r="F125" s="103" t="s">
        <v>798</v>
      </c>
      <c r="G125" s="107">
        <v>1.7611835153222966</v>
      </c>
      <c r="H125" s="107">
        <v>1.4089468122578372</v>
      </c>
      <c r="I125" s="138">
        <v>4.0490000000000004</v>
      </c>
      <c r="J125" s="107">
        <v>1.0567101091933779</v>
      </c>
      <c r="K125" s="107">
        <v>1.0567101091933779</v>
      </c>
      <c r="L125" s="107">
        <v>1.0567101091933779</v>
      </c>
      <c r="M125" s="107">
        <v>0.28178936245156749</v>
      </c>
      <c r="N125" s="107">
        <v>0.28178936245156749</v>
      </c>
      <c r="O125" s="107">
        <v>0.52835505459668897</v>
      </c>
      <c r="P125" s="107">
        <v>0.28178936245156749</v>
      </c>
      <c r="Q125" s="107">
        <v>1.4089468122578372</v>
      </c>
      <c r="R125" s="108">
        <v>156449</v>
      </c>
    </row>
    <row r="126" spans="1:18">
      <c r="A126" s="45" t="str">
        <f t="array" ref="A126">IFERROR(INDEX(baseline!$A$3:$A$201,MATCH($B126&amp;$C126,baseline!$C$3:$C$201&amp;baseline!$D$3:$D$201,0)),"NA")</f>
        <v>NA</v>
      </c>
      <c r="B126" t="s">
        <v>763</v>
      </c>
      <c r="C126" t="s">
        <v>881</v>
      </c>
      <c r="D126" t="s">
        <v>892</v>
      </c>
      <c r="E126" s="103" t="s">
        <v>800</v>
      </c>
      <c r="F126" s="103" t="s">
        <v>798</v>
      </c>
      <c r="G126" s="138">
        <v>3.7610000000000001</v>
      </c>
      <c r="H126" s="107">
        <v>1.4089468122578372</v>
      </c>
      <c r="I126" s="107">
        <v>1.4089468122578372</v>
      </c>
      <c r="J126" s="107">
        <v>1.0567101091933779</v>
      </c>
      <c r="K126" s="107">
        <v>1.0567101091933779</v>
      </c>
      <c r="L126" s="107">
        <v>1.0567101091933779</v>
      </c>
      <c r="M126" s="107">
        <v>0.28178936245156749</v>
      </c>
      <c r="N126" s="107">
        <v>0.28178936245156749</v>
      </c>
      <c r="O126" s="107">
        <v>0.52835505459668897</v>
      </c>
      <c r="P126" s="107">
        <v>0.28178936245156749</v>
      </c>
      <c r="Q126" s="107">
        <v>1.4089468122578372</v>
      </c>
      <c r="R126" s="108">
        <v>130284</v>
      </c>
    </row>
    <row r="127" spans="1:18">
      <c r="A127" s="45" t="str">
        <f t="array" ref="A127">IFERROR(INDEX(baseline!$A$3:$A$201,MATCH($B127&amp;$C127,baseline!$C$3:$C$201&amp;baseline!$D$3:$D$201,0)),"NA")</f>
        <v>NA</v>
      </c>
      <c r="B127" t="s">
        <v>763</v>
      </c>
      <c r="C127" t="s">
        <v>881</v>
      </c>
      <c r="D127" t="s">
        <v>894</v>
      </c>
      <c r="E127" s="103" t="s">
        <v>800</v>
      </c>
      <c r="F127" s="103" t="s">
        <v>798</v>
      </c>
      <c r="G127" s="107">
        <v>1.7611835153222966</v>
      </c>
      <c r="H127" s="107">
        <v>1.4089468122578372</v>
      </c>
      <c r="I127" s="107">
        <v>1.4089468122578372</v>
      </c>
      <c r="J127" s="107">
        <v>1.0567101091933779</v>
      </c>
      <c r="K127" s="107">
        <v>1.0567101091933779</v>
      </c>
      <c r="L127" s="107">
        <v>1.0567101091933779</v>
      </c>
      <c r="M127" s="137">
        <v>0.45</v>
      </c>
      <c r="N127" s="137">
        <v>0.45</v>
      </c>
      <c r="O127" s="107">
        <v>0.52835505459668897</v>
      </c>
      <c r="P127" s="107">
        <v>0.28178936245156749</v>
      </c>
      <c r="Q127" s="107">
        <v>1.4089468122578372</v>
      </c>
      <c r="R127" s="108">
        <v>48750</v>
      </c>
    </row>
    <row r="128" spans="1:18">
      <c r="A128" s="45" t="str">
        <f t="array" ref="A128">IFERROR(INDEX(baseline!$A$3:$A$201,MATCH($B128&amp;$C128,baseline!$C$3:$C$201&amp;baseline!$D$3:$D$201,0)),"NA")</f>
        <v>NA</v>
      </c>
      <c r="B128" t="s">
        <v>712</v>
      </c>
      <c r="C128" t="s">
        <v>881</v>
      </c>
      <c r="D128" t="s">
        <v>893</v>
      </c>
      <c r="E128" s="103" t="s">
        <v>800</v>
      </c>
      <c r="F128" s="103" t="s">
        <v>798</v>
      </c>
      <c r="G128" s="107">
        <v>2.74</v>
      </c>
      <c r="H128" s="107">
        <v>2.77</v>
      </c>
      <c r="I128" s="138">
        <v>5.41</v>
      </c>
      <c r="J128" s="107">
        <v>1.7611835153222966</v>
      </c>
      <c r="K128" s="107">
        <v>1.7611835153222966</v>
      </c>
      <c r="L128" s="107">
        <v>1.7611835153222966</v>
      </c>
      <c r="M128" s="107">
        <v>0.3170130327580134</v>
      </c>
      <c r="N128" s="107">
        <v>0.3170130327580134</v>
      </c>
      <c r="O128" s="107">
        <v>0.70447340612891862</v>
      </c>
      <c r="P128" s="107">
        <v>0.3170130327580134</v>
      </c>
      <c r="Q128" s="107">
        <v>1.7611835153222966</v>
      </c>
      <c r="R128" s="108">
        <v>1484899</v>
      </c>
    </row>
    <row r="129" spans="1:18">
      <c r="A129" s="45" t="str">
        <f t="array" ref="A129">IFERROR(INDEX(baseline!$A$3:$A$201,MATCH($B129&amp;$C129,baseline!$C$3:$C$201&amp;baseline!$D$3:$D$201,0)),"NA")</f>
        <v>NA</v>
      </c>
      <c r="B129" t="s">
        <v>712</v>
      </c>
      <c r="C129" t="s">
        <v>881</v>
      </c>
      <c r="D129" t="s">
        <v>892</v>
      </c>
      <c r="E129" s="103" t="s">
        <v>800</v>
      </c>
      <c r="F129" s="103" t="s">
        <v>798</v>
      </c>
      <c r="G129" s="138">
        <v>4.74</v>
      </c>
      <c r="H129" s="107">
        <v>2.77</v>
      </c>
      <c r="I129" s="107">
        <v>2.77</v>
      </c>
      <c r="J129" s="107">
        <v>1.7611835153222966</v>
      </c>
      <c r="K129" s="107">
        <v>1.7611835153222966</v>
      </c>
      <c r="L129" s="107">
        <v>1.7611835153222966</v>
      </c>
      <c r="M129" s="107">
        <v>0.3170130327580134</v>
      </c>
      <c r="N129" s="107">
        <v>0.3170130327580134</v>
      </c>
      <c r="O129" s="107">
        <v>0.70447340612891862</v>
      </c>
      <c r="P129" s="107">
        <v>0.3170130327580134</v>
      </c>
      <c r="Q129" s="107">
        <v>1.7611835153222966</v>
      </c>
      <c r="R129" s="108">
        <v>1363343</v>
      </c>
    </row>
    <row r="130" spans="1:18">
      <c r="A130" s="45" t="str">
        <f t="array" ref="A130">IFERROR(INDEX(baseline!$A$3:$A$201,MATCH($B130&amp;$C130,baseline!$C$3:$C$201&amp;baseline!$D$3:$D$201,0)),"NA")</f>
        <v>NA</v>
      </c>
      <c r="B130" t="s">
        <v>712</v>
      </c>
      <c r="C130" t="s">
        <v>881</v>
      </c>
      <c r="D130" t="s">
        <v>894</v>
      </c>
      <c r="E130" s="103" t="s">
        <v>800</v>
      </c>
      <c r="F130" s="103" t="s">
        <v>798</v>
      </c>
      <c r="G130" s="107">
        <v>2.74</v>
      </c>
      <c r="H130" s="107">
        <v>2.77</v>
      </c>
      <c r="I130" s="107">
        <v>2.77</v>
      </c>
      <c r="J130" s="107">
        <v>1.7611835153222966</v>
      </c>
      <c r="K130" s="107">
        <v>1.7611835153222966</v>
      </c>
      <c r="L130" s="107">
        <v>1.7611835153222966</v>
      </c>
      <c r="M130" s="137">
        <v>0.45</v>
      </c>
      <c r="N130" s="137">
        <v>0.45</v>
      </c>
      <c r="O130" s="107">
        <v>0.70447340612891862</v>
      </c>
      <c r="P130" s="107">
        <v>0.3170130327580134</v>
      </c>
      <c r="Q130" s="107">
        <v>1.7611835153222966</v>
      </c>
      <c r="R130" s="108">
        <v>243369</v>
      </c>
    </row>
    <row r="131" spans="1:18">
      <c r="A131" s="45" t="str">
        <f t="array" ref="A131">IFERROR(INDEX(baseline!$A$3:$A$201,MATCH($B131&amp;$C131,baseline!$C$3:$C$201&amp;baseline!$D$3:$D$201,0)),"NA")</f>
        <v>NA</v>
      </c>
      <c r="B131" t="s">
        <v>712</v>
      </c>
      <c r="C131" t="s">
        <v>13</v>
      </c>
      <c r="D131" t="s">
        <v>893</v>
      </c>
      <c r="E131" s="103" t="s">
        <v>800</v>
      </c>
      <c r="F131" s="103" t="s">
        <v>798</v>
      </c>
      <c r="G131" s="107">
        <v>2.74</v>
      </c>
      <c r="H131" s="107">
        <v>2.77</v>
      </c>
      <c r="I131" s="138">
        <v>5.41</v>
      </c>
      <c r="J131" s="107">
        <v>1.7611835153222966</v>
      </c>
      <c r="K131" s="107">
        <v>1.7611835153222966</v>
      </c>
      <c r="L131" s="107">
        <v>1.7611835153222966</v>
      </c>
      <c r="M131" s="107">
        <v>0.3170130327580134</v>
      </c>
      <c r="N131" s="107">
        <v>0.3170130327580134</v>
      </c>
      <c r="O131" s="107">
        <v>0.70447340612891862</v>
      </c>
      <c r="P131" s="107">
        <v>0.3170130327580134</v>
      </c>
      <c r="Q131" s="107">
        <v>1.7611835153222966</v>
      </c>
      <c r="R131" s="108">
        <v>1484899</v>
      </c>
    </row>
    <row r="132" spans="1:18">
      <c r="A132" s="45" t="str">
        <f t="array" ref="A132">IFERROR(INDEX(baseline!$A$3:$A$201,MATCH($B132&amp;$C132,baseline!$C$3:$C$201&amp;baseline!$D$3:$D$201,0)),"NA")</f>
        <v>NA</v>
      </c>
      <c r="B132" t="s">
        <v>712</v>
      </c>
      <c r="C132" t="s">
        <v>13</v>
      </c>
      <c r="D132" t="s">
        <v>892</v>
      </c>
      <c r="E132" s="103" t="s">
        <v>800</v>
      </c>
      <c r="F132" s="103" t="s">
        <v>798</v>
      </c>
      <c r="G132" s="138">
        <v>4.74</v>
      </c>
      <c r="H132" s="107">
        <v>2.77</v>
      </c>
      <c r="I132" s="107">
        <v>2.77</v>
      </c>
      <c r="J132" s="107">
        <v>1.7611835153222966</v>
      </c>
      <c r="K132" s="107">
        <v>1.7611835153222966</v>
      </c>
      <c r="L132" s="107">
        <v>1.7611835153222966</v>
      </c>
      <c r="M132" s="107">
        <v>0.3170130327580134</v>
      </c>
      <c r="N132" s="107">
        <v>0.3170130327580134</v>
      </c>
      <c r="O132" s="107">
        <v>0.70447340612891862</v>
      </c>
      <c r="P132" s="107">
        <v>0.3170130327580134</v>
      </c>
      <c r="Q132" s="107">
        <v>1.7611835153222966</v>
      </c>
      <c r="R132" s="108">
        <v>1363343</v>
      </c>
    </row>
    <row r="133" spans="1:18">
      <c r="A133" s="45" t="str">
        <f t="array" ref="A133">IFERROR(INDEX(baseline!$A$3:$A$201,MATCH($B133&amp;$C133,baseline!$C$3:$C$201&amp;baseline!$D$3:$D$201,0)),"NA")</f>
        <v>NA</v>
      </c>
      <c r="B133" t="s">
        <v>712</v>
      </c>
      <c r="C133" t="s">
        <v>13</v>
      </c>
      <c r="D133" t="s">
        <v>894</v>
      </c>
      <c r="E133" s="103" t="s">
        <v>800</v>
      </c>
      <c r="F133" s="103" t="s">
        <v>798</v>
      </c>
      <c r="G133" s="107">
        <v>2.74</v>
      </c>
      <c r="H133" s="107">
        <v>2.77</v>
      </c>
      <c r="I133" s="107">
        <v>2.77</v>
      </c>
      <c r="J133" s="107">
        <v>1.7611835153222966</v>
      </c>
      <c r="K133" s="107">
        <v>1.7611835153222966</v>
      </c>
      <c r="L133" s="107">
        <v>1.7611835153222966</v>
      </c>
      <c r="M133" s="137">
        <v>0.45</v>
      </c>
      <c r="N133" s="137">
        <v>0.45</v>
      </c>
      <c r="O133" s="107">
        <v>0.70447340612891862</v>
      </c>
      <c r="P133" s="107">
        <v>0.3170130327580134</v>
      </c>
      <c r="Q133" s="107">
        <v>1.7611835153222966</v>
      </c>
      <c r="R133" s="108">
        <v>243369</v>
      </c>
    </row>
    <row r="134" spans="1:18">
      <c r="A134" s="45" t="str">
        <f t="array" ref="A134">IFERROR(INDEX(baseline!$A$3:$A$201,MATCH($B134&amp;$C134,baseline!$C$3:$C$201&amp;baseline!$D$3:$D$201,0)),"NA")</f>
        <v>NA</v>
      </c>
      <c r="B134" t="s">
        <v>712</v>
      </c>
      <c r="C134" t="s">
        <v>546</v>
      </c>
      <c r="D134" t="s">
        <v>893</v>
      </c>
      <c r="E134" s="103" t="s">
        <v>800</v>
      </c>
      <c r="F134" s="103" t="s">
        <v>798</v>
      </c>
      <c r="G134" s="107">
        <v>2.74</v>
      </c>
      <c r="H134" s="107">
        <v>2.77</v>
      </c>
      <c r="I134" s="138">
        <v>5.41</v>
      </c>
      <c r="J134" s="107">
        <v>1.7611835153222966</v>
      </c>
      <c r="K134" s="107">
        <v>1.7611835153222966</v>
      </c>
      <c r="L134" s="107">
        <v>1.7611835153222966</v>
      </c>
      <c r="M134" s="107">
        <v>0.3170130327580134</v>
      </c>
      <c r="N134" s="107">
        <v>0.3170130327580134</v>
      </c>
      <c r="O134" s="107">
        <v>0.70447340612891862</v>
      </c>
      <c r="P134" s="107">
        <v>0.3170130327580134</v>
      </c>
      <c r="Q134" s="107">
        <v>1.7611835153222966</v>
      </c>
      <c r="R134" s="108">
        <v>0</v>
      </c>
    </row>
    <row r="135" spans="1:18">
      <c r="A135" s="45" t="str">
        <f t="array" ref="A135">IFERROR(INDEX(baseline!$A$3:$A$201,MATCH($B135&amp;$C135,baseline!$C$3:$C$201&amp;baseline!$D$3:$D$201,0)),"NA")</f>
        <v>NA</v>
      </c>
      <c r="B135" t="s">
        <v>712</v>
      </c>
      <c r="C135" t="s">
        <v>546</v>
      </c>
      <c r="D135" t="s">
        <v>892</v>
      </c>
      <c r="E135" s="103" t="s">
        <v>800</v>
      </c>
      <c r="F135" s="103" t="s">
        <v>798</v>
      </c>
      <c r="G135" s="138">
        <v>4.74</v>
      </c>
      <c r="H135" s="107">
        <v>2.77</v>
      </c>
      <c r="I135" s="107">
        <v>2.77</v>
      </c>
      <c r="J135" s="107">
        <v>1.7611835153222966</v>
      </c>
      <c r="K135" s="107">
        <v>1.7611835153222966</v>
      </c>
      <c r="L135" s="107">
        <v>1.7611835153222966</v>
      </c>
      <c r="M135" s="107">
        <v>0.3170130327580134</v>
      </c>
      <c r="N135" s="107">
        <v>0.3170130327580134</v>
      </c>
      <c r="O135" s="107">
        <v>0.70447340612891862</v>
      </c>
      <c r="P135" s="107">
        <v>0.3170130327580134</v>
      </c>
      <c r="Q135" s="107">
        <v>1.7611835153222966</v>
      </c>
      <c r="R135" s="108">
        <v>0</v>
      </c>
    </row>
    <row r="136" spans="1:18">
      <c r="A136" s="45" t="str">
        <f t="array" ref="A136">IFERROR(INDEX(baseline!$A$3:$A$201,MATCH($B136&amp;$C136,baseline!$C$3:$C$201&amp;baseline!$D$3:$D$201,0)),"NA")</f>
        <v>NA</v>
      </c>
      <c r="B136" t="s">
        <v>712</v>
      </c>
      <c r="C136" t="s">
        <v>546</v>
      </c>
      <c r="D136" t="s">
        <v>894</v>
      </c>
      <c r="E136" s="103" t="s">
        <v>800</v>
      </c>
      <c r="F136" s="103" t="s">
        <v>798</v>
      </c>
      <c r="G136" s="107">
        <v>2.74</v>
      </c>
      <c r="H136" s="107">
        <v>2.77</v>
      </c>
      <c r="I136" s="107">
        <v>2.77</v>
      </c>
      <c r="J136" s="107">
        <v>1.7611835153222966</v>
      </c>
      <c r="K136" s="107">
        <v>1.7611835153222966</v>
      </c>
      <c r="L136" s="107">
        <v>1.7611835153222966</v>
      </c>
      <c r="M136" s="137">
        <v>0.45</v>
      </c>
      <c r="N136" s="137">
        <v>0.45</v>
      </c>
      <c r="O136" s="107">
        <v>0.70447340612891862</v>
      </c>
      <c r="P136" s="107">
        <v>0.3170130327580134</v>
      </c>
      <c r="Q136" s="107">
        <v>1.7611835153222966</v>
      </c>
      <c r="R136" s="108">
        <v>243369</v>
      </c>
    </row>
    <row r="137" spans="1:18">
      <c r="A137" s="45" t="str">
        <f t="array" ref="A137">IFERROR(INDEX(baseline!$A$3:$A$201,MATCH($B137&amp;$C137,baseline!$C$3:$C$201&amp;baseline!$D$3:$D$201,0)),"NA")</f>
        <v>NA</v>
      </c>
      <c r="B137" t="s">
        <v>547</v>
      </c>
      <c r="C137" t="s">
        <v>13</v>
      </c>
      <c r="D137" t="s">
        <v>893</v>
      </c>
      <c r="E137" s="103" t="s">
        <v>800</v>
      </c>
      <c r="F137" s="103" t="s">
        <v>798</v>
      </c>
      <c r="G137" s="108">
        <v>1.7611835153222966</v>
      </c>
      <c r="H137" s="108">
        <v>2.1134202183867559</v>
      </c>
      <c r="I137" s="137">
        <v>4.7530000000000001</v>
      </c>
      <c r="J137" s="108">
        <v>1.7611835153222966</v>
      </c>
      <c r="K137" s="108">
        <v>1.7611835153222966</v>
      </c>
      <c r="L137" s="108">
        <v>1.7611835153222966</v>
      </c>
      <c r="M137" s="108">
        <v>0.28178936245156749</v>
      </c>
      <c r="N137" s="108">
        <v>0.28178936245156749</v>
      </c>
      <c r="O137" s="108">
        <v>0.70447340612891862</v>
      </c>
      <c r="P137" s="108">
        <v>0.28178936245156749</v>
      </c>
      <c r="Q137" s="108">
        <v>1.7611835153222966</v>
      </c>
      <c r="R137" s="108">
        <v>523108</v>
      </c>
    </row>
    <row r="138" spans="1:18">
      <c r="A138" s="45" t="str">
        <f t="array" ref="A138">IFERROR(INDEX(baseline!$A$3:$A$201,MATCH($B138&amp;$C138,baseline!$C$3:$C$201&amp;baseline!$D$3:$D$201,0)),"NA")</f>
        <v>NA</v>
      </c>
      <c r="B138" t="s">
        <v>547</v>
      </c>
      <c r="C138" t="s">
        <v>13</v>
      </c>
      <c r="D138" t="s">
        <v>892</v>
      </c>
      <c r="E138" s="103" t="s">
        <v>800</v>
      </c>
      <c r="F138" s="103" t="s">
        <v>798</v>
      </c>
      <c r="G138" s="137">
        <v>3.7610000000000001</v>
      </c>
      <c r="H138" s="108">
        <v>2.1134202183867559</v>
      </c>
      <c r="I138" s="108">
        <v>2.1134202183867559</v>
      </c>
      <c r="J138" s="108">
        <v>1.7611835153222966</v>
      </c>
      <c r="K138" s="108">
        <v>1.7611835153222966</v>
      </c>
      <c r="L138" s="108">
        <v>1.7611835153222966</v>
      </c>
      <c r="M138" s="108">
        <v>0.28178936245156749</v>
      </c>
      <c r="N138" s="108">
        <v>0.28178936245156749</v>
      </c>
      <c r="O138" s="108">
        <v>0.70447340612891862</v>
      </c>
      <c r="P138" s="108">
        <v>0.28178936245156749</v>
      </c>
      <c r="Q138" s="108">
        <v>1.7611835153222966</v>
      </c>
      <c r="R138" s="108">
        <v>455483</v>
      </c>
    </row>
    <row r="139" spans="1:18">
      <c r="A139" s="45" t="str">
        <f t="array" ref="A139">IFERROR(INDEX(baseline!$A$3:$A$201,MATCH($B139&amp;$C139,baseline!$C$3:$C$201&amp;baseline!$D$3:$D$201,0)),"NA")</f>
        <v>NA</v>
      </c>
      <c r="B139" t="s">
        <v>547</v>
      </c>
      <c r="C139" t="s">
        <v>13</v>
      </c>
      <c r="D139" t="s">
        <v>894</v>
      </c>
      <c r="E139" s="103" t="s">
        <v>800</v>
      </c>
      <c r="F139" s="103" t="s">
        <v>798</v>
      </c>
      <c r="G139" s="108">
        <v>1.7611835153222966</v>
      </c>
      <c r="H139" s="108">
        <v>2.1134202183867559</v>
      </c>
      <c r="I139" s="108">
        <v>2.1134202183867559</v>
      </c>
      <c r="J139" s="108">
        <v>1.7611835153222966</v>
      </c>
      <c r="K139" s="108">
        <v>1.7611835153222966</v>
      </c>
      <c r="L139" s="108">
        <v>1.7611835153222966</v>
      </c>
      <c r="M139" s="137">
        <v>0.45</v>
      </c>
      <c r="N139" s="137">
        <v>0.45</v>
      </c>
      <c r="O139" s="108">
        <v>0.70447340612891862</v>
      </c>
      <c r="P139" s="108">
        <v>0.28178936245156749</v>
      </c>
      <c r="Q139" s="108">
        <v>1.7611835153222966</v>
      </c>
      <c r="R139" s="108">
        <v>165362</v>
      </c>
    </row>
    <row r="140" spans="1:18">
      <c r="A140" s="45" t="str">
        <f t="array" ref="A140">IFERROR(INDEX(baseline!$A$3:$A$201,MATCH($B140&amp;$C140,baseline!$C$3:$C$201&amp;baseline!$D$3:$D$201,0)),"NA")</f>
        <v>NA</v>
      </c>
      <c r="B140" t="s">
        <v>1</v>
      </c>
      <c r="C140" t="s">
        <v>13</v>
      </c>
      <c r="D140" t="s">
        <v>893</v>
      </c>
      <c r="E140" s="103" t="s">
        <v>800</v>
      </c>
      <c r="F140" s="103" t="s">
        <v>798</v>
      </c>
      <c r="G140" s="108">
        <v>1.7611835153222966</v>
      </c>
      <c r="H140" s="108">
        <v>2.1134202183867559</v>
      </c>
      <c r="I140" s="137">
        <v>4.7530000000000001</v>
      </c>
      <c r="J140" s="108">
        <v>1.7611835153222966</v>
      </c>
      <c r="K140" s="108">
        <v>1.7611835153222966</v>
      </c>
      <c r="L140" s="108">
        <v>1.7611835153222966</v>
      </c>
      <c r="M140" s="108">
        <v>0.28178936245156749</v>
      </c>
      <c r="N140" s="108">
        <v>0.28178936245156749</v>
      </c>
      <c r="O140" s="108">
        <v>0.70447340612891862</v>
      </c>
      <c r="P140" s="108">
        <v>0.28178936245156749</v>
      </c>
      <c r="Q140" s="108">
        <v>1.7611835153222966</v>
      </c>
      <c r="R140" s="108">
        <v>356996</v>
      </c>
    </row>
    <row r="141" spans="1:18">
      <c r="A141" s="45" t="str">
        <f t="array" ref="A141">IFERROR(INDEX(baseline!$A$3:$A$201,MATCH($B141&amp;$C141,baseline!$C$3:$C$201&amp;baseline!$D$3:$D$201,0)),"NA")</f>
        <v>NA</v>
      </c>
      <c r="B141" t="s">
        <v>1</v>
      </c>
      <c r="C141" t="s">
        <v>13</v>
      </c>
      <c r="D141" t="s">
        <v>892</v>
      </c>
      <c r="E141" s="103" t="s">
        <v>800</v>
      </c>
      <c r="F141" s="103" t="s">
        <v>798</v>
      </c>
      <c r="G141" s="137">
        <v>3.7610000000000001</v>
      </c>
      <c r="H141" s="108">
        <v>2.1134202183867559</v>
      </c>
      <c r="I141" s="108">
        <v>2.1134202183867559</v>
      </c>
      <c r="J141" s="108">
        <v>1.7611835153222966</v>
      </c>
      <c r="K141" s="108">
        <v>1.7611835153222966</v>
      </c>
      <c r="L141" s="108">
        <v>1.7611835153222966</v>
      </c>
      <c r="M141" s="108">
        <v>0.28178936245156749</v>
      </c>
      <c r="N141" s="108">
        <v>0.28178936245156749</v>
      </c>
      <c r="O141" s="108">
        <v>0.70447340612891862</v>
      </c>
      <c r="P141" s="108">
        <v>0.28178936245156749</v>
      </c>
      <c r="Q141" s="108">
        <v>1.7611835153222966</v>
      </c>
      <c r="R141" s="108">
        <v>380269</v>
      </c>
    </row>
    <row r="142" spans="1:18">
      <c r="A142" s="45" t="str">
        <f t="array" ref="A142">IFERROR(INDEX(baseline!$A$3:$A$201,MATCH($B142&amp;$C142,baseline!$C$3:$C$201&amp;baseline!$D$3:$D$201,0)),"NA")</f>
        <v>NA</v>
      </c>
      <c r="B142" t="s">
        <v>1</v>
      </c>
      <c r="C142" t="s">
        <v>13</v>
      </c>
      <c r="D142" t="s">
        <v>894</v>
      </c>
      <c r="E142" s="103" t="s">
        <v>800</v>
      </c>
      <c r="F142" s="103" t="s">
        <v>798</v>
      </c>
      <c r="G142" s="108">
        <v>1.7611835153222966</v>
      </c>
      <c r="H142" s="108">
        <v>2.1134202183867559</v>
      </c>
      <c r="I142" s="108">
        <v>2.1134202183867559</v>
      </c>
      <c r="J142" s="108">
        <v>1.7611835153222966</v>
      </c>
      <c r="K142" s="108">
        <v>1.7611835153222966</v>
      </c>
      <c r="L142" s="108">
        <v>1.7611835153222966</v>
      </c>
      <c r="M142" s="137">
        <v>0.45</v>
      </c>
      <c r="N142" s="137">
        <v>0.45</v>
      </c>
      <c r="O142" s="108">
        <v>0.70447340612891862</v>
      </c>
      <c r="P142" s="108">
        <v>0.28178936245156749</v>
      </c>
      <c r="Q142" s="108">
        <v>1.7611835153222966</v>
      </c>
      <c r="R142" s="108">
        <v>4464</v>
      </c>
    </row>
    <row r="143" spans="1:18">
      <c r="A143" s="45" t="str">
        <f t="array" ref="A143">IFERROR(INDEX(baseline!$A$3:$A$201,MATCH($B143&amp;$C143,baseline!$C$3:$C$201&amp;baseline!$D$3:$D$201,0)),"NA")</f>
        <v>NA</v>
      </c>
      <c r="B143" t="s">
        <v>1</v>
      </c>
      <c r="C143" t="s">
        <v>546</v>
      </c>
      <c r="D143" t="s">
        <v>893</v>
      </c>
      <c r="E143" s="103" t="s">
        <v>800</v>
      </c>
      <c r="F143" s="103" t="s">
        <v>798</v>
      </c>
      <c r="G143" s="107">
        <v>5.2835505459668894</v>
      </c>
      <c r="H143" s="107">
        <v>4.5790771398379713</v>
      </c>
      <c r="I143" s="138">
        <v>7.2190000000000003</v>
      </c>
      <c r="J143" s="107">
        <v>1.7611835153222966</v>
      </c>
      <c r="K143" s="107">
        <v>1.7611835153222966</v>
      </c>
      <c r="L143" s="107">
        <v>1.7611835153222966</v>
      </c>
      <c r="M143" s="107">
        <v>0.3170130327580134</v>
      </c>
      <c r="N143" s="107">
        <v>0.3170130327580134</v>
      </c>
      <c r="O143" s="107">
        <v>0.70447340612891862</v>
      </c>
      <c r="P143" s="107">
        <v>0.3170130327580134</v>
      </c>
      <c r="Q143" s="107">
        <v>1.7611835153222966</v>
      </c>
      <c r="R143" s="108">
        <v>0</v>
      </c>
    </row>
    <row r="144" spans="1:18">
      <c r="A144" s="45" t="str">
        <f t="array" ref="A144">IFERROR(INDEX(baseline!$A$3:$A$201,MATCH($B144&amp;$C144,baseline!$C$3:$C$201&amp;baseline!$D$3:$D$201,0)),"NA")</f>
        <v>NA</v>
      </c>
      <c r="B144" t="s">
        <v>1</v>
      </c>
      <c r="C144" t="s">
        <v>546</v>
      </c>
      <c r="D144" t="s">
        <v>892</v>
      </c>
      <c r="E144" s="103" t="s">
        <v>800</v>
      </c>
      <c r="F144" s="103" t="s">
        <v>798</v>
      </c>
      <c r="G144" s="138">
        <v>7.2839999999999998</v>
      </c>
      <c r="H144" s="107">
        <v>4.5790771398379713</v>
      </c>
      <c r="I144" s="107">
        <v>4.5790771398379713</v>
      </c>
      <c r="J144" s="107">
        <v>1.7611835153222966</v>
      </c>
      <c r="K144" s="107">
        <v>1.7611835153222966</v>
      </c>
      <c r="L144" s="107">
        <v>1.7611835153222966</v>
      </c>
      <c r="M144" s="107">
        <v>0.3170130327580134</v>
      </c>
      <c r="N144" s="107">
        <v>0.3170130327580134</v>
      </c>
      <c r="O144" s="107">
        <v>0.70447340612891862</v>
      </c>
      <c r="P144" s="107">
        <v>0.3170130327580134</v>
      </c>
      <c r="Q144" s="107">
        <v>1.7611835153222966</v>
      </c>
      <c r="R144" s="108">
        <v>0</v>
      </c>
    </row>
    <row r="145" spans="1:18">
      <c r="A145" s="45" t="str">
        <f t="array" ref="A145">IFERROR(INDEX(baseline!$A$3:$A$201,MATCH($B145&amp;$C145,baseline!$C$3:$C$201&amp;baseline!$D$3:$D$201,0)),"NA")</f>
        <v>NA</v>
      </c>
      <c r="B145" t="s">
        <v>1</v>
      </c>
      <c r="C145" t="s">
        <v>546</v>
      </c>
      <c r="D145" t="s">
        <v>894</v>
      </c>
      <c r="E145" s="103" t="s">
        <v>800</v>
      </c>
      <c r="F145" s="103" t="s">
        <v>798</v>
      </c>
      <c r="G145" s="107">
        <v>5.2835505459668894</v>
      </c>
      <c r="H145" s="107">
        <v>4.5790771398379713</v>
      </c>
      <c r="I145" s="107">
        <v>4.5790771398379713</v>
      </c>
      <c r="J145" s="107">
        <v>1.7611835153222966</v>
      </c>
      <c r="K145" s="107">
        <v>1.7611835153222966</v>
      </c>
      <c r="L145" s="107">
        <v>1.7611835153222966</v>
      </c>
      <c r="M145" s="137">
        <v>0.45</v>
      </c>
      <c r="N145" s="137">
        <v>0.45</v>
      </c>
      <c r="O145" s="107">
        <v>0.70447340612891862</v>
      </c>
      <c r="P145" s="107">
        <v>0.3170130327580134</v>
      </c>
      <c r="Q145" s="107">
        <v>1.7611835153222966</v>
      </c>
      <c r="R145" s="108">
        <v>4464</v>
      </c>
    </row>
  </sheetData>
  <sortState ref="A2:R145">
    <sortCondition ref="A2:A145"/>
    <sortCondition ref="B2:B145"/>
    <sortCondition ref="C2:C145"/>
    <sortCondition ref="D2:D145"/>
  </sortState>
  <pageMargins left="0.7" right="0.7" top="0.75" bottom="0.75" header="0.3" footer="0.3"/>
  <legacyDrawing r:id="rId1"/>
  <extLst xmlns:x14="http://schemas.microsoft.com/office/spreadsheetml/2009/9/main">
    <ext uri="{CCE6A557-97BC-4b89-ADB6-D9C93CAAB3DF}">
      <x14:dataValidations xmlns:xm="http://schemas.microsoft.com/office/excel/2006/main" count="1">
        <x14:dataValidation type="list" allowBlank="1" showInputMessage="1" showErrorMessage="1">
          <x14:formula1>
            <xm:f>[1]Indexes!#REF!</xm:f>
          </x14:formula1>
          <xm:sqref>F2:F145</xm:sqref>
        </x14:dataValidation>
      </x14:dataValidations>
    </ext>
  </extLst>
</worksheet>
</file>

<file path=xl/worksheets/sheet20.xml><?xml version="1.0" encoding="utf-8"?>
<worksheet xmlns="http://schemas.openxmlformats.org/spreadsheetml/2006/main" xmlns:r="http://schemas.openxmlformats.org/officeDocument/2006/relationships">
  <sheetPr>
    <tabColor rgb="FF00B050"/>
  </sheetPr>
  <dimension ref="A1:W49"/>
  <sheetViews>
    <sheetView topLeftCell="R11" workbookViewId="0">
      <selection activeCell="W22" sqref="W22:W24"/>
    </sheetView>
  </sheetViews>
  <sheetFormatPr defaultRowHeight="14.4"/>
  <cols>
    <col min="2" max="2" width="23.44140625" bestFit="1" customWidth="1"/>
    <col min="3" max="3" width="13.6640625" bestFit="1" customWidth="1"/>
    <col min="4" max="5" width="12.109375" style="131" bestFit="1" customWidth="1"/>
    <col min="6" max="6" width="37.5546875" style="131" bestFit="1" customWidth="1"/>
    <col min="7" max="7" width="30" style="131" bestFit="1" customWidth="1"/>
    <col min="8" max="8" width="22.6640625" style="131" bestFit="1" customWidth="1"/>
    <col min="9" max="9" width="43.6640625" style="131" bestFit="1" customWidth="1"/>
    <col min="10" max="10" width="42.6640625" style="131" bestFit="1" customWidth="1"/>
    <col min="11" max="11" width="32.6640625" style="131" bestFit="1" customWidth="1"/>
    <col min="12" max="12" width="31.6640625" style="131" bestFit="1" customWidth="1"/>
    <col min="13" max="13" width="35" style="131" bestFit="1" customWidth="1"/>
    <col min="14" max="14" width="34" style="131" bestFit="1" customWidth="1"/>
    <col min="15" max="15" width="32.88671875" style="131" bestFit="1" customWidth="1"/>
    <col min="16" max="16" width="31.88671875" style="131" bestFit="1" customWidth="1"/>
    <col min="17" max="17" width="38.33203125" style="131" bestFit="1" customWidth="1"/>
    <col min="18" max="18" width="23.33203125" style="131" bestFit="1" customWidth="1"/>
    <col min="19" max="19" width="25.88671875" style="131" bestFit="1" customWidth="1"/>
    <col min="20" max="20" width="28.6640625" style="131" bestFit="1" customWidth="1"/>
    <col min="21" max="21" width="27" style="131" bestFit="1" customWidth="1"/>
    <col min="22" max="22" width="23.33203125" style="131" bestFit="1" customWidth="1"/>
    <col min="23" max="23" width="21" style="131" bestFit="1" customWidth="1"/>
    <col min="24" max="24" width="21.88671875" bestFit="1" customWidth="1"/>
    <col min="25" max="25" width="21" bestFit="1" customWidth="1"/>
  </cols>
  <sheetData>
    <row r="1" spans="1:23" ht="15.6">
      <c r="A1" t="s">
        <v>920</v>
      </c>
      <c r="B1" s="128" t="s">
        <v>766</v>
      </c>
      <c r="C1" s="127" t="s">
        <v>748</v>
      </c>
      <c r="D1" s="131" t="s">
        <v>774</v>
      </c>
      <c r="E1" s="131" t="s">
        <v>870</v>
      </c>
      <c r="F1" s="131" t="s">
        <v>841</v>
      </c>
      <c r="G1" s="131" t="s">
        <v>842</v>
      </c>
      <c r="H1" s="131" t="s">
        <v>843</v>
      </c>
      <c r="I1" s="131" t="s">
        <v>844</v>
      </c>
      <c r="J1" s="131" t="s">
        <v>845</v>
      </c>
      <c r="K1" s="131" t="s">
        <v>846</v>
      </c>
      <c r="L1" s="131" t="s">
        <v>847</v>
      </c>
      <c r="M1" s="131" t="s">
        <v>848</v>
      </c>
      <c r="N1" s="131" t="s">
        <v>849</v>
      </c>
      <c r="O1" s="131" t="s">
        <v>850</v>
      </c>
      <c r="P1" s="131" t="s">
        <v>851</v>
      </c>
      <c r="Q1" s="131" t="s">
        <v>852</v>
      </c>
      <c r="R1" s="131" t="s">
        <v>853</v>
      </c>
      <c r="S1" s="131" t="s">
        <v>854</v>
      </c>
      <c r="T1" s="131" t="s">
        <v>855</v>
      </c>
      <c r="U1" s="131" t="s">
        <v>856</v>
      </c>
      <c r="V1" s="131" t="s">
        <v>857</v>
      </c>
      <c r="W1" s="131" t="s">
        <v>899</v>
      </c>
    </row>
    <row r="2" spans="1:23">
      <c r="A2" s="45">
        <f t="array" ref="A2">IFERROR(INDEX(baseline!$A$3:$A$201,MATCH($B2&amp;$C2,baseline!$C$3:$C$201&amp;baseline!$D$3:$D$201,0)),"NA")</f>
        <v>1</v>
      </c>
      <c r="B2" t="s">
        <v>0</v>
      </c>
      <c r="C2" t="s">
        <v>881</v>
      </c>
      <c r="D2" s="131" t="s">
        <v>835</v>
      </c>
      <c r="E2" s="131" t="b">
        <v>1</v>
      </c>
      <c r="F2" s="131" t="s">
        <v>861</v>
      </c>
      <c r="G2" s="131" t="s">
        <v>769</v>
      </c>
      <c r="H2" s="131" t="s">
        <v>864</v>
      </c>
      <c r="I2" s="131">
        <v>0.76</v>
      </c>
      <c r="J2" s="131">
        <v>0.81</v>
      </c>
      <c r="K2" s="131">
        <v>0.68</v>
      </c>
      <c r="L2" s="131">
        <v>0.73</v>
      </c>
      <c r="M2" s="131">
        <v>0.76</v>
      </c>
      <c r="N2" s="131">
        <v>0.81</v>
      </c>
      <c r="O2" s="131">
        <v>0.68</v>
      </c>
      <c r="P2" s="131">
        <v>0.73</v>
      </c>
      <c r="Q2" s="132" t="s">
        <v>866</v>
      </c>
      <c r="R2" s="131" t="s">
        <v>867</v>
      </c>
      <c r="S2" s="131">
        <v>1.7</v>
      </c>
      <c r="T2" s="131">
        <v>0</v>
      </c>
      <c r="U2" s="131">
        <v>500</v>
      </c>
      <c r="V2" s="132" t="s">
        <v>868</v>
      </c>
      <c r="W2">
        <v>271466</v>
      </c>
    </row>
    <row r="3" spans="1:23">
      <c r="A3" s="45">
        <f t="array" ref="A3">IFERROR(INDEX(baseline!$A$3:$A$201,MATCH($B3&amp;$C3,baseline!$C$3:$C$201&amp;baseline!$D$3:$D$201,0)),"NA")</f>
        <v>2</v>
      </c>
      <c r="B3" t="s">
        <v>78</v>
      </c>
      <c r="C3" t="s">
        <v>881</v>
      </c>
      <c r="D3" s="131" t="s">
        <v>835</v>
      </c>
      <c r="E3" s="131" t="b">
        <v>1</v>
      </c>
      <c r="F3" s="131" t="s">
        <v>861</v>
      </c>
      <c r="G3" s="131" t="s">
        <v>769</v>
      </c>
      <c r="H3" s="131" t="s">
        <v>864</v>
      </c>
      <c r="I3" s="131">
        <v>0.76</v>
      </c>
      <c r="J3" s="131">
        <v>0.81</v>
      </c>
      <c r="K3" s="131">
        <v>0.68</v>
      </c>
      <c r="L3" s="131">
        <v>0.73</v>
      </c>
      <c r="M3" s="131">
        <v>0.76</v>
      </c>
      <c r="N3" s="131">
        <v>0.81</v>
      </c>
      <c r="O3" s="131">
        <v>0.68</v>
      </c>
      <c r="P3" s="131">
        <v>0.73</v>
      </c>
      <c r="Q3" s="132" t="s">
        <v>866</v>
      </c>
      <c r="R3" s="131" t="s">
        <v>867</v>
      </c>
      <c r="S3" s="131">
        <v>1.7</v>
      </c>
      <c r="T3" s="131">
        <v>0</v>
      </c>
      <c r="U3" s="131">
        <v>500</v>
      </c>
      <c r="V3" s="132" t="s">
        <v>868</v>
      </c>
      <c r="W3">
        <v>72910</v>
      </c>
    </row>
    <row r="4" spans="1:23">
      <c r="A4" s="45">
        <f t="array" ref="A4">IFERROR(INDEX(baseline!$A$3:$A$201,MATCH($B4&amp;$C4,baseline!$C$3:$C$201&amp;baseline!$D$3:$D$201,0)),"NA")</f>
        <v>3</v>
      </c>
      <c r="B4" t="s">
        <v>545</v>
      </c>
      <c r="C4" t="s">
        <v>881</v>
      </c>
      <c r="D4" s="131" t="s">
        <v>835</v>
      </c>
      <c r="E4" s="131" t="b">
        <v>1</v>
      </c>
      <c r="F4" s="131" t="s">
        <v>861</v>
      </c>
      <c r="G4" s="131" t="s">
        <v>769</v>
      </c>
      <c r="H4" s="131" t="s">
        <v>864</v>
      </c>
      <c r="I4" s="131">
        <v>0.76</v>
      </c>
      <c r="J4" s="131">
        <v>0.81</v>
      </c>
      <c r="K4" s="131">
        <v>0.68</v>
      </c>
      <c r="L4" s="131">
        <v>0.73</v>
      </c>
      <c r="M4" s="131">
        <v>0.76</v>
      </c>
      <c r="N4" s="131">
        <v>0.81</v>
      </c>
      <c r="O4" s="131">
        <v>0.68</v>
      </c>
      <c r="P4" s="131">
        <v>0.73</v>
      </c>
      <c r="Q4" s="132" t="s">
        <v>866</v>
      </c>
      <c r="R4" s="131" t="s">
        <v>867</v>
      </c>
      <c r="S4" s="131">
        <v>1.7</v>
      </c>
      <c r="T4" s="131">
        <v>0</v>
      </c>
      <c r="U4" s="131">
        <v>500</v>
      </c>
      <c r="V4" s="132" t="s">
        <v>868</v>
      </c>
      <c r="W4">
        <v>296001</v>
      </c>
    </row>
    <row r="5" spans="1:23">
      <c r="A5" s="45">
        <f t="array" ref="A5">IFERROR(INDEX(baseline!$A$3:$A$201,MATCH($B5&amp;$C5,baseline!$C$3:$C$201&amp;baseline!$D$3:$D$201,0)),"NA")</f>
        <v>4</v>
      </c>
      <c r="B5" t="s">
        <v>545</v>
      </c>
      <c r="C5" t="s">
        <v>546</v>
      </c>
      <c r="D5" s="131" t="s">
        <v>835</v>
      </c>
      <c r="E5" s="131" t="b">
        <v>1</v>
      </c>
      <c r="F5" s="131" t="s">
        <v>861</v>
      </c>
      <c r="G5" s="131" t="s">
        <v>769</v>
      </c>
      <c r="H5" s="131" t="s">
        <v>864</v>
      </c>
      <c r="I5" s="131">
        <v>0.76</v>
      </c>
      <c r="J5" s="131">
        <v>0.81</v>
      </c>
      <c r="K5" s="131">
        <v>0.68</v>
      </c>
      <c r="L5" s="131">
        <v>0.73</v>
      </c>
      <c r="M5" s="131">
        <v>0.76</v>
      </c>
      <c r="N5" s="131">
        <v>0.81</v>
      </c>
      <c r="O5" s="131">
        <v>0.68</v>
      </c>
      <c r="P5" s="131">
        <v>0.73</v>
      </c>
      <c r="Q5" s="132" t="s">
        <v>866</v>
      </c>
      <c r="R5" s="131" t="s">
        <v>867</v>
      </c>
      <c r="S5" s="131">
        <v>1.7</v>
      </c>
      <c r="T5" s="131">
        <v>0</v>
      </c>
      <c r="U5" s="131">
        <v>500</v>
      </c>
      <c r="V5" s="132" t="s">
        <v>868</v>
      </c>
      <c r="W5">
        <v>296001</v>
      </c>
    </row>
    <row r="6" spans="1:23">
      <c r="A6" s="45">
        <f t="array" ref="A6">IFERROR(INDEX(baseline!$A$3:$A$201,MATCH($B6&amp;$C6,baseline!$C$3:$C$201&amp;baseline!$D$3:$D$201,0)),"NA")</f>
        <v>5</v>
      </c>
      <c r="B6" t="s">
        <v>761</v>
      </c>
      <c r="C6" t="s">
        <v>881</v>
      </c>
      <c r="D6" s="131" t="s">
        <v>835</v>
      </c>
      <c r="E6" s="131" t="b">
        <v>1</v>
      </c>
      <c r="F6" s="131" t="s">
        <v>861</v>
      </c>
      <c r="G6" s="131" t="s">
        <v>769</v>
      </c>
      <c r="H6" s="131" t="s">
        <v>864</v>
      </c>
      <c r="I6" s="131">
        <v>0.54</v>
      </c>
      <c r="J6" s="131">
        <v>0.59</v>
      </c>
      <c r="K6" s="131">
        <v>0.3</v>
      </c>
      <c r="L6" s="131">
        <v>0.37</v>
      </c>
      <c r="M6" s="131">
        <v>0.57999999999999996</v>
      </c>
      <c r="N6" s="131">
        <v>0.62</v>
      </c>
      <c r="O6" s="131">
        <v>0.41</v>
      </c>
      <c r="P6" s="131">
        <v>0.45</v>
      </c>
      <c r="Q6" s="132" t="s">
        <v>866</v>
      </c>
      <c r="R6" s="131" t="s">
        <v>867</v>
      </c>
      <c r="S6" s="131">
        <v>1.7</v>
      </c>
      <c r="T6" s="131">
        <v>0</v>
      </c>
      <c r="U6" s="131">
        <v>500</v>
      </c>
      <c r="V6" s="132" t="s">
        <v>868</v>
      </c>
      <c r="W6">
        <v>187064</v>
      </c>
    </row>
    <row r="7" spans="1:23">
      <c r="A7" s="45">
        <f t="array" ref="A7">IFERROR(INDEX(baseline!$A$3:$A$201,MATCH($B7&amp;$C7,baseline!$C$3:$C$201&amp;baseline!$D$3:$D$201,0)),"NA")</f>
        <v>6</v>
      </c>
      <c r="B7" t="s">
        <v>761</v>
      </c>
      <c r="C7" t="s">
        <v>13</v>
      </c>
      <c r="D7" s="131" t="s">
        <v>835</v>
      </c>
      <c r="E7" s="131" t="b">
        <v>1</v>
      </c>
      <c r="F7" s="131" t="s">
        <v>861</v>
      </c>
      <c r="G7" s="131" t="s">
        <v>769</v>
      </c>
      <c r="H7" s="131" t="s">
        <v>864</v>
      </c>
      <c r="I7" s="131">
        <v>0.54</v>
      </c>
      <c r="J7" s="131">
        <v>0.59</v>
      </c>
      <c r="K7" s="131">
        <v>0.3</v>
      </c>
      <c r="L7" s="131">
        <v>0.37</v>
      </c>
      <c r="M7" s="131">
        <v>0.57999999999999996</v>
      </c>
      <c r="N7" s="131">
        <v>0.62</v>
      </c>
      <c r="O7" s="131">
        <v>0.41</v>
      </c>
      <c r="P7" s="131">
        <v>0.45</v>
      </c>
      <c r="Q7" s="132" t="s">
        <v>866</v>
      </c>
      <c r="R7" s="131" t="s">
        <v>867</v>
      </c>
      <c r="S7" s="131">
        <v>1.7</v>
      </c>
      <c r="T7" s="131">
        <v>0</v>
      </c>
      <c r="U7" s="131">
        <v>500</v>
      </c>
      <c r="V7" s="132" t="s">
        <v>868</v>
      </c>
      <c r="W7">
        <v>187064</v>
      </c>
    </row>
    <row r="8" spans="1:23">
      <c r="A8" s="45">
        <f t="array" ref="A8">IFERROR(INDEX(baseline!$A$3:$A$201,MATCH($B8&amp;$C8,baseline!$C$3:$C$201&amp;baseline!$D$3:$D$201,0)),"NA")</f>
        <v>7</v>
      </c>
      <c r="B8" t="s">
        <v>761</v>
      </c>
      <c r="C8" t="s">
        <v>14</v>
      </c>
      <c r="D8" s="131" t="s">
        <v>835</v>
      </c>
      <c r="E8" s="131" t="b">
        <v>1</v>
      </c>
      <c r="F8" s="131" t="s">
        <v>861</v>
      </c>
      <c r="G8" s="131" t="s">
        <v>769</v>
      </c>
      <c r="H8" s="131" t="s">
        <v>864</v>
      </c>
      <c r="I8" s="131">
        <v>0.54</v>
      </c>
      <c r="J8" s="131">
        <v>0.59</v>
      </c>
      <c r="K8" s="131">
        <v>0.3</v>
      </c>
      <c r="L8" s="131">
        <v>0.37</v>
      </c>
      <c r="M8" s="131">
        <v>0.57999999999999996</v>
      </c>
      <c r="N8" s="131">
        <v>0.62</v>
      </c>
      <c r="O8" s="131">
        <v>0.41</v>
      </c>
      <c r="P8" s="131">
        <v>0.45</v>
      </c>
      <c r="Q8" s="132" t="s">
        <v>866</v>
      </c>
      <c r="R8" s="131" t="s">
        <v>867</v>
      </c>
      <c r="S8" s="131">
        <v>1.7</v>
      </c>
      <c r="T8" s="131">
        <v>0</v>
      </c>
      <c r="U8" s="131">
        <v>500</v>
      </c>
      <c r="V8" s="132" t="s">
        <v>868</v>
      </c>
      <c r="W8">
        <v>187064</v>
      </c>
    </row>
    <row r="9" spans="1:23">
      <c r="A9" s="45">
        <f t="array" ref="A9">IFERROR(INDEX(baseline!$A$3:$A$201,MATCH($B9&amp;$C9,baseline!$C$3:$C$201&amp;baseline!$D$3:$D$201,0)),"NA")</f>
        <v>8</v>
      </c>
      <c r="B9" t="s">
        <v>697</v>
      </c>
      <c r="C9" t="s">
        <v>881</v>
      </c>
      <c r="D9" s="131" t="s">
        <v>835</v>
      </c>
      <c r="E9" s="131" t="b">
        <v>1</v>
      </c>
      <c r="F9" s="131" t="s">
        <v>861</v>
      </c>
      <c r="G9" s="131" t="s">
        <v>769</v>
      </c>
      <c r="H9" s="131" t="s">
        <v>864</v>
      </c>
      <c r="I9" s="131">
        <v>0.54</v>
      </c>
      <c r="J9" s="131">
        <v>0.59</v>
      </c>
      <c r="K9" s="131">
        <v>0.3</v>
      </c>
      <c r="L9" s="131">
        <v>0.37</v>
      </c>
      <c r="M9" s="131">
        <v>0.57999999999999996</v>
      </c>
      <c r="N9" s="131">
        <v>0.62</v>
      </c>
      <c r="O9" s="131">
        <v>0.41</v>
      </c>
      <c r="P9" s="131">
        <v>0.45</v>
      </c>
      <c r="Q9" s="132" t="s">
        <v>866</v>
      </c>
      <c r="R9" s="131" t="s">
        <v>867</v>
      </c>
      <c r="S9" s="131">
        <v>1.7</v>
      </c>
      <c r="T9" s="131">
        <v>0</v>
      </c>
      <c r="U9" s="131">
        <v>500</v>
      </c>
      <c r="V9" s="132" t="s">
        <v>868</v>
      </c>
      <c r="W9">
        <v>138209</v>
      </c>
    </row>
    <row r="10" spans="1:23">
      <c r="A10" s="45">
        <f t="array" ref="A10">IFERROR(INDEX(baseline!$A$3:$A$201,MATCH($B10&amp;$C10,baseline!$C$3:$C$201&amp;baseline!$D$3:$D$201,0)),"NA")</f>
        <v>9</v>
      </c>
      <c r="B10" t="s">
        <v>697</v>
      </c>
      <c r="C10" t="s">
        <v>14</v>
      </c>
      <c r="D10" s="131" t="s">
        <v>835</v>
      </c>
      <c r="E10" s="131" t="b">
        <v>1</v>
      </c>
      <c r="F10" s="131" t="s">
        <v>861</v>
      </c>
      <c r="G10" s="131" t="s">
        <v>769</v>
      </c>
      <c r="H10" s="131" t="s">
        <v>864</v>
      </c>
      <c r="I10" s="131">
        <v>0.54</v>
      </c>
      <c r="J10" s="131">
        <v>0.59</v>
      </c>
      <c r="K10" s="131">
        <v>0.3</v>
      </c>
      <c r="L10" s="131">
        <v>0.37</v>
      </c>
      <c r="M10" s="131">
        <v>0.57999999999999996</v>
      </c>
      <c r="N10" s="131">
        <v>0.62</v>
      </c>
      <c r="O10" s="131">
        <v>0.41</v>
      </c>
      <c r="P10" s="131">
        <v>0.45</v>
      </c>
      <c r="Q10" s="132" t="s">
        <v>866</v>
      </c>
      <c r="R10" s="131" t="s">
        <v>867</v>
      </c>
      <c r="S10" s="131">
        <v>1.7</v>
      </c>
      <c r="T10" s="131">
        <v>0</v>
      </c>
      <c r="U10" s="131">
        <v>500</v>
      </c>
      <c r="V10" s="132" t="s">
        <v>868</v>
      </c>
      <c r="W10">
        <v>138209</v>
      </c>
    </row>
    <row r="11" spans="1:23">
      <c r="A11" s="45">
        <f t="array" ref="A11">IFERROR(INDEX(baseline!$A$3:$A$201,MATCH($B11&amp;$C11,baseline!$C$3:$C$201&amp;baseline!$D$3:$D$201,0)),"NA")</f>
        <v>10</v>
      </c>
      <c r="B11" t="s">
        <v>713</v>
      </c>
      <c r="C11" t="s">
        <v>881</v>
      </c>
      <c r="D11" s="131" t="s">
        <v>835</v>
      </c>
      <c r="E11" s="131" t="b">
        <v>1</v>
      </c>
      <c r="F11" s="131" t="s">
        <v>861</v>
      </c>
      <c r="G11" s="131" t="s">
        <v>769</v>
      </c>
      <c r="H11" s="131" t="s">
        <v>864</v>
      </c>
      <c r="I11" s="131">
        <v>0.54</v>
      </c>
      <c r="J11" s="131">
        <v>0.59</v>
      </c>
      <c r="K11" s="131">
        <v>0.3</v>
      </c>
      <c r="L11" s="131">
        <v>0.37</v>
      </c>
      <c r="M11" s="131">
        <v>0.57999999999999996</v>
      </c>
      <c r="N11" s="131">
        <v>0.62</v>
      </c>
      <c r="O11" s="131">
        <v>0.41</v>
      </c>
      <c r="P11" s="131">
        <v>0.45</v>
      </c>
      <c r="Q11" s="132" t="s">
        <v>866</v>
      </c>
      <c r="R11" s="131" t="s">
        <v>867</v>
      </c>
      <c r="S11" s="131">
        <v>1.7</v>
      </c>
      <c r="T11" s="131">
        <v>0</v>
      </c>
      <c r="U11" s="131">
        <v>500</v>
      </c>
      <c r="V11" s="132" t="s">
        <v>868</v>
      </c>
      <c r="W11">
        <v>48855</v>
      </c>
    </row>
    <row r="12" spans="1:23">
      <c r="A12" s="45">
        <f t="array" ref="A12">IFERROR(INDEX(baseline!$A$3:$A$201,MATCH($B12&amp;$C12,baseline!$C$3:$C$201&amp;baseline!$D$3:$D$201,0)),"NA")</f>
        <v>11</v>
      </c>
      <c r="B12" t="s">
        <v>713</v>
      </c>
      <c r="C12" t="s">
        <v>13</v>
      </c>
      <c r="D12" s="131" t="s">
        <v>835</v>
      </c>
      <c r="E12" s="131" t="b">
        <v>1</v>
      </c>
      <c r="F12" s="131" t="s">
        <v>861</v>
      </c>
      <c r="G12" s="131" t="s">
        <v>769</v>
      </c>
      <c r="H12" s="131" t="s">
        <v>864</v>
      </c>
      <c r="I12" s="131">
        <v>0.54</v>
      </c>
      <c r="J12" s="131">
        <v>0.59</v>
      </c>
      <c r="K12" s="131">
        <v>0.3</v>
      </c>
      <c r="L12" s="131">
        <v>0.37</v>
      </c>
      <c r="M12" s="131">
        <v>0.57999999999999996</v>
      </c>
      <c r="N12" s="131">
        <v>0.62</v>
      </c>
      <c r="O12" s="131">
        <v>0.41</v>
      </c>
      <c r="P12" s="131">
        <v>0.45</v>
      </c>
      <c r="Q12" s="132" t="s">
        <v>866</v>
      </c>
      <c r="R12" s="131" t="s">
        <v>867</v>
      </c>
      <c r="S12" s="131">
        <v>1.7</v>
      </c>
      <c r="T12" s="131">
        <v>0</v>
      </c>
      <c r="U12" s="131">
        <v>500</v>
      </c>
      <c r="V12" s="132" t="s">
        <v>868</v>
      </c>
      <c r="W12">
        <v>48855</v>
      </c>
    </row>
    <row r="13" spans="1:23">
      <c r="A13" s="45">
        <f t="array" ref="A13">IFERROR(INDEX(baseline!$A$3:$A$201,MATCH($B13&amp;$C13,baseline!$C$3:$C$201&amp;baseline!$D$3:$D$201,0)),"NA")</f>
        <v>12</v>
      </c>
      <c r="B13" t="s">
        <v>713</v>
      </c>
      <c r="C13" t="s">
        <v>14</v>
      </c>
      <c r="D13" s="131" t="s">
        <v>835</v>
      </c>
      <c r="E13" s="131" t="b">
        <v>1</v>
      </c>
      <c r="F13" s="131" t="s">
        <v>861</v>
      </c>
      <c r="G13" s="131" t="s">
        <v>769</v>
      </c>
      <c r="H13" s="131" t="s">
        <v>864</v>
      </c>
      <c r="I13" s="131">
        <v>0.54</v>
      </c>
      <c r="J13" s="131">
        <v>0.59</v>
      </c>
      <c r="K13" s="131">
        <v>0.3</v>
      </c>
      <c r="L13" s="131">
        <v>0.37</v>
      </c>
      <c r="M13" s="131">
        <v>0.57999999999999996</v>
      </c>
      <c r="N13" s="131">
        <v>0.62</v>
      </c>
      <c r="O13" s="131">
        <v>0.41</v>
      </c>
      <c r="P13" s="131">
        <v>0.45</v>
      </c>
      <c r="Q13" s="132" t="s">
        <v>866</v>
      </c>
      <c r="R13" s="131" t="s">
        <v>867</v>
      </c>
      <c r="S13" s="131">
        <v>1.7</v>
      </c>
      <c r="T13" s="131">
        <v>0</v>
      </c>
      <c r="U13" s="131">
        <v>500</v>
      </c>
      <c r="V13" s="132" t="s">
        <v>868</v>
      </c>
      <c r="W13">
        <v>48855</v>
      </c>
    </row>
    <row r="14" spans="1:23">
      <c r="A14" s="45">
        <f t="array" ref="A14">IFERROR(INDEX(baseline!$A$3:$A$201,MATCH($B14&amp;$C14,baseline!$C$3:$C$201&amp;baseline!$D$3:$D$201,0)),"NA")</f>
        <v>13</v>
      </c>
      <c r="B14" t="s">
        <v>762</v>
      </c>
      <c r="C14" t="s">
        <v>881</v>
      </c>
      <c r="D14" s="131" t="s">
        <v>835</v>
      </c>
      <c r="E14" s="131" t="b">
        <v>1</v>
      </c>
      <c r="F14" s="131" t="s">
        <v>861</v>
      </c>
      <c r="G14" s="131" t="s">
        <v>769</v>
      </c>
      <c r="H14" s="131" t="s">
        <v>864</v>
      </c>
      <c r="I14" s="131">
        <v>0.76</v>
      </c>
      <c r="J14" s="131">
        <v>0.81</v>
      </c>
      <c r="K14" s="131">
        <v>0.68</v>
      </c>
      <c r="L14" s="131">
        <v>0.73</v>
      </c>
      <c r="M14" s="131">
        <v>0.76</v>
      </c>
      <c r="N14" s="131">
        <v>0.81</v>
      </c>
      <c r="O14" s="131">
        <v>0.68</v>
      </c>
      <c r="P14" s="131">
        <v>0.73</v>
      </c>
      <c r="Q14" s="132" t="s">
        <v>866</v>
      </c>
      <c r="R14" s="131" t="s">
        <v>867</v>
      </c>
      <c r="S14" s="131">
        <v>1.7</v>
      </c>
      <c r="T14" s="131">
        <v>0</v>
      </c>
      <c r="U14" s="131">
        <v>500</v>
      </c>
      <c r="V14" s="132" t="s">
        <v>868</v>
      </c>
      <c r="W14">
        <v>313530</v>
      </c>
    </row>
    <row r="15" spans="1:23">
      <c r="A15" s="45">
        <f t="array" ref="A15">IFERROR(INDEX(baseline!$A$3:$A$201,MATCH($B15&amp;$C15,baseline!$C$3:$C$201&amp;baseline!$D$3:$D$201,0)),"NA")</f>
        <v>14</v>
      </c>
      <c r="B15" t="s">
        <v>762</v>
      </c>
      <c r="C15" t="s">
        <v>13</v>
      </c>
      <c r="D15" s="131" t="s">
        <v>835</v>
      </c>
      <c r="E15" s="131" t="b">
        <v>1</v>
      </c>
      <c r="F15" s="131" t="s">
        <v>861</v>
      </c>
      <c r="G15" s="131" t="s">
        <v>769</v>
      </c>
      <c r="H15" s="131" t="s">
        <v>864</v>
      </c>
      <c r="I15" s="131">
        <v>0.76</v>
      </c>
      <c r="J15" s="131">
        <v>0.81</v>
      </c>
      <c r="K15" s="131">
        <v>0.68</v>
      </c>
      <c r="L15" s="131">
        <v>0.73</v>
      </c>
      <c r="M15" s="131">
        <v>0.76</v>
      </c>
      <c r="N15" s="131">
        <v>0.81</v>
      </c>
      <c r="O15" s="131">
        <v>0.68</v>
      </c>
      <c r="P15" s="131">
        <v>0.73</v>
      </c>
      <c r="Q15" s="132" t="s">
        <v>866</v>
      </c>
      <c r="R15" s="131" t="s">
        <v>867</v>
      </c>
      <c r="S15" s="131">
        <v>1.7</v>
      </c>
      <c r="T15" s="131">
        <v>0</v>
      </c>
      <c r="U15" s="131">
        <v>500</v>
      </c>
      <c r="V15" s="132" t="s">
        <v>868</v>
      </c>
      <c r="W15">
        <v>313530</v>
      </c>
    </row>
    <row r="16" spans="1:23">
      <c r="A16" s="45">
        <f t="array" ref="A16">IFERROR(INDEX(baseline!$A$3:$A$201,MATCH($B16&amp;$C16,baseline!$C$3:$C$201&amp;baseline!$D$3:$D$201,0)),"NA")</f>
        <v>15</v>
      </c>
      <c r="B16" t="s">
        <v>762</v>
      </c>
      <c r="C16" t="s">
        <v>14</v>
      </c>
      <c r="D16" s="131" t="s">
        <v>835</v>
      </c>
      <c r="E16" s="131" t="b">
        <v>1</v>
      </c>
      <c r="F16" s="131" t="s">
        <v>861</v>
      </c>
      <c r="G16" s="131" t="s">
        <v>769</v>
      </c>
      <c r="H16" s="131" t="s">
        <v>864</v>
      </c>
      <c r="I16" s="131">
        <v>0.76</v>
      </c>
      <c r="J16" s="131">
        <v>0.81</v>
      </c>
      <c r="K16" s="131">
        <v>0.68</v>
      </c>
      <c r="L16" s="131">
        <v>0.73</v>
      </c>
      <c r="M16" s="131">
        <v>0.76</v>
      </c>
      <c r="N16" s="131">
        <v>0.81</v>
      </c>
      <c r="O16" s="131">
        <v>0.68</v>
      </c>
      <c r="P16" s="131">
        <v>0.73</v>
      </c>
      <c r="Q16" s="132" t="s">
        <v>866</v>
      </c>
      <c r="R16" s="131" t="s">
        <v>867</v>
      </c>
      <c r="S16" s="131">
        <v>1.7</v>
      </c>
      <c r="T16" s="131">
        <v>0</v>
      </c>
      <c r="U16" s="131">
        <v>500</v>
      </c>
      <c r="V16" s="132" t="s">
        <v>868</v>
      </c>
      <c r="W16">
        <v>313530</v>
      </c>
    </row>
    <row r="17" spans="1:23">
      <c r="A17" s="45">
        <f t="array" ref="A17">IFERROR(INDEX(baseline!$A$3:$A$201,MATCH($B17&amp;$C17,baseline!$C$3:$C$201&amp;baseline!$D$3:$D$201,0)),"NA")</f>
        <v>16</v>
      </c>
      <c r="B17" t="s">
        <v>763</v>
      </c>
      <c r="C17" t="s">
        <v>13</v>
      </c>
      <c r="D17" s="131" t="s">
        <v>835</v>
      </c>
      <c r="E17" s="131" t="b">
        <v>1</v>
      </c>
      <c r="F17" s="131" t="s">
        <v>861</v>
      </c>
      <c r="G17" s="131" t="s">
        <v>769</v>
      </c>
      <c r="H17" s="131" t="s">
        <v>864</v>
      </c>
      <c r="I17" s="131">
        <v>0.76</v>
      </c>
      <c r="J17" s="131">
        <v>0.81</v>
      </c>
      <c r="K17" s="131">
        <v>0.68</v>
      </c>
      <c r="L17" s="131">
        <v>0.73</v>
      </c>
      <c r="M17" s="131">
        <v>0.76</v>
      </c>
      <c r="N17" s="131">
        <v>0.81</v>
      </c>
      <c r="O17" s="131">
        <v>0.68</v>
      </c>
      <c r="P17" s="131">
        <v>0.73</v>
      </c>
      <c r="Q17" s="132" t="s">
        <v>866</v>
      </c>
      <c r="R17" s="131" t="s">
        <v>867</v>
      </c>
      <c r="S17" s="131">
        <v>1.7</v>
      </c>
      <c r="T17" s="131">
        <v>0</v>
      </c>
      <c r="U17" s="131">
        <v>500</v>
      </c>
      <c r="V17" s="132" t="s">
        <v>868</v>
      </c>
      <c r="W17">
        <v>167025</v>
      </c>
    </row>
    <row r="18" spans="1:23">
      <c r="A18" s="45">
        <f t="array" ref="A18">IFERROR(INDEX(baseline!$A$3:$A$201,MATCH($B18&amp;$C18,baseline!$C$3:$C$201&amp;baseline!$D$3:$D$201,0)),"NA")</f>
        <v>17</v>
      </c>
      <c r="B18" t="s">
        <v>763</v>
      </c>
      <c r="C18" t="s">
        <v>14</v>
      </c>
      <c r="D18" s="131" t="s">
        <v>835</v>
      </c>
      <c r="E18" s="131" t="b">
        <v>1</v>
      </c>
      <c r="F18" s="131" t="s">
        <v>861</v>
      </c>
      <c r="G18" s="131" t="s">
        <v>769</v>
      </c>
      <c r="H18" s="131" t="s">
        <v>864</v>
      </c>
      <c r="I18" s="131">
        <v>0.76</v>
      </c>
      <c r="J18" s="131">
        <v>0.81</v>
      </c>
      <c r="K18" s="131">
        <v>0.68</v>
      </c>
      <c r="L18" s="131">
        <v>0.73</v>
      </c>
      <c r="M18" s="131">
        <v>0.76</v>
      </c>
      <c r="N18" s="131">
        <v>0.81</v>
      </c>
      <c r="O18" s="131">
        <v>0.68</v>
      </c>
      <c r="P18" s="131">
        <v>0.73</v>
      </c>
      <c r="Q18" s="132" t="s">
        <v>866</v>
      </c>
      <c r="R18" s="131" t="s">
        <v>867</v>
      </c>
      <c r="S18" s="131">
        <v>1.7</v>
      </c>
      <c r="T18" s="131">
        <v>0</v>
      </c>
      <c r="U18" s="131">
        <v>500</v>
      </c>
      <c r="V18" s="132" t="s">
        <v>868</v>
      </c>
      <c r="W18">
        <v>167025</v>
      </c>
    </row>
    <row r="19" spans="1:23">
      <c r="A19" s="45">
        <f t="array" ref="A19">IFERROR(INDEX(baseline!$A$3:$A$201,MATCH($B19&amp;$C19,baseline!$C$3:$C$201&amp;baseline!$D$3:$D$201,0)),"NA")</f>
        <v>18</v>
      </c>
      <c r="B19" t="s">
        <v>763</v>
      </c>
      <c r="C19" t="s">
        <v>546</v>
      </c>
      <c r="D19" s="131" t="s">
        <v>835</v>
      </c>
      <c r="E19" s="131" t="b">
        <v>1</v>
      </c>
      <c r="F19" s="131" t="s">
        <v>861</v>
      </c>
      <c r="G19" s="131" t="s">
        <v>769</v>
      </c>
      <c r="H19" s="131" t="s">
        <v>864</v>
      </c>
      <c r="I19" s="131">
        <v>0.76</v>
      </c>
      <c r="J19" s="131">
        <v>0.81</v>
      </c>
      <c r="K19" s="131">
        <v>0.68</v>
      </c>
      <c r="L19" s="131">
        <v>0.73</v>
      </c>
      <c r="M19" s="131">
        <v>0.76</v>
      </c>
      <c r="N19" s="131">
        <v>0.81</v>
      </c>
      <c r="O19" s="131">
        <v>0.68</v>
      </c>
      <c r="P19" s="131">
        <v>0.73</v>
      </c>
      <c r="Q19" s="132" t="s">
        <v>866</v>
      </c>
      <c r="R19" s="131" t="s">
        <v>867</v>
      </c>
      <c r="S19" s="131">
        <v>1.7</v>
      </c>
      <c r="T19" s="131">
        <v>0</v>
      </c>
      <c r="U19" s="131">
        <v>500</v>
      </c>
      <c r="V19" s="132" t="s">
        <v>868</v>
      </c>
      <c r="W19">
        <v>167025</v>
      </c>
    </row>
    <row r="20" spans="1:23">
      <c r="A20" s="45">
        <f t="array" ref="A20">IFERROR(INDEX(baseline!$A$3:$A$201,MATCH($B20&amp;$C20,baseline!$C$3:$C$201&amp;baseline!$D$3:$D$201,0)),"NA")</f>
        <v>19</v>
      </c>
      <c r="B20" t="s">
        <v>712</v>
      </c>
      <c r="C20" t="s">
        <v>14</v>
      </c>
      <c r="D20" s="131" t="s">
        <v>835</v>
      </c>
      <c r="E20" s="131" t="b">
        <v>1</v>
      </c>
      <c r="F20" s="131" t="s">
        <v>861</v>
      </c>
      <c r="G20" s="131" t="s">
        <v>769</v>
      </c>
      <c r="H20" s="131" t="s">
        <v>864</v>
      </c>
      <c r="I20" s="131">
        <v>0.76</v>
      </c>
      <c r="J20" s="131">
        <v>0.81</v>
      </c>
      <c r="K20" s="131">
        <v>0.68</v>
      </c>
      <c r="L20" s="131">
        <v>0.73</v>
      </c>
      <c r="M20" s="131">
        <v>0.76</v>
      </c>
      <c r="N20" s="131">
        <v>0.81</v>
      </c>
      <c r="O20" s="131">
        <v>0.68</v>
      </c>
      <c r="P20" s="131">
        <v>0.73</v>
      </c>
      <c r="Q20" s="132" t="s">
        <v>866</v>
      </c>
      <c r="R20" s="131" t="s">
        <v>867</v>
      </c>
      <c r="S20" s="131">
        <v>1.7</v>
      </c>
      <c r="T20" s="131">
        <v>0</v>
      </c>
      <c r="U20" s="131">
        <v>500</v>
      </c>
      <c r="V20" s="132" t="s">
        <v>868</v>
      </c>
      <c r="W20">
        <v>796294</v>
      </c>
    </row>
    <row r="21" spans="1:23">
      <c r="A21" s="45">
        <f t="array" ref="A21">IFERROR(INDEX(baseline!$A$3:$A$201,MATCH($B21&amp;$C21,baseline!$C$3:$C$201&amp;baseline!$D$3:$D$201,0)),"NA")</f>
        <v>20</v>
      </c>
      <c r="B21" t="s">
        <v>2</v>
      </c>
      <c r="C21" t="s">
        <v>881</v>
      </c>
      <c r="D21" s="131" t="s">
        <v>835</v>
      </c>
      <c r="E21" s="131" t="b">
        <v>1</v>
      </c>
      <c r="F21" s="131" t="s">
        <v>861</v>
      </c>
      <c r="G21" s="131" t="s">
        <v>769</v>
      </c>
      <c r="H21" s="131" t="s">
        <v>864</v>
      </c>
      <c r="I21" s="131">
        <v>0.54</v>
      </c>
      <c r="J21" s="131">
        <v>0.59</v>
      </c>
      <c r="K21" s="131">
        <v>0.3</v>
      </c>
      <c r="L21" s="131">
        <v>0.37</v>
      </c>
      <c r="M21" s="131">
        <v>0.57999999999999996</v>
      </c>
      <c r="N21" s="131">
        <v>0.62</v>
      </c>
      <c r="O21" s="131">
        <v>0.41</v>
      </c>
      <c r="P21" s="131">
        <v>0.45</v>
      </c>
      <c r="Q21" s="132" t="s">
        <v>866</v>
      </c>
      <c r="R21" s="131" t="s">
        <v>867</v>
      </c>
      <c r="S21" s="131">
        <v>1.7</v>
      </c>
      <c r="T21" s="131">
        <v>0</v>
      </c>
      <c r="U21" s="131">
        <v>500</v>
      </c>
      <c r="V21" s="132" t="s">
        <v>868</v>
      </c>
      <c r="W21">
        <v>0</v>
      </c>
    </row>
    <row r="22" spans="1:23">
      <c r="A22" s="45">
        <f t="array" ref="A22">IFERROR(INDEX(baseline!$A$3:$A$201,MATCH($B22&amp;$C22,baseline!$C$3:$C$201&amp;baseline!$D$3:$D$201,0)),"NA")</f>
        <v>21</v>
      </c>
      <c r="B22" t="s">
        <v>2</v>
      </c>
      <c r="C22" t="s">
        <v>13</v>
      </c>
      <c r="D22" s="131" t="s">
        <v>835</v>
      </c>
      <c r="E22" s="131" t="b">
        <v>1</v>
      </c>
      <c r="F22" s="131" t="s">
        <v>861</v>
      </c>
      <c r="G22" s="131" t="s">
        <v>769</v>
      </c>
      <c r="H22" s="131" t="s">
        <v>864</v>
      </c>
      <c r="I22" s="131">
        <v>0.54</v>
      </c>
      <c r="J22" s="131">
        <v>0.59</v>
      </c>
      <c r="K22" s="131">
        <v>0.3</v>
      </c>
      <c r="L22" s="131">
        <v>0.37</v>
      </c>
      <c r="M22" s="131">
        <v>0.57999999999999996</v>
      </c>
      <c r="N22" s="131">
        <v>0.62</v>
      </c>
      <c r="O22" s="131">
        <v>0.41</v>
      </c>
      <c r="P22" s="131">
        <v>0.45</v>
      </c>
      <c r="Q22" s="132" t="s">
        <v>866</v>
      </c>
      <c r="R22" s="131" t="s">
        <v>867</v>
      </c>
      <c r="S22" s="131">
        <v>1.7</v>
      </c>
      <c r="T22" s="131">
        <v>0</v>
      </c>
      <c r="U22" s="131">
        <v>500</v>
      </c>
      <c r="V22" s="132" t="s">
        <v>868</v>
      </c>
      <c r="W22">
        <v>0</v>
      </c>
    </row>
    <row r="23" spans="1:23">
      <c r="A23" s="45">
        <f t="array" ref="A23">IFERROR(INDEX(baseline!$A$3:$A$201,MATCH($B23&amp;$C23,baseline!$C$3:$C$201&amp;baseline!$D$3:$D$201,0)),"NA")</f>
        <v>22</v>
      </c>
      <c r="B23" t="s">
        <v>2</v>
      </c>
      <c r="C23" t="s">
        <v>14</v>
      </c>
      <c r="D23" s="131" t="s">
        <v>835</v>
      </c>
      <c r="E23" s="131" t="b">
        <v>1</v>
      </c>
      <c r="F23" s="131" t="s">
        <v>861</v>
      </c>
      <c r="G23" s="131" t="s">
        <v>769</v>
      </c>
      <c r="H23" s="131" t="s">
        <v>864</v>
      </c>
      <c r="I23" s="131">
        <v>0.54</v>
      </c>
      <c r="J23" s="131">
        <v>0.59</v>
      </c>
      <c r="K23" s="131">
        <v>0.3</v>
      </c>
      <c r="L23" s="131">
        <v>0.37</v>
      </c>
      <c r="M23" s="131">
        <v>0.57999999999999996</v>
      </c>
      <c r="N23" s="131">
        <v>0.62</v>
      </c>
      <c r="O23" s="131">
        <v>0.41</v>
      </c>
      <c r="P23" s="131">
        <v>0.45</v>
      </c>
      <c r="Q23" s="132" t="s">
        <v>866</v>
      </c>
      <c r="R23" s="131" t="s">
        <v>867</v>
      </c>
      <c r="S23" s="131">
        <v>1.7</v>
      </c>
      <c r="T23" s="131">
        <v>0</v>
      </c>
      <c r="U23" s="131">
        <v>500</v>
      </c>
      <c r="V23" s="132" t="s">
        <v>868</v>
      </c>
      <c r="W23">
        <v>0</v>
      </c>
    </row>
    <row r="24" spans="1:23">
      <c r="A24" s="45">
        <f t="array" ref="A24">IFERROR(INDEX(baseline!$A$3:$A$201,MATCH($B24&amp;$C24,baseline!$C$3:$C$201&amp;baseline!$D$3:$D$201,0)),"NA")</f>
        <v>23</v>
      </c>
      <c r="B24" t="s">
        <v>2</v>
      </c>
      <c r="C24" t="s">
        <v>546</v>
      </c>
      <c r="D24" s="131" t="s">
        <v>835</v>
      </c>
      <c r="E24" s="131" t="b">
        <v>1</v>
      </c>
      <c r="F24" s="131" t="s">
        <v>861</v>
      </c>
      <c r="G24" s="131" t="s">
        <v>769</v>
      </c>
      <c r="H24" s="131" t="s">
        <v>864</v>
      </c>
      <c r="I24" s="131">
        <v>0.54</v>
      </c>
      <c r="J24" s="131">
        <v>0.59</v>
      </c>
      <c r="K24" s="131">
        <v>0.3</v>
      </c>
      <c r="L24" s="131">
        <v>0.37</v>
      </c>
      <c r="M24" s="131">
        <v>0.57999999999999996</v>
      </c>
      <c r="N24" s="131">
        <v>0.62</v>
      </c>
      <c r="O24" s="131">
        <v>0.41</v>
      </c>
      <c r="P24" s="131">
        <v>0.45</v>
      </c>
      <c r="Q24" s="132" t="s">
        <v>866</v>
      </c>
      <c r="R24" s="131" t="s">
        <v>867</v>
      </c>
      <c r="S24" s="131">
        <v>1.7</v>
      </c>
      <c r="T24" s="131">
        <v>0</v>
      </c>
      <c r="U24" s="131">
        <v>500</v>
      </c>
      <c r="V24" s="132" t="s">
        <v>868</v>
      </c>
      <c r="W24">
        <v>0</v>
      </c>
    </row>
    <row r="25" spans="1:23">
      <c r="A25" s="45">
        <f t="array" ref="A25">IFERROR(INDEX(baseline!$A$3:$A$201,MATCH($B25&amp;$C25,baseline!$C$3:$C$201&amp;baseline!$D$3:$D$201,0)),"NA")</f>
        <v>24</v>
      </c>
      <c r="B25" t="s">
        <v>547</v>
      </c>
      <c r="C25" t="s">
        <v>881</v>
      </c>
      <c r="D25" s="131" t="s">
        <v>835</v>
      </c>
      <c r="E25" s="131" t="b">
        <v>1</v>
      </c>
      <c r="F25" s="131" t="s">
        <v>861</v>
      </c>
      <c r="G25" s="131" t="s">
        <v>769</v>
      </c>
      <c r="H25" s="131" t="s">
        <v>864</v>
      </c>
      <c r="I25" s="131">
        <v>0.76</v>
      </c>
      <c r="J25" s="131">
        <v>0.81</v>
      </c>
      <c r="K25" s="131">
        <v>0.68</v>
      </c>
      <c r="L25" s="131">
        <v>0.73</v>
      </c>
      <c r="M25" s="131">
        <v>0.76</v>
      </c>
      <c r="N25" s="131">
        <v>0.81</v>
      </c>
      <c r="O25" s="131">
        <v>0.68</v>
      </c>
      <c r="P25" s="131">
        <v>0.73</v>
      </c>
      <c r="Q25" s="132" t="s">
        <v>866</v>
      </c>
      <c r="R25" s="131" t="s">
        <v>867</v>
      </c>
      <c r="S25" s="131">
        <v>1.7</v>
      </c>
      <c r="T25" s="131">
        <v>0</v>
      </c>
      <c r="U25" s="131">
        <v>500</v>
      </c>
      <c r="V25" s="132" t="s">
        <v>868</v>
      </c>
      <c r="W25">
        <v>254281</v>
      </c>
    </row>
    <row r="26" spans="1:23">
      <c r="A26" s="45">
        <f t="array" ref="A26">IFERROR(INDEX(baseline!$A$3:$A$201,MATCH($B26&amp;$C26,baseline!$C$3:$C$201&amp;baseline!$D$3:$D$201,0)),"NA")</f>
        <v>25</v>
      </c>
      <c r="B26" t="s">
        <v>547</v>
      </c>
      <c r="C26" t="s">
        <v>14</v>
      </c>
      <c r="D26" s="131" t="s">
        <v>835</v>
      </c>
      <c r="E26" s="131" t="b">
        <v>1</v>
      </c>
      <c r="F26" s="131" t="s">
        <v>861</v>
      </c>
      <c r="G26" s="131" t="s">
        <v>769</v>
      </c>
      <c r="H26" s="131" t="s">
        <v>864</v>
      </c>
      <c r="I26" s="131">
        <v>0.76</v>
      </c>
      <c r="J26" s="131">
        <v>0.81</v>
      </c>
      <c r="K26" s="131">
        <v>0.68</v>
      </c>
      <c r="L26" s="131">
        <v>0.73</v>
      </c>
      <c r="M26" s="131">
        <v>0.76</v>
      </c>
      <c r="N26" s="131">
        <v>0.81</v>
      </c>
      <c r="O26" s="131">
        <v>0.68</v>
      </c>
      <c r="P26" s="131">
        <v>0.73</v>
      </c>
      <c r="Q26" s="132" t="s">
        <v>866</v>
      </c>
      <c r="R26" s="131" t="s">
        <v>867</v>
      </c>
      <c r="S26" s="131">
        <v>1.7</v>
      </c>
      <c r="T26" s="131">
        <v>0</v>
      </c>
      <c r="U26" s="131">
        <v>500</v>
      </c>
      <c r="V26" s="132" t="s">
        <v>868</v>
      </c>
      <c r="W26">
        <v>254281</v>
      </c>
    </row>
    <row r="27" spans="1:23">
      <c r="A27" s="45">
        <f t="array" ref="A27">IFERROR(INDEX(baseline!$A$3:$A$201,MATCH($B27&amp;$C27,baseline!$C$3:$C$201&amp;baseline!$D$3:$D$201,0)),"NA")</f>
        <v>26</v>
      </c>
      <c r="B27" t="s">
        <v>547</v>
      </c>
      <c r="C27" t="s">
        <v>546</v>
      </c>
      <c r="D27" s="131" t="s">
        <v>835</v>
      </c>
      <c r="E27" s="131" t="b">
        <v>1</v>
      </c>
      <c r="F27" s="131" t="s">
        <v>861</v>
      </c>
      <c r="G27" s="131" t="s">
        <v>769</v>
      </c>
      <c r="H27" s="131" t="s">
        <v>864</v>
      </c>
      <c r="I27" s="131">
        <v>0.76</v>
      </c>
      <c r="J27" s="131">
        <v>0.81</v>
      </c>
      <c r="K27" s="131">
        <v>0.68</v>
      </c>
      <c r="L27" s="131">
        <v>0.73</v>
      </c>
      <c r="M27" s="131">
        <v>0.76</v>
      </c>
      <c r="N27" s="131">
        <v>0.81</v>
      </c>
      <c r="O27" s="131">
        <v>0.68</v>
      </c>
      <c r="P27" s="131">
        <v>0.73</v>
      </c>
      <c r="Q27" s="132" t="s">
        <v>866</v>
      </c>
      <c r="R27" s="131" t="s">
        <v>867</v>
      </c>
      <c r="S27" s="131">
        <v>1.7</v>
      </c>
      <c r="T27" s="131">
        <v>0</v>
      </c>
      <c r="U27" s="131">
        <v>500</v>
      </c>
      <c r="V27" s="132" t="s">
        <v>868</v>
      </c>
      <c r="W27">
        <v>254281</v>
      </c>
    </row>
    <row r="28" spans="1:23">
      <c r="A28" s="45">
        <f t="array" ref="A28">IFERROR(INDEX(baseline!$A$3:$A$201,MATCH($B28&amp;$C28,baseline!$C$3:$C$201&amp;baseline!$D$3:$D$201,0)),"NA")</f>
        <v>27</v>
      </c>
      <c r="B28" t="s">
        <v>1</v>
      </c>
      <c r="C28" t="s">
        <v>881</v>
      </c>
      <c r="D28" s="131" t="s">
        <v>835</v>
      </c>
      <c r="E28" s="131" t="b">
        <v>1</v>
      </c>
      <c r="F28" s="131" t="s">
        <v>861</v>
      </c>
      <c r="G28" s="131" t="s">
        <v>769</v>
      </c>
      <c r="H28" s="131" t="s">
        <v>864</v>
      </c>
      <c r="I28" s="131">
        <v>0.54</v>
      </c>
      <c r="J28" s="131">
        <v>0.59</v>
      </c>
      <c r="K28" s="131">
        <v>0.3</v>
      </c>
      <c r="L28" s="131">
        <v>0.37</v>
      </c>
      <c r="M28" s="131">
        <v>0.57999999999999996</v>
      </c>
      <c r="N28" s="131">
        <v>0.62</v>
      </c>
      <c r="O28" s="131">
        <v>0.41</v>
      </c>
      <c r="P28" s="131">
        <v>0.45</v>
      </c>
      <c r="Q28" s="132" t="s">
        <v>866</v>
      </c>
      <c r="R28" s="131" t="s">
        <v>867</v>
      </c>
      <c r="S28" s="131">
        <v>1.7</v>
      </c>
      <c r="T28" s="131">
        <v>0</v>
      </c>
      <c r="U28" s="131">
        <v>500</v>
      </c>
      <c r="V28" s="132" t="s">
        <v>868</v>
      </c>
      <c r="W28">
        <v>163879</v>
      </c>
    </row>
    <row r="29" spans="1:23">
      <c r="A29" s="45">
        <f t="array" ref="A29">IFERROR(INDEX(baseline!$A$3:$A$201,MATCH($B29&amp;$C29,baseline!$C$3:$C$201&amp;baseline!$D$3:$D$201,0)),"NA")</f>
        <v>28</v>
      </c>
      <c r="B29" t="s">
        <v>1</v>
      </c>
      <c r="C29" t="s">
        <v>14</v>
      </c>
      <c r="D29" s="131" t="s">
        <v>835</v>
      </c>
      <c r="E29" s="131" t="b">
        <v>1</v>
      </c>
      <c r="F29" s="131" t="s">
        <v>861</v>
      </c>
      <c r="G29" s="131" t="s">
        <v>769</v>
      </c>
      <c r="H29" s="131" t="s">
        <v>864</v>
      </c>
      <c r="I29" s="131">
        <v>0.54</v>
      </c>
      <c r="J29" s="131">
        <v>0.59</v>
      </c>
      <c r="K29" s="131">
        <v>0.3</v>
      </c>
      <c r="L29" s="131">
        <v>0.37</v>
      </c>
      <c r="M29" s="131">
        <v>0.57999999999999996</v>
      </c>
      <c r="N29" s="131">
        <v>0.62</v>
      </c>
      <c r="O29" s="131">
        <v>0.41</v>
      </c>
      <c r="P29" s="131">
        <v>0.45</v>
      </c>
      <c r="Q29" s="132" t="s">
        <v>866</v>
      </c>
      <c r="R29" s="131" t="s">
        <v>867</v>
      </c>
      <c r="S29" s="131">
        <v>1.7</v>
      </c>
      <c r="T29" s="131">
        <v>0</v>
      </c>
      <c r="U29" s="131">
        <v>500</v>
      </c>
      <c r="V29" s="132" t="s">
        <v>868</v>
      </c>
      <c r="W29">
        <v>163879</v>
      </c>
    </row>
    <row r="30" spans="1:23">
      <c r="A30" s="45" t="str">
        <f t="array" ref="A30">IFERROR(INDEX(baseline!$A$3:$A$201,MATCH($B30&amp;$C30,baseline!$C$3:$C$201&amp;baseline!$D$3:$D$201,0)),"NA")</f>
        <v>NA</v>
      </c>
      <c r="B30" t="s">
        <v>0</v>
      </c>
      <c r="C30" t="s">
        <v>13</v>
      </c>
      <c r="D30" s="131" t="s">
        <v>835</v>
      </c>
      <c r="E30" s="131" t="b">
        <v>1</v>
      </c>
      <c r="F30" s="131" t="s">
        <v>861</v>
      </c>
      <c r="G30" s="131" t="s">
        <v>769</v>
      </c>
      <c r="H30" s="131" t="s">
        <v>864</v>
      </c>
      <c r="I30" s="131">
        <v>0.76</v>
      </c>
      <c r="J30" s="131">
        <v>0.81</v>
      </c>
      <c r="K30" s="131">
        <v>0.68</v>
      </c>
      <c r="L30" s="131">
        <v>0.73</v>
      </c>
      <c r="M30" s="131">
        <v>0.76</v>
      </c>
      <c r="N30" s="131">
        <v>0.81</v>
      </c>
      <c r="O30" s="131">
        <v>0.68</v>
      </c>
      <c r="P30" s="131">
        <v>0.73</v>
      </c>
      <c r="Q30" s="132" t="s">
        <v>866</v>
      </c>
      <c r="R30" s="131" t="s">
        <v>867</v>
      </c>
      <c r="S30" s="131">
        <v>1.7</v>
      </c>
      <c r="T30" s="131">
        <v>0</v>
      </c>
      <c r="U30" s="131">
        <v>500</v>
      </c>
      <c r="V30" s="132" t="s">
        <v>868</v>
      </c>
      <c r="W30">
        <v>271466</v>
      </c>
    </row>
    <row r="31" spans="1:23">
      <c r="A31" s="45" t="str">
        <f t="array" ref="A31">IFERROR(INDEX(baseline!$A$3:$A$201,MATCH($B31&amp;$C31,baseline!$C$3:$C$201&amp;baseline!$D$3:$D$201,0)),"NA")</f>
        <v>NA</v>
      </c>
      <c r="B31" t="s">
        <v>0</v>
      </c>
      <c r="C31" t="s">
        <v>14</v>
      </c>
      <c r="D31" s="131" t="s">
        <v>835</v>
      </c>
      <c r="E31" s="131" t="b">
        <v>1</v>
      </c>
      <c r="F31" s="131" t="s">
        <v>861</v>
      </c>
      <c r="G31" s="131" t="s">
        <v>769</v>
      </c>
      <c r="H31" s="131" t="s">
        <v>864</v>
      </c>
      <c r="I31" s="131">
        <v>0.76</v>
      </c>
      <c r="J31" s="131">
        <v>0.81</v>
      </c>
      <c r="K31" s="131">
        <v>0.68</v>
      </c>
      <c r="L31" s="131">
        <v>0.73</v>
      </c>
      <c r="M31" s="131">
        <v>0.76</v>
      </c>
      <c r="N31" s="131">
        <v>0.81</v>
      </c>
      <c r="O31" s="131">
        <v>0.68</v>
      </c>
      <c r="P31" s="131">
        <v>0.73</v>
      </c>
      <c r="Q31" s="132" t="s">
        <v>866</v>
      </c>
      <c r="R31" s="131" t="s">
        <v>867</v>
      </c>
      <c r="S31" s="131">
        <v>1.7</v>
      </c>
      <c r="T31" s="131">
        <v>0</v>
      </c>
      <c r="U31" s="131">
        <v>500</v>
      </c>
      <c r="V31" s="132" t="s">
        <v>868</v>
      </c>
      <c r="W31">
        <v>271466</v>
      </c>
    </row>
    <row r="32" spans="1:23">
      <c r="A32" s="45">
        <f t="array" ref="A32">IFERROR(INDEX(baseline!$A$3:$A$201,MATCH($B32&amp;$C32,baseline!$C$3:$C$201&amp;baseline!$D$3:$D$201,0)),"NA")</f>
        <v>30</v>
      </c>
      <c r="B32" t="s">
        <v>0</v>
      </c>
      <c r="C32" t="s">
        <v>546</v>
      </c>
      <c r="D32" s="131" t="s">
        <v>835</v>
      </c>
      <c r="E32" s="131" t="b">
        <v>1</v>
      </c>
      <c r="F32" s="131" t="s">
        <v>861</v>
      </c>
      <c r="G32" s="131" t="s">
        <v>769</v>
      </c>
      <c r="H32" s="131" t="s">
        <v>864</v>
      </c>
      <c r="I32" s="131">
        <v>0.76</v>
      </c>
      <c r="J32" s="131">
        <v>0.81</v>
      </c>
      <c r="K32" s="131">
        <v>0.68</v>
      </c>
      <c r="L32" s="131">
        <v>0.73</v>
      </c>
      <c r="M32" s="131">
        <v>0.76</v>
      </c>
      <c r="N32" s="131">
        <v>0.81</v>
      </c>
      <c r="O32" s="131">
        <v>0.68</v>
      </c>
      <c r="P32" s="131">
        <v>0.73</v>
      </c>
      <c r="Q32" s="132" t="s">
        <v>866</v>
      </c>
      <c r="R32" s="131" t="s">
        <v>867</v>
      </c>
      <c r="S32" s="131">
        <v>1.7</v>
      </c>
      <c r="T32" s="131">
        <v>0</v>
      </c>
      <c r="U32" s="131">
        <v>500</v>
      </c>
      <c r="V32" s="132" t="s">
        <v>868</v>
      </c>
      <c r="W32">
        <v>271466</v>
      </c>
    </row>
    <row r="33" spans="1:23">
      <c r="A33" s="45" t="str">
        <f t="array" ref="A33">IFERROR(INDEX(baseline!$A$3:$A$201,MATCH($B33&amp;$C33,baseline!$C$3:$C$201&amp;baseline!$D$3:$D$201,0)),"NA")</f>
        <v>NA</v>
      </c>
      <c r="B33" t="s">
        <v>78</v>
      </c>
      <c r="C33" t="s">
        <v>13</v>
      </c>
      <c r="D33" s="131" t="s">
        <v>835</v>
      </c>
      <c r="E33" s="131" t="b">
        <v>1</v>
      </c>
      <c r="F33" s="131" t="s">
        <v>861</v>
      </c>
      <c r="G33" s="131" t="s">
        <v>769</v>
      </c>
      <c r="H33" s="131" t="s">
        <v>864</v>
      </c>
      <c r="I33" s="131">
        <v>0.76</v>
      </c>
      <c r="J33" s="131">
        <v>0.81</v>
      </c>
      <c r="K33" s="131">
        <v>0.68</v>
      </c>
      <c r="L33" s="131">
        <v>0.73</v>
      </c>
      <c r="M33" s="131">
        <v>0.76</v>
      </c>
      <c r="N33" s="131">
        <v>0.81</v>
      </c>
      <c r="O33" s="131">
        <v>0.68</v>
      </c>
      <c r="P33" s="131">
        <v>0.73</v>
      </c>
      <c r="Q33" s="132" t="s">
        <v>866</v>
      </c>
      <c r="R33" s="131" t="s">
        <v>867</v>
      </c>
      <c r="S33" s="131">
        <v>1.7</v>
      </c>
      <c r="T33" s="131">
        <v>0</v>
      </c>
      <c r="U33" s="131">
        <v>500</v>
      </c>
      <c r="V33" s="132" t="s">
        <v>868</v>
      </c>
      <c r="W33">
        <v>72910</v>
      </c>
    </row>
    <row r="34" spans="1:23">
      <c r="A34" s="45" t="str">
        <f t="array" ref="A34">IFERROR(INDEX(baseline!$A$3:$A$201,MATCH($B34&amp;$C34,baseline!$C$3:$C$201&amp;baseline!$D$3:$D$201,0)),"NA")</f>
        <v>NA</v>
      </c>
      <c r="B34" t="s">
        <v>78</v>
      </c>
      <c r="C34" t="s">
        <v>14</v>
      </c>
      <c r="D34" s="131" t="s">
        <v>835</v>
      </c>
      <c r="E34" s="131" t="b">
        <v>1</v>
      </c>
      <c r="F34" s="131" t="s">
        <v>861</v>
      </c>
      <c r="G34" s="131" t="s">
        <v>769</v>
      </c>
      <c r="H34" s="131" t="s">
        <v>864</v>
      </c>
      <c r="I34" s="131">
        <v>0.76</v>
      </c>
      <c r="J34" s="131">
        <v>0.81</v>
      </c>
      <c r="K34" s="131">
        <v>0.68</v>
      </c>
      <c r="L34" s="131">
        <v>0.73</v>
      </c>
      <c r="M34" s="131">
        <v>0.76</v>
      </c>
      <c r="N34" s="131">
        <v>0.81</v>
      </c>
      <c r="O34" s="131">
        <v>0.68</v>
      </c>
      <c r="P34" s="131">
        <v>0.73</v>
      </c>
      <c r="Q34" s="132" t="s">
        <v>866</v>
      </c>
      <c r="R34" s="131" t="s">
        <v>867</v>
      </c>
      <c r="S34" s="131">
        <v>1.7</v>
      </c>
      <c r="T34" s="131">
        <v>0</v>
      </c>
      <c r="U34" s="131">
        <v>500</v>
      </c>
      <c r="V34" s="132" t="s">
        <v>868</v>
      </c>
      <c r="W34">
        <v>72910</v>
      </c>
    </row>
    <row r="35" spans="1:23">
      <c r="A35" s="45">
        <f t="array" ref="A35">IFERROR(INDEX(baseline!$A$3:$A$201,MATCH($B35&amp;$C35,baseline!$C$3:$C$201&amp;baseline!$D$3:$D$201,0)),"NA")</f>
        <v>31</v>
      </c>
      <c r="B35" t="s">
        <v>78</v>
      </c>
      <c r="C35" t="s">
        <v>546</v>
      </c>
      <c r="D35" s="131" t="s">
        <v>835</v>
      </c>
      <c r="E35" s="131" t="b">
        <v>1</v>
      </c>
      <c r="F35" s="131" t="s">
        <v>861</v>
      </c>
      <c r="G35" s="131" t="s">
        <v>769</v>
      </c>
      <c r="H35" s="131" t="s">
        <v>864</v>
      </c>
      <c r="I35" s="131">
        <v>0.76</v>
      </c>
      <c r="J35" s="131">
        <v>0.81</v>
      </c>
      <c r="K35" s="131">
        <v>0.68</v>
      </c>
      <c r="L35" s="131">
        <v>0.73</v>
      </c>
      <c r="M35" s="131">
        <v>0.76</v>
      </c>
      <c r="N35" s="131">
        <v>0.81</v>
      </c>
      <c r="O35" s="131">
        <v>0.68</v>
      </c>
      <c r="P35" s="131">
        <v>0.73</v>
      </c>
      <c r="Q35" s="132" t="s">
        <v>866</v>
      </c>
      <c r="R35" s="131" t="s">
        <v>867</v>
      </c>
      <c r="S35" s="131">
        <v>1.7</v>
      </c>
      <c r="T35" s="131">
        <v>0</v>
      </c>
      <c r="U35" s="131">
        <v>500</v>
      </c>
      <c r="V35" s="132" t="s">
        <v>868</v>
      </c>
      <c r="W35">
        <v>72910</v>
      </c>
    </row>
    <row r="36" spans="1:23">
      <c r="A36" s="45" t="str">
        <f t="array" ref="A36">IFERROR(INDEX(baseline!$A$3:$A$201,MATCH($B36&amp;$C36,baseline!$C$3:$C$201&amp;baseline!$D$3:$D$201,0)),"NA")</f>
        <v>NA</v>
      </c>
      <c r="B36" t="s">
        <v>545</v>
      </c>
      <c r="C36" t="s">
        <v>13</v>
      </c>
      <c r="D36" s="131" t="s">
        <v>835</v>
      </c>
      <c r="E36" s="131" t="b">
        <v>1</v>
      </c>
      <c r="F36" s="131" t="s">
        <v>861</v>
      </c>
      <c r="G36" s="131" t="s">
        <v>769</v>
      </c>
      <c r="H36" s="131" t="s">
        <v>864</v>
      </c>
      <c r="I36" s="131">
        <v>0.76</v>
      </c>
      <c r="J36" s="131">
        <v>0.81</v>
      </c>
      <c r="K36" s="131">
        <v>0.68</v>
      </c>
      <c r="L36" s="131">
        <v>0.73</v>
      </c>
      <c r="M36" s="131">
        <v>0.76</v>
      </c>
      <c r="N36" s="131">
        <v>0.81</v>
      </c>
      <c r="O36" s="131">
        <v>0.68</v>
      </c>
      <c r="P36" s="131">
        <v>0.73</v>
      </c>
      <c r="Q36" s="132" t="s">
        <v>866</v>
      </c>
      <c r="R36" s="131" t="s">
        <v>867</v>
      </c>
      <c r="S36" s="131">
        <v>1.7</v>
      </c>
      <c r="T36" s="131">
        <v>0</v>
      </c>
      <c r="U36" s="131">
        <v>500</v>
      </c>
      <c r="V36" s="132" t="s">
        <v>868</v>
      </c>
      <c r="W36">
        <v>296001</v>
      </c>
    </row>
    <row r="37" spans="1:23">
      <c r="A37" s="45" t="str">
        <f t="array" ref="A37">IFERROR(INDEX(baseline!$A$3:$A$201,MATCH($B37&amp;$C37,baseline!$C$3:$C$201&amp;baseline!$D$3:$D$201,0)),"NA")</f>
        <v>NA</v>
      </c>
      <c r="B37" t="s">
        <v>545</v>
      </c>
      <c r="C37" t="s">
        <v>14</v>
      </c>
      <c r="D37" s="131" t="s">
        <v>835</v>
      </c>
      <c r="E37" s="131" t="b">
        <v>1</v>
      </c>
      <c r="F37" s="131" t="s">
        <v>861</v>
      </c>
      <c r="G37" s="131" t="s">
        <v>769</v>
      </c>
      <c r="H37" s="131" t="s">
        <v>864</v>
      </c>
      <c r="I37" s="131">
        <v>0.76</v>
      </c>
      <c r="J37" s="131">
        <v>0.81</v>
      </c>
      <c r="K37" s="131">
        <v>0.68</v>
      </c>
      <c r="L37" s="131">
        <v>0.73</v>
      </c>
      <c r="M37" s="131">
        <v>0.76</v>
      </c>
      <c r="N37" s="131">
        <v>0.81</v>
      </c>
      <c r="O37" s="131">
        <v>0.68</v>
      </c>
      <c r="P37" s="131">
        <v>0.73</v>
      </c>
      <c r="Q37" s="132" t="s">
        <v>866</v>
      </c>
      <c r="R37" s="131" t="s">
        <v>867</v>
      </c>
      <c r="S37" s="131">
        <v>1.7</v>
      </c>
      <c r="T37" s="131">
        <v>0</v>
      </c>
      <c r="U37" s="131">
        <v>500</v>
      </c>
      <c r="V37" s="132" t="s">
        <v>868</v>
      </c>
      <c r="W37">
        <v>296001</v>
      </c>
    </row>
    <row r="38" spans="1:23">
      <c r="A38" s="45">
        <f t="array" ref="A38">IFERROR(INDEX(baseline!$A$3:$A$201,MATCH($B38&amp;$C38,baseline!$C$3:$C$201&amp;baseline!$D$3:$D$201,0)),"NA")</f>
        <v>29</v>
      </c>
      <c r="B38" t="s">
        <v>761</v>
      </c>
      <c r="C38" t="s">
        <v>546</v>
      </c>
      <c r="D38" s="131" t="s">
        <v>835</v>
      </c>
      <c r="E38" s="131" t="b">
        <v>1</v>
      </c>
      <c r="F38" s="131" t="s">
        <v>861</v>
      </c>
      <c r="G38" s="131" t="s">
        <v>769</v>
      </c>
      <c r="H38" s="131" t="s">
        <v>864</v>
      </c>
      <c r="I38" s="131">
        <v>0.54</v>
      </c>
      <c r="J38" s="131">
        <v>0.59</v>
      </c>
      <c r="K38" s="131">
        <v>0.3</v>
      </c>
      <c r="L38" s="131">
        <v>0.37</v>
      </c>
      <c r="M38" s="131">
        <v>0.57999999999999996</v>
      </c>
      <c r="N38" s="131">
        <v>0.62</v>
      </c>
      <c r="O38" s="131">
        <v>0.41</v>
      </c>
      <c r="P38" s="131">
        <v>0.45</v>
      </c>
      <c r="Q38" s="132" t="s">
        <v>866</v>
      </c>
      <c r="R38" s="131" t="s">
        <v>867</v>
      </c>
      <c r="S38" s="131">
        <v>1.7</v>
      </c>
      <c r="T38" s="131">
        <v>0</v>
      </c>
      <c r="U38" s="131">
        <v>500</v>
      </c>
      <c r="V38" s="132" t="s">
        <v>868</v>
      </c>
      <c r="W38">
        <v>187064</v>
      </c>
    </row>
    <row r="39" spans="1:23">
      <c r="A39" s="45" t="str">
        <f t="array" ref="A39">IFERROR(INDEX(baseline!$A$3:$A$201,MATCH($B39&amp;$C39,baseline!$C$3:$C$201&amp;baseline!$D$3:$D$201,0)),"NA")</f>
        <v>NA</v>
      </c>
      <c r="B39" t="s">
        <v>697</v>
      </c>
      <c r="C39" t="s">
        <v>13</v>
      </c>
      <c r="D39" s="131" t="s">
        <v>835</v>
      </c>
      <c r="E39" s="131" t="b">
        <v>1</v>
      </c>
      <c r="F39" s="131" t="s">
        <v>861</v>
      </c>
      <c r="G39" s="131" t="s">
        <v>769</v>
      </c>
      <c r="H39" s="131" t="s">
        <v>864</v>
      </c>
      <c r="I39" s="131">
        <v>0.54</v>
      </c>
      <c r="J39" s="131">
        <v>0.59</v>
      </c>
      <c r="K39" s="131">
        <v>0.3</v>
      </c>
      <c r="L39" s="131">
        <v>0.37</v>
      </c>
      <c r="M39" s="131">
        <v>0.57999999999999996</v>
      </c>
      <c r="N39" s="131">
        <v>0.62</v>
      </c>
      <c r="O39" s="131">
        <v>0.41</v>
      </c>
      <c r="P39" s="131">
        <v>0.45</v>
      </c>
      <c r="Q39" s="132" t="s">
        <v>866</v>
      </c>
      <c r="R39" s="131" t="s">
        <v>867</v>
      </c>
      <c r="S39" s="131">
        <v>1.7</v>
      </c>
      <c r="T39" s="131">
        <v>0</v>
      </c>
      <c r="U39" s="131">
        <v>500</v>
      </c>
      <c r="V39" s="132" t="s">
        <v>868</v>
      </c>
      <c r="W39">
        <v>138209</v>
      </c>
    </row>
    <row r="40" spans="1:23">
      <c r="A40" s="45" t="str">
        <f t="array" ref="A40">IFERROR(INDEX(baseline!$A$3:$A$201,MATCH($B40&amp;$C40,baseline!$C$3:$C$201&amp;baseline!$D$3:$D$201,0)),"NA")</f>
        <v>NA</v>
      </c>
      <c r="B40" t="s">
        <v>697</v>
      </c>
      <c r="C40" t="s">
        <v>546</v>
      </c>
      <c r="D40" s="131" t="s">
        <v>835</v>
      </c>
      <c r="E40" s="131" t="b">
        <v>1</v>
      </c>
      <c r="F40" s="131" t="s">
        <v>861</v>
      </c>
      <c r="G40" s="131" t="s">
        <v>769</v>
      </c>
      <c r="H40" s="131" t="s">
        <v>864</v>
      </c>
      <c r="I40" s="131">
        <v>0.54</v>
      </c>
      <c r="J40" s="131">
        <v>0.59</v>
      </c>
      <c r="K40" s="131">
        <v>0.3</v>
      </c>
      <c r="L40" s="131">
        <v>0.37</v>
      </c>
      <c r="M40" s="131">
        <v>0.57999999999999996</v>
      </c>
      <c r="N40" s="131">
        <v>0.62</v>
      </c>
      <c r="O40" s="131">
        <v>0.41</v>
      </c>
      <c r="P40" s="131">
        <v>0.45</v>
      </c>
      <c r="Q40" s="132" t="s">
        <v>866</v>
      </c>
      <c r="R40" s="131" t="s">
        <v>867</v>
      </c>
      <c r="S40" s="131">
        <v>1.7</v>
      </c>
      <c r="T40" s="131">
        <v>0</v>
      </c>
      <c r="U40" s="131">
        <v>500</v>
      </c>
      <c r="V40" s="132" t="s">
        <v>868</v>
      </c>
      <c r="W40">
        <v>138209</v>
      </c>
    </row>
    <row r="41" spans="1:23">
      <c r="A41" s="45" t="str">
        <f t="array" ref="A41">IFERROR(INDEX(baseline!$A$3:$A$201,MATCH($B41&amp;$C41,baseline!$C$3:$C$201&amp;baseline!$D$3:$D$201,0)),"NA")</f>
        <v>NA</v>
      </c>
      <c r="B41" t="s">
        <v>713</v>
      </c>
      <c r="C41" t="s">
        <v>546</v>
      </c>
      <c r="D41" s="131" t="s">
        <v>835</v>
      </c>
      <c r="E41" s="131" t="b">
        <v>1</v>
      </c>
      <c r="F41" s="131" t="s">
        <v>861</v>
      </c>
      <c r="G41" s="131" t="s">
        <v>769</v>
      </c>
      <c r="H41" s="131" t="s">
        <v>864</v>
      </c>
      <c r="I41" s="131">
        <v>0.76</v>
      </c>
      <c r="J41" s="131">
        <v>0.81</v>
      </c>
      <c r="K41" s="131">
        <v>0.68</v>
      </c>
      <c r="L41" s="131">
        <v>0.73</v>
      </c>
      <c r="M41" s="131">
        <v>0.76</v>
      </c>
      <c r="N41" s="131">
        <v>0.81</v>
      </c>
      <c r="O41" s="131">
        <v>0.68</v>
      </c>
      <c r="P41" s="131">
        <v>0.73</v>
      </c>
      <c r="Q41" s="132" t="s">
        <v>866</v>
      </c>
      <c r="R41" s="131" t="s">
        <v>867</v>
      </c>
      <c r="S41" s="131">
        <v>1.7</v>
      </c>
      <c r="T41" s="131">
        <v>0</v>
      </c>
      <c r="U41" s="131">
        <v>500</v>
      </c>
      <c r="V41" s="132" t="s">
        <v>868</v>
      </c>
      <c r="W41">
        <v>48855</v>
      </c>
    </row>
    <row r="42" spans="1:23">
      <c r="A42" s="45" t="str">
        <f t="array" ref="A42">IFERROR(INDEX(baseline!$A$3:$A$201,MATCH($B42&amp;$C42,baseline!$C$3:$C$201&amp;baseline!$D$3:$D$201,0)),"NA")</f>
        <v>NA</v>
      </c>
      <c r="B42" t="s">
        <v>762</v>
      </c>
      <c r="C42" t="s">
        <v>546</v>
      </c>
      <c r="D42" s="131" t="s">
        <v>835</v>
      </c>
      <c r="E42" s="131" t="b">
        <v>1</v>
      </c>
      <c r="F42" s="131" t="s">
        <v>861</v>
      </c>
      <c r="G42" s="131" t="s">
        <v>769</v>
      </c>
      <c r="H42" s="131" t="s">
        <v>864</v>
      </c>
      <c r="I42" s="131">
        <v>0.76</v>
      </c>
      <c r="J42" s="131">
        <v>0.81</v>
      </c>
      <c r="K42" s="131">
        <v>0.68</v>
      </c>
      <c r="L42" s="131">
        <v>0.73</v>
      </c>
      <c r="M42" s="131">
        <v>0.76</v>
      </c>
      <c r="N42" s="131">
        <v>0.81</v>
      </c>
      <c r="O42" s="131">
        <v>0.68</v>
      </c>
      <c r="P42" s="131">
        <v>0.73</v>
      </c>
      <c r="Q42" s="132" t="s">
        <v>866</v>
      </c>
      <c r="R42" s="131" t="s">
        <v>867</v>
      </c>
      <c r="S42" s="131">
        <v>1.7</v>
      </c>
      <c r="T42" s="131">
        <v>0</v>
      </c>
      <c r="U42" s="131">
        <v>500</v>
      </c>
      <c r="V42" s="132" t="s">
        <v>868</v>
      </c>
      <c r="W42">
        <v>313530</v>
      </c>
    </row>
    <row r="43" spans="1:23">
      <c r="A43" s="45" t="str">
        <f t="array" ref="A43">IFERROR(INDEX(baseline!$A$3:$A$201,MATCH($B43&amp;$C43,baseline!$C$3:$C$201&amp;baseline!$D$3:$D$201,0)),"NA")</f>
        <v>NA</v>
      </c>
      <c r="B43" t="s">
        <v>763</v>
      </c>
      <c r="C43" t="s">
        <v>881</v>
      </c>
      <c r="D43" s="131" t="s">
        <v>835</v>
      </c>
      <c r="E43" s="131" t="b">
        <v>1</v>
      </c>
      <c r="F43" s="131" t="s">
        <v>861</v>
      </c>
      <c r="G43" s="131" t="s">
        <v>769</v>
      </c>
      <c r="H43" s="131" t="s">
        <v>864</v>
      </c>
      <c r="I43" s="131">
        <v>0.76</v>
      </c>
      <c r="J43" s="131">
        <v>0.81</v>
      </c>
      <c r="K43" s="131">
        <v>0.68</v>
      </c>
      <c r="L43" s="131">
        <v>0.73</v>
      </c>
      <c r="M43" s="131">
        <v>0.76</v>
      </c>
      <c r="N43" s="131">
        <v>0.81</v>
      </c>
      <c r="O43" s="131">
        <v>0.68</v>
      </c>
      <c r="P43" s="131">
        <v>0.73</v>
      </c>
      <c r="Q43" s="132" t="s">
        <v>866</v>
      </c>
      <c r="R43" s="131" t="s">
        <v>867</v>
      </c>
      <c r="S43" s="131">
        <v>1.7</v>
      </c>
      <c r="T43" s="131">
        <v>0</v>
      </c>
      <c r="U43" s="131">
        <v>500</v>
      </c>
      <c r="V43" s="132" t="s">
        <v>868</v>
      </c>
      <c r="W43">
        <v>167025</v>
      </c>
    </row>
    <row r="44" spans="1:23">
      <c r="A44" s="45" t="str">
        <f t="array" ref="A44">IFERROR(INDEX(baseline!$A$3:$A$201,MATCH($B44&amp;$C44,baseline!$C$3:$C$201&amp;baseline!$D$3:$D$201,0)),"NA")</f>
        <v>NA</v>
      </c>
      <c r="B44" t="s">
        <v>712</v>
      </c>
      <c r="C44" t="s">
        <v>881</v>
      </c>
      <c r="D44" s="131" t="s">
        <v>835</v>
      </c>
      <c r="E44" s="131" t="b">
        <v>1</v>
      </c>
      <c r="F44" s="131" t="s">
        <v>861</v>
      </c>
      <c r="G44" s="131" t="s">
        <v>769</v>
      </c>
      <c r="H44" s="131" t="s">
        <v>864</v>
      </c>
      <c r="I44" s="131">
        <v>0.76</v>
      </c>
      <c r="J44" s="131">
        <v>0.81</v>
      </c>
      <c r="K44" s="131">
        <v>0.68</v>
      </c>
      <c r="L44" s="131">
        <v>0.73</v>
      </c>
      <c r="M44" s="131">
        <v>0.76</v>
      </c>
      <c r="N44" s="131">
        <v>0.81</v>
      </c>
      <c r="O44" s="131">
        <v>0.68</v>
      </c>
      <c r="P44" s="131">
        <v>0.73</v>
      </c>
      <c r="Q44" s="132" t="s">
        <v>866</v>
      </c>
      <c r="R44" s="131" t="s">
        <v>867</v>
      </c>
      <c r="S44" s="131">
        <v>1.7</v>
      </c>
      <c r="T44" s="131">
        <v>0</v>
      </c>
      <c r="U44" s="131">
        <v>500</v>
      </c>
      <c r="V44" s="132" t="s">
        <v>868</v>
      </c>
      <c r="W44">
        <v>796294</v>
      </c>
    </row>
    <row r="45" spans="1:23">
      <c r="A45" s="45" t="str">
        <f t="array" ref="A45">IFERROR(INDEX(baseline!$A$3:$A$201,MATCH($B45&amp;$C45,baseline!$C$3:$C$201&amp;baseline!$D$3:$D$201,0)),"NA")</f>
        <v>NA</v>
      </c>
      <c r="B45" t="s">
        <v>712</v>
      </c>
      <c r="C45" t="s">
        <v>13</v>
      </c>
      <c r="D45" s="131" t="s">
        <v>835</v>
      </c>
      <c r="E45" s="131" t="b">
        <v>1</v>
      </c>
      <c r="F45" s="131" t="s">
        <v>861</v>
      </c>
      <c r="G45" s="131" t="s">
        <v>769</v>
      </c>
      <c r="H45" s="131" t="s">
        <v>864</v>
      </c>
      <c r="I45" s="131">
        <v>0.76</v>
      </c>
      <c r="J45" s="131">
        <v>0.81</v>
      </c>
      <c r="K45" s="131">
        <v>0.68</v>
      </c>
      <c r="L45" s="131">
        <v>0.73</v>
      </c>
      <c r="M45" s="131">
        <v>0.76</v>
      </c>
      <c r="N45" s="131">
        <v>0.81</v>
      </c>
      <c r="O45" s="131">
        <v>0.68</v>
      </c>
      <c r="P45" s="131">
        <v>0.73</v>
      </c>
      <c r="Q45" s="132" t="s">
        <v>866</v>
      </c>
      <c r="R45" s="131" t="s">
        <v>867</v>
      </c>
      <c r="S45" s="131">
        <v>1.7</v>
      </c>
      <c r="T45" s="131">
        <v>0</v>
      </c>
      <c r="U45" s="131">
        <v>500</v>
      </c>
      <c r="V45" s="132" t="s">
        <v>868</v>
      </c>
      <c r="W45">
        <v>796294</v>
      </c>
    </row>
    <row r="46" spans="1:23">
      <c r="A46" s="45" t="str">
        <f t="array" ref="A46">IFERROR(INDEX(baseline!$A$3:$A$201,MATCH($B46&amp;$C46,baseline!$C$3:$C$201&amp;baseline!$D$3:$D$201,0)),"NA")</f>
        <v>NA</v>
      </c>
      <c r="B46" t="s">
        <v>712</v>
      </c>
      <c r="C46" t="s">
        <v>546</v>
      </c>
      <c r="D46" s="131" t="s">
        <v>835</v>
      </c>
      <c r="E46" s="131" t="b">
        <v>1</v>
      </c>
      <c r="F46" s="131" t="s">
        <v>861</v>
      </c>
      <c r="G46" s="131" t="s">
        <v>769</v>
      </c>
      <c r="H46" s="131" t="s">
        <v>864</v>
      </c>
      <c r="I46" s="131">
        <v>0.76</v>
      </c>
      <c r="J46" s="131">
        <v>0.81</v>
      </c>
      <c r="K46" s="131">
        <v>0.68</v>
      </c>
      <c r="L46" s="131">
        <v>0.73</v>
      </c>
      <c r="M46" s="131">
        <v>0.76</v>
      </c>
      <c r="N46" s="131">
        <v>0.81</v>
      </c>
      <c r="O46" s="131">
        <v>0.68</v>
      </c>
      <c r="P46" s="131">
        <v>0.73</v>
      </c>
      <c r="Q46" s="132" t="s">
        <v>866</v>
      </c>
      <c r="R46" s="131" t="s">
        <v>867</v>
      </c>
      <c r="S46" s="131">
        <v>1.7</v>
      </c>
      <c r="T46" s="131">
        <v>0</v>
      </c>
      <c r="U46" s="131">
        <v>500</v>
      </c>
      <c r="V46" s="132" t="s">
        <v>868</v>
      </c>
      <c r="W46">
        <v>796294</v>
      </c>
    </row>
    <row r="47" spans="1:23">
      <c r="A47" s="45" t="str">
        <f t="array" ref="A47">IFERROR(INDEX(baseline!$A$3:$A$201,MATCH($B47&amp;$C47,baseline!$C$3:$C$201&amp;baseline!$D$3:$D$201,0)),"NA")</f>
        <v>NA</v>
      </c>
      <c r="B47" t="s">
        <v>547</v>
      </c>
      <c r="C47" t="s">
        <v>13</v>
      </c>
      <c r="D47" s="131" t="s">
        <v>835</v>
      </c>
      <c r="E47" s="131" t="b">
        <v>1</v>
      </c>
      <c r="F47" s="131" t="s">
        <v>861</v>
      </c>
      <c r="G47" s="131" t="s">
        <v>769</v>
      </c>
      <c r="H47" s="131" t="s">
        <v>864</v>
      </c>
      <c r="I47" s="131">
        <v>0.76</v>
      </c>
      <c r="J47" s="131">
        <v>0.81</v>
      </c>
      <c r="K47" s="131">
        <v>0.68</v>
      </c>
      <c r="L47" s="131">
        <v>0.73</v>
      </c>
      <c r="M47" s="131">
        <v>0.76</v>
      </c>
      <c r="N47" s="131">
        <v>0.81</v>
      </c>
      <c r="O47" s="131">
        <v>0.68</v>
      </c>
      <c r="P47" s="131">
        <v>0.73</v>
      </c>
      <c r="Q47" s="132" t="s">
        <v>866</v>
      </c>
      <c r="R47" s="131" t="s">
        <v>867</v>
      </c>
      <c r="S47" s="131">
        <v>1.7</v>
      </c>
      <c r="T47" s="131">
        <v>0</v>
      </c>
      <c r="U47" s="131">
        <v>500</v>
      </c>
      <c r="V47" s="132" t="s">
        <v>868</v>
      </c>
      <c r="W47">
        <v>254281</v>
      </c>
    </row>
    <row r="48" spans="1:23">
      <c r="A48" s="45" t="str">
        <f t="array" ref="A48">IFERROR(INDEX(baseline!$A$3:$A$201,MATCH($B48&amp;$C48,baseline!$C$3:$C$201&amp;baseline!$D$3:$D$201,0)),"NA")</f>
        <v>NA</v>
      </c>
      <c r="B48" t="s">
        <v>1</v>
      </c>
      <c r="C48" t="s">
        <v>13</v>
      </c>
      <c r="D48" s="131" t="s">
        <v>835</v>
      </c>
      <c r="E48" s="131" t="b">
        <v>1</v>
      </c>
      <c r="F48" s="131" t="s">
        <v>861</v>
      </c>
      <c r="G48" s="131" t="s">
        <v>769</v>
      </c>
      <c r="H48" s="131" t="s">
        <v>864</v>
      </c>
      <c r="I48" s="131">
        <v>0.54</v>
      </c>
      <c r="J48" s="131">
        <v>0.59</v>
      </c>
      <c r="K48" s="131">
        <v>0.3</v>
      </c>
      <c r="L48" s="131">
        <v>0.37</v>
      </c>
      <c r="M48" s="131">
        <v>0.57999999999999996</v>
      </c>
      <c r="N48" s="131">
        <v>0.62</v>
      </c>
      <c r="O48" s="131">
        <v>0.41</v>
      </c>
      <c r="P48" s="131">
        <v>0.45</v>
      </c>
      <c r="Q48" s="132" t="s">
        <v>866</v>
      </c>
      <c r="R48" s="131" t="s">
        <v>867</v>
      </c>
      <c r="S48" s="131">
        <v>1.7</v>
      </c>
      <c r="T48" s="131">
        <v>0</v>
      </c>
      <c r="U48" s="131">
        <v>500</v>
      </c>
      <c r="V48" s="132" t="s">
        <v>868</v>
      </c>
      <c r="W48">
        <v>163879</v>
      </c>
    </row>
    <row r="49" spans="1:23">
      <c r="A49" s="45" t="str">
        <f t="array" ref="A49">IFERROR(INDEX(baseline!$A$3:$A$201,MATCH($B49&amp;$C49,baseline!$C$3:$C$201&amp;baseline!$D$3:$D$201,0)),"NA")</f>
        <v>NA</v>
      </c>
      <c r="B49" t="s">
        <v>1</v>
      </c>
      <c r="C49" t="s">
        <v>546</v>
      </c>
      <c r="D49" s="131" t="s">
        <v>835</v>
      </c>
      <c r="E49" s="131" t="b">
        <v>1</v>
      </c>
      <c r="F49" s="131" t="s">
        <v>861</v>
      </c>
      <c r="G49" s="131" t="s">
        <v>769</v>
      </c>
      <c r="H49" s="131" t="s">
        <v>864</v>
      </c>
      <c r="I49" s="131">
        <v>0.54</v>
      </c>
      <c r="J49" s="131">
        <v>0.59</v>
      </c>
      <c r="K49" s="131">
        <v>0.3</v>
      </c>
      <c r="L49" s="131">
        <v>0.37</v>
      </c>
      <c r="M49" s="131">
        <v>0.57999999999999996</v>
      </c>
      <c r="N49" s="131">
        <v>0.62</v>
      </c>
      <c r="O49" s="131">
        <v>0.41</v>
      </c>
      <c r="P49" s="131">
        <v>0.45</v>
      </c>
      <c r="Q49" s="132" t="s">
        <v>866</v>
      </c>
      <c r="R49" s="131" t="s">
        <v>867</v>
      </c>
      <c r="S49" s="131">
        <v>1.7</v>
      </c>
      <c r="T49" s="131">
        <v>0</v>
      </c>
      <c r="U49" s="131">
        <v>500</v>
      </c>
      <c r="V49" s="132" t="s">
        <v>868</v>
      </c>
      <c r="W49">
        <v>163879</v>
      </c>
    </row>
  </sheetData>
  <sortState ref="A2:W49">
    <sortCondition ref="A2:A49"/>
    <sortCondition ref="B2:B49"/>
    <sortCondition ref="C2:C49"/>
    <sortCondition ref="D2:D49"/>
  </sortState>
  <pageMargins left="0.7" right="0.7" top="0.75" bottom="0.75" header="0.3" footer="0.3"/>
</worksheet>
</file>

<file path=xl/worksheets/sheet21.xml><?xml version="1.0" encoding="utf-8"?>
<worksheet xmlns="http://schemas.openxmlformats.org/spreadsheetml/2006/main" xmlns:r="http://schemas.openxmlformats.org/officeDocument/2006/relationships">
  <sheetPr>
    <tabColor rgb="FF00B050"/>
  </sheetPr>
  <dimension ref="A1:F49"/>
  <sheetViews>
    <sheetView workbookViewId="0">
      <selection activeCell="E1" sqref="E1:F1048576"/>
    </sheetView>
  </sheetViews>
  <sheetFormatPr defaultColWidth="9.109375" defaultRowHeight="14.4"/>
  <cols>
    <col min="1" max="1" width="17.88671875" style="45" customWidth="1"/>
    <col min="2" max="2" width="23.44140625" style="45" bestFit="1" customWidth="1"/>
    <col min="3" max="3" width="13.6640625" style="45" bestFit="1" customWidth="1"/>
    <col min="4" max="4" width="30.6640625" style="45" customWidth="1"/>
    <col min="5" max="5" width="24.33203125" style="45" customWidth="1"/>
    <col min="6" max="6" width="29.33203125" style="45" bestFit="1" customWidth="1"/>
    <col min="7" max="16384" width="9.109375" style="45"/>
  </cols>
  <sheetData>
    <row r="1" spans="1:6" ht="15.6">
      <c r="A1" s="155" t="s">
        <v>920</v>
      </c>
      <c r="B1" s="128" t="s">
        <v>766</v>
      </c>
      <c r="C1" s="127" t="s">
        <v>748</v>
      </c>
      <c r="D1" s="45" t="s">
        <v>774</v>
      </c>
      <c r="E1" s="45" t="s">
        <v>906</v>
      </c>
      <c r="F1" s="45" t="s">
        <v>899</v>
      </c>
    </row>
    <row r="2" spans="1:6">
      <c r="A2" s="45">
        <f t="array" ref="A2">IFERROR(INDEX(baseline!$A$3:$A$201,MATCH($B2&amp;$C2,baseline!$C$3:$C$201&amp;baseline!$D$3:$D$201,0)),"NA")</f>
        <v>1</v>
      </c>
      <c r="B2" s="45" t="s">
        <v>0</v>
      </c>
      <c r="C2" s="45" t="s">
        <v>881</v>
      </c>
      <c r="D2" s="45" t="s">
        <v>769</v>
      </c>
      <c r="E2" s="45" t="s">
        <v>769</v>
      </c>
      <c r="F2" s="45">
        <v>4523</v>
      </c>
    </row>
    <row r="3" spans="1:6">
      <c r="A3" s="45">
        <f t="array" ref="A3">IFERROR(INDEX(baseline!$A$3:$A$201,MATCH($B3&amp;$C3,baseline!$C$3:$C$201&amp;baseline!$D$3:$D$201,0)),"NA")</f>
        <v>2</v>
      </c>
      <c r="B3" s="45" t="s">
        <v>78</v>
      </c>
      <c r="C3" s="45" t="s">
        <v>881</v>
      </c>
      <c r="D3" s="45" t="s">
        <v>769</v>
      </c>
      <c r="E3" s="45" t="s">
        <v>769</v>
      </c>
      <c r="F3" s="45">
        <v>2261</v>
      </c>
    </row>
    <row r="4" spans="1:6">
      <c r="A4" s="45">
        <f t="array" ref="A4">IFERROR(INDEX(baseline!$A$3:$A$201,MATCH($B4&amp;$C4,baseline!$C$3:$C$201&amp;baseline!$D$3:$D$201,0)),"NA")</f>
        <v>3</v>
      </c>
      <c r="B4" s="45" t="s">
        <v>545</v>
      </c>
      <c r="C4" s="45" t="s">
        <v>881</v>
      </c>
      <c r="D4" s="45" t="s">
        <v>837</v>
      </c>
      <c r="E4" s="45" t="b">
        <v>1</v>
      </c>
      <c r="F4" s="45">
        <v>6784</v>
      </c>
    </row>
    <row r="5" spans="1:6">
      <c r="A5" s="45">
        <f t="array" ref="A5">IFERROR(INDEX(baseline!$A$3:$A$201,MATCH($B5&amp;$C5,baseline!$C$3:$C$201&amp;baseline!$D$3:$D$201,0)),"NA")</f>
        <v>4</v>
      </c>
      <c r="B5" s="45" t="s">
        <v>545</v>
      </c>
      <c r="C5" s="45" t="s">
        <v>546</v>
      </c>
      <c r="D5" s="45" t="s">
        <v>837</v>
      </c>
      <c r="E5" s="45" t="b">
        <v>1</v>
      </c>
      <c r="F5" s="45">
        <v>6784</v>
      </c>
    </row>
    <row r="6" spans="1:6">
      <c r="A6" s="45">
        <f t="array" ref="A6">IFERROR(INDEX(baseline!$A$3:$A$201,MATCH($B6&amp;$C6,baseline!$C$3:$C$201&amp;baseline!$D$3:$D$201,0)),"NA")</f>
        <v>5</v>
      </c>
      <c r="B6" s="45" t="s">
        <v>761</v>
      </c>
      <c r="C6" s="45" t="s">
        <v>881</v>
      </c>
      <c r="D6" s="45" t="s">
        <v>837</v>
      </c>
      <c r="E6" s="45" t="b">
        <v>1</v>
      </c>
      <c r="F6" s="45">
        <v>3769</v>
      </c>
    </row>
    <row r="7" spans="1:6">
      <c r="A7" s="45">
        <f t="array" ref="A7">IFERROR(INDEX(baseline!$A$3:$A$201,MATCH($B7&amp;$C7,baseline!$C$3:$C$201&amp;baseline!$D$3:$D$201,0)),"NA")</f>
        <v>6</v>
      </c>
      <c r="B7" s="45" t="s">
        <v>761</v>
      </c>
      <c r="C7" s="45" t="s">
        <v>13</v>
      </c>
      <c r="D7" s="45" t="s">
        <v>837</v>
      </c>
      <c r="E7" s="45" t="b">
        <v>1</v>
      </c>
      <c r="F7" s="45">
        <v>3769</v>
      </c>
    </row>
    <row r="8" spans="1:6">
      <c r="A8" s="45">
        <f t="array" ref="A8">IFERROR(INDEX(baseline!$A$3:$A$201,MATCH($B8&amp;$C8,baseline!$C$3:$C$201&amp;baseline!$D$3:$D$201,0)),"NA")</f>
        <v>7</v>
      </c>
      <c r="B8" s="45" t="s">
        <v>761</v>
      </c>
      <c r="C8" s="45" t="s">
        <v>14</v>
      </c>
      <c r="D8" s="45" t="s">
        <v>837</v>
      </c>
      <c r="E8" s="45" t="b">
        <v>1</v>
      </c>
      <c r="F8" s="45">
        <v>3769</v>
      </c>
    </row>
    <row r="9" spans="1:6">
      <c r="A9" s="45">
        <f t="array" ref="A9">IFERROR(INDEX(baseline!$A$3:$A$201,MATCH($B9&amp;$C9,baseline!$C$3:$C$201&amp;baseline!$D$3:$D$201,0)),"NA")</f>
        <v>8</v>
      </c>
      <c r="B9" s="45" t="s">
        <v>697</v>
      </c>
      <c r="C9" s="45" t="s">
        <v>881</v>
      </c>
      <c r="D9" s="45" t="s">
        <v>837</v>
      </c>
      <c r="E9" s="45" t="b">
        <v>1</v>
      </c>
      <c r="F9" s="45">
        <v>2261</v>
      </c>
    </row>
    <row r="10" spans="1:6">
      <c r="A10" s="45">
        <f t="array" ref="A10">IFERROR(INDEX(baseline!$A$3:$A$201,MATCH($B10&amp;$C10,baseline!$C$3:$C$201&amp;baseline!$D$3:$D$201,0)),"NA")</f>
        <v>9</v>
      </c>
      <c r="B10" s="45" t="s">
        <v>697</v>
      </c>
      <c r="C10" s="45" t="s">
        <v>14</v>
      </c>
      <c r="D10" s="45" t="s">
        <v>837</v>
      </c>
      <c r="E10" s="45" t="b">
        <v>1</v>
      </c>
      <c r="F10" s="45">
        <v>2261</v>
      </c>
    </row>
    <row r="11" spans="1:6">
      <c r="A11" s="45">
        <f t="array" ref="A11">IFERROR(INDEX(baseline!$A$3:$A$201,MATCH($B11&amp;$C11,baseline!$C$3:$C$201&amp;baseline!$D$3:$D$201,0)),"NA")</f>
        <v>10</v>
      </c>
      <c r="B11" s="45" t="s">
        <v>713</v>
      </c>
      <c r="C11" s="45" t="s">
        <v>881</v>
      </c>
      <c r="D11" s="45" t="s">
        <v>837</v>
      </c>
      <c r="E11" s="45" t="b">
        <v>1</v>
      </c>
      <c r="F11" s="45">
        <v>754</v>
      </c>
    </row>
    <row r="12" spans="1:6">
      <c r="A12" s="45">
        <f t="array" ref="A12">IFERROR(INDEX(baseline!$A$3:$A$201,MATCH($B12&amp;$C12,baseline!$C$3:$C$201&amp;baseline!$D$3:$D$201,0)),"NA")</f>
        <v>11</v>
      </c>
      <c r="B12" s="45" t="s">
        <v>713</v>
      </c>
      <c r="C12" s="45" t="s">
        <v>13</v>
      </c>
      <c r="D12" s="45" t="s">
        <v>837</v>
      </c>
      <c r="E12" s="45" t="b">
        <v>1</v>
      </c>
      <c r="F12" s="45">
        <v>754</v>
      </c>
    </row>
    <row r="13" spans="1:6">
      <c r="A13" s="45">
        <f t="array" ref="A13">IFERROR(INDEX(baseline!$A$3:$A$201,MATCH($B13&amp;$C13,baseline!$C$3:$C$201&amp;baseline!$D$3:$D$201,0)),"NA")</f>
        <v>12</v>
      </c>
      <c r="B13" s="45" t="s">
        <v>713</v>
      </c>
      <c r="C13" s="45" t="s">
        <v>14</v>
      </c>
      <c r="D13" s="45" t="s">
        <v>837</v>
      </c>
      <c r="E13" s="45" t="b">
        <v>1</v>
      </c>
      <c r="F13" s="45">
        <v>754</v>
      </c>
    </row>
    <row r="14" spans="1:6">
      <c r="A14" s="45">
        <f t="array" ref="A14">IFERROR(INDEX(baseline!$A$3:$A$201,MATCH($B14&amp;$C14,baseline!$C$3:$C$201&amp;baseline!$D$3:$D$201,0)),"NA")</f>
        <v>13</v>
      </c>
      <c r="B14" s="45" t="s">
        <v>762</v>
      </c>
      <c r="C14" s="45" t="s">
        <v>881</v>
      </c>
      <c r="D14" s="45" t="s">
        <v>837</v>
      </c>
      <c r="E14" s="45" t="b">
        <v>1</v>
      </c>
      <c r="F14" s="45">
        <v>5276</v>
      </c>
    </row>
    <row r="15" spans="1:6">
      <c r="A15" s="45">
        <f t="array" ref="A15">IFERROR(INDEX(baseline!$A$3:$A$201,MATCH($B15&amp;$C15,baseline!$C$3:$C$201&amp;baseline!$D$3:$D$201,0)),"NA")</f>
        <v>14</v>
      </c>
      <c r="B15" s="45" t="s">
        <v>762</v>
      </c>
      <c r="C15" s="45" t="s">
        <v>13</v>
      </c>
      <c r="D15" s="45" t="s">
        <v>837</v>
      </c>
      <c r="E15" s="45" t="b">
        <v>1</v>
      </c>
      <c r="F15" s="45">
        <v>5276</v>
      </c>
    </row>
    <row r="16" spans="1:6">
      <c r="A16" s="45">
        <f t="array" ref="A16">IFERROR(INDEX(baseline!$A$3:$A$201,MATCH($B16&amp;$C16,baseline!$C$3:$C$201&amp;baseline!$D$3:$D$201,0)),"NA")</f>
        <v>15</v>
      </c>
      <c r="B16" s="45" t="s">
        <v>762</v>
      </c>
      <c r="C16" s="45" t="s">
        <v>14</v>
      </c>
      <c r="D16" s="45" t="s">
        <v>837</v>
      </c>
      <c r="E16" s="45" t="b">
        <v>1</v>
      </c>
      <c r="F16" s="45">
        <v>5276</v>
      </c>
    </row>
    <row r="17" spans="1:6">
      <c r="A17" s="45">
        <f t="array" ref="A17">IFERROR(INDEX(baseline!$A$3:$A$201,MATCH($B17&amp;$C17,baseline!$C$3:$C$201&amp;baseline!$D$3:$D$201,0)),"NA")</f>
        <v>16</v>
      </c>
      <c r="B17" s="45" t="s">
        <v>763</v>
      </c>
      <c r="C17" s="45" t="s">
        <v>13</v>
      </c>
      <c r="D17" s="45" t="s">
        <v>837</v>
      </c>
      <c r="E17" s="45" t="b">
        <v>1</v>
      </c>
      <c r="F17" s="45">
        <v>1508</v>
      </c>
    </row>
    <row r="18" spans="1:6">
      <c r="A18" s="45">
        <f t="array" ref="A18">IFERROR(INDEX(baseline!$A$3:$A$201,MATCH($B18&amp;$C18,baseline!$C$3:$C$201&amp;baseline!$D$3:$D$201,0)),"NA")</f>
        <v>17</v>
      </c>
      <c r="B18" s="45" t="s">
        <v>763</v>
      </c>
      <c r="C18" s="45" t="s">
        <v>14</v>
      </c>
      <c r="D18" s="45" t="s">
        <v>837</v>
      </c>
      <c r="E18" s="45" t="b">
        <v>1</v>
      </c>
      <c r="F18" s="45">
        <v>1508</v>
      </c>
    </row>
    <row r="19" spans="1:6">
      <c r="A19" s="45">
        <f t="array" ref="A19">IFERROR(INDEX(baseline!$A$3:$A$201,MATCH($B19&amp;$C19,baseline!$C$3:$C$201&amp;baseline!$D$3:$D$201,0)),"NA")</f>
        <v>18</v>
      </c>
      <c r="B19" s="45" t="s">
        <v>763</v>
      </c>
      <c r="C19" s="45" t="s">
        <v>546</v>
      </c>
      <c r="D19" s="45" t="s">
        <v>837</v>
      </c>
      <c r="E19" s="45" t="b">
        <v>1</v>
      </c>
      <c r="F19" s="45">
        <v>1508</v>
      </c>
    </row>
    <row r="20" spans="1:6">
      <c r="A20" s="45">
        <f t="array" ref="A20">IFERROR(INDEX(baseline!$A$3:$A$201,MATCH($B20&amp;$C20,baseline!$C$3:$C$201&amp;baseline!$D$3:$D$201,0)),"NA")</f>
        <v>19</v>
      </c>
      <c r="B20" s="45" t="s">
        <v>712</v>
      </c>
      <c r="C20" s="45" t="s">
        <v>14</v>
      </c>
      <c r="D20" s="45" t="s">
        <v>769</v>
      </c>
      <c r="E20" s="45" t="s">
        <v>769</v>
      </c>
      <c r="F20" s="45">
        <v>6030</v>
      </c>
    </row>
    <row r="21" spans="1:6">
      <c r="A21" s="45">
        <f t="array" ref="A21">IFERROR(INDEX(baseline!$A$3:$A$201,MATCH($B21&amp;$C21,baseline!$C$3:$C$201&amp;baseline!$D$3:$D$201,0)),"NA")</f>
        <v>20</v>
      </c>
      <c r="B21" s="45" t="s">
        <v>2</v>
      </c>
      <c r="C21" s="45" t="s">
        <v>881</v>
      </c>
      <c r="D21" s="45" t="s">
        <v>837</v>
      </c>
      <c r="E21" s="45" t="b">
        <v>1</v>
      </c>
      <c r="F21" s="45">
        <v>754</v>
      </c>
    </row>
    <row r="22" spans="1:6">
      <c r="A22" s="45">
        <f t="array" ref="A22">IFERROR(INDEX(baseline!$A$3:$A$201,MATCH($B22&amp;$C22,baseline!$C$3:$C$201&amp;baseline!$D$3:$D$201,0)),"NA")</f>
        <v>21</v>
      </c>
      <c r="B22" s="45" t="s">
        <v>2</v>
      </c>
      <c r="C22" s="45" t="s">
        <v>13</v>
      </c>
      <c r="D22" s="45" t="s">
        <v>837</v>
      </c>
      <c r="E22" s="45" t="b">
        <v>1</v>
      </c>
      <c r="F22" s="45">
        <v>754</v>
      </c>
    </row>
    <row r="23" spans="1:6">
      <c r="A23" s="45">
        <f t="array" ref="A23">IFERROR(INDEX(baseline!$A$3:$A$201,MATCH($B23&amp;$C23,baseline!$C$3:$C$201&amp;baseline!$D$3:$D$201,0)),"NA")</f>
        <v>22</v>
      </c>
      <c r="B23" s="45" t="s">
        <v>2</v>
      </c>
      <c r="C23" s="45" t="s">
        <v>14</v>
      </c>
      <c r="D23" s="45" t="s">
        <v>837</v>
      </c>
      <c r="E23" s="45" t="b">
        <v>1</v>
      </c>
      <c r="F23" s="45">
        <v>754</v>
      </c>
    </row>
    <row r="24" spans="1:6">
      <c r="A24" s="45">
        <f t="array" ref="A24">IFERROR(INDEX(baseline!$A$3:$A$201,MATCH($B24&amp;$C24,baseline!$C$3:$C$201&amp;baseline!$D$3:$D$201,0)),"NA")</f>
        <v>23</v>
      </c>
      <c r="B24" s="45" t="s">
        <v>2</v>
      </c>
      <c r="C24" s="45" t="s">
        <v>546</v>
      </c>
      <c r="D24" s="45" t="s">
        <v>837</v>
      </c>
      <c r="E24" s="45" t="b">
        <v>1</v>
      </c>
      <c r="F24" s="45">
        <v>754</v>
      </c>
    </row>
    <row r="25" spans="1:6">
      <c r="A25" s="45">
        <f t="array" ref="A25">IFERROR(INDEX(baseline!$A$3:$A$201,MATCH($B25&amp;$C25,baseline!$C$3:$C$201&amp;baseline!$D$3:$D$201,0)),"NA")</f>
        <v>24</v>
      </c>
      <c r="B25" s="45" t="s">
        <v>547</v>
      </c>
      <c r="C25" s="45" t="s">
        <v>881</v>
      </c>
      <c r="D25" s="45" t="s">
        <v>837</v>
      </c>
      <c r="E25" s="45" t="b">
        <v>1</v>
      </c>
      <c r="F25" s="45">
        <v>1508</v>
      </c>
    </row>
    <row r="26" spans="1:6">
      <c r="A26" s="45">
        <f t="array" ref="A26">IFERROR(INDEX(baseline!$A$3:$A$201,MATCH($B26&amp;$C26,baseline!$C$3:$C$201&amp;baseline!$D$3:$D$201,0)),"NA")</f>
        <v>25</v>
      </c>
      <c r="B26" s="45" t="s">
        <v>547</v>
      </c>
      <c r="C26" s="45" t="s">
        <v>14</v>
      </c>
      <c r="D26" s="45" t="s">
        <v>837</v>
      </c>
      <c r="E26" s="45" t="b">
        <v>1</v>
      </c>
      <c r="F26" s="45">
        <v>1508</v>
      </c>
    </row>
    <row r="27" spans="1:6">
      <c r="A27" s="45">
        <f t="array" ref="A27">IFERROR(INDEX(baseline!$A$3:$A$201,MATCH($B27&amp;$C27,baseline!$C$3:$C$201&amp;baseline!$D$3:$D$201,0)),"NA")</f>
        <v>26</v>
      </c>
      <c r="B27" s="45" t="s">
        <v>547</v>
      </c>
      <c r="C27" s="45" t="s">
        <v>546</v>
      </c>
      <c r="D27" s="45" t="s">
        <v>837</v>
      </c>
      <c r="E27" s="45" t="b">
        <v>1</v>
      </c>
      <c r="F27" s="45">
        <v>1508</v>
      </c>
    </row>
    <row r="28" spans="1:6">
      <c r="A28" s="45">
        <f t="array" ref="A28">IFERROR(INDEX(baseline!$A$3:$A$201,MATCH($B28&amp;$C28,baseline!$C$3:$C$201&amp;baseline!$D$3:$D$201,0)),"NA")</f>
        <v>27</v>
      </c>
      <c r="B28" s="45" t="s">
        <v>1</v>
      </c>
      <c r="C28" s="45" t="s">
        <v>881</v>
      </c>
      <c r="D28" s="45" t="s">
        <v>837</v>
      </c>
      <c r="E28" s="45" t="b">
        <v>1</v>
      </c>
      <c r="F28" s="45">
        <v>754</v>
      </c>
    </row>
    <row r="29" spans="1:6">
      <c r="A29" s="45">
        <f t="array" ref="A29">IFERROR(INDEX(baseline!$A$3:$A$201,MATCH($B29&amp;$C29,baseline!$C$3:$C$201&amp;baseline!$D$3:$D$201,0)),"NA")</f>
        <v>28</v>
      </c>
      <c r="B29" s="45" t="s">
        <v>1</v>
      </c>
      <c r="C29" s="45" t="s">
        <v>14</v>
      </c>
      <c r="D29" s="45" t="s">
        <v>837</v>
      </c>
      <c r="E29" s="45" t="b">
        <v>1</v>
      </c>
      <c r="F29" s="45">
        <v>754</v>
      </c>
    </row>
    <row r="30" spans="1:6">
      <c r="A30" s="45" t="str">
        <f t="array" ref="A30">IFERROR(INDEX(baseline!$A$3:$A$201,MATCH($B30&amp;$C30,baseline!$C$3:$C$201&amp;baseline!$D$3:$D$201,0)),"NA")</f>
        <v>NA</v>
      </c>
      <c r="B30" s="45" t="s">
        <v>0</v>
      </c>
      <c r="C30" s="45" t="s">
        <v>13</v>
      </c>
      <c r="D30" s="45" t="s">
        <v>769</v>
      </c>
      <c r="E30" s="45" t="s">
        <v>769</v>
      </c>
      <c r="F30" s="45">
        <v>4523</v>
      </c>
    </row>
    <row r="31" spans="1:6">
      <c r="A31" s="45" t="str">
        <f t="array" ref="A31">IFERROR(INDEX(baseline!$A$3:$A$201,MATCH($B31&amp;$C31,baseline!$C$3:$C$201&amp;baseline!$D$3:$D$201,0)),"NA")</f>
        <v>NA</v>
      </c>
      <c r="B31" s="45" t="s">
        <v>0</v>
      </c>
      <c r="C31" s="45" t="s">
        <v>14</v>
      </c>
      <c r="D31" s="45" t="s">
        <v>769</v>
      </c>
      <c r="E31" s="45" t="s">
        <v>769</v>
      </c>
      <c r="F31" s="45">
        <v>4523</v>
      </c>
    </row>
    <row r="32" spans="1:6">
      <c r="A32" s="45">
        <f t="array" ref="A32">IFERROR(INDEX(baseline!$A$3:$A$201,MATCH($B32&amp;$C32,baseline!$C$3:$C$201&amp;baseline!$D$3:$D$201,0)),"NA")</f>
        <v>30</v>
      </c>
      <c r="B32" s="45" t="s">
        <v>0</v>
      </c>
      <c r="C32" s="45" t="s">
        <v>546</v>
      </c>
      <c r="D32" s="45" t="s">
        <v>769</v>
      </c>
      <c r="E32" s="45" t="s">
        <v>769</v>
      </c>
      <c r="F32" s="45">
        <v>4523</v>
      </c>
    </row>
    <row r="33" spans="1:6">
      <c r="A33" s="45" t="str">
        <f t="array" ref="A33">IFERROR(INDEX(baseline!$A$3:$A$201,MATCH($B33&amp;$C33,baseline!$C$3:$C$201&amp;baseline!$D$3:$D$201,0)),"NA")</f>
        <v>NA</v>
      </c>
      <c r="B33" s="45" t="s">
        <v>78</v>
      </c>
      <c r="C33" s="45" t="s">
        <v>13</v>
      </c>
      <c r="D33" s="45" t="s">
        <v>769</v>
      </c>
      <c r="E33" s="45" t="s">
        <v>769</v>
      </c>
      <c r="F33" s="45">
        <v>2261</v>
      </c>
    </row>
    <row r="34" spans="1:6">
      <c r="A34" s="45" t="str">
        <f t="array" ref="A34">IFERROR(INDEX(baseline!$A$3:$A$201,MATCH($B34&amp;$C34,baseline!$C$3:$C$201&amp;baseline!$D$3:$D$201,0)),"NA")</f>
        <v>NA</v>
      </c>
      <c r="B34" s="45" t="s">
        <v>78</v>
      </c>
      <c r="C34" s="45" t="s">
        <v>14</v>
      </c>
      <c r="D34" s="45" t="s">
        <v>769</v>
      </c>
      <c r="E34" s="45" t="s">
        <v>769</v>
      </c>
      <c r="F34" s="45">
        <v>2261</v>
      </c>
    </row>
    <row r="35" spans="1:6">
      <c r="A35" s="45">
        <f t="array" ref="A35">IFERROR(INDEX(baseline!$A$3:$A$201,MATCH($B35&amp;$C35,baseline!$C$3:$C$201&amp;baseline!$D$3:$D$201,0)),"NA")</f>
        <v>31</v>
      </c>
      <c r="B35" s="45" t="s">
        <v>78</v>
      </c>
      <c r="C35" s="45" t="s">
        <v>546</v>
      </c>
      <c r="D35" s="45" t="s">
        <v>769</v>
      </c>
      <c r="E35" s="45" t="s">
        <v>769</v>
      </c>
      <c r="F35" s="45">
        <v>2261</v>
      </c>
    </row>
    <row r="36" spans="1:6">
      <c r="A36" s="45" t="str">
        <f t="array" ref="A36">IFERROR(INDEX(baseline!$A$3:$A$201,MATCH($B36&amp;$C36,baseline!$C$3:$C$201&amp;baseline!$D$3:$D$201,0)),"NA")</f>
        <v>NA</v>
      </c>
      <c r="B36" s="45" t="s">
        <v>545</v>
      </c>
      <c r="C36" s="45" t="s">
        <v>13</v>
      </c>
      <c r="D36" s="45" t="s">
        <v>837</v>
      </c>
      <c r="E36" s="45" t="b">
        <v>1</v>
      </c>
      <c r="F36" s="45">
        <v>6784</v>
      </c>
    </row>
    <row r="37" spans="1:6">
      <c r="A37" s="45" t="str">
        <f t="array" ref="A37">IFERROR(INDEX(baseline!$A$3:$A$201,MATCH($B37&amp;$C37,baseline!$C$3:$C$201&amp;baseline!$D$3:$D$201,0)),"NA")</f>
        <v>NA</v>
      </c>
      <c r="B37" s="45" t="s">
        <v>545</v>
      </c>
      <c r="C37" s="45" t="s">
        <v>14</v>
      </c>
      <c r="D37" s="45" t="s">
        <v>837</v>
      </c>
      <c r="E37" s="45" t="b">
        <v>1</v>
      </c>
      <c r="F37" s="45">
        <v>6784</v>
      </c>
    </row>
    <row r="38" spans="1:6">
      <c r="A38" s="45">
        <f t="array" ref="A38">IFERROR(INDEX(baseline!$A$3:$A$201,MATCH($B38&amp;$C38,baseline!$C$3:$C$201&amp;baseline!$D$3:$D$201,0)),"NA")</f>
        <v>29</v>
      </c>
      <c r="B38" s="45" t="s">
        <v>761</v>
      </c>
      <c r="C38" s="45" t="s">
        <v>546</v>
      </c>
      <c r="D38" s="45" t="s">
        <v>837</v>
      </c>
      <c r="E38" s="45" t="b">
        <v>1</v>
      </c>
      <c r="F38" s="45">
        <v>3769</v>
      </c>
    </row>
    <row r="39" spans="1:6">
      <c r="A39" s="45" t="str">
        <f t="array" ref="A39">IFERROR(INDEX(baseline!$A$3:$A$201,MATCH($B39&amp;$C39,baseline!$C$3:$C$201&amp;baseline!$D$3:$D$201,0)),"NA")</f>
        <v>NA</v>
      </c>
      <c r="B39" s="45" t="s">
        <v>697</v>
      </c>
      <c r="C39" s="45" t="s">
        <v>13</v>
      </c>
      <c r="D39" s="45" t="s">
        <v>837</v>
      </c>
      <c r="E39" s="45" t="b">
        <v>1</v>
      </c>
      <c r="F39" s="45">
        <v>2261</v>
      </c>
    </row>
    <row r="40" spans="1:6">
      <c r="A40" s="45" t="str">
        <f t="array" ref="A40">IFERROR(INDEX(baseline!$A$3:$A$201,MATCH($B40&amp;$C40,baseline!$C$3:$C$201&amp;baseline!$D$3:$D$201,0)),"NA")</f>
        <v>NA</v>
      </c>
      <c r="B40" s="45" t="s">
        <v>697</v>
      </c>
      <c r="C40" s="45" t="s">
        <v>546</v>
      </c>
      <c r="D40" s="45" t="s">
        <v>837</v>
      </c>
      <c r="E40" s="45" t="b">
        <v>1</v>
      </c>
      <c r="F40" s="45">
        <v>2261</v>
      </c>
    </row>
    <row r="41" spans="1:6">
      <c r="A41" s="45" t="str">
        <f t="array" ref="A41">IFERROR(INDEX(baseline!$A$3:$A$201,MATCH($B41&amp;$C41,baseline!$C$3:$C$201&amp;baseline!$D$3:$D$201,0)),"NA")</f>
        <v>NA</v>
      </c>
      <c r="B41" s="45" t="s">
        <v>713</v>
      </c>
      <c r="C41" s="45" t="s">
        <v>546</v>
      </c>
      <c r="D41" s="45" t="s">
        <v>837</v>
      </c>
      <c r="E41" s="45" t="b">
        <v>1</v>
      </c>
      <c r="F41" s="45">
        <v>754</v>
      </c>
    </row>
    <row r="42" spans="1:6">
      <c r="A42" s="45" t="str">
        <f t="array" ref="A42">IFERROR(INDEX(baseline!$A$3:$A$201,MATCH($B42&amp;$C42,baseline!$C$3:$C$201&amp;baseline!$D$3:$D$201,0)),"NA")</f>
        <v>NA</v>
      </c>
      <c r="B42" s="45" t="s">
        <v>762</v>
      </c>
      <c r="C42" s="45" t="s">
        <v>546</v>
      </c>
      <c r="D42" s="45" t="s">
        <v>837</v>
      </c>
      <c r="E42" s="45" t="b">
        <v>1</v>
      </c>
      <c r="F42" s="45">
        <v>5276</v>
      </c>
    </row>
    <row r="43" spans="1:6">
      <c r="A43" s="45" t="str">
        <f t="array" ref="A43">IFERROR(INDEX(baseline!$A$3:$A$201,MATCH($B43&amp;$C43,baseline!$C$3:$C$201&amp;baseline!$D$3:$D$201,0)),"NA")</f>
        <v>NA</v>
      </c>
      <c r="B43" s="45" t="s">
        <v>763</v>
      </c>
      <c r="C43" s="45" t="s">
        <v>881</v>
      </c>
      <c r="D43" s="45" t="s">
        <v>837</v>
      </c>
      <c r="E43" s="45" t="b">
        <v>1</v>
      </c>
      <c r="F43" s="45">
        <v>1508</v>
      </c>
    </row>
    <row r="44" spans="1:6">
      <c r="A44" s="45" t="str">
        <f t="array" ref="A44">IFERROR(INDEX(baseline!$A$3:$A$201,MATCH($B44&amp;$C44,baseline!$C$3:$C$201&amp;baseline!$D$3:$D$201,0)),"NA")</f>
        <v>NA</v>
      </c>
      <c r="B44" s="45" t="s">
        <v>712</v>
      </c>
      <c r="C44" s="45" t="s">
        <v>881</v>
      </c>
      <c r="D44" s="45" t="s">
        <v>769</v>
      </c>
      <c r="E44" s="45" t="s">
        <v>769</v>
      </c>
      <c r="F44" s="45">
        <v>6030</v>
      </c>
    </row>
    <row r="45" spans="1:6">
      <c r="A45" s="45" t="str">
        <f t="array" ref="A45">IFERROR(INDEX(baseline!$A$3:$A$201,MATCH($B45&amp;$C45,baseline!$C$3:$C$201&amp;baseline!$D$3:$D$201,0)),"NA")</f>
        <v>NA</v>
      </c>
      <c r="B45" s="45" t="s">
        <v>712</v>
      </c>
      <c r="C45" s="45" t="s">
        <v>13</v>
      </c>
      <c r="D45" s="45" t="s">
        <v>769</v>
      </c>
      <c r="E45" s="45" t="s">
        <v>769</v>
      </c>
      <c r="F45" s="45">
        <v>6030</v>
      </c>
    </row>
    <row r="46" spans="1:6">
      <c r="A46" s="45" t="str">
        <f t="array" ref="A46">IFERROR(INDEX(baseline!$A$3:$A$201,MATCH($B46&amp;$C46,baseline!$C$3:$C$201&amp;baseline!$D$3:$D$201,0)),"NA")</f>
        <v>NA</v>
      </c>
      <c r="B46" s="45" t="s">
        <v>712</v>
      </c>
      <c r="C46" s="45" t="s">
        <v>546</v>
      </c>
      <c r="D46" s="45" t="s">
        <v>769</v>
      </c>
      <c r="E46" s="45" t="s">
        <v>769</v>
      </c>
      <c r="F46" s="45">
        <v>6030</v>
      </c>
    </row>
    <row r="47" spans="1:6">
      <c r="A47" s="45" t="str">
        <f t="array" ref="A47">IFERROR(INDEX(baseline!$A$3:$A$201,MATCH($B47&amp;$C47,baseline!$C$3:$C$201&amp;baseline!$D$3:$D$201,0)),"NA")</f>
        <v>NA</v>
      </c>
      <c r="B47" s="45" t="s">
        <v>547</v>
      </c>
      <c r="C47" s="45" t="s">
        <v>13</v>
      </c>
      <c r="D47" s="45" t="s">
        <v>837</v>
      </c>
      <c r="E47" s="45" t="b">
        <v>1</v>
      </c>
      <c r="F47" s="45">
        <v>1508</v>
      </c>
    </row>
    <row r="48" spans="1:6">
      <c r="A48" s="45" t="str">
        <f t="array" ref="A48">IFERROR(INDEX(baseline!$A$3:$A$201,MATCH($B48&amp;$C48,baseline!$C$3:$C$201&amp;baseline!$D$3:$D$201,0)),"NA")</f>
        <v>NA</v>
      </c>
      <c r="B48" s="45" t="s">
        <v>1</v>
      </c>
      <c r="C48" s="45" t="s">
        <v>13</v>
      </c>
      <c r="D48" s="45" t="s">
        <v>837</v>
      </c>
      <c r="E48" s="45" t="b">
        <v>1</v>
      </c>
      <c r="F48" s="45">
        <v>754</v>
      </c>
    </row>
    <row r="49" spans="1:6">
      <c r="A49" s="45" t="str">
        <f t="array" ref="A49">IFERROR(INDEX(baseline!$A$3:$A$201,MATCH($B49&amp;$C49,baseline!$C$3:$C$201&amp;baseline!$D$3:$D$201,0)),"NA")</f>
        <v>NA</v>
      </c>
      <c r="B49" s="45" t="s">
        <v>1</v>
      </c>
      <c r="C49" s="45" t="s">
        <v>546</v>
      </c>
      <c r="D49" s="45" t="s">
        <v>837</v>
      </c>
      <c r="E49" s="45" t="b">
        <v>1</v>
      </c>
      <c r="F49" s="45">
        <v>754</v>
      </c>
    </row>
  </sheetData>
  <sortState ref="A2:F49">
    <sortCondition ref="A2:A49"/>
    <sortCondition ref="B2:B49"/>
    <sortCondition ref="C2:C49"/>
    <sortCondition ref="D2:D49"/>
  </sortState>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sheetPr>
    <tabColor rgb="FF00B050"/>
  </sheetPr>
  <dimension ref="A1:J145"/>
  <sheetViews>
    <sheetView topLeftCell="B107" zoomScaleNormal="100" workbookViewId="0">
      <selection activeCell="G131" sqref="G131:H131"/>
    </sheetView>
  </sheetViews>
  <sheetFormatPr defaultColWidth="9.109375" defaultRowHeight="14.4"/>
  <cols>
    <col min="1" max="1" width="9.109375" style="144"/>
    <col min="2" max="2" width="23.44140625" style="144" bestFit="1" customWidth="1"/>
    <col min="3" max="3" width="13.6640625" style="144" bestFit="1" customWidth="1"/>
    <col min="4" max="4" width="18.33203125" style="144" bestFit="1" customWidth="1"/>
    <col min="5" max="5" width="16.6640625" style="144" bestFit="1" customWidth="1"/>
    <col min="6" max="6" width="14" style="144" bestFit="1" customWidth="1"/>
    <col min="7" max="7" width="25.33203125" style="144" bestFit="1" customWidth="1"/>
    <col min="8" max="8" width="18.6640625" style="144" bestFit="1" customWidth="1"/>
    <col min="9" max="9" width="16.33203125" style="144" bestFit="1" customWidth="1"/>
    <col min="10" max="10" width="17" style="144" bestFit="1" customWidth="1"/>
    <col min="11" max="16384" width="9.109375" style="144"/>
  </cols>
  <sheetData>
    <row r="1" spans="1:10" ht="15.6">
      <c r="A1" s="144" t="s">
        <v>920</v>
      </c>
      <c r="B1" s="141" t="s">
        <v>766</v>
      </c>
      <c r="C1" s="142" t="s">
        <v>748</v>
      </c>
      <c r="D1" s="144" t="s">
        <v>774</v>
      </c>
      <c r="E1" s="144" t="s">
        <v>897</v>
      </c>
      <c r="F1" s="145" t="s">
        <v>727</v>
      </c>
      <c r="G1" s="144" t="s">
        <v>904</v>
      </c>
      <c r="H1" s="143" t="s">
        <v>891</v>
      </c>
      <c r="I1" s="145" t="s">
        <v>858</v>
      </c>
      <c r="J1" s="144" t="s">
        <v>899</v>
      </c>
    </row>
    <row r="2" spans="1:10">
      <c r="A2" s="45">
        <f t="array" ref="A2">IFERROR(INDEX(baseline!$A$3:$A$201,MATCH($B2&amp;$C2,baseline!$C$3:$C$201&amp;baseline!$D$3:$D$201,0)),"NA")</f>
        <v>1</v>
      </c>
      <c r="B2" s="144" t="s">
        <v>0</v>
      </c>
      <c r="C2" s="144" t="s">
        <v>881</v>
      </c>
      <c r="D2" s="144" t="s">
        <v>833</v>
      </c>
      <c r="E2" s="144" t="s">
        <v>898</v>
      </c>
      <c r="F2" s="144" t="s">
        <v>769</v>
      </c>
      <c r="G2" s="144" t="s">
        <v>769</v>
      </c>
      <c r="H2" s="144" t="s">
        <v>769</v>
      </c>
      <c r="I2" s="144" t="s">
        <v>769</v>
      </c>
      <c r="J2" s="144">
        <v>3120</v>
      </c>
    </row>
    <row r="3" spans="1:10">
      <c r="A3" s="45">
        <f t="array" ref="A3">IFERROR(INDEX(baseline!$A$3:$A$201,MATCH($B3&amp;$C3,baseline!$C$3:$C$201&amp;baseline!$D$3:$D$201,0)),"NA")</f>
        <v>2</v>
      </c>
      <c r="B3" s="144" t="s">
        <v>78</v>
      </c>
      <c r="C3" s="144" t="s">
        <v>881</v>
      </c>
      <c r="D3" s="144" t="s">
        <v>833</v>
      </c>
      <c r="E3" s="144" t="s">
        <v>898</v>
      </c>
      <c r="F3" s="144" t="s">
        <v>769</v>
      </c>
      <c r="G3" s="144" t="s">
        <v>769</v>
      </c>
      <c r="H3" s="144" t="s">
        <v>769</v>
      </c>
      <c r="I3" s="144" t="s">
        <v>769</v>
      </c>
      <c r="J3" s="144">
        <v>1088</v>
      </c>
    </row>
    <row r="4" spans="1:10">
      <c r="A4" s="45">
        <f t="array" ref="A4">IFERROR(INDEX(baseline!$A$3:$A$201,MATCH($B4&amp;$C4,baseline!$C$3:$C$201&amp;baseline!$D$3:$D$201,0)),"NA")</f>
        <v>3</v>
      </c>
      <c r="B4" s="144" t="s">
        <v>545</v>
      </c>
      <c r="C4" s="144" t="s">
        <v>881</v>
      </c>
      <c r="D4" s="144" t="s">
        <v>833</v>
      </c>
      <c r="E4" s="144" t="s">
        <v>898</v>
      </c>
      <c r="F4" s="144" t="s">
        <v>769</v>
      </c>
      <c r="G4" s="144" t="s">
        <v>769</v>
      </c>
      <c r="H4" s="144" t="s">
        <v>769</v>
      </c>
      <c r="I4" s="144" t="s">
        <v>769</v>
      </c>
      <c r="J4" s="144">
        <v>4160</v>
      </c>
    </row>
    <row r="5" spans="1:10">
      <c r="A5" s="45">
        <f t="array" ref="A5">IFERROR(INDEX(baseline!$A$3:$A$201,MATCH($B5&amp;$C5,baseline!$C$3:$C$201&amp;baseline!$D$3:$D$201,0)),"NA")</f>
        <v>4</v>
      </c>
      <c r="B5" s="144" t="s">
        <v>545</v>
      </c>
      <c r="C5" s="144" t="s">
        <v>546</v>
      </c>
      <c r="D5" s="144" t="s">
        <v>833</v>
      </c>
      <c r="E5" s="144" t="s">
        <v>898</v>
      </c>
      <c r="F5" s="144" t="s">
        <v>769</v>
      </c>
      <c r="G5" s="144" t="s">
        <v>769</v>
      </c>
      <c r="H5" s="144" t="s">
        <v>769</v>
      </c>
      <c r="I5" s="144" t="s">
        <v>769</v>
      </c>
      <c r="J5" s="144">
        <v>4160</v>
      </c>
    </row>
    <row r="6" spans="1:10">
      <c r="A6" s="45">
        <f t="array" ref="A6">IFERROR(INDEX(baseline!$A$3:$A$201,MATCH($B6&amp;$C6,baseline!$C$3:$C$201&amp;baseline!$D$3:$D$201,0)),"NA")</f>
        <v>5</v>
      </c>
      <c r="B6" s="144" t="s">
        <v>761</v>
      </c>
      <c r="C6" s="144" t="s">
        <v>881</v>
      </c>
      <c r="D6" s="144" t="s">
        <v>833</v>
      </c>
      <c r="E6" s="144" t="s">
        <v>898</v>
      </c>
      <c r="F6" s="144" t="s">
        <v>769</v>
      </c>
      <c r="G6" s="144" t="s">
        <v>769</v>
      </c>
      <c r="H6" s="144" t="s">
        <v>769</v>
      </c>
      <c r="I6" s="144" t="s">
        <v>769</v>
      </c>
      <c r="J6" s="144">
        <v>2255</v>
      </c>
    </row>
    <row r="7" spans="1:10">
      <c r="A7" s="45">
        <f t="array" ref="A7">IFERROR(INDEX(baseline!$A$3:$A$201,MATCH($B7&amp;$C7,baseline!$C$3:$C$201&amp;baseline!$D$3:$D$201,0)),"NA")</f>
        <v>6</v>
      </c>
      <c r="B7" s="144" t="s">
        <v>761</v>
      </c>
      <c r="C7" s="144" t="s">
        <v>13</v>
      </c>
      <c r="D7" s="144" t="s">
        <v>833</v>
      </c>
      <c r="E7" s="144" t="s">
        <v>898</v>
      </c>
      <c r="F7" s="144" t="s">
        <v>769</v>
      </c>
      <c r="G7" s="144" t="s">
        <v>769</v>
      </c>
      <c r="H7" s="144" t="s">
        <v>769</v>
      </c>
      <c r="I7" s="144" t="s">
        <v>769</v>
      </c>
      <c r="J7" s="144">
        <v>2255</v>
      </c>
    </row>
    <row r="8" spans="1:10">
      <c r="A8" s="45">
        <f t="array" ref="A8">IFERROR(INDEX(baseline!$A$3:$A$201,MATCH($B8&amp;$C8,baseline!$C$3:$C$201&amp;baseline!$D$3:$D$201,0)),"NA")</f>
        <v>7</v>
      </c>
      <c r="B8" s="144" t="s">
        <v>761</v>
      </c>
      <c r="C8" s="144" t="s">
        <v>14</v>
      </c>
      <c r="D8" s="144" t="s">
        <v>833</v>
      </c>
      <c r="E8" s="144" t="s">
        <v>898</v>
      </c>
      <c r="F8" s="144" t="s">
        <v>769</v>
      </c>
      <c r="G8" s="144" t="s">
        <v>769</v>
      </c>
      <c r="H8" s="144" t="s">
        <v>769</v>
      </c>
      <c r="I8" s="144" t="s">
        <v>769</v>
      </c>
      <c r="J8" s="144">
        <v>2255</v>
      </c>
    </row>
    <row r="9" spans="1:10">
      <c r="A9" s="45">
        <f t="array" ref="A9">IFERROR(INDEX(baseline!$A$3:$A$201,MATCH($B9&amp;$C9,baseline!$C$3:$C$201&amp;baseline!$D$3:$D$201,0)),"NA")</f>
        <v>8</v>
      </c>
      <c r="B9" s="144" t="s">
        <v>697</v>
      </c>
      <c r="C9" s="144" t="s">
        <v>881</v>
      </c>
      <c r="D9" s="144" t="s">
        <v>833</v>
      </c>
      <c r="E9" s="144" t="s">
        <v>898</v>
      </c>
      <c r="F9" s="144" t="s">
        <v>769</v>
      </c>
      <c r="G9" s="144" t="s">
        <v>769</v>
      </c>
      <c r="H9" s="144" t="s">
        <v>769</v>
      </c>
      <c r="I9" s="144" t="s">
        <v>769</v>
      </c>
      <c r="J9" s="144">
        <v>1215</v>
      </c>
    </row>
    <row r="10" spans="1:10">
      <c r="A10" s="45">
        <f t="array" ref="A10">IFERROR(INDEX(baseline!$A$3:$A$201,MATCH($B10&amp;$C10,baseline!$C$3:$C$201&amp;baseline!$D$3:$D$201,0)),"NA")</f>
        <v>9</v>
      </c>
      <c r="B10" s="144" t="s">
        <v>697</v>
      </c>
      <c r="C10" s="144" t="s">
        <v>14</v>
      </c>
      <c r="D10" s="144" t="s">
        <v>833</v>
      </c>
      <c r="E10" s="144" t="s">
        <v>898</v>
      </c>
      <c r="F10" s="144" t="s">
        <v>769</v>
      </c>
      <c r="G10" s="144" t="s">
        <v>769</v>
      </c>
      <c r="H10" s="144" t="s">
        <v>769</v>
      </c>
      <c r="I10" s="144" t="s">
        <v>769</v>
      </c>
      <c r="J10" s="144">
        <v>1215</v>
      </c>
    </row>
    <row r="11" spans="1:10">
      <c r="A11" s="45">
        <f t="array" ref="A11">IFERROR(INDEX(baseline!$A$3:$A$201,MATCH($B11&amp;$C11,baseline!$C$3:$C$201&amp;baseline!$D$3:$D$201,0)),"NA")</f>
        <v>10</v>
      </c>
      <c r="B11" s="144" t="s">
        <v>713</v>
      </c>
      <c r="C11" s="144" t="s">
        <v>881</v>
      </c>
      <c r="D11" s="144" t="s">
        <v>833</v>
      </c>
      <c r="E11" s="144" t="s">
        <v>898</v>
      </c>
      <c r="F11" s="144" t="s">
        <v>769</v>
      </c>
      <c r="G11" s="144" t="s">
        <v>769</v>
      </c>
      <c r="H11" s="144" t="s">
        <v>769</v>
      </c>
      <c r="I11" s="144" t="s">
        <v>769</v>
      </c>
      <c r="J11" s="144">
        <v>2707</v>
      </c>
    </row>
    <row r="12" spans="1:10">
      <c r="A12" s="45">
        <f t="array" ref="A12">IFERROR(INDEX(baseline!$A$3:$A$201,MATCH($B12&amp;$C12,baseline!$C$3:$C$201&amp;baseline!$D$3:$D$201,0)),"NA")</f>
        <v>11</v>
      </c>
      <c r="B12" s="144" t="s">
        <v>713</v>
      </c>
      <c r="C12" s="144" t="s">
        <v>13</v>
      </c>
      <c r="D12" s="144" t="s">
        <v>833</v>
      </c>
      <c r="E12" s="144" t="s">
        <v>898</v>
      </c>
      <c r="F12" s="144" t="s">
        <v>769</v>
      </c>
      <c r="G12" s="144" t="s">
        <v>769</v>
      </c>
      <c r="H12" s="144" t="s">
        <v>769</v>
      </c>
      <c r="I12" s="144" t="s">
        <v>769</v>
      </c>
      <c r="J12" s="144">
        <v>2707</v>
      </c>
    </row>
    <row r="13" spans="1:10">
      <c r="A13" s="45">
        <f t="array" ref="A13">IFERROR(INDEX(baseline!$A$3:$A$201,MATCH($B13&amp;$C13,baseline!$C$3:$C$201&amp;baseline!$D$3:$D$201,0)),"NA")</f>
        <v>12</v>
      </c>
      <c r="B13" s="144" t="s">
        <v>713</v>
      </c>
      <c r="C13" s="144" t="s">
        <v>14</v>
      </c>
      <c r="D13" s="144" t="s">
        <v>833</v>
      </c>
      <c r="E13" s="144" t="s">
        <v>898</v>
      </c>
      <c r="F13" s="144" t="s">
        <v>769</v>
      </c>
      <c r="G13" s="144" t="s">
        <v>769</v>
      </c>
      <c r="H13" s="144" t="s">
        <v>769</v>
      </c>
      <c r="I13" s="144" t="s">
        <v>769</v>
      </c>
      <c r="J13" s="144">
        <v>2707</v>
      </c>
    </row>
    <row r="14" spans="1:10">
      <c r="A14" s="45">
        <f t="array" ref="A14">IFERROR(INDEX(baseline!$A$3:$A$201,MATCH($B14&amp;$C14,baseline!$C$3:$C$201&amp;baseline!$D$3:$D$201,0)),"NA")</f>
        <v>13</v>
      </c>
      <c r="B14" s="144" t="s">
        <v>762</v>
      </c>
      <c r="C14" s="144" t="s">
        <v>881</v>
      </c>
      <c r="D14" s="144" t="s">
        <v>833</v>
      </c>
      <c r="E14" s="144" t="s">
        <v>898</v>
      </c>
      <c r="F14" s="144" t="s">
        <v>769</v>
      </c>
      <c r="G14" s="144" t="s">
        <v>769</v>
      </c>
      <c r="H14" s="144" t="s">
        <v>769</v>
      </c>
      <c r="I14" s="144" t="s">
        <v>769</v>
      </c>
      <c r="J14" s="144">
        <v>5200</v>
      </c>
    </row>
    <row r="15" spans="1:10">
      <c r="A15" s="45">
        <f t="array" ref="A15">IFERROR(INDEX(baseline!$A$3:$A$201,MATCH($B15&amp;$C15,baseline!$C$3:$C$201&amp;baseline!$D$3:$D$201,0)),"NA")</f>
        <v>14</v>
      </c>
      <c r="B15" s="144" t="s">
        <v>762</v>
      </c>
      <c r="C15" s="144" t="s">
        <v>13</v>
      </c>
      <c r="D15" s="144" t="s">
        <v>833</v>
      </c>
      <c r="E15" s="144" t="s">
        <v>898</v>
      </c>
      <c r="F15" s="144" t="s">
        <v>769</v>
      </c>
      <c r="G15" s="144" t="s">
        <v>769</v>
      </c>
      <c r="H15" s="144" t="s">
        <v>769</v>
      </c>
      <c r="I15" s="144" t="s">
        <v>769</v>
      </c>
      <c r="J15" s="144">
        <v>5200</v>
      </c>
    </row>
    <row r="16" spans="1:10">
      <c r="A16" s="45">
        <f t="array" ref="A16">IFERROR(INDEX(baseline!$A$3:$A$201,MATCH($B16&amp;$C16,baseline!$C$3:$C$201&amp;baseline!$D$3:$D$201,0)),"NA")</f>
        <v>15</v>
      </c>
      <c r="B16" s="144" t="s">
        <v>762</v>
      </c>
      <c r="C16" s="144" t="s">
        <v>14</v>
      </c>
      <c r="D16" s="144" t="s">
        <v>833</v>
      </c>
      <c r="E16" s="144" t="s">
        <v>898</v>
      </c>
      <c r="F16" s="144" t="s">
        <v>769</v>
      </c>
      <c r="G16" s="144" t="s">
        <v>769</v>
      </c>
      <c r="H16" s="144" t="s">
        <v>769</v>
      </c>
      <c r="I16" s="144" t="s">
        <v>769</v>
      </c>
      <c r="J16" s="144">
        <v>5200</v>
      </c>
    </row>
    <row r="17" spans="1:10">
      <c r="A17" s="45">
        <f t="array" ref="A17">IFERROR(INDEX(baseline!$A$3:$A$201,MATCH($B17&amp;$C17,baseline!$C$3:$C$201&amp;baseline!$D$3:$D$201,0)),"NA")</f>
        <v>16</v>
      </c>
      <c r="B17" s="144" t="s">
        <v>763</v>
      </c>
      <c r="C17" s="144" t="s">
        <v>13</v>
      </c>
      <c r="D17" s="144" t="s">
        <v>833</v>
      </c>
      <c r="E17" s="144" t="s">
        <v>898</v>
      </c>
      <c r="F17" s="144" t="s">
        <v>769</v>
      </c>
      <c r="G17" s="144" t="s">
        <v>769</v>
      </c>
      <c r="H17" s="144" t="s">
        <v>769</v>
      </c>
      <c r="I17" s="144" t="s">
        <v>769</v>
      </c>
      <c r="J17" s="144">
        <v>4160</v>
      </c>
    </row>
    <row r="18" spans="1:10">
      <c r="A18" s="45">
        <f t="array" ref="A18">IFERROR(INDEX(baseline!$A$3:$A$201,MATCH($B18&amp;$C18,baseline!$C$3:$C$201&amp;baseline!$D$3:$D$201,0)),"NA")</f>
        <v>17</v>
      </c>
      <c r="B18" s="144" t="s">
        <v>763</v>
      </c>
      <c r="C18" s="144" t="s">
        <v>14</v>
      </c>
      <c r="D18" s="144" t="s">
        <v>833</v>
      </c>
      <c r="E18" s="144" t="s">
        <v>898</v>
      </c>
      <c r="F18" s="144" t="s">
        <v>769</v>
      </c>
      <c r="G18" s="144" t="s">
        <v>769</v>
      </c>
      <c r="H18" s="144" t="s">
        <v>769</v>
      </c>
      <c r="I18" s="144" t="s">
        <v>769</v>
      </c>
      <c r="J18" s="144">
        <v>4160</v>
      </c>
    </row>
    <row r="19" spans="1:10">
      <c r="A19" s="45">
        <f t="array" ref="A19">IFERROR(INDEX(baseline!$A$3:$A$201,MATCH($B19&amp;$C19,baseline!$C$3:$C$201&amp;baseline!$D$3:$D$201,0)),"NA")</f>
        <v>18</v>
      </c>
      <c r="B19" s="144" t="s">
        <v>763</v>
      </c>
      <c r="C19" s="144" t="s">
        <v>546</v>
      </c>
      <c r="D19" s="144" t="s">
        <v>833</v>
      </c>
      <c r="E19" s="144" t="s">
        <v>898</v>
      </c>
      <c r="F19" s="144" t="s">
        <v>769</v>
      </c>
      <c r="G19" s="144" t="s">
        <v>769</v>
      </c>
      <c r="H19" s="144" t="s">
        <v>769</v>
      </c>
      <c r="I19" s="144" t="s">
        <v>769</v>
      </c>
      <c r="J19" s="144">
        <v>4160</v>
      </c>
    </row>
    <row r="20" spans="1:10">
      <c r="A20" s="45">
        <f t="array" ref="A20">IFERROR(INDEX(baseline!$A$3:$A$201,MATCH($B20&amp;$C20,baseline!$C$3:$C$201&amp;baseline!$D$3:$D$201,0)),"NA")</f>
        <v>19</v>
      </c>
      <c r="B20" s="144" t="s">
        <v>712</v>
      </c>
      <c r="C20" s="144" t="s">
        <v>14</v>
      </c>
      <c r="D20" s="144" t="s">
        <v>833</v>
      </c>
      <c r="E20" s="144" t="s">
        <v>898</v>
      </c>
      <c r="F20" s="144" t="s">
        <v>769</v>
      </c>
      <c r="G20" s="144" t="s">
        <v>769</v>
      </c>
      <c r="H20" s="144" t="s">
        <v>769</v>
      </c>
      <c r="I20" s="144" t="s">
        <v>769</v>
      </c>
      <c r="J20" s="144">
        <v>11913</v>
      </c>
    </row>
    <row r="21" spans="1:10">
      <c r="A21" s="45">
        <f t="array" ref="A21">IFERROR(INDEX(baseline!$A$3:$A$201,MATCH($B21&amp;$C21,baseline!$C$3:$C$201&amp;baseline!$D$3:$D$201,0)),"NA")</f>
        <v>24</v>
      </c>
      <c r="B21" s="144" t="s">
        <v>547</v>
      </c>
      <c r="C21" s="144" t="s">
        <v>881</v>
      </c>
      <c r="D21" s="144" t="s">
        <v>833</v>
      </c>
      <c r="E21" s="144" t="s">
        <v>769</v>
      </c>
      <c r="F21" s="144" t="s">
        <v>769</v>
      </c>
      <c r="G21" s="144" t="s">
        <v>769</v>
      </c>
      <c r="H21" s="144" t="s">
        <v>769</v>
      </c>
      <c r="I21" s="144" t="s">
        <v>769</v>
      </c>
      <c r="J21" s="144">
        <v>7564</v>
      </c>
    </row>
    <row r="22" spans="1:10">
      <c r="A22" s="45">
        <f t="array" ref="A22">IFERROR(INDEX(baseline!$A$3:$A$201,MATCH($B22&amp;$C22,baseline!$C$3:$C$201&amp;baseline!$D$3:$D$201,0)),"NA")</f>
        <v>25</v>
      </c>
      <c r="B22" s="144" t="s">
        <v>547</v>
      </c>
      <c r="C22" s="144" t="s">
        <v>14</v>
      </c>
      <c r="D22" s="144" t="s">
        <v>833</v>
      </c>
      <c r="E22" s="144" t="s">
        <v>898</v>
      </c>
      <c r="F22" s="144" t="s">
        <v>769</v>
      </c>
      <c r="G22" s="144" t="s">
        <v>769</v>
      </c>
      <c r="H22" s="144" t="s">
        <v>769</v>
      </c>
      <c r="I22" s="144" t="s">
        <v>769</v>
      </c>
      <c r="J22" s="144">
        <v>7564</v>
      </c>
    </row>
    <row r="23" spans="1:10">
      <c r="A23" s="45">
        <f t="array" ref="A23">IFERROR(INDEX(baseline!$A$3:$A$201,MATCH($B23&amp;$C23,baseline!$C$3:$C$201&amp;baseline!$D$3:$D$201,0)),"NA")</f>
        <v>26</v>
      </c>
      <c r="B23" s="144" t="s">
        <v>547</v>
      </c>
      <c r="C23" s="144" t="s">
        <v>546</v>
      </c>
      <c r="D23" s="144" t="s">
        <v>833</v>
      </c>
      <c r="E23" s="144" t="s">
        <v>898</v>
      </c>
      <c r="F23" s="144" t="s">
        <v>769</v>
      </c>
      <c r="G23" s="144" t="s">
        <v>769</v>
      </c>
      <c r="H23" s="144" t="s">
        <v>769</v>
      </c>
      <c r="I23" s="144" t="s">
        <v>769</v>
      </c>
      <c r="J23" s="144">
        <v>7564</v>
      </c>
    </row>
    <row r="24" spans="1:10">
      <c r="A24" s="45">
        <f t="array" ref="A24">IFERROR(INDEX(baseline!$A$3:$A$201,MATCH($B24&amp;$C24,baseline!$C$3:$C$201&amp;baseline!$D$3:$D$201,0)),"NA")</f>
        <v>27</v>
      </c>
      <c r="B24" s="144" t="s">
        <v>1</v>
      </c>
      <c r="C24" s="144" t="s">
        <v>881</v>
      </c>
      <c r="D24" s="144" t="s">
        <v>833</v>
      </c>
      <c r="E24" s="144" t="s">
        <v>898</v>
      </c>
      <c r="F24" s="144" t="s">
        <v>769</v>
      </c>
      <c r="G24" s="144" t="s">
        <v>769</v>
      </c>
      <c r="H24" s="144" t="s">
        <v>769</v>
      </c>
      <c r="I24" s="144" t="s">
        <v>769</v>
      </c>
      <c r="J24" s="144">
        <v>3120</v>
      </c>
    </row>
    <row r="25" spans="1:10">
      <c r="A25" s="45">
        <f t="array" ref="A25">IFERROR(INDEX(baseline!$A$3:$A$201,MATCH($B25&amp;$C25,baseline!$C$3:$C$201&amp;baseline!$D$3:$D$201,0)),"NA")</f>
        <v>28</v>
      </c>
      <c r="B25" s="144" t="s">
        <v>1</v>
      </c>
      <c r="C25" s="144" t="s">
        <v>14</v>
      </c>
      <c r="D25" s="144" t="s">
        <v>833</v>
      </c>
      <c r="E25" s="144" t="s">
        <v>898</v>
      </c>
      <c r="F25" s="144" t="s">
        <v>769</v>
      </c>
      <c r="G25" s="144" t="s">
        <v>769</v>
      </c>
      <c r="H25" s="144" t="s">
        <v>769</v>
      </c>
      <c r="I25" s="144" t="s">
        <v>769</v>
      </c>
      <c r="J25" s="144">
        <v>3120</v>
      </c>
    </row>
    <row r="26" spans="1:10">
      <c r="A26" s="45" t="str">
        <f t="array" ref="A26">IFERROR(INDEX(baseline!$A$3:$A$201,MATCH($B26&amp;$C26,baseline!$C$3:$C$201&amp;baseline!$D$3:$D$201,0)),"NA")</f>
        <v>NA</v>
      </c>
      <c r="B26" s="144" t="s">
        <v>0</v>
      </c>
      <c r="C26" s="144" t="s">
        <v>13</v>
      </c>
      <c r="D26" s="144" t="s">
        <v>833</v>
      </c>
      <c r="E26" s="144" t="s">
        <v>898</v>
      </c>
      <c r="F26" s="144" t="s">
        <v>769</v>
      </c>
      <c r="G26" s="144" t="s">
        <v>769</v>
      </c>
      <c r="H26" s="144" t="s">
        <v>769</v>
      </c>
      <c r="I26" s="144" t="s">
        <v>769</v>
      </c>
      <c r="J26" s="144">
        <v>3120</v>
      </c>
    </row>
    <row r="27" spans="1:10">
      <c r="A27" s="45" t="str">
        <f t="array" ref="A27">IFERROR(INDEX(baseline!$A$3:$A$201,MATCH($B27&amp;$C27,baseline!$C$3:$C$201&amp;baseline!$D$3:$D$201,0)),"NA")</f>
        <v>NA</v>
      </c>
      <c r="B27" s="144" t="s">
        <v>0</v>
      </c>
      <c r="C27" s="144" t="s">
        <v>14</v>
      </c>
      <c r="D27" s="144" t="s">
        <v>833</v>
      </c>
      <c r="E27" s="144" t="s">
        <v>898</v>
      </c>
      <c r="F27" s="144" t="s">
        <v>769</v>
      </c>
      <c r="G27" s="144" t="s">
        <v>769</v>
      </c>
      <c r="H27" s="144" t="s">
        <v>769</v>
      </c>
      <c r="I27" s="144" t="s">
        <v>769</v>
      </c>
      <c r="J27" s="144">
        <v>3120</v>
      </c>
    </row>
    <row r="28" spans="1:10">
      <c r="A28" s="45">
        <f t="array" ref="A28">IFERROR(INDEX(baseline!$A$3:$A$201,MATCH($B28&amp;$C28,baseline!$C$3:$C$201&amp;baseline!$D$3:$D$201,0)),"NA")</f>
        <v>30</v>
      </c>
      <c r="B28" s="144" t="s">
        <v>0</v>
      </c>
      <c r="C28" s="144" t="s">
        <v>546</v>
      </c>
      <c r="D28" s="144" t="s">
        <v>833</v>
      </c>
      <c r="E28" s="144" t="s">
        <v>898</v>
      </c>
      <c r="F28" s="144" t="s">
        <v>769</v>
      </c>
      <c r="G28" s="144" t="s">
        <v>769</v>
      </c>
      <c r="H28" s="144" t="s">
        <v>769</v>
      </c>
      <c r="I28" s="144" t="s">
        <v>769</v>
      </c>
      <c r="J28" s="144">
        <v>3120</v>
      </c>
    </row>
    <row r="29" spans="1:10">
      <c r="A29" s="45" t="str">
        <f t="array" ref="A29">IFERROR(INDEX(baseline!$A$3:$A$201,MATCH($B29&amp;$C29,baseline!$C$3:$C$201&amp;baseline!$D$3:$D$201,0)),"NA")</f>
        <v>NA</v>
      </c>
      <c r="B29" s="144" t="s">
        <v>78</v>
      </c>
      <c r="C29" s="144" t="s">
        <v>13</v>
      </c>
      <c r="D29" s="144" t="s">
        <v>833</v>
      </c>
      <c r="E29" s="144" t="s">
        <v>898</v>
      </c>
      <c r="F29" s="144" t="s">
        <v>769</v>
      </c>
      <c r="G29" s="144" t="s">
        <v>769</v>
      </c>
      <c r="H29" s="144" t="s">
        <v>769</v>
      </c>
      <c r="I29" s="144" t="s">
        <v>769</v>
      </c>
      <c r="J29" s="144">
        <v>1088</v>
      </c>
    </row>
    <row r="30" spans="1:10">
      <c r="A30" s="45" t="str">
        <f t="array" ref="A30">IFERROR(INDEX(baseline!$A$3:$A$201,MATCH($B30&amp;$C30,baseline!$C$3:$C$201&amp;baseline!$D$3:$D$201,0)),"NA")</f>
        <v>NA</v>
      </c>
      <c r="B30" s="144" t="s">
        <v>78</v>
      </c>
      <c r="C30" s="144" t="s">
        <v>14</v>
      </c>
      <c r="D30" s="144" t="s">
        <v>833</v>
      </c>
      <c r="E30" s="144" t="s">
        <v>898</v>
      </c>
      <c r="F30" s="144" t="s">
        <v>769</v>
      </c>
      <c r="G30" s="144" t="s">
        <v>769</v>
      </c>
      <c r="H30" s="144" t="s">
        <v>769</v>
      </c>
      <c r="I30" s="144" t="s">
        <v>769</v>
      </c>
      <c r="J30" s="144">
        <v>1088</v>
      </c>
    </row>
    <row r="31" spans="1:10">
      <c r="A31" s="45">
        <f t="array" ref="A31">IFERROR(INDEX(baseline!$A$3:$A$201,MATCH($B31&amp;$C31,baseline!$C$3:$C$201&amp;baseline!$D$3:$D$201,0)),"NA")</f>
        <v>31</v>
      </c>
      <c r="B31" s="144" t="s">
        <v>78</v>
      </c>
      <c r="C31" s="144" t="s">
        <v>546</v>
      </c>
      <c r="D31" s="144" t="s">
        <v>833</v>
      </c>
      <c r="E31" s="144" t="s">
        <v>898</v>
      </c>
      <c r="F31" s="144" t="s">
        <v>769</v>
      </c>
      <c r="G31" s="144" t="s">
        <v>769</v>
      </c>
      <c r="H31" s="144" t="s">
        <v>769</v>
      </c>
      <c r="I31" s="144" t="s">
        <v>769</v>
      </c>
      <c r="J31" s="144">
        <v>1088</v>
      </c>
    </row>
    <row r="32" spans="1:10">
      <c r="A32" s="45" t="str">
        <f t="array" ref="A32">IFERROR(INDEX(baseline!$A$3:$A$201,MATCH($B32&amp;$C32,baseline!$C$3:$C$201&amp;baseline!$D$3:$D$201,0)),"NA")</f>
        <v>NA</v>
      </c>
      <c r="B32" s="144" t="s">
        <v>545</v>
      </c>
      <c r="C32" s="144" t="s">
        <v>13</v>
      </c>
      <c r="D32" s="144" t="s">
        <v>833</v>
      </c>
      <c r="E32" s="144" t="s">
        <v>898</v>
      </c>
      <c r="F32" s="144" t="s">
        <v>769</v>
      </c>
      <c r="G32" s="144" t="s">
        <v>769</v>
      </c>
      <c r="H32" s="144" t="s">
        <v>769</v>
      </c>
      <c r="I32" s="144" t="s">
        <v>769</v>
      </c>
      <c r="J32" s="144">
        <v>4160</v>
      </c>
    </row>
    <row r="33" spans="1:10">
      <c r="A33" s="45" t="str">
        <f t="array" ref="A33">IFERROR(INDEX(baseline!$A$3:$A$201,MATCH($B33&amp;$C33,baseline!$C$3:$C$201&amp;baseline!$D$3:$D$201,0)),"NA")</f>
        <v>NA</v>
      </c>
      <c r="B33" s="144" t="s">
        <v>545</v>
      </c>
      <c r="C33" s="144" t="s">
        <v>14</v>
      </c>
      <c r="D33" s="144" t="s">
        <v>833</v>
      </c>
      <c r="E33" s="144" t="s">
        <v>898</v>
      </c>
      <c r="F33" s="144" t="s">
        <v>769</v>
      </c>
      <c r="G33" s="144" t="s">
        <v>769</v>
      </c>
      <c r="H33" s="144" t="s">
        <v>769</v>
      </c>
      <c r="I33" s="144" t="s">
        <v>769</v>
      </c>
      <c r="J33" s="144">
        <v>4160</v>
      </c>
    </row>
    <row r="34" spans="1:10">
      <c r="A34" s="45">
        <f t="array" ref="A34">IFERROR(INDEX(baseline!$A$3:$A$201,MATCH($B34&amp;$C34,baseline!$C$3:$C$201&amp;baseline!$D$3:$D$201,0)),"NA")</f>
        <v>29</v>
      </c>
      <c r="B34" s="144" t="s">
        <v>761</v>
      </c>
      <c r="C34" s="144" t="s">
        <v>546</v>
      </c>
      <c r="D34" s="144" t="s">
        <v>833</v>
      </c>
      <c r="E34" s="144" t="s">
        <v>898</v>
      </c>
      <c r="F34" s="144" t="s">
        <v>769</v>
      </c>
      <c r="G34" s="144" t="s">
        <v>769</v>
      </c>
      <c r="H34" s="144" t="s">
        <v>769</v>
      </c>
      <c r="I34" s="144" t="s">
        <v>769</v>
      </c>
      <c r="J34" s="144">
        <v>2255</v>
      </c>
    </row>
    <row r="35" spans="1:10">
      <c r="A35" s="45" t="str">
        <f t="array" ref="A35">IFERROR(INDEX(baseline!$A$3:$A$201,MATCH($B35&amp;$C35,baseline!$C$3:$C$201&amp;baseline!$D$3:$D$201,0)),"NA")</f>
        <v>NA</v>
      </c>
      <c r="B35" s="144" t="s">
        <v>697</v>
      </c>
      <c r="C35" s="144" t="s">
        <v>13</v>
      </c>
      <c r="D35" s="144" t="s">
        <v>833</v>
      </c>
      <c r="E35" s="144" t="s">
        <v>898</v>
      </c>
      <c r="F35" s="144" t="s">
        <v>769</v>
      </c>
      <c r="G35" s="144" t="s">
        <v>769</v>
      </c>
      <c r="H35" s="144" t="s">
        <v>769</v>
      </c>
      <c r="I35" s="144" t="s">
        <v>769</v>
      </c>
      <c r="J35" s="144">
        <v>1215</v>
      </c>
    </row>
    <row r="36" spans="1:10">
      <c r="A36" s="45" t="str">
        <f t="array" ref="A36">IFERROR(INDEX(baseline!$A$3:$A$201,MATCH($B36&amp;$C36,baseline!$C$3:$C$201&amp;baseline!$D$3:$D$201,0)),"NA")</f>
        <v>NA</v>
      </c>
      <c r="B36" s="144" t="s">
        <v>697</v>
      </c>
      <c r="C36" s="144" t="s">
        <v>546</v>
      </c>
      <c r="D36" s="144" t="s">
        <v>833</v>
      </c>
      <c r="E36" s="144" t="s">
        <v>898</v>
      </c>
      <c r="F36" s="144" t="s">
        <v>769</v>
      </c>
      <c r="G36" s="144" t="s">
        <v>769</v>
      </c>
      <c r="H36" s="144" t="s">
        <v>769</v>
      </c>
      <c r="I36" s="144" t="s">
        <v>769</v>
      </c>
      <c r="J36" s="144">
        <v>1215</v>
      </c>
    </row>
    <row r="37" spans="1:10">
      <c r="A37" s="45" t="str">
        <f t="array" ref="A37">IFERROR(INDEX(baseline!$A$3:$A$201,MATCH($B37&amp;$C37,baseline!$C$3:$C$201&amp;baseline!$D$3:$D$201,0)),"NA")</f>
        <v>NA</v>
      </c>
      <c r="B37" s="144" t="s">
        <v>713</v>
      </c>
      <c r="C37" s="144" t="s">
        <v>546</v>
      </c>
      <c r="D37" s="144" t="s">
        <v>833</v>
      </c>
      <c r="E37" s="144" t="s">
        <v>898</v>
      </c>
      <c r="F37" s="144" t="s">
        <v>769</v>
      </c>
      <c r="G37" s="144" t="s">
        <v>769</v>
      </c>
      <c r="H37" s="144" t="s">
        <v>769</v>
      </c>
      <c r="I37" s="144" t="s">
        <v>769</v>
      </c>
      <c r="J37" s="144">
        <v>2707</v>
      </c>
    </row>
    <row r="38" spans="1:10">
      <c r="A38" s="45" t="str">
        <f t="array" ref="A38">IFERROR(INDEX(baseline!$A$3:$A$201,MATCH($B38&amp;$C38,baseline!$C$3:$C$201&amp;baseline!$D$3:$D$201,0)),"NA")</f>
        <v>NA</v>
      </c>
      <c r="B38" s="144" t="s">
        <v>762</v>
      </c>
      <c r="C38" s="144" t="s">
        <v>546</v>
      </c>
      <c r="D38" s="144" t="s">
        <v>833</v>
      </c>
      <c r="E38" s="144" t="s">
        <v>898</v>
      </c>
      <c r="F38" s="144" t="s">
        <v>769</v>
      </c>
      <c r="G38" s="144" t="s">
        <v>769</v>
      </c>
      <c r="H38" s="144" t="s">
        <v>769</v>
      </c>
      <c r="I38" s="144" t="s">
        <v>769</v>
      </c>
      <c r="J38" s="144">
        <v>5200</v>
      </c>
    </row>
    <row r="39" spans="1:10">
      <c r="A39" s="45" t="str">
        <f t="array" ref="A39">IFERROR(INDEX(baseline!$A$3:$A$201,MATCH($B39&amp;$C39,baseline!$C$3:$C$201&amp;baseline!$D$3:$D$201,0)),"NA")</f>
        <v>NA</v>
      </c>
      <c r="B39" s="144" t="s">
        <v>763</v>
      </c>
      <c r="C39" s="144" t="s">
        <v>881</v>
      </c>
      <c r="D39" s="144" t="s">
        <v>833</v>
      </c>
      <c r="E39" s="144" t="s">
        <v>898</v>
      </c>
      <c r="F39" s="144" t="s">
        <v>769</v>
      </c>
      <c r="G39" s="144" t="s">
        <v>769</v>
      </c>
      <c r="H39" s="144" t="s">
        <v>769</v>
      </c>
      <c r="I39" s="144" t="s">
        <v>769</v>
      </c>
      <c r="J39" s="144">
        <v>4160</v>
      </c>
    </row>
    <row r="40" spans="1:10">
      <c r="A40" s="45" t="str">
        <f t="array" ref="A40">IFERROR(INDEX(baseline!$A$3:$A$201,MATCH($B40&amp;$C40,baseline!$C$3:$C$201&amp;baseline!$D$3:$D$201,0)),"NA")</f>
        <v>NA</v>
      </c>
      <c r="B40" s="144" t="s">
        <v>712</v>
      </c>
      <c r="C40" s="144" t="s">
        <v>881</v>
      </c>
      <c r="D40" s="144" t="s">
        <v>833</v>
      </c>
      <c r="E40" s="144" t="s">
        <v>898</v>
      </c>
      <c r="F40" s="144" t="s">
        <v>769</v>
      </c>
      <c r="G40" s="144" t="s">
        <v>769</v>
      </c>
      <c r="H40" s="144" t="s">
        <v>769</v>
      </c>
      <c r="I40" s="144" t="s">
        <v>769</v>
      </c>
      <c r="J40" s="144">
        <v>11913</v>
      </c>
    </row>
    <row r="41" spans="1:10">
      <c r="A41" s="45" t="str">
        <f t="array" ref="A41">IFERROR(INDEX(baseline!$A$3:$A$201,MATCH($B41&amp;$C41,baseline!$C$3:$C$201&amp;baseline!$D$3:$D$201,0)),"NA")</f>
        <v>NA</v>
      </c>
      <c r="B41" s="144" t="s">
        <v>712</v>
      </c>
      <c r="C41" s="144" t="s">
        <v>13</v>
      </c>
      <c r="D41" s="144" t="s">
        <v>833</v>
      </c>
      <c r="E41" s="144" t="s">
        <v>898</v>
      </c>
      <c r="F41" s="144" t="s">
        <v>769</v>
      </c>
      <c r="G41" s="144" t="s">
        <v>769</v>
      </c>
      <c r="H41" s="144" t="s">
        <v>769</v>
      </c>
      <c r="I41" s="144" t="s">
        <v>769</v>
      </c>
      <c r="J41" s="144">
        <v>11913</v>
      </c>
    </row>
    <row r="42" spans="1:10">
      <c r="A42" s="45" t="str">
        <f t="array" ref="A42">IFERROR(INDEX(baseline!$A$3:$A$201,MATCH($B42&amp;$C42,baseline!$C$3:$C$201&amp;baseline!$D$3:$D$201,0)),"NA")</f>
        <v>NA</v>
      </c>
      <c r="B42" s="144" t="s">
        <v>712</v>
      </c>
      <c r="C42" s="144" t="s">
        <v>546</v>
      </c>
      <c r="D42" s="144" t="s">
        <v>833</v>
      </c>
      <c r="E42" s="144" t="s">
        <v>898</v>
      </c>
      <c r="F42" s="144" t="s">
        <v>769</v>
      </c>
      <c r="G42" s="144" t="s">
        <v>769</v>
      </c>
      <c r="H42" s="144" t="s">
        <v>769</v>
      </c>
      <c r="I42" s="144" t="s">
        <v>769</v>
      </c>
      <c r="J42" s="144">
        <v>11913</v>
      </c>
    </row>
    <row r="43" spans="1:10">
      <c r="A43" s="45" t="str">
        <f t="array" ref="A43">IFERROR(INDEX(baseline!$A$3:$A$201,MATCH($B43&amp;$C43,baseline!$C$3:$C$201&amp;baseline!$D$3:$D$201,0)),"NA")</f>
        <v>NA</v>
      </c>
      <c r="B43" s="144" t="s">
        <v>547</v>
      </c>
      <c r="C43" s="144" t="s">
        <v>13</v>
      </c>
      <c r="D43" s="144" t="s">
        <v>833</v>
      </c>
      <c r="E43" s="144" t="s">
        <v>898</v>
      </c>
      <c r="F43" s="144" t="s">
        <v>769</v>
      </c>
      <c r="G43" s="144" t="s">
        <v>769</v>
      </c>
      <c r="H43" s="144" t="s">
        <v>769</v>
      </c>
      <c r="I43" s="144" t="s">
        <v>769</v>
      </c>
      <c r="J43" s="144">
        <v>7564</v>
      </c>
    </row>
    <row r="44" spans="1:10">
      <c r="A44" s="45" t="str">
        <f t="array" ref="A44">IFERROR(INDEX(baseline!$A$3:$A$201,MATCH($B44&amp;$C44,baseline!$C$3:$C$201&amp;baseline!$D$3:$D$201,0)),"NA")</f>
        <v>NA</v>
      </c>
      <c r="B44" s="144" t="s">
        <v>1</v>
      </c>
      <c r="C44" s="144" t="s">
        <v>13</v>
      </c>
      <c r="D44" s="144" t="s">
        <v>833</v>
      </c>
      <c r="E44" s="144" t="s">
        <v>898</v>
      </c>
      <c r="F44" s="144" t="s">
        <v>769</v>
      </c>
      <c r="G44" s="144" t="s">
        <v>769</v>
      </c>
      <c r="H44" s="144" t="s">
        <v>769</v>
      </c>
      <c r="I44" s="144" t="s">
        <v>769</v>
      </c>
      <c r="J44" s="144">
        <v>3120</v>
      </c>
    </row>
    <row r="45" spans="1:10">
      <c r="A45" s="45" t="str">
        <f t="array" ref="A45">IFERROR(INDEX(baseline!$A$3:$A$201,MATCH($B45&amp;$C45,baseline!$C$3:$C$201&amp;baseline!$D$3:$D$201,0)),"NA")</f>
        <v>NA</v>
      </c>
      <c r="B45" s="144" t="s">
        <v>1</v>
      </c>
      <c r="C45" s="144" t="s">
        <v>546</v>
      </c>
      <c r="D45" s="144" t="s">
        <v>833</v>
      </c>
      <c r="E45" s="144" t="s">
        <v>898</v>
      </c>
      <c r="F45" s="144" t="s">
        <v>769</v>
      </c>
      <c r="G45" s="144" t="s">
        <v>769</v>
      </c>
      <c r="H45" s="144" t="s">
        <v>769</v>
      </c>
      <c r="I45" s="144" t="s">
        <v>769</v>
      </c>
      <c r="J45" s="144">
        <v>3120</v>
      </c>
    </row>
    <row r="46" spans="1:10">
      <c r="A46" s="45">
        <f t="array" ref="A46">IFERROR(INDEX(baseline!$A$3:$A$201,MATCH($B46&amp;$C46,baseline!$C$3:$C$201&amp;baseline!$D$3:$D$201,0)),"NA")</f>
        <v>1</v>
      </c>
      <c r="B46" s="144" t="s">
        <v>0</v>
      </c>
      <c r="C46" s="144" t="s">
        <v>881</v>
      </c>
      <c r="D46" s="144" t="s">
        <v>769</v>
      </c>
      <c r="E46" s="144" t="s">
        <v>769</v>
      </c>
      <c r="F46" s="144" t="s">
        <v>769</v>
      </c>
      <c r="G46" s="144" t="s">
        <v>769</v>
      </c>
      <c r="H46" s="144" t="s">
        <v>769</v>
      </c>
      <c r="I46" s="144" t="s">
        <v>769</v>
      </c>
      <c r="J46" s="144" t="s">
        <v>769</v>
      </c>
    </row>
    <row r="47" spans="1:10">
      <c r="A47" s="45">
        <f t="array" ref="A47">IFERROR(INDEX(baseline!$A$3:$A$201,MATCH($B47&amp;$C47,baseline!$C$3:$C$201&amp;baseline!$D$3:$D$201,0)),"NA")</f>
        <v>2</v>
      </c>
      <c r="B47" s="144" t="s">
        <v>78</v>
      </c>
      <c r="C47" s="144" t="s">
        <v>881</v>
      </c>
      <c r="D47" s="144" t="s">
        <v>769</v>
      </c>
      <c r="E47" s="144" t="s">
        <v>769</v>
      </c>
      <c r="F47" s="144" t="s">
        <v>769</v>
      </c>
      <c r="G47" s="144" t="s">
        <v>769</v>
      </c>
      <c r="H47" s="144" t="s">
        <v>769</v>
      </c>
      <c r="I47" s="144" t="s">
        <v>769</v>
      </c>
      <c r="J47" s="144" t="s">
        <v>769</v>
      </c>
    </row>
    <row r="48" spans="1:10">
      <c r="A48" s="45">
        <f t="array" ref="A48">IFERROR(INDEX(baseline!$A$3:$A$201,MATCH($B48&amp;$C48,baseline!$C$3:$C$201&amp;baseline!$D$3:$D$201,0)),"NA")</f>
        <v>3</v>
      </c>
      <c r="B48" s="144" t="s">
        <v>545</v>
      </c>
      <c r="C48" s="144" t="s">
        <v>881</v>
      </c>
      <c r="D48" s="144" t="s">
        <v>769</v>
      </c>
      <c r="E48" s="144" t="s">
        <v>769</v>
      </c>
      <c r="F48" s="144" t="s">
        <v>769</v>
      </c>
      <c r="G48" s="144" t="s">
        <v>769</v>
      </c>
      <c r="H48" s="144" t="s">
        <v>769</v>
      </c>
      <c r="I48" s="144" t="s">
        <v>769</v>
      </c>
      <c r="J48" s="144" t="s">
        <v>769</v>
      </c>
    </row>
    <row r="49" spans="1:10">
      <c r="A49" s="45">
        <f t="array" ref="A49">IFERROR(INDEX(baseline!$A$3:$A$201,MATCH($B49&amp;$C49,baseline!$C$3:$C$201&amp;baseline!$D$3:$D$201,0)),"NA")</f>
        <v>4</v>
      </c>
      <c r="B49" s="144" t="s">
        <v>545</v>
      </c>
      <c r="C49" s="144" t="s">
        <v>546</v>
      </c>
      <c r="D49" s="144" t="s">
        <v>769</v>
      </c>
      <c r="E49" s="144" t="s">
        <v>769</v>
      </c>
      <c r="F49" s="144" t="s">
        <v>769</v>
      </c>
      <c r="G49" s="144" t="s">
        <v>769</v>
      </c>
      <c r="H49" s="144" t="s">
        <v>769</v>
      </c>
      <c r="I49" s="144" t="s">
        <v>769</v>
      </c>
      <c r="J49" s="144" t="s">
        <v>769</v>
      </c>
    </row>
    <row r="50" spans="1:10">
      <c r="A50" s="45">
        <f t="array" ref="A50">IFERROR(INDEX(baseline!$A$3:$A$201,MATCH($B50&amp;$C50,baseline!$C$3:$C$201&amp;baseline!$D$3:$D$201,0)),"NA")</f>
        <v>8</v>
      </c>
      <c r="B50" s="144" t="s">
        <v>697</v>
      </c>
      <c r="C50" s="144" t="s">
        <v>881</v>
      </c>
      <c r="D50" s="144" t="s">
        <v>769</v>
      </c>
      <c r="E50" s="144" t="s">
        <v>769</v>
      </c>
      <c r="F50" s="144" t="s">
        <v>769</v>
      </c>
      <c r="G50" s="144" t="s">
        <v>769</v>
      </c>
      <c r="H50" s="144" t="s">
        <v>769</v>
      </c>
      <c r="I50" s="144" t="s">
        <v>769</v>
      </c>
      <c r="J50" s="144" t="s">
        <v>769</v>
      </c>
    </row>
    <row r="51" spans="1:10">
      <c r="A51" s="45">
        <f t="array" ref="A51">IFERROR(INDEX(baseline!$A$3:$A$201,MATCH($B51&amp;$C51,baseline!$C$3:$C$201&amp;baseline!$D$3:$D$201,0)),"NA")</f>
        <v>9</v>
      </c>
      <c r="B51" s="144" t="s">
        <v>697</v>
      </c>
      <c r="C51" s="144" t="s">
        <v>14</v>
      </c>
      <c r="D51" s="144" t="s">
        <v>769</v>
      </c>
      <c r="E51" s="144" t="s">
        <v>769</v>
      </c>
      <c r="F51" s="144" t="s">
        <v>769</v>
      </c>
      <c r="G51" s="144" t="s">
        <v>769</v>
      </c>
      <c r="H51" s="144" t="s">
        <v>769</v>
      </c>
      <c r="I51" s="144" t="s">
        <v>769</v>
      </c>
      <c r="J51" s="144" t="s">
        <v>769</v>
      </c>
    </row>
    <row r="52" spans="1:10">
      <c r="A52" s="45">
        <f t="array" ref="A52">IFERROR(INDEX(baseline!$A$3:$A$201,MATCH($B52&amp;$C52,baseline!$C$3:$C$201&amp;baseline!$D$3:$D$201,0)),"NA")</f>
        <v>10</v>
      </c>
      <c r="B52" s="144" t="s">
        <v>713</v>
      </c>
      <c r="C52" s="144" t="s">
        <v>881</v>
      </c>
      <c r="D52" s="144" t="s">
        <v>769</v>
      </c>
      <c r="E52" s="144" t="s">
        <v>769</v>
      </c>
      <c r="F52" s="144" t="s">
        <v>769</v>
      </c>
      <c r="G52" s="144" t="s">
        <v>769</v>
      </c>
      <c r="H52" s="144" t="s">
        <v>769</v>
      </c>
      <c r="I52" s="144" t="s">
        <v>769</v>
      </c>
      <c r="J52" s="144" t="s">
        <v>769</v>
      </c>
    </row>
    <row r="53" spans="1:10">
      <c r="A53" s="45">
        <f t="array" ref="A53">IFERROR(INDEX(baseline!$A$3:$A$201,MATCH($B53&amp;$C53,baseline!$C$3:$C$201&amp;baseline!$D$3:$D$201,0)),"NA")</f>
        <v>11</v>
      </c>
      <c r="B53" s="144" t="s">
        <v>713</v>
      </c>
      <c r="C53" s="144" t="s">
        <v>13</v>
      </c>
      <c r="D53" s="144" t="s">
        <v>769</v>
      </c>
      <c r="E53" s="144" t="s">
        <v>769</v>
      </c>
      <c r="F53" s="144" t="s">
        <v>769</v>
      </c>
      <c r="G53" s="144" t="s">
        <v>769</v>
      </c>
      <c r="H53" s="144" t="s">
        <v>769</v>
      </c>
      <c r="I53" s="144" t="s">
        <v>769</v>
      </c>
      <c r="J53" s="144" t="s">
        <v>769</v>
      </c>
    </row>
    <row r="54" spans="1:10">
      <c r="A54" s="45">
        <f t="array" ref="A54">IFERROR(INDEX(baseline!$A$3:$A$201,MATCH($B54&amp;$C54,baseline!$C$3:$C$201&amp;baseline!$D$3:$D$201,0)),"NA")</f>
        <v>12</v>
      </c>
      <c r="B54" s="144" t="s">
        <v>713</v>
      </c>
      <c r="C54" s="144" t="s">
        <v>14</v>
      </c>
      <c r="D54" s="144" t="s">
        <v>769</v>
      </c>
      <c r="E54" s="144" t="s">
        <v>769</v>
      </c>
      <c r="F54" s="144" t="s">
        <v>769</v>
      </c>
      <c r="G54" s="144" t="s">
        <v>769</v>
      </c>
      <c r="H54" s="144" t="s">
        <v>769</v>
      </c>
      <c r="I54" s="144" t="s">
        <v>769</v>
      </c>
      <c r="J54" s="144" t="s">
        <v>769</v>
      </c>
    </row>
    <row r="55" spans="1:10">
      <c r="A55" s="45">
        <f t="array" ref="A55">IFERROR(INDEX(baseline!$A$3:$A$201,MATCH($B55&amp;$C55,baseline!$C$3:$C$201&amp;baseline!$D$3:$D$201,0)),"NA")</f>
        <v>16</v>
      </c>
      <c r="B55" s="144" t="s">
        <v>763</v>
      </c>
      <c r="C55" s="144" t="s">
        <v>13</v>
      </c>
      <c r="D55" s="144" t="s">
        <v>769</v>
      </c>
      <c r="E55" s="144" t="s">
        <v>769</v>
      </c>
      <c r="F55" s="144" t="s">
        <v>769</v>
      </c>
      <c r="G55" s="144" t="s">
        <v>769</v>
      </c>
      <c r="H55" s="144" t="s">
        <v>769</v>
      </c>
      <c r="I55" s="144" t="s">
        <v>769</v>
      </c>
      <c r="J55" s="144" t="s">
        <v>769</v>
      </c>
    </row>
    <row r="56" spans="1:10">
      <c r="A56" s="45">
        <f t="array" ref="A56">IFERROR(INDEX(baseline!$A$3:$A$201,MATCH($B56&amp;$C56,baseline!$C$3:$C$201&amp;baseline!$D$3:$D$201,0)),"NA")</f>
        <v>17</v>
      </c>
      <c r="B56" s="144" t="s">
        <v>763</v>
      </c>
      <c r="C56" s="144" t="s">
        <v>14</v>
      </c>
      <c r="D56" s="144" t="s">
        <v>769</v>
      </c>
      <c r="E56" s="144" t="s">
        <v>769</v>
      </c>
      <c r="F56" s="144" t="s">
        <v>769</v>
      </c>
      <c r="G56" s="144" t="s">
        <v>769</v>
      </c>
      <c r="H56" s="144" t="s">
        <v>769</v>
      </c>
      <c r="I56" s="144" t="s">
        <v>769</v>
      </c>
      <c r="J56" s="144" t="s">
        <v>769</v>
      </c>
    </row>
    <row r="57" spans="1:10">
      <c r="A57" s="45">
        <f t="array" ref="A57">IFERROR(INDEX(baseline!$A$3:$A$201,MATCH($B57&amp;$C57,baseline!$C$3:$C$201&amp;baseline!$D$3:$D$201,0)),"NA")</f>
        <v>18</v>
      </c>
      <c r="B57" s="144" t="s">
        <v>763</v>
      </c>
      <c r="C57" s="144" t="s">
        <v>546</v>
      </c>
      <c r="D57" s="144" t="s">
        <v>769</v>
      </c>
      <c r="E57" s="145" t="s">
        <v>769</v>
      </c>
      <c r="F57" s="145" t="s">
        <v>769</v>
      </c>
      <c r="G57" s="145" t="s">
        <v>769</v>
      </c>
      <c r="H57" s="145" t="s">
        <v>769</v>
      </c>
      <c r="I57" s="145" t="s">
        <v>769</v>
      </c>
      <c r="J57" s="145" t="s">
        <v>769</v>
      </c>
    </row>
    <row r="58" spans="1:10">
      <c r="A58" s="45">
        <f t="array" ref="A58">IFERROR(INDEX(baseline!$A$3:$A$201,MATCH($B58&amp;$C58,baseline!$C$3:$C$201&amp;baseline!$D$3:$D$201,0)),"NA")</f>
        <v>20</v>
      </c>
      <c r="B58" s="144" t="s">
        <v>2</v>
      </c>
      <c r="C58" s="144" t="s">
        <v>881</v>
      </c>
      <c r="D58" s="144" t="s">
        <v>769</v>
      </c>
      <c r="E58" s="145" t="s">
        <v>769</v>
      </c>
      <c r="F58" s="145" t="s">
        <v>769</v>
      </c>
      <c r="G58" s="145" t="s">
        <v>769</v>
      </c>
      <c r="H58" s="145" t="s">
        <v>769</v>
      </c>
      <c r="I58" s="145" t="s">
        <v>769</v>
      </c>
      <c r="J58" s="145" t="s">
        <v>769</v>
      </c>
    </row>
    <row r="59" spans="1:10">
      <c r="A59" s="45">
        <f t="array" ref="A59">IFERROR(INDEX(baseline!$A$3:$A$201,MATCH($B59&amp;$C59,baseline!$C$3:$C$201&amp;baseline!$D$3:$D$201,0)),"NA")</f>
        <v>20</v>
      </c>
      <c r="B59" s="144" t="s">
        <v>2</v>
      </c>
      <c r="C59" s="144" t="s">
        <v>881</v>
      </c>
      <c r="D59" s="145" t="s">
        <v>769</v>
      </c>
      <c r="E59" s="145" t="s">
        <v>769</v>
      </c>
      <c r="F59" s="145" t="s">
        <v>769</v>
      </c>
      <c r="G59" s="145" t="s">
        <v>769</v>
      </c>
      <c r="H59" s="145" t="s">
        <v>769</v>
      </c>
      <c r="I59" s="145" t="s">
        <v>769</v>
      </c>
      <c r="J59" s="145" t="s">
        <v>769</v>
      </c>
    </row>
    <row r="60" spans="1:10">
      <c r="A60" s="45">
        <f t="array" ref="A60">IFERROR(INDEX(baseline!$A$3:$A$201,MATCH($B60&amp;$C60,baseline!$C$3:$C$201&amp;baseline!$D$3:$D$201,0)),"NA")</f>
        <v>20</v>
      </c>
      <c r="B60" s="144" t="s">
        <v>2</v>
      </c>
      <c r="C60" s="144" t="s">
        <v>881</v>
      </c>
      <c r="D60" s="144" t="s">
        <v>769</v>
      </c>
      <c r="E60" s="145" t="s">
        <v>769</v>
      </c>
      <c r="F60" s="145" t="s">
        <v>769</v>
      </c>
      <c r="G60" s="145" t="s">
        <v>769</v>
      </c>
      <c r="H60" s="145" t="s">
        <v>769</v>
      </c>
      <c r="I60" s="145" t="s">
        <v>769</v>
      </c>
      <c r="J60" s="145" t="s">
        <v>769</v>
      </c>
    </row>
    <row r="61" spans="1:10">
      <c r="A61" s="45">
        <f t="array" ref="A61">IFERROR(INDEX(baseline!$A$3:$A$201,MATCH($B61&amp;$C61,baseline!$C$3:$C$201&amp;baseline!$D$3:$D$201,0)),"NA")</f>
        <v>21</v>
      </c>
      <c r="B61" s="144" t="s">
        <v>2</v>
      </c>
      <c r="C61" s="144" t="s">
        <v>13</v>
      </c>
      <c r="D61" s="144" t="s">
        <v>769</v>
      </c>
      <c r="E61" s="145" t="s">
        <v>769</v>
      </c>
      <c r="F61" s="145" t="s">
        <v>769</v>
      </c>
      <c r="G61" s="145" t="s">
        <v>769</v>
      </c>
      <c r="H61" s="145" t="s">
        <v>769</v>
      </c>
      <c r="I61" s="145" t="s">
        <v>769</v>
      </c>
      <c r="J61" s="145" t="s">
        <v>769</v>
      </c>
    </row>
    <row r="62" spans="1:10">
      <c r="A62" s="45">
        <f t="array" ref="A62">IFERROR(INDEX(baseline!$A$3:$A$201,MATCH($B62&amp;$C62,baseline!$C$3:$C$201&amp;baseline!$D$3:$D$201,0)),"NA")</f>
        <v>21</v>
      </c>
      <c r="B62" s="144" t="s">
        <v>2</v>
      </c>
      <c r="C62" s="144" t="s">
        <v>13</v>
      </c>
      <c r="D62" s="145" t="s">
        <v>769</v>
      </c>
      <c r="E62" s="145" t="s">
        <v>769</v>
      </c>
      <c r="F62" s="145" t="s">
        <v>769</v>
      </c>
      <c r="G62" s="145" t="s">
        <v>769</v>
      </c>
      <c r="H62" s="145" t="s">
        <v>769</v>
      </c>
      <c r="I62" s="145" t="s">
        <v>769</v>
      </c>
      <c r="J62" s="145" t="s">
        <v>769</v>
      </c>
    </row>
    <row r="63" spans="1:10">
      <c r="A63" s="45">
        <f t="array" ref="A63">IFERROR(INDEX(baseline!$A$3:$A$201,MATCH($B63&amp;$C63,baseline!$C$3:$C$201&amp;baseline!$D$3:$D$201,0)),"NA")</f>
        <v>21</v>
      </c>
      <c r="B63" s="144" t="s">
        <v>2</v>
      </c>
      <c r="C63" s="144" t="s">
        <v>13</v>
      </c>
      <c r="D63" s="144" t="s">
        <v>769</v>
      </c>
      <c r="E63" s="145" t="s">
        <v>769</v>
      </c>
      <c r="F63" s="145" t="s">
        <v>769</v>
      </c>
      <c r="G63" s="145" t="s">
        <v>769</v>
      </c>
      <c r="H63" s="145" t="s">
        <v>769</v>
      </c>
      <c r="I63" s="145" t="s">
        <v>769</v>
      </c>
      <c r="J63" s="145" t="s">
        <v>769</v>
      </c>
    </row>
    <row r="64" spans="1:10">
      <c r="A64" s="45">
        <f t="array" ref="A64">IFERROR(INDEX(baseline!$A$3:$A$201,MATCH($B64&amp;$C64,baseline!$C$3:$C$201&amp;baseline!$D$3:$D$201,0)),"NA")</f>
        <v>22</v>
      </c>
      <c r="B64" s="144" t="s">
        <v>2</v>
      </c>
      <c r="C64" s="144" t="s">
        <v>14</v>
      </c>
      <c r="D64" s="144" t="s">
        <v>769</v>
      </c>
      <c r="E64" s="145" t="s">
        <v>769</v>
      </c>
      <c r="F64" s="145" t="s">
        <v>769</v>
      </c>
      <c r="G64" s="145" t="s">
        <v>769</v>
      </c>
      <c r="H64" s="145" t="s">
        <v>769</v>
      </c>
      <c r="I64" s="145" t="s">
        <v>769</v>
      </c>
      <c r="J64" s="145" t="s">
        <v>769</v>
      </c>
    </row>
    <row r="65" spans="1:10">
      <c r="A65" s="45">
        <f t="array" ref="A65">IFERROR(INDEX(baseline!$A$3:$A$201,MATCH($B65&amp;$C65,baseline!$C$3:$C$201&amp;baseline!$D$3:$D$201,0)),"NA")</f>
        <v>22</v>
      </c>
      <c r="B65" s="144" t="s">
        <v>2</v>
      </c>
      <c r="C65" s="144" t="s">
        <v>14</v>
      </c>
      <c r="D65" s="145" t="s">
        <v>769</v>
      </c>
      <c r="E65" s="145" t="s">
        <v>769</v>
      </c>
      <c r="F65" s="145" t="s">
        <v>769</v>
      </c>
      <c r="G65" s="145" t="s">
        <v>769</v>
      </c>
      <c r="H65" s="145" t="s">
        <v>769</v>
      </c>
      <c r="I65" s="145" t="s">
        <v>769</v>
      </c>
      <c r="J65" s="145" t="s">
        <v>769</v>
      </c>
    </row>
    <row r="66" spans="1:10">
      <c r="A66" s="45">
        <f t="array" ref="A66">IFERROR(INDEX(baseline!$A$3:$A$201,MATCH($B66&amp;$C66,baseline!$C$3:$C$201&amp;baseline!$D$3:$D$201,0)),"NA")</f>
        <v>22</v>
      </c>
      <c r="B66" s="144" t="s">
        <v>2</v>
      </c>
      <c r="C66" s="144" t="s">
        <v>14</v>
      </c>
      <c r="D66" s="144" t="s">
        <v>769</v>
      </c>
      <c r="E66" s="145" t="s">
        <v>769</v>
      </c>
      <c r="F66" s="145" t="s">
        <v>769</v>
      </c>
      <c r="G66" s="145" t="s">
        <v>769</v>
      </c>
      <c r="H66" s="145" t="s">
        <v>769</v>
      </c>
      <c r="I66" s="145" t="s">
        <v>769</v>
      </c>
      <c r="J66" s="145" t="s">
        <v>769</v>
      </c>
    </row>
    <row r="67" spans="1:10">
      <c r="A67" s="45">
        <f t="array" ref="A67">IFERROR(INDEX(baseline!$A$3:$A$201,MATCH($B67&amp;$C67,baseline!$C$3:$C$201&amp;baseline!$D$3:$D$201,0)),"NA")</f>
        <v>23</v>
      </c>
      <c r="B67" s="144" t="s">
        <v>2</v>
      </c>
      <c r="C67" s="144" t="s">
        <v>546</v>
      </c>
      <c r="D67" s="144" t="s">
        <v>769</v>
      </c>
      <c r="E67" s="145" t="s">
        <v>769</v>
      </c>
      <c r="F67" s="145" t="s">
        <v>769</v>
      </c>
      <c r="G67" s="145" t="s">
        <v>769</v>
      </c>
      <c r="H67" s="145" t="s">
        <v>769</v>
      </c>
      <c r="I67" s="145" t="s">
        <v>769</v>
      </c>
      <c r="J67" s="145" t="s">
        <v>769</v>
      </c>
    </row>
    <row r="68" spans="1:10">
      <c r="A68" s="45">
        <f t="array" ref="A68">IFERROR(INDEX(baseline!$A$3:$A$201,MATCH($B68&amp;$C68,baseline!$C$3:$C$201&amp;baseline!$D$3:$D$201,0)),"NA")</f>
        <v>23</v>
      </c>
      <c r="B68" s="144" t="s">
        <v>2</v>
      </c>
      <c r="C68" s="144" t="s">
        <v>546</v>
      </c>
      <c r="D68" s="145" t="s">
        <v>769</v>
      </c>
      <c r="E68" s="145" t="s">
        <v>769</v>
      </c>
      <c r="F68" s="145" t="s">
        <v>769</v>
      </c>
      <c r="G68" s="145" t="s">
        <v>769</v>
      </c>
      <c r="H68" s="145" t="s">
        <v>769</v>
      </c>
      <c r="I68" s="145" t="s">
        <v>769</v>
      </c>
      <c r="J68" s="145" t="s">
        <v>769</v>
      </c>
    </row>
    <row r="69" spans="1:10">
      <c r="A69" s="45">
        <f t="array" ref="A69">IFERROR(INDEX(baseline!$A$3:$A$201,MATCH($B69&amp;$C69,baseline!$C$3:$C$201&amp;baseline!$D$3:$D$201,0)),"NA")</f>
        <v>23</v>
      </c>
      <c r="B69" s="144" t="s">
        <v>2</v>
      </c>
      <c r="C69" s="144" t="s">
        <v>546</v>
      </c>
      <c r="D69" s="144" t="s">
        <v>769</v>
      </c>
      <c r="E69" s="145" t="s">
        <v>769</v>
      </c>
      <c r="F69" s="145" t="s">
        <v>769</v>
      </c>
      <c r="G69" s="145" t="s">
        <v>769</v>
      </c>
      <c r="H69" s="145" t="s">
        <v>769</v>
      </c>
      <c r="I69" s="145" t="s">
        <v>769</v>
      </c>
      <c r="J69" s="145" t="s">
        <v>769</v>
      </c>
    </row>
    <row r="70" spans="1:10">
      <c r="A70" s="45">
        <f t="array" ref="A70">IFERROR(INDEX(baseline!$A$3:$A$201,MATCH($B70&amp;$C70,baseline!$C$3:$C$201&amp;baseline!$D$3:$D$201,0)),"NA")</f>
        <v>27</v>
      </c>
      <c r="B70" s="144" t="s">
        <v>1</v>
      </c>
      <c r="C70" s="144" t="s">
        <v>881</v>
      </c>
      <c r="D70" s="144" t="s">
        <v>769</v>
      </c>
      <c r="E70" s="145" t="s">
        <v>769</v>
      </c>
      <c r="F70" s="145" t="s">
        <v>769</v>
      </c>
      <c r="G70" s="145" t="s">
        <v>769</v>
      </c>
      <c r="H70" s="145" t="s">
        <v>769</v>
      </c>
      <c r="I70" s="145" t="s">
        <v>769</v>
      </c>
      <c r="J70" s="145" t="s">
        <v>769</v>
      </c>
    </row>
    <row r="71" spans="1:10">
      <c r="A71" s="45">
        <f t="array" ref="A71">IFERROR(INDEX(baseline!$A$3:$A$201,MATCH($B71&amp;$C71,baseline!$C$3:$C$201&amp;baseline!$D$3:$D$201,0)),"NA")</f>
        <v>28</v>
      </c>
      <c r="B71" s="144" t="s">
        <v>1</v>
      </c>
      <c r="C71" s="144" t="s">
        <v>14</v>
      </c>
      <c r="D71" s="144" t="s">
        <v>769</v>
      </c>
      <c r="E71" s="145" t="s">
        <v>769</v>
      </c>
      <c r="F71" s="145" t="s">
        <v>769</v>
      </c>
      <c r="G71" s="145" t="s">
        <v>769</v>
      </c>
      <c r="H71" s="145" t="s">
        <v>769</v>
      </c>
      <c r="I71" s="145" t="s">
        <v>769</v>
      </c>
      <c r="J71" s="145" t="s">
        <v>769</v>
      </c>
    </row>
    <row r="72" spans="1:10">
      <c r="A72" s="45" t="str">
        <f t="array" ref="A72">IFERROR(INDEX(baseline!$A$3:$A$201,MATCH($B72&amp;$C72,baseline!$C$3:$C$201&amp;baseline!$D$3:$D$201,0)),"NA")</f>
        <v>NA</v>
      </c>
      <c r="B72" s="144" t="s">
        <v>0</v>
      </c>
      <c r="C72" s="144" t="s">
        <v>13</v>
      </c>
      <c r="D72" s="144" t="s">
        <v>769</v>
      </c>
      <c r="E72" s="145" t="s">
        <v>769</v>
      </c>
      <c r="F72" s="145" t="s">
        <v>769</v>
      </c>
      <c r="G72" s="145" t="s">
        <v>769</v>
      </c>
      <c r="H72" s="145" t="s">
        <v>769</v>
      </c>
      <c r="I72" s="145" t="s">
        <v>769</v>
      </c>
      <c r="J72" s="145" t="s">
        <v>769</v>
      </c>
    </row>
    <row r="73" spans="1:10">
      <c r="A73" s="45" t="str">
        <f t="array" ref="A73">IFERROR(INDEX(baseline!$A$3:$A$201,MATCH($B73&amp;$C73,baseline!$C$3:$C$201&amp;baseline!$D$3:$D$201,0)),"NA")</f>
        <v>NA</v>
      </c>
      <c r="B73" s="144" t="s">
        <v>0</v>
      </c>
      <c r="C73" s="144" t="s">
        <v>14</v>
      </c>
      <c r="D73" s="144" t="s">
        <v>769</v>
      </c>
      <c r="E73" s="145" t="s">
        <v>769</v>
      </c>
      <c r="F73" s="145" t="s">
        <v>769</v>
      </c>
      <c r="G73" s="145" t="s">
        <v>769</v>
      </c>
      <c r="H73" s="145" t="s">
        <v>769</v>
      </c>
      <c r="I73" s="145" t="s">
        <v>769</v>
      </c>
      <c r="J73" s="145" t="s">
        <v>769</v>
      </c>
    </row>
    <row r="74" spans="1:10">
      <c r="A74" s="45">
        <f t="array" ref="A74">IFERROR(INDEX(baseline!$A$3:$A$201,MATCH($B74&amp;$C74,baseline!$C$3:$C$201&amp;baseline!$D$3:$D$201,0)),"NA")</f>
        <v>30</v>
      </c>
      <c r="B74" s="144" t="s">
        <v>0</v>
      </c>
      <c r="C74" s="144" t="s">
        <v>546</v>
      </c>
      <c r="D74" s="144" t="s">
        <v>769</v>
      </c>
      <c r="E74" s="145" t="s">
        <v>769</v>
      </c>
      <c r="F74" s="145" t="s">
        <v>769</v>
      </c>
      <c r="G74" s="145" t="s">
        <v>769</v>
      </c>
      <c r="H74" s="145" t="s">
        <v>769</v>
      </c>
      <c r="I74" s="145" t="s">
        <v>769</v>
      </c>
      <c r="J74" s="145" t="s">
        <v>769</v>
      </c>
    </row>
    <row r="75" spans="1:10">
      <c r="A75" s="45" t="str">
        <f t="array" ref="A75">IFERROR(INDEX(baseline!$A$3:$A$201,MATCH($B75&amp;$C75,baseline!$C$3:$C$201&amp;baseline!$D$3:$D$201,0)),"NA")</f>
        <v>NA</v>
      </c>
      <c r="B75" s="144" t="s">
        <v>78</v>
      </c>
      <c r="C75" s="144" t="s">
        <v>13</v>
      </c>
      <c r="D75" s="144" t="s">
        <v>769</v>
      </c>
      <c r="E75" s="145" t="s">
        <v>769</v>
      </c>
      <c r="F75" s="145" t="s">
        <v>769</v>
      </c>
      <c r="G75" s="145" t="s">
        <v>769</v>
      </c>
      <c r="H75" s="145" t="s">
        <v>769</v>
      </c>
      <c r="I75" s="145" t="s">
        <v>769</v>
      </c>
      <c r="J75" s="145" t="s">
        <v>769</v>
      </c>
    </row>
    <row r="76" spans="1:10">
      <c r="A76" s="45" t="str">
        <f t="array" ref="A76">IFERROR(INDEX(baseline!$A$3:$A$201,MATCH($B76&amp;$C76,baseline!$C$3:$C$201&amp;baseline!$D$3:$D$201,0)),"NA")</f>
        <v>NA</v>
      </c>
      <c r="B76" s="144" t="s">
        <v>78</v>
      </c>
      <c r="C76" s="144" t="s">
        <v>14</v>
      </c>
      <c r="D76" s="144" t="s">
        <v>769</v>
      </c>
      <c r="E76" s="145" t="s">
        <v>769</v>
      </c>
      <c r="F76" s="145" t="s">
        <v>769</v>
      </c>
      <c r="G76" s="145" t="s">
        <v>769</v>
      </c>
      <c r="H76" s="145" t="s">
        <v>769</v>
      </c>
      <c r="I76" s="145" t="s">
        <v>769</v>
      </c>
      <c r="J76" s="145" t="s">
        <v>769</v>
      </c>
    </row>
    <row r="77" spans="1:10">
      <c r="A77" s="45">
        <f t="array" ref="A77">IFERROR(INDEX(baseline!$A$3:$A$201,MATCH($B77&amp;$C77,baseline!$C$3:$C$201&amp;baseline!$D$3:$D$201,0)),"NA")</f>
        <v>31</v>
      </c>
      <c r="B77" s="144" t="s">
        <v>78</v>
      </c>
      <c r="C77" s="144" t="s">
        <v>546</v>
      </c>
      <c r="D77" s="144" t="s">
        <v>769</v>
      </c>
      <c r="E77" s="145" t="s">
        <v>769</v>
      </c>
      <c r="F77" s="145" t="s">
        <v>769</v>
      </c>
      <c r="G77" s="145" t="s">
        <v>769</v>
      </c>
      <c r="H77" s="145" t="s">
        <v>769</v>
      </c>
      <c r="I77" s="145" t="s">
        <v>769</v>
      </c>
      <c r="J77" s="145" t="s">
        <v>769</v>
      </c>
    </row>
    <row r="78" spans="1:10">
      <c r="A78" s="45" t="str">
        <f t="array" ref="A78">IFERROR(INDEX(baseline!$A$3:$A$201,MATCH($B78&amp;$C78,baseline!$C$3:$C$201&amp;baseline!$D$3:$D$201,0)),"NA")</f>
        <v>NA</v>
      </c>
      <c r="B78" s="144" t="s">
        <v>545</v>
      </c>
      <c r="C78" s="144" t="s">
        <v>13</v>
      </c>
      <c r="D78" s="144" t="s">
        <v>769</v>
      </c>
      <c r="E78" s="145" t="s">
        <v>769</v>
      </c>
      <c r="F78" s="145" t="s">
        <v>769</v>
      </c>
      <c r="G78" s="145" t="s">
        <v>769</v>
      </c>
      <c r="H78" s="145" t="s">
        <v>769</v>
      </c>
      <c r="I78" s="145" t="s">
        <v>769</v>
      </c>
      <c r="J78" s="145" t="s">
        <v>769</v>
      </c>
    </row>
    <row r="79" spans="1:10">
      <c r="A79" s="45" t="str">
        <f t="array" ref="A79">IFERROR(INDEX(baseline!$A$3:$A$201,MATCH($B79&amp;$C79,baseline!$C$3:$C$201&amp;baseline!$D$3:$D$201,0)),"NA")</f>
        <v>NA</v>
      </c>
      <c r="B79" s="144" t="s">
        <v>545</v>
      </c>
      <c r="C79" s="144" t="s">
        <v>14</v>
      </c>
      <c r="D79" s="144" t="s">
        <v>769</v>
      </c>
      <c r="E79" s="145" t="s">
        <v>769</v>
      </c>
      <c r="F79" s="145" t="s">
        <v>769</v>
      </c>
      <c r="G79" s="145" t="s">
        <v>769</v>
      </c>
      <c r="H79" s="145" t="s">
        <v>769</v>
      </c>
      <c r="I79" s="145" t="s">
        <v>769</v>
      </c>
      <c r="J79" s="145" t="s">
        <v>769</v>
      </c>
    </row>
    <row r="80" spans="1:10">
      <c r="A80" s="45">
        <f t="array" ref="A80">IFERROR(INDEX(baseline!$A$3:$A$201,MATCH($B80&amp;$C80,baseline!$C$3:$C$201&amp;baseline!$D$3:$D$201,0)),"NA")</f>
        <v>29</v>
      </c>
      <c r="B80" s="144" t="s">
        <v>761</v>
      </c>
      <c r="C80" s="144" t="s">
        <v>546</v>
      </c>
      <c r="D80" s="144" t="s">
        <v>769</v>
      </c>
      <c r="E80" s="145" t="s">
        <v>769</v>
      </c>
      <c r="F80" s="145" t="s">
        <v>769</v>
      </c>
      <c r="G80" s="145" t="s">
        <v>769</v>
      </c>
      <c r="H80" s="145" t="s">
        <v>769</v>
      </c>
      <c r="I80" s="145" t="s">
        <v>769</v>
      </c>
      <c r="J80" s="145" t="s">
        <v>769</v>
      </c>
    </row>
    <row r="81" spans="1:10">
      <c r="A81" s="45" t="str">
        <f t="array" ref="A81">IFERROR(INDEX(baseline!$A$3:$A$201,MATCH($B81&amp;$C81,baseline!$C$3:$C$201&amp;baseline!$D$3:$D$201,0)),"NA")</f>
        <v>NA</v>
      </c>
      <c r="B81" s="144" t="s">
        <v>697</v>
      </c>
      <c r="C81" s="144" t="s">
        <v>13</v>
      </c>
      <c r="D81" s="144" t="s">
        <v>769</v>
      </c>
      <c r="E81" s="145" t="s">
        <v>769</v>
      </c>
      <c r="F81" s="145" t="s">
        <v>769</v>
      </c>
      <c r="G81" s="145" t="s">
        <v>769</v>
      </c>
      <c r="H81" s="145" t="s">
        <v>769</v>
      </c>
      <c r="I81" s="145" t="s">
        <v>769</v>
      </c>
      <c r="J81" s="145" t="s">
        <v>769</v>
      </c>
    </row>
    <row r="82" spans="1:10">
      <c r="A82" s="45" t="str">
        <f t="array" ref="A82">IFERROR(INDEX(baseline!$A$3:$A$201,MATCH($B82&amp;$C82,baseline!$C$3:$C$201&amp;baseline!$D$3:$D$201,0)),"NA")</f>
        <v>NA</v>
      </c>
      <c r="B82" s="144" t="s">
        <v>697</v>
      </c>
      <c r="C82" s="144" t="s">
        <v>546</v>
      </c>
      <c r="D82" s="144" t="s">
        <v>769</v>
      </c>
      <c r="E82" s="145" t="s">
        <v>769</v>
      </c>
      <c r="F82" s="145" t="s">
        <v>769</v>
      </c>
      <c r="G82" s="145" t="s">
        <v>769</v>
      </c>
      <c r="H82" s="145" t="s">
        <v>769</v>
      </c>
      <c r="I82" s="145" t="s">
        <v>769</v>
      </c>
      <c r="J82" s="145" t="s">
        <v>769</v>
      </c>
    </row>
    <row r="83" spans="1:10">
      <c r="A83" s="45" t="str">
        <f t="array" ref="A83">IFERROR(INDEX(baseline!$A$3:$A$201,MATCH($B83&amp;$C83,baseline!$C$3:$C$201&amp;baseline!$D$3:$D$201,0)),"NA")</f>
        <v>NA</v>
      </c>
      <c r="B83" s="144" t="s">
        <v>763</v>
      </c>
      <c r="C83" s="144" t="s">
        <v>881</v>
      </c>
      <c r="D83" s="144" t="s">
        <v>769</v>
      </c>
      <c r="E83" s="145" t="s">
        <v>769</v>
      </c>
      <c r="F83" s="145" t="s">
        <v>769</v>
      </c>
      <c r="G83" s="145" t="s">
        <v>769</v>
      </c>
      <c r="H83" s="145" t="s">
        <v>769</v>
      </c>
      <c r="I83" s="145" t="s">
        <v>769</v>
      </c>
      <c r="J83" s="145" t="s">
        <v>769</v>
      </c>
    </row>
    <row r="84" spans="1:10">
      <c r="A84" s="45" t="str">
        <f t="array" ref="A84">IFERROR(INDEX(baseline!$A$3:$A$201,MATCH($B84&amp;$C84,baseline!$C$3:$C$201&amp;baseline!$D$3:$D$201,0)),"NA")</f>
        <v>NA</v>
      </c>
      <c r="B84" s="144" t="s">
        <v>712</v>
      </c>
      <c r="C84" s="144" t="s">
        <v>546</v>
      </c>
      <c r="D84" s="144" t="s">
        <v>769</v>
      </c>
      <c r="E84" s="145" t="s">
        <v>769</v>
      </c>
      <c r="F84" s="145" t="s">
        <v>769</v>
      </c>
      <c r="G84" s="145" t="s">
        <v>769</v>
      </c>
      <c r="H84" s="145" t="s">
        <v>769</v>
      </c>
      <c r="I84" s="145" t="s">
        <v>769</v>
      </c>
      <c r="J84" s="145" t="s">
        <v>769</v>
      </c>
    </row>
    <row r="85" spans="1:10">
      <c r="A85" s="45" t="str">
        <f t="array" ref="A85">IFERROR(INDEX(baseline!$A$3:$A$201,MATCH($B85&amp;$C85,baseline!$C$3:$C$201&amp;baseline!$D$3:$D$201,0)),"NA")</f>
        <v>NA</v>
      </c>
      <c r="B85" s="144" t="s">
        <v>1</v>
      </c>
      <c r="C85" s="144" t="s">
        <v>13</v>
      </c>
      <c r="D85" s="144" t="s">
        <v>769</v>
      </c>
      <c r="E85" s="144" t="s">
        <v>769</v>
      </c>
      <c r="F85" s="144" t="s">
        <v>769</v>
      </c>
      <c r="G85" s="144" t="s">
        <v>769</v>
      </c>
      <c r="H85" s="144" t="s">
        <v>769</v>
      </c>
      <c r="I85" s="144" t="s">
        <v>769</v>
      </c>
      <c r="J85" s="144" t="s">
        <v>769</v>
      </c>
    </row>
    <row r="86" spans="1:10">
      <c r="A86" s="45" t="str">
        <f t="array" ref="A86">IFERROR(INDEX(baseline!$A$3:$A$201,MATCH($B86&amp;$C86,baseline!$C$3:$C$201&amp;baseline!$D$3:$D$201,0)),"NA")</f>
        <v>NA</v>
      </c>
      <c r="B86" s="144" t="s">
        <v>1</v>
      </c>
      <c r="C86" s="144" t="s">
        <v>546</v>
      </c>
      <c r="D86" s="144" t="s">
        <v>769</v>
      </c>
      <c r="E86" s="144" t="s">
        <v>769</v>
      </c>
      <c r="F86" s="144" t="s">
        <v>769</v>
      </c>
      <c r="G86" s="144" t="s">
        <v>769</v>
      </c>
      <c r="H86" s="144" t="s">
        <v>769</v>
      </c>
      <c r="I86" s="144" t="s">
        <v>769</v>
      </c>
      <c r="J86" s="144" t="s">
        <v>769</v>
      </c>
    </row>
    <row r="87" spans="1:10">
      <c r="A87" s="45">
        <f t="array" ref="A87">IFERROR(INDEX(baseline!$A$3:$A$201,MATCH($B87&amp;$C87,baseline!$C$3:$C$201&amp;baseline!$D$3:$D$201,0)),"NA")</f>
        <v>1</v>
      </c>
      <c r="B87" s="144" t="s">
        <v>0</v>
      </c>
      <c r="C87" s="144" t="s">
        <v>881</v>
      </c>
      <c r="D87" s="145" t="s">
        <v>865</v>
      </c>
      <c r="E87" s="145" t="s">
        <v>769</v>
      </c>
      <c r="F87" s="145">
        <v>0.89500000000000002</v>
      </c>
      <c r="G87" s="144" t="s">
        <v>769</v>
      </c>
      <c r="H87" s="144" t="s">
        <v>769</v>
      </c>
      <c r="I87" s="145">
        <v>0.89500000000000002</v>
      </c>
      <c r="J87" s="145">
        <v>10200</v>
      </c>
    </row>
    <row r="88" spans="1:10">
      <c r="A88" s="45">
        <f t="array" ref="A88">IFERROR(INDEX(baseline!$A$3:$A$201,MATCH($B88&amp;$C88,baseline!$C$3:$C$201&amp;baseline!$D$3:$D$201,0)),"NA")</f>
        <v>2</v>
      </c>
      <c r="B88" s="144" t="s">
        <v>78</v>
      </c>
      <c r="C88" s="144" t="s">
        <v>881</v>
      </c>
      <c r="D88" s="145" t="s">
        <v>865</v>
      </c>
      <c r="E88" s="145" t="s">
        <v>769</v>
      </c>
      <c r="F88" s="145">
        <v>0.89500000000000002</v>
      </c>
      <c r="G88" s="144" t="s">
        <v>769</v>
      </c>
      <c r="H88" s="144" t="s">
        <v>769</v>
      </c>
      <c r="I88" s="145">
        <v>0.89500000000000002</v>
      </c>
      <c r="J88" s="145">
        <v>6120</v>
      </c>
    </row>
    <row r="89" spans="1:10">
      <c r="A89" s="45">
        <f t="array" ref="A89">IFERROR(INDEX(baseline!$A$3:$A$201,MATCH($B89&amp;$C89,baseline!$C$3:$C$201&amp;baseline!$D$3:$D$201,0)),"NA")</f>
        <v>3</v>
      </c>
      <c r="B89" s="144" t="s">
        <v>545</v>
      </c>
      <c r="C89" s="144" t="s">
        <v>881</v>
      </c>
      <c r="D89" s="145" t="s">
        <v>865</v>
      </c>
      <c r="E89" s="145" t="s">
        <v>769</v>
      </c>
      <c r="F89" s="145">
        <v>0.89500000000000002</v>
      </c>
      <c r="G89" s="144" t="s">
        <v>769</v>
      </c>
      <c r="H89" s="144" t="s">
        <v>769</v>
      </c>
      <c r="I89" s="145">
        <v>0.89500000000000002</v>
      </c>
      <c r="J89" s="145">
        <v>10636</v>
      </c>
    </row>
    <row r="90" spans="1:10">
      <c r="A90" s="45">
        <f t="array" ref="A90">IFERROR(INDEX(baseline!$A$3:$A$201,MATCH($B90&amp;$C90,baseline!$C$3:$C$201&amp;baseline!$D$3:$D$201,0)),"NA")</f>
        <v>4</v>
      </c>
      <c r="B90" s="144" t="s">
        <v>545</v>
      </c>
      <c r="C90" s="144" t="s">
        <v>546</v>
      </c>
      <c r="D90" s="145" t="s">
        <v>865</v>
      </c>
      <c r="E90" s="145" t="s">
        <v>769</v>
      </c>
      <c r="F90" s="145">
        <v>0.89500000000000002</v>
      </c>
      <c r="G90" s="144" t="s">
        <v>769</v>
      </c>
      <c r="H90" s="144" t="s">
        <v>769</v>
      </c>
      <c r="I90" s="145">
        <v>0.89500000000000002</v>
      </c>
      <c r="J90" s="145">
        <v>10636</v>
      </c>
    </row>
    <row r="91" spans="1:10">
      <c r="A91" s="45">
        <f t="array" ref="A91">IFERROR(INDEX(baseline!$A$3:$A$201,MATCH($B91&amp;$C91,baseline!$C$3:$C$201&amp;baseline!$D$3:$D$201,0)),"NA")</f>
        <v>5</v>
      </c>
      <c r="B91" s="144" t="s">
        <v>761</v>
      </c>
      <c r="C91" s="144" t="s">
        <v>881</v>
      </c>
      <c r="D91" s="145" t="s">
        <v>865</v>
      </c>
      <c r="E91" s="145" t="s">
        <v>769</v>
      </c>
      <c r="F91" s="145">
        <v>0.89500000000000002</v>
      </c>
      <c r="G91" s="144" t="s">
        <v>769</v>
      </c>
      <c r="H91" s="144" t="s">
        <v>769</v>
      </c>
      <c r="I91" s="145">
        <v>0.89500000000000002</v>
      </c>
      <c r="J91" s="145">
        <v>6855</v>
      </c>
    </row>
    <row r="92" spans="1:10">
      <c r="A92" s="45">
        <f t="array" ref="A92">IFERROR(INDEX(baseline!$A$3:$A$201,MATCH($B92&amp;$C92,baseline!$C$3:$C$201&amp;baseline!$D$3:$D$201,0)),"NA")</f>
        <v>6</v>
      </c>
      <c r="B92" s="144" t="s">
        <v>761</v>
      </c>
      <c r="C92" s="144" t="s">
        <v>13</v>
      </c>
      <c r="D92" s="145" t="s">
        <v>865</v>
      </c>
      <c r="E92" s="145" t="s">
        <v>769</v>
      </c>
      <c r="F92" s="145">
        <v>0.89500000000000002</v>
      </c>
      <c r="G92" s="144" t="s">
        <v>769</v>
      </c>
      <c r="H92" s="144" t="s">
        <v>769</v>
      </c>
      <c r="I92" s="145">
        <v>0.89500000000000002</v>
      </c>
      <c r="J92" s="145">
        <v>6855</v>
      </c>
    </row>
    <row r="93" spans="1:10">
      <c r="A93" s="45">
        <f t="array" ref="A93">IFERROR(INDEX(baseline!$A$3:$A$201,MATCH($B93&amp;$C93,baseline!$C$3:$C$201&amp;baseline!$D$3:$D$201,0)),"NA")</f>
        <v>7</v>
      </c>
      <c r="B93" s="144" t="s">
        <v>761</v>
      </c>
      <c r="C93" s="144" t="s">
        <v>14</v>
      </c>
      <c r="D93" s="145" t="s">
        <v>865</v>
      </c>
      <c r="E93" s="145" t="s">
        <v>769</v>
      </c>
      <c r="F93" s="145">
        <v>0.89500000000000002</v>
      </c>
      <c r="G93" s="144" t="s">
        <v>769</v>
      </c>
      <c r="H93" s="144" t="s">
        <v>769</v>
      </c>
      <c r="I93" s="145">
        <v>0.89500000000000002</v>
      </c>
      <c r="J93" s="145">
        <v>6855</v>
      </c>
    </row>
    <row r="94" spans="1:10">
      <c r="A94" s="45">
        <f t="array" ref="A94">IFERROR(INDEX(baseline!$A$3:$A$201,MATCH($B94&amp;$C94,baseline!$C$3:$C$201&amp;baseline!$D$3:$D$201,0)),"NA")</f>
        <v>8</v>
      </c>
      <c r="B94" s="144" t="s">
        <v>697</v>
      </c>
      <c r="C94" s="144" t="s">
        <v>881</v>
      </c>
      <c r="D94" s="145" t="s">
        <v>865</v>
      </c>
      <c r="E94" s="145" t="s">
        <v>769</v>
      </c>
      <c r="F94" s="145">
        <v>0.89500000000000002</v>
      </c>
      <c r="G94" s="144" t="s">
        <v>769</v>
      </c>
      <c r="H94" s="144" t="s">
        <v>769</v>
      </c>
      <c r="I94" s="145">
        <v>0.89500000000000002</v>
      </c>
      <c r="J94" s="145">
        <v>5266</v>
      </c>
    </row>
    <row r="95" spans="1:10">
      <c r="A95" s="45">
        <f t="array" ref="A95">IFERROR(INDEX(baseline!$A$3:$A$201,MATCH($B95&amp;$C95,baseline!$C$3:$C$201&amp;baseline!$D$3:$D$201,0)),"NA")</f>
        <v>9</v>
      </c>
      <c r="B95" s="144" t="s">
        <v>697</v>
      </c>
      <c r="C95" s="144" t="s">
        <v>14</v>
      </c>
      <c r="D95" s="145" t="s">
        <v>865</v>
      </c>
      <c r="E95" s="145" t="s">
        <v>769</v>
      </c>
      <c r="F95" s="145">
        <v>0.89500000000000002</v>
      </c>
      <c r="G95" s="144" t="s">
        <v>769</v>
      </c>
      <c r="H95" s="144" t="s">
        <v>769</v>
      </c>
      <c r="I95" s="145">
        <v>0.89500000000000002</v>
      </c>
      <c r="J95" s="145">
        <v>5266</v>
      </c>
    </row>
    <row r="96" spans="1:10">
      <c r="A96" s="45">
        <f t="array" ref="A96">IFERROR(INDEX(baseline!$A$3:$A$201,MATCH($B96&amp;$C96,baseline!$C$3:$C$201&amp;baseline!$D$3:$D$201,0)),"NA")</f>
        <v>10</v>
      </c>
      <c r="B96" s="144" t="s">
        <v>713</v>
      </c>
      <c r="C96" s="144" t="s">
        <v>881</v>
      </c>
      <c r="D96" s="145" t="s">
        <v>865</v>
      </c>
      <c r="E96" s="145" t="s">
        <v>769</v>
      </c>
      <c r="F96" s="145">
        <v>0.89500000000000002</v>
      </c>
      <c r="G96" s="144" t="s">
        <v>769</v>
      </c>
      <c r="H96" s="144" t="s">
        <v>769</v>
      </c>
      <c r="I96" s="145">
        <v>0.89500000000000002</v>
      </c>
      <c r="J96" s="145">
        <v>4516</v>
      </c>
    </row>
    <row r="97" spans="1:10">
      <c r="A97" s="45">
        <f t="array" ref="A97">IFERROR(INDEX(baseline!$A$3:$A$201,MATCH($B97&amp;$C97,baseline!$C$3:$C$201&amp;baseline!$D$3:$D$201,0)),"NA")</f>
        <v>11</v>
      </c>
      <c r="B97" s="144" t="s">
        <v>713</v>
      </c>
      <c r="C97" s="144" t="s">
        <v>13</v>
      </c>
      <c r="D97" s="145" t="s">
        <v>865</v>
      </c>
      <c r="E97" s="145" t="s">
        <v>769</v>
      </c>
      <c r="F97" s="145">
        <v>0.89500000000000002</v>
      </c>
      <c r="G97" s="144" t="s">
        <v>769</v>
      </c>
      <c r="H97" s="144" t="s">
        <v>769</v>
      </c>
      <c r="I97" s="145">
        <v>0.89500000000000002</v>
      </c>
      <c r="J97" s="145">
        <v>4516</v>
      </c>
    </row>
    <row r="98" spans="1:10">
      <c r="A98" s="45">
        <f t="array" ref="A98">IFERROR(INDEX(baseline!$A$3:$A$201,MATCH($B98&amp;$C98,baseline!$C$3:$C$201&amp;baseline!$D$3:$D$201,0)),"NA")</f>
        <v>12</v>
      </c>
      <c r="B98" s="144" t="s">
        <v>713</v>
      </c>
      <c r="C98" s="144" t="s">
        <v>14</v>
      </c>
      <c r="D98" s="145" t="s">
        <v>865</v>
      </c>
      <c r="E98" s="145" t="s">
        <v>769</v>
      </c>
      <c r="F98" s="145">
        <v>0.89500000000000002</v>
      </c>
      <c r="G98" s="144" t="s">
        <v>769</v>
      </c>
      <c r="H98" s="144" t="s">
        <v>769</v>
      </c>
      <c r="I98" s="145">
        <v>0.89500000000000002</v>
      </c>
      <c r="J98" s="145">
        <v>4516</v>
      </c>
    </row>
    <row r="99" spans="1:10">
      <c r="A99" s="45">
        <f t="array" ref="A99">IFERROR(INDEX(baseline!$A$3:$A$201,MATCH($B99&amp;$C99,baseline!$C$3:$C$201&amp;baseline!$D$3:$D$201,0)),"NA")</f>
        <v>13</v>
      </c>
      <c r="B99" s="144" t="s">
        <v>762</v>
      </c>
      <c r="C99" s="144" t="s">
        <v>881</v>
      </c>
      <c r="D99" s="145" t="s">
        <v>865</v>
      </c>
      <c r="E99" s="145" t="s">
        <v>769</v>
      </c>
      <c r="F99" s="145">
        <v>0.89500000000000002</v>
      </c>
      <c r="G99" s="144" t="s">
        <v>769</v>
      </c>
      <c r="H99" s="144" t="s">
        <v>769</v>
      </c>
      <c r="I99" s="145">
        <v>0.89500000000000002</v>
      </c>
      <c r="J99" s="145">
        <v>8276</v>
      </c>
    </row>
    <row r="100" spans="1:10">
      <c r="A100" s="45">
        <f t="array" ref="A100">IFERROR(INDEX(baseline!$A$3:$A$201,MATCH($B100&amp;$C100,baseline!$C$3:$C$201&amp;baseline!$D$3:$D$201,0)),"NA")</f>
        <v>14</v>
      </c>
      <c r="B100" s="144" t="s">
        <v>762</v>
      </c>
      <c r="C100" s="144" t="s">
        <v>13</v>
      </c>
      <c r="D100" s="145" t="s">
        <v>865</v>
      </c>
      <c r="E100" s="145" t="s">
        <v>769</v>
      </c>
      <c r="F100" s="145">
        <v>0.89500000000000002</v>
      </c>
      <c r="G100" s="144" t="s">
        <v>769</v>
      </c>
      <c r="H100" s="144" t="s">
        <v>769</v>
      </c>
      <c r="I100" s="145">
        <v>0.89500000000000002</v>
      </c>
      <c r="J100" s="145">
        <v>8276</v>
      </c>
    </row>
    <row r="101" spans="1:10">
      <c r="A101" s="45">
        <f t="array" ref="A101">IFERROR(INDEX(baseline!$A$3:$A$201,MATCH($B101&amp;$C101,baseline!$C$3:$C$201&amp;baseline!$D$3:$D$201,0)),"NA")</f>
        <v>15</v>
      </c>
      <c r="B101" s="144" t="s">
        <v>762</v>
      </c>
      <c r="C101" s="144" t="s">
        <v>14</v>
      </c>
      <c r="D101" s="145" t="s">
        <v>865</v>
      </c>
      <c r="E101" s="145" t="s">
        <v>769</v>
      </c>
      <c r="F101" s="145">
        <v>0.89500000000000002</v>
      </c>
      <c r="G101" s="144" t="s">
        <v>769</v>
      </c>
      <c r="H101" s="144" t="s">
        <v>769</v>
      </c>
      <c r="I101" s="145">
        <v>0.89500000000000002</v>
      </c>
      <c r="J101" s="145">
        <v>8276</v>
      </c>
    </row>
    <row r="102" spans="1:10">
      <c r="A102" s="45">
        <f t="array" ref="A102">IFERROR(INDEX(baseline!$A$3:$A$201,MATCH($B102&amp;$C102,baseline!$C$3:$C$201&amp;baseline!$D$3:$D$201,0)),"NA")</f>
        <v>16</v>
      </c>
      <c r="B102" s="144" t="s">
        <v>763</v>
      </c>
      <c r="C102" s="144" t="s">
        <v>13</v>
      </c>
      <c r="D102" s="145" t="s">
        <v>865</v>
      </c>
      <c r="E102" s="145" t="s">
        <v>769</v>
      </c>
      <c r="F102" s="145">
        <v>0.89500000000000002</v>
      </c>
      <c r="G102" s="144" t="s">
        <v>769</v>
      </c>
      <c r="H102" s="144" t="s">
        <v>769</v>
      </c>
      <c r="I102" s="145">
        <v>0.89500000000000002</v>
      </c>
      <c r="J102" s="145">
        <v>1745</v>
      </c>
    </row>
    <row r="103" spans="1:10">
      <c r="A103" s="45">
        <f t="array" ref="A103">IFERROR(INDEX(baseline!$A$3:$A$201,MATCH($B103&amp;$C103,baseline!$C$3:$C$201&amp;baseline!$D$3:$D$201,0)),"NA")</f>
        <v>17</v>
      </c>
      <c r="B103" s="144" t="s">
        <v>763</v>
      </c>
      <c r="C103" s="144" t="s">
        <v>14</v>
      </c>
      <c r="D103" s="145" t="s">
        <v>865</v>
      </c>
      <c r="E103" s="145" t="s">
        <v>769</v>
      </c>
      <c r="F103" s="145">
        <v>0.89500000000000002</v>
      </c>
      <c r="G103" s="144" t="s">
        <v>769</v>
      </c>
      <c r="H103" s="144" t="s">
        <v>769</v>
      </c>
      <c r="I103" s="145">
        <v>0.89500000000000002</v>
      </c>
      <c r="J103" s="145">
        <v>1745</v>
      </c>
    </row>
    <row r="104" spans="1:10">
      <c r="A104" s="45">
        <f t="array" ref="A104">IFERROR(INDEX(baseline!$A$3:$A$201,MATCH($B104&amp;$C104,baseline!$C$3:$C$201&amp;baseline!$D$3:$D$201,0)),"NA")</f>
        <v>18</v>
      </c>
      <c r="B104" s="144" t="s">
        <v>763</v>
      </c>
      <c r="C104" s="144" t="s">
        <v>546</v>
      </c>
      <c r="D104" s="145" t="s">
        <v>865</v>
      </c>
      <c r="E104" s="145" t="s">
        <v>769</v>
      </c>
      <c r="F104" s="145">
        <v>0.89500000000000002</v>
      </c>
      <c r="G104" s="144" t="s">
        <v>769</v>
      </c>
      <c r="H104" s="144" t="s">
        <v>769</v>
      </c>
      <c r="I104" s="145">
        <v>0.89500000000000002</v>
      </c>
      <c r="J104" s="145">
        <v>1745</v>
      </c>
    </row>
    <row r="105" spans="1:10">
      <c r="A105" s="45">
        <f t="array" ref="A105">IFERROR(INDEX(baseline!$A$3:$A$201,MATCH($B105&amp;$C105,baseline!$C$3:$C$201&amp;baseline!$D$3:$D$201,0)),"NA")</f>
        <v>19</v>
      </c>
      <c r="B105" s="144" t="s">
        <v>712</v>
      </c>
      <c r="C105" s="144" t="s">
        <v>14</v>
      </c>
      <c r="D105" s="145" t="s">
        <v>865</v>
      </c>
      <c r="E105" s="145" t="s">
        <v>769</v>
      </c>
      <c r="F105" s="145">
        <v>0.89500000000000002</v>
      </c>
      <c r="G105" s="144" t="s">
        <v>769</v>
      </c>
      <c r="H105" s="144" t="s">
        <v>769</v>
      </c>
      <c r="I105" s="145">
        <v>0.89500000000000002</v>
      </c>
      <c r="J105" s="145">
        <v>35398</v>
      </c>
    </row>
    <row r="106" spans="1:10">
      <c r="A106" s="45">
        <f t="array" ref="A106">IFERROR(INDEX(baseline!$A$3:$A$201,MATCH($B106&amp;$C106,baseline!$C$3:$C$201&amp;baseline!$D$3:$D$201,0)),"NA")</f>
        <v>24</v>
      </c>
      <c r="B106" s="144" t="s">
        <v>547</v>
      </c>
      <c r="C106" s="144" t="s">
        <v>881</v>
      </c>
      <c r="D106" s="145" t="s">
        <v>865</v>
      </c>
      <c r="E106" s="145" t="s">
        <v>769</v>
      </c>
      <c r="F106" s="145">
        <v>0.89500000000000002</v>
      </c>
      <c r="G106" s="144" t="s">
        <v>769</v>
      </c>
      <c r="H106" s="144" t="s">
        <v>769</v>
      </c>
      <c r="I106" s="145">
        <v>0.89500000000000002</v>
      </c>
      <c r="J106" s="145">
        <v>20033</v>
      </c>
    </row>
    <row r="107" spans="1:10">
      <c r="A107" s="45">
        <f t="array" ref="A107">IFERROR(INDEX(baseline!$A$3:$A$201,MATCH($B107&amp;$C107,baseline!$C$3:$C$201&amp;baseline!$D$3:$D$201,0)),"NA")</f>
        <v>25</v>
      </c>
      <c r="B107" s="144" t="s">
        <v>547</v>
      </c>
      <c r="C107" s="144" t="s">
        <v>14</v>
      </c>
      <c r="D107" s="145" t="s">
        <v>865</v>
      </c>
      <c r="E107" s="145" t="s">
        <v>769</v>
      </c>
      <c r="F107" s="145">
        <v>0.89500000000000002</v>
      </c>
      <c r="G107" s="144" t="s">
        <v>769</v>
      </c>
      <c r="H107" s="144" t="s">
        <v>769</v>
      </c>
      <c r="I107" s="145">
        <v>0.89500000000000002</v>
      </c>
      <c r="J107" s="145">
        <v>20033</v>
      </c>
    </row>
    <row r="108" spans="1:10">
      <c r="A108" s="45">
        <f t="array" ref="A108">IFERROR(INDEX(baseline!$A$3:$A$201,MATCH($B108&amp;$C108,baseline!$C$3:$C$201&amp;baseline!$D$3:$D$201,0)),"NA")</f>
        <v>26</v>
      </c>
      <c r="B108" s="144" t="s">
        <v>547</v>
      </c>
      <c r="C108" s="144" t="s">
        <v>546</v>
      </c>
      <c r="D108" s="145" t="s">
        <v>865</v>
      </c>
      <c r="E108" s="145" t="s">
        <v>769</v>
      </c>
      <c r="F108" s="145">
        <v>0.89500000000000002</v>
      </c>
      <c r="G108" s="144" t="s">
        <v>769</v>
      </c>
      <c r="H108" s="144" t="s">
        <v>769</v>
      </c>
      <c r="I108" s="145">
        <v>0.89500000000000002</v>
      </c>
      <c r="J108" s="145">
        <v>20033</v>
      </c>
    </row>
    <row r="109" spans="1:10">
      <c r="A109" s="45">
        <f t="array" ref="A109">IFERROR(INDEX(baseline!$A$3:$A$201,MATCH($B109&amp;$C109,baseline!$C$3:$C$201&amp;baseline!$D$3:$D$201,0)),"NA")</f>
        <v>27</v>
      </c>
      <c r="B109" s="144" t="s">
        <v>1</v>
      </c>
      <c r="C109" s="144" t="s">
        <v>881</v>
      </c>
      <c r="D109" s="145" t="s">
        <v>865</v>
      </c>
      <c r="E109" s="145" t="s">
        <v>769</v>
      </c>
      <c r="F109" s="145">
        <v>0.89500000000000002</v>
      </c>
      <c r="G109" s="144" t="s">
        <v>769</v>
      </c>
      <c r="H109" s="144" t="s">
        <v>769</v>
      </c>
      <c r="I109" s="145">
        <v>0.89500000000000002</v>
      </c>
      <c r="J109" s="145">
        <v>3349</v>
      </c>
    </row>
    <row r="110" spans="1:10">
      <c r="A110" s="45">
        <f t="array" ref="A110">IFERROR(INDEX(baseline!$A$3:$A$201,MATCH($B110&amp;$C110,baseline!$C$3:$C$201&amp;baseline!$D$3:$D$201,0)),"NA")</f>
        <v>28</v>
      </c>
      <c r="B110" s="144" t="s">
        <v>1</v>
      </c>
      <c r="C110" s="144" t="s">
        <v>14</v>
      </c>
      <c r="D110" s="145" t="s">
        <v>865</v>
      </c>
      <c r="E110" s="145" t="s">
        <v>769</v>
      </c>
      <c r="F110" s="145">
        <v>0.89500000000000002</v>
      </c>
      <c r="G110" s="144" t="s">
        <v>769</v>
      </c>
      <c r="H110" s="144" t="s">
        <v>769</v>
      </c>
      <c r="I110" s="145">
        <v>0.89500000000000002</v>
      </c>
      <c r="J110" s="145">
        <v>3349</v>
      </c>
    </row>
    <row r="111" spans="1:10">
      <c r="A111" s="45" t="str">
        <f t="array" ref="A111">IFERROR(INDEX(baseline!$A$3:$A$201,MATCH($B111&amp;$C111,baseline!$C$3:$C$201&amp;baseline!$D$3:$D$201,0)),"NA")</f>
        <v>NA</v>
      </c>
      <c r="B111" s="144" t="s">
        <v>0</v>
      </c>
      <c r="C111" s="144" t="s">
        <v>13</v>
      </c>
      <c r="D111" s="145" t="s">
        <v>865</v>
      </c>
      <c r="E111" s="145" t="s">
        <v>769</v>
      </c>
      <c r="F111" s="145">
        <v>0.89500000000000002</v>
      </c>
      <c r="G111" s="144" t="s">
        <v>769</v>
      </c>
      <c r="H111" s="144" t="s">
        <v>769</v>
      </c>
      <c r="I111" s="145">
        <v>0.89500000000000002</v>
      </c>
      <c r="J111" s="145">
        <v>10200</v>
      </c>
    </row>
    <row r="112" spans="1:10">
      <c r="A112" s="45" t="str">
        <f t="array" ref="A112">IFERROR(INDEX(baseline!$A$3:$A$201,MATCH($B112&amp;$C112,baseline!$C$3:$C$201&amp;baseline!$D$3:$D$201,0)),"NA")</f>
        <v>NA</v>
      </c>
      <c r="B112" s="144" t="s">
        <v>0</v>
      </c>
      <c r="C112" s="144" t="s">
        <v>14</v>
      </c>
      <c r="D112" s="145" t="s">
        <v>865</v>
      </c>
      <c r="E112" s="145" t="s">
        <v>769</v>
      </c>
      <c r="F112" s="145">
        <v>0.89500000000000002</v>
      </c>
      <c r="G112" s="144" t="s">
        <v>769</v>
      </c>
      <c r="H112" s="144" t="s">
        <v>769</v>
      </c>
      <c r="I112" s="145">
        <v>0.89500000000000002</v>
      </c>
      <c r="J112" s="145">
        <v>10200</v>
      </c>
    </row>
    <row r="113" spans="1:10">
      <c r="A113" s="45">
        <f t="array" ref="A113">IFERROR(INDEX(baseline!$A$3:$A$201,MATCH($B113&amp;$C113,baseline!$C$3:$C$201&amp;baseline!$D$3:$D$201,0)),"NA")</f>
        <v>30</v>
      </c>
      <c r="B113" s="144" t="s">
        <v>0</v>
      </c>
      <c r="C113" s="144" t="s">
        <v>546</v>
      </c>
      <c r="D113" s="145" t="s">
        <v>865</v>
      </c>
      <c r="E113" s="145" t="s">
        <v>769</v>
      </c>
      <c r="F113" s="145">
        <v>0.89500000000000002</v>
      </c>
      <c r="G113" s="144" t="s">
        <v>769</v>
      </c>
      <c r="H113" s="144" t="s">
        <v>769</v>
      </c>
      <c r="I113" s="145">
        <v>0.89500000000000002</v>
      </c>
      <c r="J113" s="145">
        <v>10200</v>
      </c>
    </row>
    <row r="114" spans="1:10">
      <c r="A114" s="45" t="str">
        <f t="array" ref="A114">IFERROR(INDEX(baseline!$A$3:$A$201,MATCH($B114&amp;$C114,baseline!$C$3:$C$201&amp;baseline!$D$3:$D$201,0)),"NA")</f>
        <v>NA</v>
      </c>
      <c r="B114" s="144" t="s">
        <v>78</v>
      </c>
      <c r="C114" s="144" t="s">
        <v>13</v>
      </c>
      <c r="D114" s="145" t="s">
        <v>865</v>
      </c>
      <c r="E114" s="145" t="s">
        <v>769</v>
      </c>
      <c r="F114" s="145">
        <v>0.89500000000000002</v>
      </c>
      <c r="G114" s="144" t="s">
        <v>769</v>
      </c>
      <c r="H114" s="144" t="s">
        <v>769</v>
      </c>
      <c r="I114" s="145">
        <v>0.89500000000000002</v>
      </c>
      <c r="J114" s="145">
        <v>6120</v>
      </c>
    </row>
    <row r="115" spans="1:10">
      <c r="A115" s="45" t="str">
        <f t="array" ref="A115">IFERROR(INDEX(baseline!$A$3:$A$201,MATCH($B115&amp;$C115,baseline!$C$3:$C$201&amp;baseline!$D$3:$D$201,0)),"NA")</f>
        <v>NA</v>
      </c>
      <c r="B115" s="144" t="s">
        <v>78</v>
      </c>
      <c r="C115" s="144" t="s">
        <v>14</v>
      </c>
      <c r="D115" s="145" t="s">
        <v>865</v>
      </c>
      <c r="E115" s="145" t="s">
        <v>769</v>
      </c>
      <c r="F115" s="145">
        <v>0.89500000000000002</v>
      </c>
      <c r="G115" s="144" t="s">
        <v>769</v>
      </c>
      <c r="H115" s="144" t="s">
        <v>769</v>
      </c>
      <c r="I115" s="145">
        <v>0.89500000000000002</v>
      </c>
      <c r="J115" s="145">
        <v>6120</v>
      </c>
    </row>
    <row r="116" spans="1:10">
      <c r="A116" s="45">
        <f t="array" ref="A116">IFERROR(INDEX(baseline!$A$3:$A$201,MATCH($B116&amp;$C116,baseline!$C$3:$C$201&amp;baseline!$D$3:$D$201,0)),"NA")</f>
        <v>31</v>
      </c>
      <c r="B116" s="144" t="s">
        <v>78</v>
      </c>
      <c r="C116" s="144" t="s">
        <v>546</v>
      </c>
      <c r="D116" s="145" t="s">
        <v>865</v>
      </c>
      <c r="E116" s="145" t="s">
        <v>769</v>
      </c>
      <c r="F116" s="145">
        <v>0.89500000000000002</v>
      </c>
      <c r="G116" s="144" t="s">
        <v>769</v>
      </c>
      <c r="H116" s="144" t="s">
        <v>769</v>
      </c>
      <c r="I116" s="145">
        <v>0.89500000000000002</v>
      </c>
      <c r="J116" s="145">
        <v>6120</v>
      </c>
    </row>
    <row r="117" spans="1:10">
      <c r="A117" s="45" t="str">
        <f t="array" ref="A117">IFERROR(INDEX(baseline!$A$3:$A$201,MATCH($B117&amp;$C117,baseline!$C$3:$C$201&amp;baseline!$D$3:$D$201,0)),"NA")</f>
        <v>NA</v>
      </c>
      <c r="B117" s="144" t="s">
        <v>545</v>
      </c>
      <c r="C117" s="144" t="s">
        <v>13</v>
      </c>
      <c r="D117" s="145" t="s">
        <v>865</v>
      </c>
      <c r="E117" s="145" t="s">
        <v>769</v>
      </c>
      <c r="F117" s="145">
        <v>0.89500000000000002</v>
      </c>
      <c r="G117" s="144" t="s">
        <v>769</v>
      </c>
      <c r="H117" s="144" t="s">
        <v>769</v>
      </c>
      <c r="I117" s="145">
        <v>0.89500000000000002</v>
      </c>
      <c r="J117" s="145">
        <v>10636</v>
      </c>
    </row>
    <row r="118" spans="1:10">
      <c r="A118" s="45" t="str">
        <f t="array" ref="A118">IFERROR(INDEX(baseline!$A$3:$A$201,MATCH($B118&amp;$C118,baseline!$C$3:$C$201&amp;baseline!$D$3:$D$201,0)),"NA")</f>
        <v>NA</v>
      </c>
      <c r="B118" s="144" t="s">
        <v>545</v>
      </c>
      <c r="C118" s="144" t="s">
        <v>14</v>
      </c>
      <c r="D118" s="145" t="s">
        <v>865</v>
      </c>
      <c r="E118" s="145" t="s">
        <v>769</v>
      </c>
      <c r="F118" s="145">
        <v>0.89500000000000002</v>
      </c>
      <c r="G118" s="144" t="s">
        <v>769</v>
      </c>
      <c r="H118" s="144" t="s">
        <v>769</v>
      </c>
      <c r="I118" s="145">
        <v>0.89500000000000002</v>
      </c>
      <c r="J118" s="145">
        <v>10636</v>
      </c>
    </row>
    <row r="119" spans="1:10">
      <c r="A119" s="45">
        <f t="array" ref="A119">IFERROR(INDEX(baseline!$A$3:$A$201,MATCH($B119&amp;$C119,baseline!$C$3:$C$201&amp;baseline!$D$3:$D$201,0)),"NA")</f>
        <v>29</v>
      </c>
      <c r="B119" s="144" t="s">
        <v>761</v>
      </c>
      <c r="C119" s="144" t="s">
        <v>546</v>
      </c>
      <c r="D119" s="145" t="s">
        <v>865</v>
      </c>
      <c r="E119" s="145" t="s">
        <v>769</v>
      </c>
      <c r="F119" s="145">
        <v>0.89500000000000002</v>
      </c>
      <c r="G119" s="144" t="s">
        <v>769</v>
      </c>
      <c r="H119" s="144" t="s">
        <v>769</v>
      </c>
      <c r="I119" s="145">
        <v>0.89500000000000002</v>
      </c>
      <c r="J119" s="145">
        <v>6855</v>
      </c>
    </row>
    <row r="120" spans="1:10">
      <c r="A120" s="45" t="str">
        <f t="array" ref="A120">IFERROR(INDEX(baseline!$A$3:$A$201,MATCH($B120&amp;$C120,baseline!$C$3:$C$201&amp;baseline!$D$3:$D$201,0)),"NA")</f>
        <v>NA</v>
      </c>
      <c r="B120" s="144" t="s">
        <v>697</v>
      </c>
      <c r="C120" s="144" t="s">
        <v>13</v>
      </c>
      <c r="D120" s="145" t="s">
        <v>865</v>
      </c>
      <c r="E120" s="145" t="s">
        <v>769</v>
      </c>
      <c r="F120" s="145">
        <v>0.89500000000000002</v>
      </c>
      <c r="G120" s="144" t="s">
        <v>769</v>
      </c>
      <c r="H120" s="144" t="s">
        <v>769</v>
      </c>
      <c r="I120" s="145">
        <v>0.89500000000000002</v>
      </c>
      <c r="J120" s="145">
        <v>5266</v>
      </c>
    </row>
    <row r="121" spans="1:10">
      <c r="A121" s="45" t="str">
        <f t="array" ref="A121">IFERROR(INDEX(baseline!$A$3:$A$201,MATCH($B121&amp;$C121,baseline!$C$3:$C$201&amp;baseline!$D$3:$D$201,0)),"NA")</f>
        <v>NA</v>
      </c>
      <c r="B121" s="144" t="s">
        <v>697</v>
      </c>
      <c r="C121" s="144" t="s">
        <v>546</v>
      </c>
      <c r="D121" s="145" t="s">
        <v>865</v>
      </c>
      <c r="E121" s="145" t="s">
        <v>769</v>
      </c>
      <c r="F121" s="145">
        <v>0.89500000000000002</v>
      </c>
      <c r="G121" s="144" t="s">
        <v>769</v>
      </c>
      <c r="H121" s="144" t="s">
        <v>769</v>
      </c>
      <c r="I121" s="145">
        <v>0.89500000000000002</v>
      </c>
      <c r="J121" s="145">
        <v>5266</v>
      </c>
    </row>
    <row r="122" spans="1:10">
      <c r="A122" s="45" t="str">
        <f t="array" ref="A122">IFERROR(INDEX(baseline!$A$3:$A$201,MATCH($B122&amp;$C122,baseline!$C$3:$C$201&amp;baseline!$D$3:$D$201,0)),"NA")</f>
        <v>NA</v>
      </c>
      <c r="B122" s="144" t="s">
        <v>713</v>
      </c>
      <c r="C122" s="144" t="s">
        <v>546</v>
      </c>
      <c r="D122" s="145" t="s">
        <v>865</v>
      </c>
      <c r="E122" s="145" t="s">
        <v>769</v>
      </c>
      <c r="F122" s="145">
        <v>0.89500000000000002</v>
      </c>
      <c r="G122" s="144" t="s">
        <v>769</v>
      </c>
      <c r="H122" s="144" t="s">
        <v>769</v>
      </c>
      <c r="I122" s="145">
        <v>0.89500000000000002</v>
      </c>
      <c r="J122" s="145">
        <v>4516</v>
      </c>
    </row>
    <row r="123" spans="1:10">
      <c r="A123" s="45" t="str">
        <f t="array" ref="A123">IFERROR(INDEX(baseline!$A$3:$A$201,MATCH($B123&amp;$C123,baseline!$C$3:$C$201&amp;baseline!$D$3:$D$201,0)),"NA")</f>
        <v>NA</v>
      </c>
      <c r="B123" s="144" t="s">
        <v>762</v>
      </c>
      <c r="C123" s="144" t="s">
        <v>546</v>
      </c>
      <c r="D123" s="145" t="s">
        <v>865</v>
      </c>
      <c r="E123" s="145" t="s">
        <v>769</v>
      </c>
      <c r="F123" s="145">
        <v>0.89500000000000002</v>
      </c>
      <c r="G123" s="144" t="s">
        <v>769</v>
      </c>
      <c r="H123" s="144" t="s">
        <v>769</v>
      </c>
      <c r="I123" s="145">
        <v>0.89500000000000002</v>
      </c>
      <c r="J123" s="145">
        <v>8276</v>
      </c>
    </row>
    <row r="124" spans="1:10">
      <c r="A124" s="45" t="str">
        <f t="array" ref="A124">IFERROR(INDEX(baseline!$A$3:$A$201,MATCH($B124&amp;$C124,baseline!$C$3:$C$201&amp;baseline!$D$3:$D$201,0)),"NA")</f>
        <v>NA</v>
      </c>
      <c r="B124" s="144" t="s">
        <v>763</v>
      </c>
      <c r="C124" s="144" t="s">
        <v>881</v>
      </c>
      <c r="D124" s="145" t="s">
        <v>865</v>
      </c>
      <c r="E124" s="145" t="s">
        <v>769</v>
      </c>
      <c r="F124" s="145">
        <v>0.89500000000000002</v>
      </c>
      <c r="G124" s="144" t="s">
        <v>769</v>
      </c>
      <c r="H124" s="144" t="s">
        <v>769</v>
      </c>
      <c r="I124" s="145">
        <v>0.89500000000000002</v>
      </c>
      <c r="J124" s="145">
        <v>1745</v>
      </c>
    </row>
    <row r="125" spans="1:10">
      <c r="A125" s="45" t="str">
        <f t="array" ref="A125">IFERROR(INDEX(baseline!$A$3:$A$201,MATCH($B125&amp;$C125,baseline!$C$3:$C$201&amp;baseline!$D$3:$D$201,0)),"NA")</f>
        <v>NA</v>
      </c>
      <c r="B125" s="144" t="s">
        <v>712</v>
      </c>
      <c r="C125" s="144" t="s">
        <v>881</v>
      </c>
      <c r="D125" s="145" t="s">
        <v>865</v>
      </c>
      <c r="E125" s="145" t="s">
        <v>769</v>
      </c>
      <c r="F125" s="145">
        <v>0.89500000000000002</v>
      </c>
      <c r="G125" s="144" t="s">
        <v>769</v>
      </c>
      <c r="H125" s="144" t="s">
        <v>769</v>
      </c>
      <c r="I125" s="145">
        <v>0.89500000000000002</v>
      </c>
      <c r="J125" s="145">
        <v>35398</v>
      </c>
    </row>
    <row r="126" spans="1:10">
      <c r="A126" s="45" t="str">
        <f t="array" ref="A126">IFERROR(INDEX(baseline!$A$3:$A$201,MATCH($B126&amp;$C126,baseline!$C$3:$C$201&amp;baseline!$D$3:$D$201,0)),"NA")</f>
        <v>NA</v>
      </c>
      <c r="B126" s="144" t="s">
        <v>712</v>
      </c>
      <c r="C126" s="144" t="s">
        <v>13</v>
      </c>
      <c r="D126" s="145" t="s">
        <v>865</v>
      </c>
      <c r="E126" s="145" t="s">
        <v>769</v>
      </c>
      <c r="F126" s="145">
        <v>0.89500000000000002</v>
      </c>
      <c r="G126" s="144" t="s">
        <v>769</v>
      </c>
      <c r="H126" s="144" t="s">
        <v>769</v>
      </c>
      <c r="I126" s="145">
        <v>0.89500000000000002</v>
      </c>
      <c r="J126" s="145">
        <v>35398</v>
      </c>
    </row>
    <row r="127" spans="1:10">
      <c r="A127" s="45" t="str">
        <f t="array" ref="A127">IFERROR(INDEX(baseline!$A$3:$A$201,MATCH($B127&amp;$C127,baseline!$C$3:$C$201&amp;baseline!$D$3:$D$201,0)),"NA")</f>
        <v>NA</v>
      </c>
      <c r="B127" s="144" t="s">
        <v>712</v>
      </c>
      <c r="C127" s="144" t="s">
        <v>546</v>
      </c>
      <c r="D127" s="145" t="s">
        <v>865</v>
      </c>
      <c r="E127" s="145" t="s">
        <v>769</v>
      </c>
      <c r="F127" s="145">
        <v>0.89500000000000002</v>
      </c>
      <c r="G127" s="144" t="s">
        <v>769</v>
      </c>
      <c r="H127" s="144" t="s">
        <v>769</v>
      </c>
      <c r="I127" s="145">
        <v>0.89500000000000002</v>
      </c>
      <c r="J127" s="145">
        <v>35398</v>
      </c>
    </row>
    <row r="128" spans="1:10">
      <c r="A128" s="45" t="str">
        <f t="array" ref="A128">IFERROR(INDEX(baseline!$A$3:$A$201,MATCH($B128&amp;$C128,baseline!$C$3:$C$201&amp;baseline!$D$3:$D$201,0)),"NA")</f>
        <v>NA</v>
      </c>
      <c r="B128" s="144" t="s">
        <v>547</v>
      </c>
      <c r="C128" s="144" t="s">
        <v>13</v>
      </c>
      <c r="D128" s="145" t="s">
        <v>865</v>
      </c>
      <c r="E128" s="145" t="s">
        <v>769</v>
      </c>
      <c r="F128" s="145">
        <v>0.89500000000000002</v>
      </c>
      <c r="G128" s="144" t="s">
        <v>769</v>
      </c>
      <c r="H128" s="144" t="s">
        <v>769</v>
      </c>
      <c r="I128" s="145">
        <v>0.89500000000000002</v>
      </c>
      <c r="J128" s="145">
        <v>20033</v>
      </c>
    </row>
    <row r="129" spans="1:10">
      <c r="A129" s="45" t="str">
        <f t="array" ref="A129">IFERROR(INDEX(baseline!$A$3:$A$201,MATCH($B129&amp;$C129,baseline!$C$3:$C$201&amp;baseline!$D$3:$D$201,0)),"NA")</f>
        <v>NA</v>
      </c>
      <c r="B129" s="144" t="s">
        <v>1</v>
      </c>
      <c r="C129" s="144" t="s">
        <v>13</v>
      </c>
      <c r="D129" s="145" t="s">
        <v>865</v>
      </c>
      <c r="E129" s="145" t="s">
        <v>769</v>
      </c>
      <c r="F129" s="145">
        <v>0.89500000000000002</v>
      </c>
      <c r="G129" s="144" t="s">
        <v>769</v>
      </c>
      <c r="H129" s="144" t="s">
        <v>769</v>
      </c>
      <c r="I129" s="145">
        <v>0.89500000000000002</v>
      </c>
      <c r="J129" s="145">
        <v>3349</v>
      </c>
    </row>
    <row r="130" spans="1:10">
      <c r="A130" s="45" t="str">
        <f t="array" ref="A130">IFERROR(INDEX(baseline!$A$3:$A$201,MATCH($B130&amp;$C130,baseline!$C$3:$C$201&amp;baseline!$D$3:$D$201,0)),"NA")</f>
        <v>NA</v>
      </c>
      <c r="B130" s="144" t="s">
        <v>1</v>
      </c>
      <c r="C130" s="144" t="s">
        <v>546</v>
      </c>
      <c r="D130" s="145" t="s">
        <v>865</v>
      </c>
      <c r="E130" s="145" t="s">
        <v>769</v>
      </c>
      <c r="F130" s="145">
        <v>0.89500000000000002</v>
      </c>
      <c r="G130" s="144" t="s">
        <v>769</v>
      </c>
      <c r="H130" s="144" t="s">
        <v>769</v>
      </c>
      <c r="I130" s="145">
        <v>0.89500000000000002</v>
      </c>
      <c r="J130" s="145">
        <v>3349</v>
      </c>
    </row>
    <row r="131" spans="1:10">
      <c r="A131" s="45">
        <f t="array" ref="A131">IFERROR(INDEX(baseline!$A$3:$A$201,MATCH($B131&amp;$C131,baseline!$C$3:$C$201&amp;baseline!$D$3:$D$201,0)),"NA")</f>
        <v>5</v>
      </c>
      <c r="B131" s="144" t="s">
        <v>761</v>
      </c>
      <c r="C131" s="144" t="s">
        <v>881</v>
      </c>
      <c r="D131" s="144" t="s">
        <v>834</v>
      </c>
      <c r="E131" s="144" t="s">
        <v>769</v>
      </c>
      <c r="F131" s="144" t="s">
        <v>769</v>
      </c>
      <c r="G131" s="144" t="s">
        <v>900</v>
      </c>
      <c r="H131" s="146" t="s">
        <v>901</v>
      </c>
      <c r="I131" s="144" t="s">
        <v>769</v>
      </c>
      <c r="J131" s="144">
        <v>3528</v>
      </c>
    </row>
    <row r="132" spans="1:10">
      <c r="A132" s="45">
        <f t="array" ref="A132">IFERROR(INDEX(baseline!$A$3:$A$201,MATCH($B132&amp;$C132,baseline!$C$3:$C$201&amp;baseline!$D$3:$D$201,0)),"NA")</f>
        <v>6</v>
      </c>
      <c r="B132" s="144" t="s">
        <v>761</v>
      </c>
      <c r="C132" s="144" t="s">
        <v>13</v>
      </c>
      <c r="D132" s="144" t="s">
        <v>834</v>
      </c>
      <c r="E132" s="144" t="s">
        <v>769</v>
      </c>
      <c r="F132" s="144" t="s">
        <v>769</v>
      </c>
      <c r="G132" s="144" t="s">
        <v>900</v>
      </c>
      <c r="H132" s="146" t="s">
        <v>901</v>
      </c>
      <c r="I132" s="144" t="s">
        <v>769</v>
      </c>
      <c r="J132" s="144">
        <v>3528</v>
      </c>
    </row>
    <row r="133" spans="1:10">
      <c r="A133" s="45">
        <f t="array" ref="A133">IFERROR(INDEX(baseline!$A$3:$A$201,MATCH($B133&amp;$C133,baseline!$C$3:$C$201&amp;baseline!$D$3:$D$201,0)),"NA")</f>
        <v>7</v>
      </c>
      <c r="B133" s="144" t="s">
        <v>761</v>
      </c>
      <c r="C133" s="144" t="s">
        <v>14</v>
      </c>
      <c r="D133" s="144" t="s">
        <v>834</v>
      </c>
      <c r="E133" s="144" t="s">
        <v>769</v>
      </c>
      <c r="F133" s="144" t="s">
        <v>769</v>
      </c>
      <c r="G133" s="144" t="s">
        <v>900</v>
      </c>
      <c r="H133" s="146" t="s">
        <v>901</v>
      </c>
      <c r="I133" s="144" t="s">
        <v>769</v>
      </c>
      <c r="J133" s="144">
        <v>3528</v>
      </c>
    </row>
    <row r="134" spans="1:10">
      <c r="A134" s="45">
        <f t="array" ref="A134">IFERROR(INDEX(baseline!$A$3:$A$201,MATCH($B134&amp;$C134,baseline!$C$3:$C$201&amp;baseline!$D$3:$D$201,0)),"NA")</f>
        <v>13</v>
      </c>
      <c r="B134" s="144" t="s">
        <v>762</v>
      </c>
      <c r="C134" s="144" t="s">
        <v>881</v>
      </c>
      <c r="D134" s="144" t="s">
        <v>834</v>
      </c>
      <c r="E134" s="144" t="s">
        <v>769</v>
      </c>
      <c r="F134" s="144" t="s">
        <v>769</v>
      </c>
      <c r="G134" s="144" t="s">
        <v>900</v>
      </c>
      <c r="H134" s="146" t="s">
        <v>901</v>
      </c>
      <c r="I134" s="144" t="s">
        <v>769</v>
      </c>
      <c r="J134" s="144">
        <v>3528</v>
      </c>
    </row>
    <row r="135" spans="1:10">
      <c r="A135" s="45">
        <f t="array" ref="A135">IFERROR(INDEX(baseline!$A$3:$A$201,MATCH($B135&amp;$C135,baseline!$C$3:$C$201&amp;baseline!$D$3:$D$201,0)),"NA")</f>
        <v>14</v>
      </c>
      <c r="B135" s="144" t="s">
        <v>762</v>
      </c>
      <c r="C135" s="144" t="s">
        <v>13</v>
      </c>
      <c r="D135" s="144" t="s">
        <v>834</v>
      </c>
      <c r="E135" s="144" t="s">
        <v>769</v>
      </c>
      <c r="F135" s="144" t="s">
        <v>769</v>
      </c>
      <c r="G135" s="144" t="s">
        <v>900</v>
      </c>
      <c r="H135" s="146" t="s">
        <v>901</v>
      </c>
      <c r="I135" s="144" t="s">
        <v>769</v>
      </c>
      <c r="J135" s="144">
        <v>3528</v>
      </c>
    </row>
    <row r="136" spans="1:10">
      <c r="A136" s="45">
        <f t="array" ref="A136">IFERROR(INDEX(baseline!$A$3:$A$201,MATCH($B136&amp;$C136,baseline!$C$3:$C$201&amp;baseline!$D$3:$D$201,0)),"NA")</f>
        <v>15</v>
      </c>
      <c r="B136" s="144" t="s">
        <v>762</v>
      </c>
      <c r="C136" s="144" t="s">
        <v>14</v>
      </c>
      <c r="D136" s="144" t="s">
        <v>834</v>
      </c>
      <c r="E136" s="144" t="s">
        <v>769</v>
      </c>
      <c r="F136" s="144" t="s">
        <v>769</v>
      </c>
      <c r="G136" s="144" t="s">
        <v>900</v>
      </c>
      <c r="H136" s="146" t="s">
        <v>901</v>
      </c>
      <c r="I136" s="144" t="s">
        <v>769</v>
      </c>
      <c r="J136" s="144">
        <v>3528</v>
      </c>
    </row>
    <row r="137" spans="1:10">
      <c r="A137" s="45">
        <f t="array" ref="A137">IFERROR(INDEX(baseline!$A$3:$A$201,MATCH($B137&amp;$C137,baseline!$C$3:$C$201&amp;baseline!$D$3:$D$201,0)),"NA")</f>
        <v>19</v>
      </c>
      <c r="B137" s="144" t="s">
        <v>712</v>
      </c>
      <c r="C137" s="144" t="s">
        <v>14</v>
      </c>
      <c r="D137" s="144" t="s">
        <v>834</v>
      </c>
      <c r="E137" s="144" t="s">
        <v>769</v>
      </c>
      <c r="F137" s="144" t="s">
        <v>769</v>
      </c>
      <c r="G137" s="144" t="s">
        <v>900</v>
      </c>
      <c r="H137" s="146" t="s">
        <v>901</v>
      </c>
      <c r="I137" s="144" t="s">
        <v>769</v>
      </c>
      <c r="J137" s="144">
        <v>14112</v>
      </c>
    </row>
    <row r="138" spans="1:10">
      <c r="A138" s="45">
        <f t="array" ref="A138">IFERROR(INDEX(baseline!$A$3:$A$201,MATCH($B138&amp;$C138,baseline!$C$3:$C$201&amp;baseline!$D$3:$D$201,0)),"NA")</f>
        <v>24</v>
      </c>
      <c r="B138" s="144" t="s">
        <v>547</v>
      </c>
      <c r="C138" s="144" t="s">
        <v>881</v>
      </c>
      <c r="D138" s="144" t="s">
        <v>834</v>
      </c>
      <c r="E138" s="144" t="s">
        <v>769</v>
      </c>
      <c r="F138" s="144" t="s">
        <v>769</v>
      </c>
      <c r="G138" s="144" t="s">
        <v>900</v>
      </c>
      <c r="H138" s="146" t="s">
        <v>901</v>
      </c>
      <c r="I138" s="144" t="s">
        <v>769</v>
      </c>
      <c r="J138" s="144">
        <v>8311</v>
      </c>
    </row>
    <row r="139" spans="1:10">
      <c r="A139" s="45">
        <f t="array" ref="A139">IFERROR(INDEX(baseline!$A$3:$A$201,MATCH($B139&amp;$C139,baseline!$C$3:$C$201&amp;baseline!$D$3:$D$201,0)),"NA")</f>
        <v>25</v>
      </c>
      <c r="B139" s="144" t="s">
        <v>547</v>
      </c>
      <c r="C139" s="144" t="s">
        <v>14</v>
      </c>
      <c r="D139" s="144" t="s">
        <v>834</v>
      </c>
      <c r="E139" s="144" t="s">
        <v>769</v>
      </c>
      <c r="F139" s="144" t="s">
        <v>769</v>
      </c>
      <c r="G139" s="144" t="s">
        <v>900</v>
      </c>
      <c r="H139" s="146" t="s">
        <v>901</v>
      </c>
      <c r="I139" s="144" t="s">
        <v>769</v>
      </c>
      <c r="J139" s="144">
        <v>8311</v>
      </c>
    </row>
    <row r="140" spans="1:10">
      <c r="A140" s="45">
        <f t="array" ref="A140">IFERROR(INDEX(baseline!$A$3:$A$201,MATCH($B140&amp;$C140,baseline!$C$3:$C$201&amp;baseline!$D$3:$D$201,0)),"NA")</f>
        <v>26</v>
      </c>
      <c r="B140" s="144" t="s">
        <v>547</v>
      </c>
      <c r="C140" s="144" t="s">
        <v>546</v>
      </c>
      <c r="D140" s="144" t="s">
        <v>834</v>
      </c>
      <c r="E140" s="144" t="s">
        <v>769</v>
      </c>
      <c r="F140" s="144" t="s">
        <v>769</v>
      </c>
      <c r="G140" s="144" t="s">
        <v>900</v>
      </c>
      <c r="H140" s="146" t="s">
        <v>901</v>
      </c>
      <c r="I140" s="144" t="s">
        <v>769</v>
      </c>
      <c r="J140" s="144">
        <v>8311</v>
      </c>
    </row>
    <row r="141" spans="1:10">
      <c r="A141" s="45" t="str">
        <f t="array" ref="A141">IFERROR(INDEX(baseline!$A$3:$A$201,MATCH($B141&amp;$C141,baseline!$C$3:$C$201&amp;baseline!$D$3:$D$201,0)),"NA")</f>
        <v>NA</v>
      </c>
      <c r="B141" s="144" t="s">
        <v>713</v>
      </c>
      <c r="C141" s="144" t="s">
        <v>546</v>
      </c>
      <c r="D141" s="144" t="s">
        <v>834</v>
      </c>
      <c r="E141" s="144" t="s">
        <v>769</v>
      </c>
      <c r="F141" s="144" t="s">
        <v>769</v>
      </c>
      <c r="G141" s="144" t="s">
        <v>900</v>
      </c>
      <c r="H141" s="146" t="s">
        <v>901</v>
      </c>
      <c r="I141" s="144" t="s">
        <v>769</v>
      </c>
      <c r="J141" s="144">
        <v>0</v>
      </c>
    </row>
    <row r="142" spans="1:10">
      <c r="A142" s="45" t="str">
        <f t="array" ref="A142">IFERROR(INDEX(baseline!$A$3:$A$201,MATCH($B142&amp;$C142,baseline!$C$3:$C$201&amp;baseline!$D$3:$D$201,0)),"NA")</f>
        <v>NA</v>
      </c>
      <c r="B142" s="144" t="s">
        <v>762</v>
      </c>
      <c r="C142" s="144" t="s">
        <v>546</v>
      </c>
      <c r="D142" s="144" t="s">
        <v>834</v>
      </c>
      <c r="E142" s="144" t="s">
        <v>769</v>
      </c>
      <c r="F142" s="144" t="s">
        <v>769</v>
      </c>
      <c r="G142" s="144" t="s">
        <v>900</v>
      </c>
      <c r="H142" s="146" t="s">
        <v>901</v>
      </c>
      <c r="I142" s="144" t="s">
        <v>769</v>
      </c>
      <c r="J142" s="144">
        <v>3528</v>
      </c>
    </row>
    <row r="143" spans="1:10">
      <c r="A143" s="45" t="str">
        <f t="array" ref="A143">IFERROR(INDEX(baseline!$A$3:$A$201,MATCH($B143&amp;$C143,baseline!$C$3:$C$201&amp;baseline!$D$3:$D$201,0)),"NA")</f>
        <v>NA</v>
      </c>
      <c r="B143" s="144" t="s">
        <v>712</v>
      </c>
      <c r="C143" s="144" t="s">
        <v>881</v>
      </c>
      <c r="D143" s="144" t="s">
        <v>834</v>
      </c>
      <c r="E143" s="144" t="s">
        <v>769</v>
      </c>
      <c r="F143" s="144" t="s">
        <v>769</v>
      </c>
      <c r="G143" s="144" t="s">
        <v>900</v>
      </c>
      <c r="H143" s="146" t="s">
        <v>901</v>
      </c>
      <c r="I143" s="144" t="s">
        <v>769</v>
      </c>
      <c r="J143" s="144">
        <v>14112</v>
      </c>
    </row>
    <row r="144" spans="1:10">
      <c r="A144" s="45" t="str">
        <f t="array" ref="A144">IFERROR(INDEX(baseline!$A$3:$A$201,MATCH($B144&amp;$C144,baseline!$C$3:$C$201&amp;baseline!$D$3:$D$201,0)),"NA")</f>
        <v>NA</v>
      </c>
      <c r="B144" s="144" t="s">
        <v>712</v>
      </c>
      <c r="C144" s="144" t="s">
        <v>13</v>
      </c>
      <c r="D144" s="144" t="s">
        <v>834</v>
      </c>
      <c r="E144" s="144" t="s">
        <v>769</v>
      </c>
      <c r="F144" s="144" t="s">
        <v>769</v>
      </c>
      <c r="G144" s="144" t="s">
        <v>900</v>
      </c>
      <c r="H144" s="146" t="s">
        <v>901</v>
      </c>
      <c r="I144" s="144" t="s">
        <v>769</v>
      </c>
      <c r="J144" s="144">
        <v>14112</v>
      </c>
    </row>
    <row r="145" spans="1:10">
      <c r="A145" s="45" t="str">
        <f t="array" ref="A145">IFERROR(INDEX(baseline!$A$3:$A$201,MATCH($B145&amp;$C145,baseline!$C$3:$C$201&amp;baseline!$D$3:$D$201,0)),"NA")</f>
        <v>NA</v>
      </c>
      <c r="B145" s="144" t="s">
        <v>547</v>
      </c>
      <c r="C145" s="144" t="s">
        <v>13</v>
      </c>
      <c r="D145" s="144" t="s">
        <v>834</v>
      </c>
      <c r="E145" s="144" t="s">
        <v>769</v>
      </c>
      <c r="F145" s="144" t="s">
        <v>769</v>
      </c>
      <c r="G145" s="144" t="s">
        <v>900</v>
      </c>
      <c r="H145" s="146" t="s">
        <v>901</v>
      </c>
      <c r="I145" s="144" t="s">
        <v>769</v>
      </c>
      <c r="J145" s="144">
        <v>8311</v>
      </c>
    </row>
  </sheetData>
  <sortState ref="A2:J145">
    <sortCondition ref="D2:D145"/>
    <sortCondition ref="A2:A145"/>
    <sortCondition ref="B2:B145"/>
    <sortCondition ref="C2:C145"/>
  </sortState>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sheetPr>
    <tabColor rgb="FF00B050"/>
  </sheetPr>
  <dimension ref="A1:N97"/>
  <sheetViews>
    <sheetView topLeftCell="C61" workbookViewId="0">
      <selection activeCell="I1" sqref="I1:M1"/>
    </sheetView>
  </sheetViews>
  <sheetFormatPr defaultColWidth="9.109375" defaultRowHeight="14.4"/>
  <cols>
    <col min="1" max="1" width="17.109375" style="45" customWidth="1"/>
    <col min="2" max="2" width="23.44140625" style="45" bestFit="1" customWidth="1"/>
    <col min="3" max="3" width="13.6640625" style="45" bestFit="1" customWidth="1"/>
    <col min="4" max="4" width="18.44140625" style="132" bestFit="1" customWidth="1"/>
    <col min="5" max="5" width="36.88671875" style="45" bestFit="1" customWidth="1"/>
    <col min="6" max="6" width="25.5546875" style="132" bestFit="1" customWidth="1"/>
    <col min="7" max="7" width="25.5546875" style="132" customWidth="1"/>
    <col min="8" max="8" width="58" bestFit="1" customWidth="1"/>
    <col min="9" max="9" width="24.33203125" style="132" bestFit="1" customWidth="1"/>
    <col min="10" max="10" width="31.6640625" style="132" bestFit="1" customWidth="1"/>
    <col min="11" max="11" width="38.6640625" style="132" bestFit="1" customWidth="1"/>
    <col min="12" max="12" width="31.109375" style="132" bestFit="1" customWidth="1"/>
    <col min="13" max="13" width="38.109375" style="45" bestFit="1" customWidth="1"/>
    <col min="14" max="14" width="17" style="45" bestFit="1" customWidth="1"/>
    <col min="15" max="16384" width="9.109375" style="45"/>
  </cols>
  <sheetData>
    <row r="1" spans="1:14" ht="15.6">
      <c r="A1" s="45" t="s">
        <v>920</v>
      </c>
      <c r="B1" s="128" t="s">
        <v>766</v>
      </c>
      <c r="C1" s="127" t="s">
        <v>748</v>
      </c>
      <c r="D1" s="159" t="s">
        <v>774</v>
      </c>
      <c r="E1" s="158" t="s">
        <v>914</v>
      </c>
      <c r="F1" s="158" t="s">
        <v>907</v>
      </c>
      <c r="G1" s="158" t="s">
        <v>915</v>
      </c>
      <c r="H1" s="158" t="s">
        <v>913</v>
      </c>
      <c r="I1" s="157" t="s">
        <v>908</v>
      </c>
      <c r="J1" s="157" t="s">
        <v>909</v>
      </c>
      <c r="K1" s="157" t="s">
        <v>910</v>
      </c>
      <c r="L1" s="157" t="s">
        <v>911</v>
      </c>
      <c r="M1" s="157" t="s">
        <v>912</v>
      </c>
      <c r="N1" s="45" t="s">
        <v>899</v>
      </c>
    </row>
    <row r="2" spans="1:14">
      <c r="A2" s="45">
        <f t="array" ref="A2">IFERROR(INDEX(baseline!$A$3:$A$201,MATCH($B2&amp;$C2,baseline!$C$3:$C$201&amp;baseline!$D$3:$D$201,0)),"NA")</f>
        <v>1</v>
      </c>
      <c r="B2" s="45" t="s">
        <v>0</v>
      </c>
      <c r="C2" s="45" t="s">
        <v>881</v>
      </c>
      <c r="D2" s="45" t="s">
        <v>896</v>
      </c>
      <c r="E2" s="132">
        <v>0.9</v>
      </c>
      <c r="F2" s="132" t="s">
        <v>769</v>
      </c>
      <c r="G2" s="132" t="s">
        <v>917</v>
      </c>
      <c r="H2" s="132" t="s">
        <v>895</v>
      </c>
      <c r="I2" s="132" t="b">
        <v>0</v>
      </c>
      <c r="J2" s="132" t="s">
        <v>769</v>
      </c>
      <c r="K2" s="132" t="s">
        <v>769</v>
      </c>
      <c r="L2" s="132" t="s">
        <v>769</v>
      </c>
      <c r="M2" s="132" t="s">
        <v>769</v>
      </c>
      <c r="N2" s="45">
        <v>67292</v>
      </c>
    </row>
    <row r="3" spans="1:14">
      <c r="A3" s="45">
        <f t="array" ref="A3">IFERROR(INDEX(baseline!$A$3:$A$201,MATCH($B3&amp;$C3,baseline!$C$3:$C$201&amp;baseline!$D$3:$D$201,0)),"NA")</f>
        <v>2</v>
      </c>
      <c r="B3" s="45" t="s">
        <v>78</v>
      </c>
      <c r="C3" s="45" t="s">
        <v>881</v>
      </c>
      <c r="D3" s="45" t="s">
        <v>896</v>
      </c>
      <c r="E3" s="132">
        <v>0.9</v>
      </c>
      <c r="F3" s="132" t="s">
        <v>769</v>
      </c>
      <c r="G3" s="132" t="s">
        <v>917</v>
      </c>
      <c r="H3" s="132" t="s">
        <v>895</v>
      </c>
      <c r="I3" s="132" t="b">
        <v>0</v>
      </c>
      <c r="J3" s="132" t="s">
        <v>769</v>
      </c>
      <c r="K3" s="132" t="s">
        <v>769</v>
      </c>
      <c r="L3" s="132" t="s">
        <v>769</v>
      </c>
      <c r="M3" s="132" t="s">
        <v>769</v>
      </c>
      <c r="N3" s="45">
        <v>33911</v>
      </c>
    </row>
    <row r="4" spans="1:14">
      <c r="A4" s="45">
        <f t="array" ref="A4">IFERROR(INDEX(baseline!$A$3:$A$201,MATCH($B4&amp;$C4,baseline!$C$3:$C$201&amp;baseline!$D$3:$D$201,0)),"NA")</f>
        <v>3</v>
      </c>
      <c r="B4" s="45" t="s">
        <v>545</v>
      </c>
      <c r="C4" s="45" t="s">
        <v>881</v>
      </c>
      <c r="D4" s="45" t="s">
        <v>896</v>
      </c>
      <c r="E4" s="132">
        <v>0.9</v>
      </c>
      <c r="F4" s="132" t="s">
        <v>769</v>
      </c>
      <c r="G4" s="132" t="s">
        <v>917</v>
      </c>
      <c r="H4" s="132" t="s">
        <v>895</v>
      </c>
      <c r="I4" s="132" t="b">
        <v>0</v>
      </c>
      <c r="J4" s="132" t="s">
        <v>769</v>
      </c>
      <c r="K4" s="132" t="s">
        <v>769</v>
      </c>
      <c r="L4" s="132" t="s">
        <v>769</v>
      </c>
      <c r="M4" s="132" t="s">
        <v>769</v>
      </c>
      <c r="N4" s="45">
        <v>67292</v>
      </c>
    </row>
    <row r="5" spans="1:14">
      <c r="A5" s="45">
        <f t="array" ref="A5">IFERROR(INDEX(baseline!$A$3:$A$201,MATCH($B5&amp;$C5,baseline!$C$3:$C$201&amp;baseline!$D$3:$D$201,0)),"NA")</f>
        <v>4</v>
      </c>
      <c r="B5" s="45" t="s">
        <v>545</v>
      </c>
      <c r="C5" s="45" t="s">
        <v>546</v>
      </c>
      <c r="D5" s="45" t="s">
        <v>896</v>
      </c>
      <c r="E5" s="132">
        <v>0.9</v>
      </c>
      <c r="F5" s="132" t="s">
        <v>769</v>
      </c>
      <c r="G5" s="132" t="s">
        <v>917</v>
      </c>
      <c r="H5" s="132" t="s">
        <v>895</v>
      </c>
      <c r="I5" s="132" t="b">
        <v>0</v>
      </c>
      <c r="J5" s="132" t="s">
        <v>769</v>
      </c>
      <c r="K5" s="132" t="s">
        <v>769</v>
      </c>
      <c r="L5" s="132" t="s">
        <v>769</v>
      </c>
      <c r="M5" s="132" t="s">
        <v>769</v>
      </c>
      <c r="N5" s="45">
        <v>33911</v>
      </c>
    </row>
    <row r="6" spans="1:14">
      <c r="A6" s="45">
        <f t="array" ref="A6">IFERROR(INDEX(baseline!$A$3:$A$201,MATCH($B6&amp;$C6,baseline!$C$3:$C$201&amp;baseline!$D$3:$D$201,0)),"NA")</f>
        <v>5</v>
      </c>
      <c r="B6" s="45" t="s">
        <v>761</v>
      </c>
      <c r="C6" s="45" t="s">
        <v>881</v>
      </c>
      <c r="D6" s="45" t="s">
        <v>896</v>
      </c>
      <c r="E6" s="132">
        <v>0.9</v>
      </c>
      <c r="F6" s="132" t="s">
        <v>769</v>
      </c>
      <c r="G6" s="132" t="s">
        <v>917</v>
      </c>
      <c r="H6" s="132" t="s">
        <v>895</v>
      </c>
      <c r="I6" s="132" t="b">
        <v>0</v>
      </c>
      <c r="J6" s="132" t="s">
        <v>769</v>
      </c>
      <c r="K6" s="132" t="s">
        <v>769</v>
      </c>
      <c r="L6" s="132" t="s">
        <v>769</v>
      </c>
      <c r="M6" s="132" t="s">
        <v>769</v>
      </c>
      <c r="N6" s="45">
        <v>175036</v>
      </c>
    </row>
    <row r="7" spans="1:14">
      <c r="A7" s="45">
        <f t="array" ref="A7">IFERROR(INDEX(baseline!$A$3:$A$201,MATCH($B7&amp;$C7,baseline!$C$3:$C$201&amp;baseline!$D$3:$D$201,0)),"NA")</f>
        <v>6</v>
      </c>
      <c r="B7" s="45" t="s">
        <v>761</v>
      </c>
      <c r="C7" s="45" t="s">
        <v>13</v>
      </c>
      <c r="D7" s="45" t="s">
        <v>896</v>
      </c>
      <c r="E7" s="132">
        <v>0.9</v>
      </c>
      <c r="F7" s="132" t="s">
        <v>769</v>
      </c>
      <c r="G7" s="132" t="s">
        <v>917</v>
      </c>
      <c r="H7" s="132" t="s">
        <v>895</v>
      </c>
      <c r="I7" s="132" t="b">
        <v>0</v>
      </c>
      <c r="J7" s="132" t="s">
        <v>769</v>
      </c>
      <c r="K7" s="132" t="s">
        <v>769</v>
      </c>
      <c r="L7" s="132" t="s">
        <v>769</v>
      </c>
      <c r="M7" s="132" t="s">
        <v>769</v>
      </c>
      <c r="N7" s="45">
        <v>175036</v>
      </c>
    </row>
    <row r="8" spans="1:14">
      <c r="A8" s="45">
        <f t="array" ref="A8">IFERROR(INDEX(baseline!$A$3:$A$201,MATCH($B8&amp;$C8,baseline!$C$3:$C$201&amp;baseline!$D$3:$D$201,0)),"NA")</f>
        <v>7</v>
      </c>
      <c r="B8" s="45" t="s">
        <v>761</v>
      </c>
      <c r="C8" s="45" t="s">
        <v>14</v>
      </c>
      <c r="D8" s="45" t="s">
        <v>896</v>
      </c>
      <c r="E8" s="132">
        <v>0.9</v>
      </c>
      <c r="F8" s="132" t="s">
        <v>769</v>
      </c>
      <c r="G8" s="132" t="s">
        <v>917</v>
      </c>
      <c r="H8" s="132" t="s">
        <v>895</v>
      </c>
      <c r="I8" s="132" t="b">
        <v>0</v>
      </c>
      <c r="J8" s="132" t="s">
        <v>769</v>
      </c>
      <c r="K8" s="132" t="s">
        <v>769</v>
      </c>
      <c r="L8" s="132" t="s">
        <v>769</v>
      </c>
      <c r="M8" s="132" t="s">
        <v>769</v>
      </c>
      <c r="N8" s="45">
        <v>67292</v>
      </c>
    </row>
    <row r="9" spans="1:14">
      <c r="A9" s="45">
        <f t="array" ref="A9">IFERROR(INDEX(baseline!$A$3:$A$201,MATCH($B9&amp;$C9,baseline!$C$3:$C$201&amp;baseline!$D$3:$D$201,0)),"NA")</f>
        <v>8</v>
      </c>
      <c r="B9" s="45" t="s">
        <v>697</v>
      </c>
      <c r="C9" s="45" t="s">
        <v>881</v>
      </c>
      <c r="D9" s="45" t="s">
        <v>896</v>
      </c>
      <c r="E9" s="132">
        <v>0.9</v>
      </c>
      <c r="F9" s="132" t="s">
        <v>769</v>
      </c>
      <c r="G9" s="132" t="s">
        <v>917</v>
      </c>
      <c r="H9" s="132" t="s">
        <v>895</v>
      </c>
      <c r="I9" s="132" t="b">
        <v>0</v>
      </c>
      <c r="J9" s="132" t="s">
        <v>769</v>
      </c>
      <c r="K9" s="132" t="s">
        <v>769</v>
      </c>
      <c r="L9" s="132" t="s">
        <v>769</v>
      </c>
      <c r="M9" s="132" t="s">
        <v>769</v>
      </c>
      <c r="N9" s="45">
        <v>67292</v>
      </c>
    </row>
    <row r="10" spans="1:14">
      <c r="A10" s="45">
        <f t="array" ref="A10">IFERROR(INDEX(baseline!$A$3:$A$201,MATCH($B10&amp;$C10,baseline!$C$3:$C$201&amp;baseline!$D$3:$D$201,0)),"NA")</f>
        <v>9</v>
      </c>
      <c r="B10" s="45" t="s">
        <v>697</v>
      </c>
      <c r="C10" s="45" t="s">
        <v>14</v>
      </c>
      <c r="D10" s="45" t="s">
        <v>896</v>
      </c>
      <c r="E10" s="132">
        <v>0.9</v>
      </c>
      <c r="F10" s="132" t="s">
        <v>769</v>
      </c>
      <c r="G10" s="132" t="s">
        <v>917</v>
      </c>
      <c r="H10" s="132" t="s">
        <v>895</v>
      </c>
      <c r="I10" s="132" t="b">
        <v>0</v>
      </c>
      <c r="J10" s="132" t="s">
        <v>769</v>
      </c>
      <c r="K10" s="132" t="s">
        <v>769</v>
      </c>
      <c r="L10" s="132" t="s">
        <v>769</v>
      </c>
      <c r="M10" s="132" t="s">
        <v>769</v>
      </c>
      <c r="N10" s="45">
        <v>33911</v>
      </c>
    </row>
    <row r="11" spans="1:14">
      <c r="A11" s="45">
        <f t="array" ref="A11">IFERROR(INDEX(baseline!$A$3:$A$201,MATCH($B11&amp;$C11,baseline!$C$3:$C$201&amp;baseline!$D$3:$D$201,0)),"NA")</f>
        <v>10</v>
      </c>
      <c r="B11" s="45" t="s">
        <v>713</v>
      </c>
      <c r="C11" s="45" t="s">
        <v>881</v>
      </c>
      <c r="D11" s="45" t="s">
        <v>896</v>
      </c>
      <c r="E11" s="132">
        <v>0.9</v>
      </c>
      <c r="F11" s="132" t="s">
        <v>769</v>
      </c>
      <c r="G11" s="132" t="s">
        <v>917</v>
      </c>
      <c r="H11" s="132" t="s">
        <v>895</v>
      </c>
      <c r="I11" s="132" t="b">
        <v>0</v>
      </c>
      <c r="J11" s="132" t="s">
        <v>769</v>
      </c>
      <c r="K11" s="132" t="s">
        <v>769</v>
      </c>
      <c r="L11" s="132" t="s">
        <v>769</v>
      </c>
      <c r="M11" s="132" t="s">
        <v>769</v>
      </c>
      <c r="N11" s="45">
        <v>67292</v>
      </c>
    </row>
    <row r="12" spans="1:14">
      <c r="A12" s="45">
        <f t="array" ref="A12">IFERROR(INDEX(baseline!$A$3:$A$201,MATCH($B12&amp;$C12,baseline!$C$3:$C$201&amp;baseline!$D$3:$D$201,0)),"NA")</f>
        <v>11</v>
      </c>
      <c r="B12" s="45" t="s">
        <v>713</v>
      </c>
      <c r="C12" s="45" t="s">
        <v>13</v>
      </c>
      <c r="D12" s="45" t="s">
        <v>896</v>
      </c>
      <c r="E12" s="132">
        <v>0.9</v>
      </c>
      <c r="F12" s="132" t="s">
        <v>769</v>
      </c>
      <c r="G12" s="132" t="s">
        <v>917</v>
      </c>
      <c r="H12" s="132" t="s">
        <v>895</v>
      </c>
      <c r="I12" s="132" t="b">
        <v>0</v>
      </c>
      <c r="J12" s="132" t="s">
        <v>769</v>
      </c>
      <c r="K12" s="132" t="s">
        <v>769</v>
      </c>
      <c r="L12" s="132" t="s">
        <v>769</v>
      </c>
      <c r="M12" s="132" t="s">
        <v>769</v>
      </c>
      <c r="N12" s="45">
        <v>67292</v>
      </c>
    </row>
    <row r="13" spans="1:14">
      <c r="A13" s="45">
        <f t="array" ref="A13">IFERROR(INDEX(baseline!$A$3:$A$201,MATCH($B13&amp;$C13,baseline!$C$3:$C$201&amp;baseline!$D$3:$D$201,0)),"NA")</f>
        <v>12</v>
      </c>
      <c r="B13" s="45" t="s">
        <v>713</v>
      </c>
      <c r="C13" s="45" t="s">
        <v>14</v>
      </c>
      <c r="D13" s="45" t="s">
        <v>896</v>
      </c>
      <c r="E13" s="132">
        <v>0.9</v>
      </c>
      <c r="F13" s="132" t="s">
        <v>769</v>
      </c>
      <c r="G13" s="132" t="s">
        <v>917</v>
      </c>
      <c r="H13" s="132" t="s">
        <v>895</v>
      </c>
      <c r="I13" s="132" t="b">
        <v>0</v>
      </c>
      <c r="J13" s="132" t="s">
        <v>769</v>
      </c>
      <c r="K13" s="132" t="s">
        <v>769</v>
      </c>
      <c r="L13" s="132" t="s">
        <v>769</v>
      </c>
      <c r="M13" s="132" t="s">
        <v>769</v>
      </c>
      <c r="N13" s="45">
        <v>33911</v>
      </c>
    </row>
    <row r="14" spans="1:14">
      <c r="A14" s="45">
        <f t="array" ref="A14">IFERROR(INDEX(baseline!$A$3:$A$201,MATCH($B14&amp;$C14,baseline!$C$3:$C$201&amp;baseline!$D$3:$D$201,0)),"NA")</f>
        <v>13</v>
      </c>
      <c r="B14" s="45" t="s">
        <v>762</v>
      </c>
      <c r="C14" s="45" t="s">
        <v>881</v>
      </c>
      <c r="D14" s="45" t="s">
        <v>896</v>
      </c>
      <c r="E14" s="132">
        <v>0.9</v>
      </c>
      <c r="F14" s="132" t="s">
        <v>769</v>
      </c>
      <c r="G14" s="132" t="s">
        <v>917</v>
      </c>
      <c r="H14" s="132" t="s">
        <v>895</v>
      </c>
      <c r="I14" s="132" t="b">
        <v>0</v>
      </c>
      <c r="J14" s="132" t="s">
        <v>769</v>
      </c>
      <c r="K14" s="132" t="s">
        <v>769</v>
      </c>
      <c r="L14" s="132" t="s">
        <v>769</v>
      </c>
      <c r="M14" s="132" t="s">
        <v>769</v>
      </c>
      <c r="N14" s="45">
        <v>175036</v>
      </c>
    </row>
    <row r="15" spans="1:14">
      <c r="A15" s="45">
        <f t="array" ref="A15">IFERROR(INDEX(baseline!$A$3:$A$201,MATCH($B15&amp;$C15,baseline!$C$3:$C$201&amp;baseline!$D$3:$D$201,0)),"NA")</f>
        <v>14</v>
      </c>
      <c r="B15" s="45" t="s">
        <v>762</v>
      </c>
      <c r="C15" s="45" t="s">
        <v>13</v>
      </c>
      <c r="D15" s="45" t="s">
        <v>896</v>
      </c>
      <c r="E15" s="132">
        <v>0.9</v>
      </c>
      <c r="F15" s="132" t="s">
        <v>769</v>
      </c>
      <c r="G15" s="132" t="s">
        <v>917</v>
      </c>
      <c r="H15" s="132" t="s">
        <v>895</v>
      </c>
      <c r="I15" s="132" t="b">
        <v>0</v>
      </c>
      <c r="J15" s="132" t="s">
        <v>769</v>
      </c>
      <c r="K15" s="132" t="s">
        <v>769</v>
      </c>
      <c r="L15" s="132" t="s">
        <v>769</v>
      </c>
      <c r="M15" s="132" t="s">
        <v>769</v>
      </c>
      <c r="N15" s="45">
        <v>67292</v>
      </c>
    </row>
    <row r="16" spans="1:14">
      <c r="A16" s="45">
        <f t="array" ref="A16">IFERROR(INDEX(baseline!$A$3:$A$201,MATCH($B16&amp;$C16,baseline!$C$3:$C$201&amp;baseline!$D$3:$D$201,0)),"NA")</f>
        <v>15</v>
      </c>
      <c r="B16" s="45" t="s">
        <v>762</v>
      </c>
      <c r="C16" s="45" t="s">
        <v>14</v>
      </c>
      <c r="D16" s="45" t="s">
        <v>896</v>
      </c>
      <c r="E16" s="132">
        <v>0.9</v>
      </c>
      <c r="F16" s="132" t="s">
        <v>769</v>
      </c>
      <c r="G16" s="132" t="s">
        <v>917</v>
      </c>
      <c r="H16" s="132" t="s">
        <v>895</v>
      </c>
      <c r="I16" s="132" t="b">
        <v>0</v>
      </c>
      <c r="J16" s="132" t="s">
        <v>769</v>
      </c>
      <c r="K16" s="132" t="s">
        <v>769</v>
      </c>
      <c r="L16" s="132" t="s">
        <v>769</v>
      </c>
      <c r="M16" s="132" t="s">
        <v>769</v>
      </c>
      <c r="N16" s="45">
        <v>33911</v>
      </c>
    </row>
    <row r="17" spans="1:14">
      <c r="A17" s="45">
        <f t="array" ref="A17">IFERROR(INDEX(baseline!$A$3:$A$201,MATCH($B17&amp;$C17,baseline!$C$3:$C$201&amp;baseline!$D$3:$D$201,0)),"NA")</f>
        <v>19</v>
      </c>
      <c r="B17" s="45" t="s">
        <v>712</v>
      </c>
      <c r="C17" s="45" t="s">
        <v>14</v>
      </c>
      <c r="D17" s="45" t="s">
        <v>896</v>
      </c>
      <c r="E17" s="132">
        <v>0.9</v>
      </c>
      <c r="F17" s="132" t="s">
        <v>769</v>
      </c>
      <c r="G17" s="132" t="s">
        <v>917</v>
      </c>
      <c r="H17" s="132" t="s">
        <v>895</v>
      </c>
      <c r="I17" s="132" t="b">
        <v>0</v>
      </c>
      <c r="J17" s="132" t="s">
        <v>769</v>
      </c>
      <c r="K17" s="132" t="s">
        <v>769</v>
      </c>
      <c r="L17" s="132" t="s">
        <v>769</v>
      </c>
      <c r="M17" s="132" t="s">
        <v>769</v>
      </c>
      <c r="N17" s="45">
        <v>67292</v>
      </c>
    </row>
    <row r="18" spans="1:14">
      <c r="A18" s="45">
        <f t="array" ref="A18">IFERROR(INDEX(baseline!$A$3:$A$201,MATCH($B18&amp;$C18,baseline!$C$3:$C$201&amp;baseline!$D$3:$D$201,0)),"NA")</f>
        <v>24</v>
      </c>
      <c r="B18" s="45" t="s">
        <v>547</v>
      </c>
      <c r="C18" s="45" t="s">
        <v>881</v>
      </c>
      <c r="D18" s="45" t="s">
        <v>896</v>
      </c>
      <c r="E18" s="132">
        <v>0.9</v>
      </c>
      <c r="F18" s="132" t="s">
        <v>769</v>
      </c>
      <c r="G18" s="132" t="s">
        <v>917</v>
      </c>
      <c r="H18" s="132" t="s">
        <v>895</v>
      </c>
      <c r="I18" s="132" t="b">
        <v>0</v>
      </c>
      <c r="J18" s="132" t="s">
        <v>769</v>
      </c>
      <c r="K18" s="132" t="s">
        <v>769</v>
      </c>
      <c r="L18" s="132" t="s">
        <v>769</v>
      </c>
      <c r="M18" s="132" t="s">
        <v>769</v>
      </c>
      <c r="N18" s="45">
        <v>67292</v>
      </c>
    </row>
    <row r="19" spans="1:14">
      <c r="A19" s="45">
        <f t="array" ref="A19">IFERROR(INDEX(baseline!$A$3:$A$201,MATCH($B19&amp;$C19,baseline!$C$3:$C$201&amp;baseline!$D$3:$D$201,0)),"NA")</f>
        <v>25</v>
      </c>
      <c r="B19" s="45" t="s">
        <v>547</v>
      </c>
      <c r="C19" s="45" t="s">
        <v>14</v>
      </c>
      <c r="D19" s="45" t="s">
        <v>896</v>
      </c>
      <c r="E19" s="132">
        <v>0.9</v>
      </c>
      <c r="F19" s="132" t="s">
        <v>769</v>
      </c>
      <c r="G19" s="132" t="s">
        <v>917</v>
      </c>
      <c r="H19" s="132" t="s">
        <v>895</v>
      </c>
      <c r="I19" s="132" t="b">
        <v>0</v>
      </c>
      <c r="J19" s="132" t="s">
        <v>769</v>
      </c>
      <c r="K19" s="132" t="s">
        <v>769</v>
      </c>
      <c r="L19" s="132" t="s">
        <v>769</v>
      </c>
      <c r="M19" s="132" t="s">
        <v>769</v>
      </c>
      <c r="N19" s="45">
        <v>67292</v>
      </c>
    </row>
    <row r="20" spans="1:14">
      <c r="A20" s="45">
        <f t="array" ref="A20">IFERROR(INDEX(baseline!$A$3:$A$201,MATCH($B20&amp;$C20,baseline!$C$3:$C$201&amp;baseline!$D$3:$D$201,0)),"NA")</f>
        <v>26</v>
      </c>
      <c r="B20" s="45" t="s">
        <v>547</v>
      </c>
      <c r="C20" s="45" t="s">
        <v>546</v>
      </c>
      <c r="D20" s="45" t="s">
        <v>896</v>
      </c>
      <c r="E20" s="132">
        <v>0.9</v>
      </c>
      <c r="F20" s="132" t="s">
        <v>769</v>
      </c>
      <c r="G20" s="132" t="s">
        <v>917</v>
      </c>
      <c r="H20" s="132" t="s">
        <v>895</v>
      </c>
      <c r="I20" s="132" t="b">
        <v>0</v>
      </c>
      <c r="J20" s="132" t="s">
        <v>769</v>
      </c>
      <c r="K20" s="132" t="s">
        <v>769</v>
      </c>
      <c r="L20" s="132" t="s">
        <v>769</v>
      </c>
      <c r="M20" s="132" t="s">
        <v>769</v>
      </c>
      <c r="N20" s="45">
        <v>33911</v>
      </c>
    </row>
    <row r="21" spans="1:14">
      <c r="A21" s="45">
        <f t="array" ref="A21">IFERROR(INDEX(baseline!$A$3:$A$201,MATCH($B21&amp;$C21,baseline!$C$3:$C$201&amp;baseline!$D$3:$D$201,0)),"NA")</f>
        <v>27</v>
      </c>
      <c r="B21" s="45" t="s">
        <v>1</v>
      </c>
      <c r="C21" s="45" t="s">
        <v>881</v>
      </c>
      <c r="D21" s="45" t="s">
        <v>896</v>
      </c>
      <c r="E21" s="132">
        <v>0.9</v>
      </c>
      <c r="F21" s="132" t="s">
        <v>769</v>
      </c>
      <c r="G21" s="132" t="s">
        <v>917</v>
      </c>
      <c r="H21" s="132" t="s">
        <v>895</v>
      </c>
      <c r="I21" s="132" t="b">
        <v>0</v>
      </c>
      <c r="J21" s="132" t="s">
        <v>769</v>
      </c>
      <c r="K21" s="132" t="s">
        <v>769</v>
      </c>
      <c r="L21" s="132" t="s">
        <v>769</v>
      </c>
      <c r="M21" s="132" t="s">
        <v>769</v>
      </c>
      <c r="N21" s="45">
        <v>67292</v>
      </c>
    </row>
    <row r="22" spans="1:14">
      <c r="A22" s="45">
        <f t="array" ref="A22">IFERROR(INDEX(baseline!$A$3:$A$201,MATCH($B22&amp;$C22,baseline!$C$3:$C$201&amp;baseline!$D$3:$D$201,0)),"NA")</f>
        <v>28</v>
      </c>
      <c r="B22" s="45" t="s">
        <v>1</v>
      </c>
      <c r="C22" s="45" t="s">
        <v>14</v>
      </c>
      <c r="D22" s="45" t="s">
        <v>896</v>
      </c>
      <c r="E22" s="132">
        <v>0.9</v>
      </c>
      <c r="F22" s="132" t="s">
        <v>769</v>
      </c>
      <c r="G22" s="132" t="s">
        <v>917</v>
      </c>
      <c r="H22" s="132" t="s">
        <v>895</v>
      </c>
      <c r="I22" s="132" t="b">
        <v>0</v>
      </c>
      <c r="J22" s="132" t="s">
        <v>769</v>
      </c>
      <c r="K22" s="132" t="s">
        <v>769</v>
      </c>
      <c r="L22" s="132" t="s">
        <v>769</v>
      </c>
      <c r="M22" s="132" t="s">
        <v>769</v>
      </c>
      <c r="N22" s="45">
        <v>33911</v>
      </c>
    </row>
    <row r="23" spans="1:14">
      <c r="A23" s="45" t="str">
        <f t="array" ref="A23">IFERROR(INDEX(baseline!$A$3:$A$201,MATCH($B23&amp;$C23,baseline!$C$3:$C$201&amp;baseline!$D$3:$D$201,0)),"NA")</f>
        <v>NA</v>
      </c>
      <c r="B23" s="45" t="s">
        <v>0</v>
      </c>
      <c r="C23" s="45" t="s">
        <v>13</v>
      </c>
      <c r="D23" s="45" t="s">
        <v>896</v>
      </c>
      <c r="E23" s="132">
        <v>0.9</v>
      </c>
      <c r="F23" s="132" t="s">
        <v>769</v>
      </c>
      <c r="G23" s="132" t="s">
        <v>917</v>
      </c>
      <c r="H23" s="132" t="s">
        <v>895</v>
      </c>
      <c r="I23" s="132" t="b">
        <v>0</v>
      </c>
      <c r="J23" s="132" t="s">
        <v>769</v>
      </c>
      <c r="K23" s="132" t="s">
        <v>769</v>
      </c>
      <c r="L23" s="132" t="s">
        <v>769</v>
      </c>
      <c r="M23" s="132" t="s">
        <v>769</v>
      </c>
      <c r="N23" s="45">
        <v>67292</v>
      </c>
    </row>
    <row r="24" spans="1:14">
      <c r="A24" s="45" t="str">
        <f t="array" ref="A24">IFERROR(INDEX(baseline!$A$3:$A$201,MATCH($B24&amp;$C24,baseline!$C$3:$C$201&amp;baseline!$D$3:$D$201,0)),"NA")</f>
        <v>NA</v>
      </c>
      <c r="B24" s="45" t="s">
        <v>0</v>
      </c>
      <c r="C24" s="45" t="s">
        <v>14</v>
      </c>
      <c r="D24" s="45" t="s">
        <v>896</v>
      </c>
      <c r="E24" s="132">
        <v>0.9</v>
      </c>
      <c r="F24" s="132" t="s">
        <v>769</v>
      </c>
      <c r="G24" s="132" t="s">
        <v>917</v>
      </c>
      <c r="H24" s="132" t="s">
        <v>895</v>
      </c>
      <c r="I24" s="132" t="b">
        <v>0</v>
      </c>
      <c r="J24" s="132" t="s">
        <v>769</v>
      </c>
      <c r="K24" s="132" t="s">
        <v>769</v>
      </c>
      <c r="L24" s="132" t="s">
        <v>769</v>
      </c>
      <c r="M24" s="132" t="s">
        <v>769</v>
      </c>
      <c r="N24" s="45">
        <v>33911</v>
      </c>
    </row>
    <row r="25" spans="1:14">
      <c r="A25" s="45">
        <f t="array" ref="A25">IFERROR(INDEX(baseline!$A$3:$A$201,MATCH($B25&amp;$C25,baseline!$C$3:$C$201&amp;baseline!$D$3:$D$201,0)),"NA")</f>
        <v>30</v>
      </c>
      <c r="B25" s="45" t="s">
        <v>0</v>
      </c>
      <c r="C25" s="45" t="s">
        <v>546</v>
      </c>
      <c r="D25" s="45" t="s">
        <v>896</v>
      </c>
      <c r="E25" s="132">
        <v>0.9</v>
      </c>
      <c r="F25" s="132" t="s">
        <v>769</v>
      </c>
      <c r="G25" s="132" t="s">
        <v>917</v>
      </c>
      <c r="H25" s="132" t="s">
        <v>895</v>
      </c>
      <c r="I25" s="132" t="b">
        <v>0</v>
      </c>
      <c r="J25" s="132" t="s">
        <v>769</v>
      </c>
      <c r="K25" s="132" t="s">
        <v>769</v>
      </c>
      <c r="L25" s="132" t="s">
        <v>769</v>
      </c>
      <c r="M25" s="132" t="s">
        <v>769</v>
      </c>
      <c r="N25" s="45">
        <v>33911</v>
      </c>
    </row>
    <row r="26" spans="1:14">
      <c r="A26" s="45" t="s">
        <v>769</v>
      </c>
      <c r="B26" s="45" t="s">
        <v>78</v>
      </c>
      <c r="C26" s="45" t="s">
        <v>13</v>
      </c>
      <c r="D26" s="45" t="s">
        <v>896</v>
      </c>
      <c r="E26" s="132">
        <v>0.9</v>
      </c>
      <c r="F26" s="132" t="s">
        <v>769</v>
      </c>
      <c r="G26" s="132" t="s">
        <v>917</v>
      </c>
      <c r="H26" s="132" t="s">
        <v>895</v>
      </c>
      <c r="I26" s="132" t="b">
        <v>0</v>
      </c>
      <c r="J26" s="132" t="s">
        <v>769</v>
      </c>
      <c r="K26" s="132" t="s">
        <v>769</v>
      </c>
      <c r="L26" s="132" t="s">
        <v>769</v>
      </c>
      <c r="M26" s="132" t="s">
        <v>769</v>
      </c>
      <c r="N26" s="45">
        <v>33911</v>
      </c>
    </row>
    <row r="27" spans="1:14">
      <c r="A27" s="45" t="str">
        <f t="array" ref="A27">IFERROR(INDEX(baseline!$A$3:$A$201,MATCH($B27&amp;$C27,baseline!$C$3:$C$201&amp;baseline!$D$3:$D$201,0)),"NA")</f>
        <v>NA</v>
      </c>
      <c r="B27" s="45" t="s">
        <v>78</v>
      </c>
      <c r="C27" s="45" t="s">
        <v>14</v>
      </c>
      <c r="D27" s="45" t="s">
        <v>896</v>
      </c>
      <c r="E27" s="132">
        <v>0.9</v>
      </c>
      <c r="F27" s="132" t="s">
        <v>769</v>
      </c>
      <c r="G27" s="132" t="s">
        <v>917</v>
      </c>
      <c r="H27" s="132" t="s">
        <v>895</v>
      </c>
      <c r="I27" s="132" t="b">
        <v>0</v>
      </c>
      <c r="J27" s="132" t="s">
        <v>769</v>
      </c>
      <c r="K27" s="132" t="s">
        <v>769</v>
      </c>
      <c r="L27" s="132" t="s">
        <v>769</v>
      </c>
      <c r="M27" s="132" t="s">
        <v>769</v>
      </c>
      <c r="N27" s="45">
        <v>33911</v>
      </c>
    </row>
    <row r="28" spans="1:14">
      <c r="A28" s="45">
        <f t="array" ref="A28">IFERROR(INDEX(baseline!$A$3:$A$201,MATCH($B28&amp;$C28,baseline!$C$3:$C$201&amp;baseline!$D$3:$D$201,0)),"NA")</f>
        <v>31</v>
      </c>
      <c r="B28" s="45" t="s">
        <v>78</v>
      </c>
      <c r="C28" s="45" t="s">
        <v>546</v>
      </c>
      <c r="D28" s="45" t="s">
        <v>896</v>
      </c>
      <c r="E28" s="132">
        <v>0.9</v>
      </c>
      <c r="F28" s="132" t="s">
        <v>769</v>
      </c>
      <c r="G28" s="132" t="s">
        <v>917</v>
      </c>
      <c r="H28" s="132" t="s">
        <v>895</v>
      </c>
      <c r="I28" s="132" t="b">
        <v>0</v>
      </c>
      <c r="J28" s="132" t="s">
        <v>769</v>
      </c>
      <c r="K28" s="132" t="s">
        <v>769</v>
      </c>
      <c r="L28" s="132" t="s">
        <v>769</v>
      </c>
      <c r="M28" s="132" t="s">
        <v>769</v>
      </c>
      <c r="N28" s="45">
        <v>12022</v>
      </c>
    </row>
    <row r="29" spans="1:14">
      <c r="A29" s="45" t="str">
        <f t="array" ref="A29">IFERROR(INDEX(baseline!$A$3:$A$201,MATCH($B29&amp;$C29,baseline!$C$3:$C$201&amp;baseline!$D$3:$D$201,0)),"NA")</f>
        <v>NA</v>
      </c>
      <c r="B29" s="45" t="s">
        <v>545</v>
      </c>
      <c r="C29" s="45" t="s">
        <v>13</v>
      </c>
      <c r="D29" s="45" t="s">
        <v>896</v>
      </c>
      <c r="E29" s="132">
        <v>0.9</v>
      </c>
      <c r="F29" s="132" t="s">
        <v>769</v>
      </c>
      <c r="G29" s="132" t="s">
        <v>917</v>
      </c>
      <c r="H29" s="132" t="s">
        <v>895</v>
      </c>
      <c r="I29" s="132" t="b">
        <v>0</v>
      </c>
      <c r="J29" s="132" t="s">
        <v>769</v>
      </c>
      <c r="K29" s="132" t="s">
        <v>769</v>
      </c>
      <c r="L29" s="132" t="s">
        <v>769</v>
      </c>
      <c r="M29" s="132" t="s">
        <v>769</v>
      </c>
      <c r="N29" s="45">
        <v>67292</v>
      </c>
    </row>
    <row r="30" spans="1:14">
      <c r="A30" s="45" t="str">
        <f t="array" ref="A30">IFERROR(INDEX(baseline!$A$3:$A$201,MATCH($B30&amp;$C30,baseline!$C$3:$C$201&amp;baseline!$D$3:$D$201,0)),"NA")</f>
        <v>NA</v>
      </c>
      <c r="B30" s="45" t="s">
        <v>545</v>
      </c>
      <c r="C30" s="45" t="s">
        <v>14</v>
      </c>
      <c r="D30" s="45" t="s">
        <v>896</v>
      </c>
      <c r="E30" s="132">
        <v>0.9</v>
      </c>
      <c r="F30" s="132" t="s">
        <v>769</v>
      </c>
      <c r="G30" s="132" t="s">
        <v>917</v>
      </c>
      <c r="H30" s="132" t="s">
        <v>895</v>
      </c>
      <c r="I30" s="132" t="b">
        <v>0</v>
      </c>
      <c r="J30" s="132" t="s">
        <v>769</v>
      </c>
      <c r="K30" s="132" t="s">
        <v>769</v>
      </c>
      <c r="L30" s="132" t="s">
        <v>769</v>
      </c>
      <c r="M30" s="132" t="s">
        <v>769</v>
      </c>
      <c r="N30" s="45">
        <v>33911</v>
      </c>
    </row>
    <row r="31" spans="1:14">
      <c r="A31" s="45">
        <f t="array" ref="A31">IFERROR(INDEX(baseline!$A$3:$A$201,MATCH($B31&amp;$C31,baseline!$C$3:$C$201&amp;baseline!$D$3:$D$201,0)),"NA")</f>
        <v>29</v>
      </c>
      <c r="B31" s="45" t="s">
        <v>761</v>
      </c>
      <c r="C31" s="45" t="s">
        <v>546</v>
      </c>
      <c r="D31" s="45" t="s">
        <v>896</v>
      </c>
      <c r="E31" s="132">
        <v>0.9</v>
      </c>
      <c r="F31" s="132" t="s">
        <v>769</v>
      </c>
      <c r="G31" s="132" t="s">
        <v>917</v>
      </c>
      <c r="H31" s="132" t="s">
        <v>895</v>
      </c>
      <c r="I31" s="132" t="b">
        <v>0</v>
      </c>
      <c r="J31" s="132" t="s">
        <v>769</v>
      </c>
      <c r="K31" s="132" t="s">
        <v>769</v>
      </c>
      <c r="L31" s="132" t="s">
        <v>769</v>
      </c>
      <c r="M31" s="132" t="s">
        <v>769</v>
      </c>
      <c r="N31" s="45">
        <v>33911</v>
      </c>
    </row>
    <row r="32" spans="1:14">
      <c r="A32" s="45" t="str">
        <f t="array" ref="A32">IFERROR(INDEX(baseline!$A$3:$A$201,MATCH($B32&amp;$C32,baseline!$C$3:$C$201&amp;baseline!$D$3:$D$201,0)),"NA")</f>
        <v>NA</v>
      </c>
      <c r="B32" s="45" t="s">
        <v>697</v>
      </c>
      <c r="C32" s="45" t="s">
        <v>13</v>
      </c>
      <c r="D32" s="45" t="s">
        <v>896</v>
      </c>
      <c r="E32" s="132">
        <v>0.9</v>
      </c>
      <c r="F32" s="132" t="s">
        <v>769</v>
      </c>
      <c r="G32" s="132" t="s">
        <v>917</v>
      </c>
      <c r="H32" s="132" t="s">
        <v>895</v>
      </c>
      <c r="I32" s="132" t="b">
        <v>0</v>
      </c>
      <c r="J32" s="132" t="s">
        <v>769</v>
      </c>
      <c r="K32" s="132" t="s">
        <v>769</v>
      </c>
      <c r="L32" s="132" t="s">
        <v>769</v>
      </c>
      <c r="M32" s="132" t="s">
        <v>769</v>
      </c>
      <c r="N32" s="45">
        <v>67292</v>
      </c>
    </row>
    <row r="33" spans="1:14">
      <c r="A33" s="45" t="str">
        <f t="array" ref="A33">IFERROR(INDEX(baseline!$A$3:$A$201,MATCH($B33&amp;$C33,baseline!$C$3:$C$201&amp;baseline!$D$3:$D$201,0)),"NA")</f>
        <v>NA</v>
      </c>
      <c r="B33" s="45" t="s">
        <v>697</v>
      </c>
      <c r="C33" s="45" t="s">
        <v>546</v>
      </c>
      <c r="D33" s="45" t="s">
        <v>896</v>
      </c>
      <c r="E33" s="132">
        <v>0.9</v>
      </c>
      <c r="F33" s="132" t="s">
        <v>769</v>
      </c>
      <c r="G33" s="132" t="s">
        <v>917</v>
      </c>
      <c r="H33" s="132" t="s">
        <v>895</v>
      </c>
      <c r="I33" s="132" t="b">
        <v>0</v>
      </c>
      <c r="J33" s="132" t="s">
        <v>769</v>
      </c>
      <c r="K33" s="132" t="s">
        <v>769</v>
      </c>
      <c r="L33" s="132" t="s">
        <v>769</v>
      </c>
      <c r="M33" s="132" t="s">
        <v>769</v>
      </c>
      <c r="N33" s="45">
        <v>12022</v>
      </c>
    </row>
    <row r="34" spans="1:14">
      <c r="A34" s="45" t="str">
        <f t="array" ref="A34">IFERROR(INDEX(baseline!$A$3:$A$201,MATCH($B34&amp;$C34,baseline!$C$3:$C$201&amp;baseline!$D$3:$D$201,0)),"NA")</f>
        <v>NA</v>
      </c>
      <c r="B34" s="45" t="s">
        <v>713</v>
      </c>
      <c r="C34" s="45" t="s">
        <v>546</v>
      </c>
      <c r="D34" s="45" t="s">
        <v>896</v>
      </c>
      <c r="E34" s="132">
        <v>0.9</v>
      </c>
      <c r="F34" s="132" t="s">
        <v>769</v>
      </c>
      <c r="G34" s="132" t="s">
        <v>917</v>
      </c>
      <c r="H34" s="132" t="s">
        <v>895</v>
      </c>
      <c r="I34" s="132" t="b">
        <v>0</v>
      </c>
      <c r="J34" s="132" t="s">
        <v>769</v>
      </c>
      <c r="K34" s="132" t="s">
        <v>769</v>
      </c>
      <c r="L34" s="132" t="s">
        <v>769</v>
      </c>
      <c r="M34" s="132" t="s">
        <v>769</v>
      </c>
      <c r="N34" s="45">
        <v>33911</v>
      </c>
    </row>
    <row r="35" spans="1:14">
      <c r="A35" s="45" t="str">
        <f t="array" ref="A35">IFERROR(INDEX(baseline!$A$3:$A$201,MATCH($B35&amp;$C35,baseline!$C$3:$C$201&amp;baseline!$D$3:$D$201,0)),"NA")</f>
        <v>NA</v>
      </c>
      <c r="B35" s="45" t="s">
        <v>762</v>
      </c>
      <c r="C35" s="45" t="s">
        <v>546</v>
      </c>
      <c r="D35" s="45" t="s">
        <v>896</v>
      </c>
      <c r="E35" s="132">
        <v>0.9</v>
      </c>
      <c r="F35" s="132" t="s">
        <v>769</v>
      </c>
      <c r="G35" s="132" t="s">
        <v>917</v>
      </c>
      <c r="H35" s="132" t="s">
        <v>895</v>
      </c>
      <c r="I35" s="132" t="b">
        <v>0</v>
      </c>
      <c r="J35" s="132" t="s">
        <v>769</v>
      </c>
      <c r="K35" s="132" t="s">
        <v>769</v>
      </c>
      <c r="L35" s="132" t="s">
        <v>769</v>
      </c>
      <c r="M35" s="132" t="s">
        <v>769</v>
      </c>
      <c r="N35" s="45">
        <v>33911</v>
      </c>
    </row>
    <row r="36" spans="1:14">
      <c r="A36" s="45" t="str">
        <f t="array" ref="A36">IFERROR(INDEX(baseline!$A$3:$A$201,MATCH($B36&amp;$C36,baseline!$C$3:$C$201&amp;baseline!$D$3:$D$201,0)),"NA")</f>
        <v>NA</v>
      </c>
      <c r="B36" s="45" t="s">
        <v>712</v>
      </c>
      <c r="C36" s="45" t="s">
        <v>881</v>
      </c>
      <c r="D36" s="45" t="s">
        <v>896</v>
      </c>
      <c r="E36" s="132">
        <v>0.9</v>
      </c>
      <c r="F36" s="132" t="s">
        <v>769</v>
      </c>
      <c r="G36" s="132" t="s">
        <v>917</v>
      </c>
      <c r="H36" s="132" t="s">
        <v>895</v>
      </c>
      <c r="I36" s="132" t="b">
        <v>0</v>
      </c>
      <c r="J36" s="132" t="s">
        <v>769</v>
      </c>
      <c r="K36" s="132" t="s">
        <v>769</v>
      </c>
      <c r="L36" s="132" t="s">
        <v>769</v>
      </c>
      <c r="M36" s="132" t="s">
        <v>769</v>
      </c>
      <c r="N36" s="45">
        <v>175036</v>
      </c>
    </row>
    <row r="37" spans="1:14">
      <c r="A37" s="45" t="str">
        <f t="array" ref="A37">IFERROR(INDEX(baseline!$A$3:$A$201,MATCH($B37&amp;$C37,baseline!$C$3:$C$201&amp;baseline!$D$3:$D$201,0)),"NA")</f>
        <v>NA</v>
      </c>
      <c r="B37" s="45" t="s">
        <v>712</v>
      </c>
      <c r="C37" s="45" t="s">
        <v>13</v>
      </c>
      <c r="D37" s="45" t="s">
        <v>896</v>
      </c>
      <c r="E37" s="132">
        <v>0.9</v>
      </c>
      <c r="F37" s="132" t="s">
        <v>769</v>
      </c>
      <c r="G37" s="132" t="s">
        <v>917</v>
      </c>
      <c r="H37" s="132" t="s">
        <v>895</v>
      </c>
      <c r="I37" s="132" t="b">
        <v>0</v>
      </c>
      <c r="J37" s="132" t="s">
        <v>769</v>
      </c>
      <c r="K37" s="132" t="s">
        <v>769</v>
      </c>
      <c r="L37" s="132" t="s">
        <v>769</v>
      </c>
      <c r="M37" s="132" t="s">
        <v>769</v>
      </c>
      <c r="N37" s="45">
        <v>175036</v>
      </c>
    </row>
    <row r="38" spans="1:14">
      <c r="A38" s="45" t="str">
        <f t="array" ref="A38">IFERROR(INDEX(baseline!$A$3:$A$201,MATCH($B38&amp;$C38,baseline!$C$3:$C$201&amp;baseline!$D$3:$D$201,0)),"NA")</f>
        <v>NA</v>
      </c>
      <c r="B38" s="45" t="s">
        <v>712</v>
      </c>
      <c r="C38" s="45" t="s">
        <v>546</v>
      </c>
      <c r="D38" s="45" t="s">
        <v>896</v>
      </c>
      <c r="E38" s="132">
        <v>0.9</v>
      </c>
      <c r="F38" s="132" t="s">
        <v>769</v>
      </c>
      <c r="G38" s="132" t="s">
        <v>917</v>
      </c>
      <c r="H38" s="132" t="s">
        <v>895</v>
      </c>
      <c r="I38" s="132" t="b">
        <v>0</v>
      </c>
      <c r="J38" s="132" t="s">
        <v>769</v>
      </c>
      <c r="K38" s="132" t="s">
        <v>769</v>
      </c>
      <c r="L38" s="132" t="s">
        <v>769</v>
      </c>
      <c r="M38" s="132" t="s">
        <v>769</v>
      </c>
      <c r="N38" s="45">
        <v>67292</v>
      </c>
    </row>
    <row r="39" spans="1:14">
      <c r="A39" s="45" t="str">
        <f t="array" ref="A39">IFERROR(INDEX(baseline!$A$3:$A$201,MATCH($B39&amp;$C39,baseline!$C$3:$C$201&amp;baseline!$D$3:$D$201,0)),"NA")</f>
        <v>NA</v>
      </c>
      <c r="B39" s="45" t="s">
        <v>547</v>
      </c>
      <c r="C39" s="45" t="s">
        <v>13</v>
      </c>
      <c r="D39" s="45" t="s">
        <v>896</v>
      </c>
      <c r="E39" s="132">
        <v>0.9</v>
      </c>
      <c r="F39" s="132" t="s">
        <v>769</v>
      </c>
      <c r="G39" s="132" t="s">
        <v>917</v>
      </c>
      <c r="H39" s="132" t="s">
        <v>895</v>
      </c>
      <c r="I39" s="132" t="b">
        <v>0</v>
      </c>
      <c r="J39" s="132" t="s">
        <v>769</v>
      </c>
      <c r="K39" s="132" t="s">
        <v>769</v>
      </c>
      <c r="L39" s="132" t="s">
        <v>769</v>
      </c>
      <c r="M39" s="132" t="s">
        <v>769</v>
      </c>
      <c r="N39" s="45">
        <v>67292</v>
      </c>
    </row>
    <row r="40" spans="1:14">
      <c r="A40" s="45" t="str">
        <f t="array" ref="A40">IFERROR(INDEX(baseline!$A$3:$A$201,MATCH($B40&amp;$C40,baseline!$C$3:$C$201&amp;baseline!$D$3:$D$201,0)),"NA")</f>
        <v>NA</v>
      </c>
      <c r="B40" s="45" t="s">
        <v>1</v>
      </c>
      <c r="C40" s="45" t="s">
        <v>13</v>
      </c>
      <c r="D40" s="45" t="s">
        <v>896</v>
      </c>
      <c r="E40" s="132">
        <v>0.9</v>
      </c>
      <c r="F40" s="132" t="s">
        <v>769</v>
      </c>
      <c r="G40" s="132" t="s">
        <v>917</v>
      </c>
      <c r="H40" s="132" t="s">
        <v>895</v>
      </c>
      <c r="I40" s="132" t="b">
        <v>0</v>
      </c>
      <c r="J40" s="132" t="s">
        <v>769</v>
      </c>
      <c r="K40" s="132" t="s">
        <v>769</v>
      </c>
      <c r="L40" s="132" t="s">
        <v>769</v>
      </c>
      <c r="M40" s="132" t="s">
        <v>769</v>
      </c>
      <c r="N40" s="45">
        <v>67292</v>
      </c>
    </row>
    <row r="41" spans="1:14">
      <c r="A41" s="45" t="str">
        <f t="array" ref="A41">IFERROR(INDEX(baseline!$A$3:$A$201,MATCH($B41&amp;$C41,baseline!$C$3:$C$201&amp;baseline!$D$3:$D$201,0)),"NA")</f>
        <v>NA</v>
      </c>
      <c r="B41" s="45" t="s">
        <v>1</v>
      </c>
      <c r="C41" s="45" t="s">
        <v>546</v>
      </c>
      <c r="D41" s="45" t="s">
        <v>896</v>
      </c>
      <c r="E41" s="132">
        <v>0.9</v>
      </c>
      <c r="F41" s="132" t="s">
        <v>769</v>
      </c>
      <c r="G41" s="132" t="s">
        <v>917</v>
      </c>
      <c r="H41" s="132" t="s">
        <v>895</v>
      </c>
      <c r="I41" s="132" t="b">
        <v>0</v>
      </c>
      <c r="J41" s="132" t="s">
        <v>769</v>
      </c>
      <c r="K41" s="132" t="s">
        <v>769</v>
      </c>
      <c r="L41" s="132" t="s">
        <v>769</v>
      </c>
      <c r="M41" s="132" t="s">
        <v>769</v>
      </c>
      <c r="N41" s="45">
        <v>12022</v>
      </c>
    </row>
    <row r="42" spans="1:14">
      <c r="A42" s="45">
        <f t="array" ref="A42">IFERROR(INDEX(baseline!$A$3:$A$201,MATCH($B42&amp;$C42,baseline!$C$3:$C$201&amp;baseline!$D$3:$D$201,0)),"NA")</f>
        <v>1</v>
      </c>
      <c r="B42" s="45" t="s">
        <v>0</v>
      </c>
      <c r="C42" s="45" t="s">
        <v>881</v>
      </c>
      <c r="D42" s="132" t="s">
        <v>840</v>
      </c>
      <c r="E42" s="45" t="s">
        <v>769</v>
      </c>
      <c r="F42" s="132" t="s">
        <v>862</v>
      </c>
      <c r="G42" s="132" t="s">
        <v>916</v>
      </c>
      <c r="H42" s="45" t="s">
        <v>769</v>
      </c>
      <c r="I42" s="45" t="b">
        <v>1</v>
      </c>
      <c r="J42" s="132">
        <v>82</v>
      </c>
      <c r="K42" s="132">
        <v>-25</v>
      </c>
      <c r="L42" s="132">
        <v>40</v>
      </c>
      <c r="M42" s="132">
        <v>20</v>
      </c>
      <c r="N42" s="45">
        <v>957</v>
      </c>
    </row>
    <row r="43" spans="1:14">
      <c r="A43" s="45">
        <f t="array" ref="A43">IFERROR(INDEX(baseline!$A$3:$A$201,MATCH($B43&amp;$C43,baseline!$C$3:$C$201&amp;baseline!$D$3:$D$201,0)),"NA")</f>
        <v>2</v>
      </c>
      <c r="B43" s="45" t="s">
        <v>78</v>
      </c>
      <c r="C43" s="45" t="s">
        <v>881</v>
      </c>
      <c r="D43" s="132" t="s">
        <v>840</v>
      </c>
      <c r="E43" s="45" t="s">
        <v>769</v>
      </c>
      <c r="F43" s="132" t="s">
        <v>862</v>
      </c>
      <c r="G43" s="132" t="s">
        <v>916</v>
      </c>
      <c r="H43" s="45" t="s">
        <v>769</v>
      </c>
      <c r="I43" s="45" t="b">
        <v>1</v>
      </c>
      <c r="J43" s="132">
        <v>82</v>
      </c>
      <c r="K43" s="132">
        <v>-25</v>
      </c>
      <c r="L43" s="132">
        <v>40</v>
      </c>
      <c r="M43" s="132">
        <v>20</v>
      </c>
      <c r="N43" s="45">
        <v>957</v>
      </c>
    </row>
    <row r="44" spans="1:14">
      <c r="A44" s="45">
        <f t="array" ref="A44">IFERROR(INDEX(baseline!$A$3:$A$201,MATCH($B44&amp;$C44,baseline!$C$3:$C$201&amp;baseline!$D$3:$D$201,0)),"NA")</f>
        <v>3</v>
      </c>
      <c r="B44" s="45" t="s">
        <v>545</v>
      </c>
      <c r="C44" s="45" t="s">
        <v>881</v>
      </c>
      <c r="D44" s="132" t="s">
        <v>840</v>
      </c>
      <c r="E44" s="45" t="s">
        <v>769</v>
      </c>
      <c r="F44" s="132" t="s">
        <v>862</v>
      </c>
      <c r="G44" s="132" t="s">
        <v>916</v>
      </c>
      <c r="H44" s="45" t="s">
        <v>769</v>
      </c>
      <c r="I44" s="45" t="b">
        <v>1</v>
      </c>
      <c r="J44" s="132">
        <v>82</v>
      </c>
      <c r="K44" s="132">
        <v>-25</v>
      </c>
      <c r="L44" s="132">
        <v>40</v>
      </c>
      <c r="M44" s="132">
        <v>20</v>
      </c>
      <c r="N44" s="45">
        <v>957</v>
      </c>
    </row>
    <row r="45" spans="1:14">
      <c r="A45" s="45">
        <f t="array" ref="A45">IFERROR(INDEX(baseline!$A$3:$A$201,MATCH($B45&amp;$C45,baseline!$C$3:$C$201&amp;baseline!$D$3:$D$201,0)),"NA")</f>
        <v>4</v>
      </c>
      <c r="B45" s="45" t="s">
        <v>545</v>
      </c>
      <c r="C45" s="45" t="s">
        <v>546</v>
      </c>
      <c r="D45" s="132" t="s">
        <v>840</v>
      </c>
      <c r="E45" s="45" t="s">
        <v>769</v>
      </c>
      <c r="F45" s="132" t="s">
        <v>862</v>
      </c>
      <c r="G45" s="132" t="s">
        <v>916</v>
      </c>
      <c r="H45" s="45" t="s">
        <v>769</v>
      </c>
      <c r="I45" s="45" t="b">
        <v>1</v>
      </c>
      <c r="J45" s="132">
        <v>82</v>
      </c>
      <c r="K45" s="132">
        <v>-25</v>
      </c>
      <c r="L45" s="132">
        <v>40</v>
      </c>
      <c r="M45" s="132">
        <v>20</v>
      </c>
      <c r="N45" s="45">
        <v>957</v>
      </c>
    </row>
    <row r="46" spans="1:14">
      <c r="A46" s="45">
        <f t="array" ref="A46">IFERROR(INDEX(baseline!$A$3:$A$201,MATCH($B46&amp;$C46,baseline!$C$3:$C$201&amp;baseline!$D$3:$D$201,0)),"NA")</f>
        <v>5</v>
      </c>
      <c r="B46" s="45" t="s">
        <v>761</v>
      </c>
      <c r="C46" s="45" t="s">
        <v>881</v>
      </c>
      <c r="D46" s="132" t="s">
        <v>840</v>
      </c>
      <c r="E46" s="45" t="s">
        <v>769</v>
      </c>
      <c r="F46" s="132" t="s">
        <v>862</v>
      </c>
      <c r="G46" s="132" t="s">
        <v>916</v>
      </c>
      <c r="H46" s="45" t="s">
        <v>769</v>
      </c>
      <c r="I46" s="45" t="b">
        <v>1</v>
      </c>
      <c r="J46" s="132">
        <v>82</v>
      </c>
      <c r="K46" s="132">
        <v>-25</v>
      </c>
      <c r="L46" s="132">
        <v>40</v>
      </c>
      <c r="M46" s="132">
        <v>20</v>
      </c>
      <c r="N46" s="45">
        <v>957</v>
      </c>
    </row>
    <row r="47" spans="1:14">
      <c r="A47" s="45">
        <f t="array" ref="A47">IFERROR(INDEX(baseline!$A$3:$A$201,MATCH($B47&amp;$C47,baseline!$C$3:$C$201&amp;baseline!$D$3:$D$201,0)),"NA")</f>
        <v>6</v>
      </c>
      <c r="B47" s="45" t="s">
        <v>761</v>
      </c>
      <c r="C47" s="45" t="s">
        <v>13</v>
      </c>
      <c r="D47" s="132" t="s">
        <v>840</v>
      </c>
      <c r="E47" s="45" t="s">
        <v>769</v>
      </c>
      <c r="F47" s="132" t="s">
        <v>862</v>
      </c>
      <c r="G47" s="132" t="s">
        <v>916</v>
      </c>
      <c r="H47" s="45" t="s">
        <v>769</v>
      </c>
      <c r="I47" s="45" t="b">
        <v>1</v>
      </c>
      <c r="J47" s="132">
        <v>82</v>
      </c>
      <c r="K47" s="132">
        <v>-25</v>
      </c>
      <c r="L47" s="132">
        <v>40</v>
      </c>
      <c r="M47" s="132">
        <v>20</v>
      </c>
      <c r="N47" s="45">
        <v>957</v>
      </c>
    </row>
    <row r="48" spans="1:14">
      <c r="A48" s="45">
        <f t="array" ref="A48">IFERROR(INDEX(baseline!$A$3:$A$201,MATCH($B48&amp;$C48,baseline!$C$3:$C$201&amp;baseline!$D$3:$D$201,0)),"NA")</f>
        <v>7</v>
      </c>
      <c r="B48" s="45" t="s">
        <v>761</v>
      </c>
      <c r="C48" s="45" t="s">
        <v>14</v>
      </c>
      <c r="D48" s="132" t="s">
        <v>840</v>
      </c>
      <c r="E48" s="45" t="s">
        <v>769</v>
      </c>
      <c r="F48" s="132" t="s">
        <v>862</v>
      </c>
      <c r="G48" s="132" t="s">
        <v>916</v>
      </c>
      <c r="H48" s="45" t="s">
        <v>769</v>
      </c>
      <c r="I48" s="45" t="b">
        <v>1</v>
      </c>
      <c r="J48" s="132">
        <v>82</v>
      </c>
      <c r="K48" s="132">
        <v>-25</v>
      </c>
      <c r="L48" s="132">
        <v>40</v>
      </c>
      <c r="M48" s="132">
        <v>20</v>
      </c>
      <c r="N48" s="45">
        <v>957</v>
      </c>
    </row>
    <row r="49" spans="1:14">
      <c r="A49" s="45">
        <f t="array" ref="A49">IFERROR(INDEX(baseline!$A$3:$A$201,MATCH($B49&amp;$C49,baseline!$C$3:$C$201&amp;baseline!$D$3:$D$201,0)),"NA")</f>
        <v>8</v>
      </c>
      <c r="B49" s="45" t="s">
        <v>697</v>
      </c>
      <c r="C49" s="45" t="s">
        <v>881</v>
      </c>
      <c r="D49" s="132" t="s">
        <v>840</v>
      </c>
      <c r="E49" s="45" t="s">
        <v>769</v>
      </c>
      <c r="F49" s="132" t="s">
        <v>862</v>
      </c>
      <c r="G49" s="132" t="s">
        <v>916</v>
      </c>
      <c r="H49" s="45" t="s">
        <v>769</v>
      </c>
      <c r="I49" s="45" t="b">
        <v>1</v>
      </c>
      <c r="J49" s="132">
        <v>82</v>
      </c>
      <c r="K49" s="132">
        <v>-25</v>
      </c>
      <c r="L49" s="132">
        <v>40</v>
      </c>
      <c r="M49" s="132">
        <v>20</v>
      </c>
      <c r="N49" s="45">
        <v>957</v>
      </c>
    </row>
    <row r="50" spans="1:14">
      <c r="A50" s="45">
        <f t="array" ref="A50">IFERROR(INDEX(baseline!$A$3:$A$201,MATCH($B50&amp;$C50,baseline!$C$3:$C$201&amp;baseline!$D$3:$D$201,0)),"NA")</f>
        <v>9</v>
      </c>
      <c r="B50" s="45" t="s">
        <v>697</v>
      </c>
      <c r="C50" s="45" t="s">
        <v>14</v>
      </c>
      <c r="D50" s="132" t="s">
        <v>840</v>
      </c>
      <c r="E50" s="45" t="s">
        <v>769</v>
      </c>
      <c r="F50" s="132" t="s">
        <v>862</v>
      </c>
      <c r="G50" s="132" t="s">
        <v>916</v>
      </c>
      <c r="H50" s="45" t="s">
        <v>769</v>
      </c>
      <c r="I50" s="45" t="b">
        <v>1</v>
      </c>
      <c r="J50" s="132">
        <v>82</v>
      </c>
      <c r="K50" s="132">
        <v>-25</v>
      </c>
      <c r="L50" s="132">
        <v>40</v>
      </c>
      <c r="M50" s="132">
        <v>20</v>
      </c>
      <c r="N50" s="45">
        <v>957</v>
      </c>
    </row>
    <row r="51" spans="1:14">
      <c r="A51" s="45">
        <f t="array" ref="A51">IFERROR(INDEX(baseline!$A$3:$A$201,MATCH($B51&amp;$C51,baseline!$C$3:$C$201&amp;baseline!$D$3:$D$201,0)),"NA")</f>
        <v>10</v>
      </c>
      <c r="B51" s="45" t="s">
        <v>713</v>
      </c>
      <c r="C51" s="45" t="s">
        <v>881</v>
      </c>
      <c r="D51" s="132" t="s">
        <v>840</v>
      </c>
      <c r="E51" s="45" t="s">
        <v>769</v>
      </c>
      <c r="F51" s="132" t="s">
        <v>862</v>
      </c>
      <c r="G51" s="132" t="s">
        <v>916</v>
      </c>
      <c r="H51" s="45" t="s">
        <v>769</v>
      </c>
      <c r="I51" s="45" t="b">
        <v>1</v>
      </c>
      <c r="J51" s="132">
        <v>82</v>
      </c>
      <c r="K51" s="132">
        <v>-25</v>
      </c>
      <c r="L51" s="132">
        <v>40</v>
      </c>
      <c r="M51" s="132">
        <v>20</v>
      </c>
      <c r="N51" s="45">
        <v>957</v>
      </c>
    </row>
    <row r="52" spans="1:14">
      <c r="A52" s="45">
        <f t="array" ref="A52">IFERROR(INDEX(baseline!$A$3:$A$201,MATCH($B52&amp;$C52,baseline!$C$3:$C$201&amp;baseline!$D$3:$D$201,0)),"NA")</f>
        <v>11</v>
      </c>
      <c r="B52" s="45" t="s">
        <v>713</v>
      </c>
      <c r="C52" s="45" t="s">
        <v>13</v>
      </c>
      <c r="D52" s="132" t="s">
        <v>840</v>
      </c>
      <c r="E52" s="45" t="s">
        <v>769</v>
      </c>
      <c r="F52" s="132" t="s">
        <v>862</v>
      </c>
      <c r="G52" s="132" t="s">
        <v>916</v>
      </c>
      <c r="H52" s="45" t="s">
        <v>769</v>
      </c>
      <c r="I52" s="45" t="b">
        <v>1</v>
      </c>
      <c r="J52" s="132">
        <v>82</v>
      </c>
      <c r="K52" s="132">
        <v>-25</v>
      </c>
      <c r="L52" s="132">
        <v>40</v>
      </c>
      <c r="M52" s="132">
        <v>20</v>
      </c>
      <c r="N52" s="45">
        <v>957</v>
      </c>
    </row>
    <row r="53" spans="1:14">
      <c r="A53" s="45">
        <f t="array" ref="A53">IFERROR(INDEX(baseline!$A$3:$A$201,MATCH($B53&amp;$C53,baseline!$C$3:$C$201&amp;baseline!$D$3:$D$201,0)),"NA")</f>
        <v>12</v>
      </c>
      <c r="B53" s="45" t="s">
        <v>713</v>
      </c>
      <c r="C53" s="45" t="s">
        <v>14</v>
      </c>
      <c r="D53" s="132" t="s">
        <v>840</v>
      </c>
      <c r="E53" s="45" t="s">
        <v>769</v>
      </c>
      <c r="F53" s="132" t="s">
        <v>862</v>
      </c>
      <c r="G53" s="132" t="s">
        <v>916</v>
      </c>
      <c r="H53" s="45" t="s">
        <v>769</v>
      </c>
      <c r="I53" s="45" t="b">
        <v>1</v>
      </c>
      <c r="J53" s="132">
        <v>82</v>
      </c>
      <c r="K53" s="132">
        <v>-25</v>
      </c>
      <c r="L53" s="132">
        <v>40</v>
      </c>
      <c r="M53" s="132">
        <v>20</v>
      </c>
      <c r="N53" s="45">
        <v>957</v>
      </c>
    </row>
    <row r="54" spans="1:14">
      <c r="A54" s="45">
        <f t="array" ref="A54">IFERROR(INDEX(baseline!$A$3:$A$201,MATCH($B54&amp;$C54,baseline!$C$3:$C$201&amp;baseline!$D$3:$D$201,0)),"NA")</f>
        <v>13</v>
      </c>
      <c r="B54" s="45" t="s">
        <v>762</v>
      </c>
      <c r="C54" s="45" t="s">
        <v>881</v>
      </c>
      <c r="D54" s="132" t="s">
        <v>840</v>
      </c>
      <c r="E54" s="45" t="s">
        <v>769</v>
      </c>
      <c r="F54" s="132" t="s">
        <v>862</v>
      </c>
      <c r="G54" s="132" t="s">
        <v>916</v>
      </c>
      <c r="H54" s="45" t="s">
        <v>769</v>
      </c>
      <c r="I54" s="45" t="b">
        <v>1</v>
      </c>
      <c r="J54" s="132">
        <v>82</v>
      </c>
      <c r="K54" s="132">
        <v>-25</v>
      </c>
      <c r="L54" s="132">
        <v>40</v>
      </c>
      <c r="M54" s="132">
        <v>20</v>
      </c>
      <c r="N54" s="45">
        <v>957</v>
      </c>
    </row>
    <row r="55" spans="1:14">
      <c r="A55" s="45">
        <f t="array" ref="A55">IFERROR(INDEX(baseline!$A$3:$A$201,MATCH($B55&amp;$C55,baseline!$C$3:$C$201&amp;baseline!$D$3:$D$201,0)),"NA")</f>
        <v>14</v>
      </c>
      <c r="B55" s="45" t="s">
        <v>762</v>
      </c>
      <c r="C55" s="45" t="s">
        <v>13</v>
      </c>
      <c r="D55" s="132" t="s">
        <v>840</v>
      </c>
      <c r="E55" s="45" t="s">
        <v>769</v>
      </c>
      <c r="F55" s="132" t="s">
        <v>862</v>
      </c>
      <c r="G55" s="132" t="s">
        <v>916</v>
      </c>
      <c r="H55" s="45" t="s">
        <v>769</v>
      </c>
      <c r="I55" s="45" t="b">
        <v>1</v>
      </c>
      <c r="J55" s="132">
        <v>82</v>
      </c>
      <c r="K55" s="132">
        <v>-25</v>
      </c>
      <c r="L55" s="132">
        <v>40</v>
      </c>
      <c r="M55" s="132">
        <v>20</v>
      </c>
      <c r="N55" s="45">
        <v>957</v>
      </c>
    </row>
    <row r="56" spans="1:14">
      <c r="A56" s="45">
        <f t="array" ref="A56">IFERROR(INDEX(baseline!$A$3:$A$201,MATCH($B56&amp;$C56,baseline!$C$3:$C$201&amp;baseline!$D$3:$D$201,0)),"NA")</f>
        <v>15</v>
      </c>
      <c r="B56" s="45" t="s">
        <v>762</v>
      </c>
      <c r="C56" s="45" t="s">
        <v>14</v>
      </c>
      <c r="D56" s="132" t="s">
        <v>840</v>
      </c>
      <c r="E56" s="45" t="s">
        <v>769</v>
      </c>
      <c r="F56" s="132" t="s">
        <v>862</v>
      </c>
      <c r="G56" s="132" t="s">
        <v>916</v>
      </c>
      <c r="H56" s="45" t="s">
        <v>769</v>
      </c>
      <c r="I56" s="45" t="b">
        <v>1</v>
      </c>
      <c r="J56" s="132">
        <v>82</v>
      </c>
      <c r="K56" s="132">
        <v>-25</v>
      </c>
      <c r="L56" s="132">
        <v>40</v>
      </c>
      <c r="M56" s="132">
        <v>20</v>
      </c>
      <c r="N56" s="45">
        <v>957</v>
      </c>
    </row>
    <row r="57" spans="1:14">
      <c r="A57" s="45">
        <f t="array" ref="A57">IFERROR(INDEX(baseline!$A$3:$A$201,MATCH($B57&amp;$C57,baseline!$C$3:$C$201&amp;baseline!$D$3:$D$201,0)),"NA")</f>
        <v>16</v>
      </c>
      <c r="B57" s="45" t="s">
        <v>763</v>
      </c>
      <c r="C57" s="45" t="s">
        <v>13</v>
      </c>
      <c r="D57" s="132" t="s">
        <v>840</v>
      </c>
      <c r="E57" s="45" t="s">
        <v>769</v>
      </c>
      <c r="F57" s="132" t="s">
        <v>862</v>
      </c>
      <c r="G57" s="132" t="s">
        <v>916</v>
      </c>
      <c r="H57" s="45" t="s">
        <v>769</v>
      </c>
      <c r="I57" s="45" t="b">
        <v>1</v>
      </c>
      <c r="J57" s="132">
        <v>82</v>
      </c>
      <c r="K57" s="132">
        <v>-25</v>
      </c>
      <c r="L57" s="132">
        <v>40</v>
      </c>
      <c r="M57" s="132">
        <v>20</v>
      </c>
      <c r="N57" s="45">
        <v>957</v>
      </c>
    </row>
    <row r="58" spans="1:14">
      <c r="A58" s="45">
        <f t="array" ref="A58">IFERROR(INDEX(baseline!$A$3:$A$201,MATCH($B58&amp;$C58,baseline!$C$3:$C$201&amp;baseline!$D$3:$D$201,0)),"NA")</f>
        <v>17</v>
      </c>
      <c r="B58" s="45" t="s">
        <v>763</v>
      </c>
      <c r="C58" s="45" t="s">
        <v>14</v>
      </c>
      <c r="D58" s="132" t="s">
        <v>840</v>
      </c>
      <c r="E58" s="45" t="s">
        <v>769</v>
      </c>
      <c r="F58" s="132" t="s">
        <v>862</v>
      </c>
      <c r="G58" s="132" t="s">
        <v>916</v>
      </c>
      <c r="H58" s="45" t="s">
        <v>769</v>
      </c>
      <c r="I58" s="45" t="b">
        <v>1</v>
      </c>
      <c r="J58" s="132">
        <v>82</v>
      </c>
      <c r="K58" s="132">
        <v>-25</v>
      </c>
      <c r="L58" s="132">
        <v>40</v>
      </c>
      <c r="M58" s="132">
        <v>20</v>
      </c>
      <c r="N58" s="45">
        <v>957</v>
      </c>
    </row>
    <row r="59" spans="1:14">
      <c r="A59" s="45">
        <f t="array" ref="A59">IFERROR(INDEX(baseline!$A$3:$A$201,MATCH($B59&amp;$C59,baseline!$C$3:$C$201&amp;baseline!$D$3:$D$201,0)),"NA")</f>
        <v>18</v>
      </c>
      <c r="B59" s="45" t="s">
        <v>763</v>
      </c>
      <c r="C59" s="45" t="s">
        <v>546</v>
      </c>
      <c r="D59" s="132" t="s">
        <v>840</v>
      </c>
      <c r="E59" s="45" t="s">
        <v>769</v>
      </c>
      <c r="F59" s="132" t="s">
        <v>862</v>
      </c>
      <c r="G59" s="132" t="s">
        <v>916</v>
      </c>
      <c r="H59" s="45" t="s">
        <v>769</v>
      </c>
      <c r="I59" s="45" t="b">
        <v>1</v>
      </c>
      <c r="J59" s="132">
        <v>82</v>
      </c>
      <c r="K59" s="132">
        <v>-25</v>
      </c>
      <c r="L59" s="132">
        <v>40</v>
      </c>
      <c r="M59" s="132">
        <v>20</v>
      </c>
      <c r="N59" s="45">
        <v>957</v>
      </c>
    </row>
    <row r="60" spans="1:14">
      <c r="A60" s="45">
        <f t="array" ref="A60">IFERROR(INDEX(baseline!$A$3:$A$201,MATCH($B60&amp;$C60,baseline!$C$3:$C$201&amp;baseline!$D$3:$D$201,0)),"NA")</f>
        <v>19</v>
      </c>
      <c r="B60" s="45" t="s">
        <v>712</v>
      </c>
      <c r="C60" s="45" t="s">
        <v>14</v>
      </c>
      <c r="D60" s="132" t="s">
        <v>840</v>
      </c>
      <c r="E60" s="45" t="s">
        <v>769</v>
      </c>
      <c r="F60" s="132" t="s">
        <v>862</v>
      </c>
      <c r="G60" s="132" t="s">
        <v>916</v>
      </c>
      <c r="H60" s="45" t="s">
        <v>769</v>
      </c>
      <c r="I60" s="45" t="b">
        <v>1</v>
      </c>
      <c r="J60" s="132">
        <v>82</v>
      </c>
      <c r="K60" s="132">
        <v>-25</v>
      </c>
      <c r="L60" s="132">
        <v>40</v>
      </c>
      <c r="M60" s="132">
        <v>20</v>
      </c>
      <c r="N60" s="45">
        <v>957</v>
      </c>
    </row>
    <row r="61" spans="1:14">
      <c r="A61" s="45">
        <f t="array" ref="A61">IFERROR(INDEX(baseline!$A$3:$A$201,MATCH($B61&amp;$C61,baseline!$C$3:$C$201&amp;baseline!$D$3:$D$201,0)),"NA")</f>
        <v>24</v>
      </c>
      <c r="B61" s="45" t="s">
        <v>547</v>
      </c>
      <c r="C61" s="45" t="s">
        <v>881</v>
      </c>
      <c r="D61" s="132" t="s">
        <v>840</v>
      </c>
      <c r="E61" s="45" t="s">
        <v>769</v>
      </c>
      <c r="F61" s="132" t="s">
        <v>862</v>
      </c>
      <c r="G61" s="132" t="s">
        <v>916</v>
      </c>
      <c r="H61" s="45" t="s">
        <v>769</v>
      </c>
      <c r="I61" s="45" t="b">
        <v>1</v>
      </c>
      <c r="J61" s="132">
        <v>82</v>
      </c>
      <c r="K61" s="132">
        <v>-25</v>
      </c>
      <c r="L61" s="132">
        <v>40</v>
      </c>
      <c r="M61" s="132">
        <v>20</v>
      </c>
      <c r="N61" s="45">
        <v>957</v>
      </c>
    </row>
    <row r="62" spans="1:14">
      <c r="A62" s="45">
        <f t="array" ref="A62">IFERROR(INDEX(baseline!$A$3:$A$201,MATCH($B62&amp;$C62,baseline!$C$3:$C$201&amp;baseline!$D$3:$D$201,0)),"NA")</f>
        <v>25</v>
      </c>
      <c r="B62" s="45" t="s">
        <v>547</v>
      </c>
      <c r="C62" s="45" t="s">
        <v>14</v>
      </c>
      <c r="D62" s="132" t="s">
        <v>840</v>
      </c>
      <c r="E62" s="45" t="s">
        <v>769</v>
      </c>
      <c r="F62" s="132" t="s">
        <v>862</v>
      </c>
      <c r="G62" s="132" t="s">
        <v>916</v>
      </c>
      <c r="H62" s="45" t="s">
        <v>769</v>
      </c>
      <c r="I62" s="45" t="b">
        <v>1</v>
      </c>
      <c r="J62" s="132">
        <v>82</v>
      </c>
      <c r="K62" s="132">
        <v>-25</v>
      </c>
      <c r="L62" s="132">
        <v>40</v>
      </c>
      <c r="M62" s="132">
        <v>20</v>
      </c>
      <c r="N62" s="45">
        <v>957</v>
      </c>
    </row>
    <row r="63" spans="1:14">
      <c r="A63" s="45">
        <f t="array" ref="A63">IFERROR(INDEX(baseline!$A$3:$A$201,MATCH($B63&amp;$C63,baseline!$C$3:$C$201&amp;baseline!$D$3:$D$201,0)),"NA")</f>
        <v>26</v>
      </c>
      <c r="B63" s="45" t="s">
        <v>547</v>
      </c>
      <c r="C63" s="45" t="s">
        <v>546</v>
      </c>
      <c r="D63" s="132" t="s">
        <v>840</v>
      </c>
      <c r="E63" s="45" t="s">
        <v>769</v>
      </c>
      <c r="F63" s="132" t="s">
        <v>862</v>
      </c>
      <c r="G63" s="132" t="s">
        <v>916</v>
      </c>
      <c r="H63" s="45" t="s">
        <v>769</v>
      </c>
      <c r="I63" s="45" t="b">
        <v>1</v>
      </c>
      <c r="J63" s="132">
        <v>82</v>
      </c>
      <c r="K63" s="132">
        <v>-25</v>
      </c>
      <c r="L63" s="132">
        <v>40</v>
      </c>
      <c r="M63" s="132">
        <v>20</v>
      </c>
      <c r="N63" s="45">
        <v>957</v>
      </c>
    </row>
    <row r="64" spans="1:14">
      <c r="A64" s="45">
        <f t="array" ref="A64">IFERROR(INDEX(baseline!$A$3:$A$201,MATCH($B64&amp;$C64,baseline!$C$3:$C$201&amp;baseline!$D$3:$D$201,0)),"NA")</f>
        <v>27</v>
      </c>
      <c r="B64" s="45" t="s">
        <v>1</v>
      </c>
      <c r="C64" s="45" t="s">
        <v>881</v>
      </c>
      <c r="D64" s="132" t="s">
        <v>840</v>
      </c>
      <c r="E64" s="45" t="s">
        <v>769</v>
      </c>
      <c r="F64" s="132" t="s">
        <v>862</v>
      </c>
      <c r="G64" s="132" t="s">
        <v>916</v>
      </c>
      <c r="H64" s="45" t="s">
        <v>769</v>
      </c>
      <c r="I64" s="45" t="b">
        <v>1</v>
      </c>
      <c r="J64" s="132">
        <v>82</v>
      </c>
      <c r="K64" s="132">
        <v>-25</v>
      </c>
      <c r="L64" s="132">
        <v>40</v>
      </c>
      <c r="M64" s="132">
        <v>20</v>
      </c>
      <c r="N64" s="45">
        <v>957</v>
      </c>
    </row>
    <row r="65" spans="1:14">
      <c r="A65" s="45">
        <f t="array" ref="A65">IFERROR(INDEX(baseline!$A$3:$A$201,MATCH($B65&amp;$C65,baseline!$C$3:$C$201&amp;baseline!$D$3:$D$201,0)),"NA")</f>
        <v>28</v>
      </c>
      <c r="B65" s="45" t="s">
        <v>1</v>
      </c>
      <c r="C65" s="45" t="s">
        <v>14</v>
      </c>
      <c r="D65" s="132" t="s">
        <v>840</v>
      </c>
      <c r="E65" s="45" t="s">
        <v>769</v>
      </c>
      <c r="F65" s="132" t="s">
        <v>862</v>
      </c>
      <c r="G65" s="132" t="s">
        <v>916</v>
      </c>
      <c r="H65" s="45" t="s">
        <v>769</v>
      </c>
      <c r="I65" s="45" t="b">
        <v>1</v>
      </c>
      <c r="J65" s="132">
        <v>82</v>
      </c>
      <c r="K65" s="132">
        <v>-25</v>
      </c>
      <c r="L65" s="132">
        <v>40</v>
      </c>
      <c r="M65" s="132">
        <v>20</v>
      </c>
      <c r="N65" s="45">
        <v>957</v>
      </c>
    </row>
    <row r="66" spans="1:14">
      <c r="A66" s="45" t="str">
        <f t="array" ref="A66">IFERROR(INDEX(baseline!$A$3:$A$201,MATCH($B66&amp;$C66,baseline!$C$3:$C$201&amp;baseline!$D$3:$D$201,0)),"NA")</f>
        <v>NA</v>
      </c>
      <c r="B66" s="45" t="s">
        <v>0</v>
      </c>
      <c r="C66" s="45" t="s">
        <v>13</v>
      </c>
      <c r="D66" s="132" t="s">
        <v>840</v>
      </c>
      <c r="E66" s="45" t="s">
        <v>769</v>
      </c>
      <c r="F66" s="132" t="s">
        <v>862</v>
      </c>
      <c r="G66" s="132" t="s">
        <v>916</v>
      </c>
      <c r="H66" s="45" t="s">
        <v>769</v>
      </c>
      <c r="I66" s="45" t="b">
        <v>1</v>
      </c>
      <c r="J66" s="132">
        <v>82</v>
      </c>
      <c r="K66" s="132">
        <v>-25</v>
      </c>
      <c r="L66" s="132">
        <v>40</v>
      </c>
      <c r="M66" s="132">
        <v>20</v>
      </c>
      <c r="N66" s="45">
        <v>957</v>
      </c>
    </row>
    <row r="67" spans="1:14">
      <c r="A67" s="45" t="str">
        <f t="array" ref="A67">IFERROR(INDEX(baseline!$A$3:$A$201,MATCH($B67&amp;$C67,baseline!$C$3:$C$201&amp;baseline!$D$3:$D$201,0)),"NA")</f>
        <v>NA</v>
      </c>
      <c r="B67" s="45" t="s">
        <v>0</v>
      </c>
      <c r="C67" s="45" t="s">
        <v>14</v>
      </c>
      <c r="D67" s="132" t="s">
        <v>840</v>
      </c>
      <c r="E67" s="45" t="s">
        <v>769</v>
      </c>
      <c r="F67" s="132" t="s">
        <v>862</v>
      </c>
      <c r="G67" s="132" t="s">
        <v>916</v>
      </c>
      <c r="H67" s="45" t="s">
        <v>769</v>
      </c>
      <c r="I67" s="45" t="b">
        <v>1</v>
      </c>
      <c r="J67" s="132">
        <v>82</v>
      </c>
      <c r="K67" s="132">
        <v>-25</v>
      </c>
      <c r="L67" s="132">
        <v>40</v>
      </c>
      <c r="M67" s="132">
        <v>20</v>
      </c>
      <c r="N67" s="45">
        <v>957</v>
      </c>
    </row>
    <row r="68" spans="1:14">
      <c r="A68" s="45">
        <f t="array" ref="A68">IFERROR(INDEX(baseline!$A$3:$A$201,MATCH($B68&amp;$C68,baseline!$C$3:$C$201&amp;baseline!$D$3:$D$201,0)),"NA")</f>
        <v>30</v>
      </c>
      <c r="B68" s="45" t="s">
        <v>0</v>
      </c>
      <c r="C68" s="45" t="s">
        <v>546</v>
      </c>
      <c r="D68" s="132" t="s">
        <v>840</v>
      </c>
      <c r="E68" s="45" t="s">
        <v>769</v>
      </c>
      <c r="F68" s="132" t="s">
        <v>862</v>
      </c>
      <c r="G68" s="132" t="s">
        <v>916</v>
      </c>
      <c r="H68" s="45" t="s">
        <v>769</v>
      </c>
      <c r="I68" s="45" t="b">
        <v>1</v>
      </c>
      <c r="J68" s="132">
        <v>82</v>
      </c>
      <c r="K68" s="132">
        <v>-25</v>
      </c>
      <c r="L68" s="132">
        <v>40</v>
      </c>
      <c r="M68" s="132">
        <v>20</v>
      </c>
      <c r="N68" s="45">
        <v>957</v>
      </c>
    </row>
    <row r="69" spans="1:14">
      <c r="A69" s="45" t="str">
        <f t="array" ref="A69">IFERROR(INDEX(baseline!$A$3:$A$201,MATCH($B69&amp;$C69,baseline!$C$3:$C$201&amp;baseline!$D$3:$D$201,0)),"NA")</f>
        <v>NA</v>
      </c>
      <c r="B69" s="45" t="s">
        <v>78</v>
      </c>
      <c r="C69" s="45" t="s">
        <v>13</v>
      </c>
      <c r="D69" s="132" t="s">
        <v>840</v>
      </c>
      <c r="E69" s="45" t="s">
        <v>769</v>
      </c>
      <c r="F69" s="132" t="s">
        <v>862</v>
      </c>
      <c r="G69" s="132" t="s">
        <v>916</v>
      </c>
      <c r="H69" s="45" t="s">
        <v>769</v>
      </c>
      <c r="I69" s="45" t="b">
        <v>1</v>
      </c>
      <c r="J69" s="132">
        <v>82</v>
      </c>
      <c r="K69" s="132">
        <v>-25</v>
      </c>
      <c r="L69" s="132">
        <v>40</v>
      </c>
      <c r="M69" s="132">
        <v>20</v>
      </c>
      <c r="N69" s="45">
        <v>957</v>
      </c>
    </row>
    <row r="70" spans="1:14">
      <c r="A70" s="45" t="str">
        <f t="array" ref="A70">IFERROR(INDEX(baseline!$A$3:$A$201,MATCH($B70&amp;$C70,baseline!$C$3:$C$201&amp;baseline!$D$3:$D$201,0)),"NA")</f>
        <v>NA</v>
      </c>
      <c r="B70" s="45" t="s">
        <v>78</v>
      </c>
      <c r="C70" s="45" t="s">
        <v>14</v>
      </c>
      <c r="D70" s="132" t="s">
        <v>840</v>
      </c>
      <c r="E70" s="45" t="s">
        <v>769</v>
      </c>
      <c r="F70" s="132" t="s">
        <v>862</v>
      </c>
      <c r="G70" s="132" t="s">
        <v>916</v>
      </c>
      <c r="H70" s="45" t="s">
        <v>769</v>
      </c>
      <c r="I70" s="45" t="b">
        <v>1</v>
      </c>
      <c r="J70" s="132">
        <v>82</v>
      </c>
      <c r="K70" s="132">
        <v>-25</v>
      </c>
      <c r="L70" s="132">
        <v>40</v>
      </c>
      <c r="M70" s="132">
        <v>20</v>
      </c>
      <c r="N70" s="45">
        <v>957</v>
      </c>
    </row>
    <row r="71" spans="1:14">
      <c r="A71" s="45">
        <f t="array" ref="A71">IFERROR(INDEX(baseline!$A$3:$A$201,MATCH($B71&amp;$C71,baseline!$C$3:$C$201&amp;baseline!$D$3:$D$201,0)),"NA")</f>
        <v>31</v>
      </c>
      <c r="B71" s="45" t="s">
        <v>78</v>
      </c>
      <c r="C71" s="45" t="s">
        <v>546</v>
      </c>
      <c r="D71" s="132" t="s">
        <v>840</v>
      </c>
      <c r="E71" s="45" t="s">
        <v>769</v>
      </c>
      <c r="F71" s="132" t="s">
        <v>862</v>
      </c>
      <c r="G71" s="132" t="s">
        <v>916</v>
      </c>
      <c r="H71" s="45" t="s">
        <v>769</v>
      </c>
      <c r="I71" s="45" t="b">
        <v>1</v>
      </c>
      <c r="J71" s="132">
        <v>82</v>
      </c>
      <c r="K71" s="132">
        <v>-25</v>
      </c>
      <c r="L71" s="132">
        <v>40</v>
      </c>
      <c r="M71" s="132">
        <v>20</v>
      </c>
      <c r="N71" s="45">
        <v>957</v>
      </c>
    </row>
    <row r="72" spans="1:14">
      <c r="A72" s="45" t="str">
        <f t="array" ref="A72">IFERROR(INDEX(baseline!$A$3:$A$201,MATCH($B72&amp;$C72,baseline!$C$3:$C$201&amp;baseline!$D$3:$D$201,0)),"NA")</f>
        <v>NA</v>
      </c>
      <c r="B72" s="45" t="s">
        <v>545</v>
      </c>
      <c r="C72" s="45" t="s">
        <v>13</v>
      </c>
      <c r="D72" s="132" t="s">
        <v>840</v>
      </c>
      <c r="E72" s="45" t="s">
        <v>769</v>
      </c>
      <c r="F72" s="132" t="s">
        <v>862</v>
      </c>
      <c r="G72" s="132" t="s">
        <v>916</v>
      </c>
      <c r="H72" s="45" t="s">
        <v>769</v>
      </c>
      <c r="I72" s="45" t="b">
        <v>1</v>
      </c>
      <c r="J72" s="132">
        <v>82</v>
      </c>
      <c r="K72" s="132">
        <v>-25</v>
      </c>
      <c r="L72" s="132">
        <v>40</v>
      </c>
      <c r="M72" s="132">
        <v>20</v>
      </c>
      <c r="N72" s="45">
        <v>957</v>
      </c>
    </row>
    <row r="73" spans="1:14">
      <c r="A73" s="45" t="str">
        <f t="array" ref="A73">IFERROR(INDEX(baseline!$A$3:$A$201,MATCH($B73&amp;$C73,baseline!$C$3:$C$201&amp;baseline!$D$3:$D$201,0)),"NA")</f>
        <v>NA</v>
      </c>
      <c r="B73" s="45" t="s">
        <v>545</v>
      </c>
      <c r="C73" s="45" t="s">
        <v>14</v>
      </c>
      <c r="D73" s="132" t="s">
        <v>840</v>
      </c>
      <c r="E73" s="45" t="s">
        <v>769</v>
      </c>
      <c r="F73" s="132" t="s">
        <v>862</v>
      </c>
      <c r="G73" s="132" t="s">
        <v>916</v>
      </c>
      <c r="H73" s="45" t="s">
        <v>769</v>
      </c>
      <c r="I73" s="45" t="b">
        <v>1</v>
      </c>
      <c r="J73" s="132">
        <v>82</v>
      </c>
      <c r="K73" s="132">
        <v>-25</v>
      </c>
      <c r="L73" s="132">
        <v>40</v>
      </c>
      <c r="M73" s="132">
        <v>20</v>
      </c>
      <c r="N73" s="45">
        <v>957</v>
      </c>
    </row>
    <row r="74" spans="1:14">
      <c r="A74" s="45">
        <f t="array" ref="A74">IFERROR(INDEX(baseline!$A$3:$A$201,MATCH($B74&amp;$C74,baseline!$C$3:$C$201&amp;baseline!$D$3:$D$201,0)),"NA")</f>
        <v>29</v>
      </c>
      <c r="B74" s="45" t="s">
        <v>761</v>
      </c>
      <c r="C74" s="45" t="s">
        <v>546</v>
      </c>
      <c r="D74" s="132" t="s">
        <v>840</v>
      </c>
      <c r="E74" s="45" t="s">
        <v>769</v>
      </c>
      <c r="F74" s="132" t="s">
        <v>862</v>
      </c>
      <c r="G74" s="132" t="s">
        <v>916</v>
      </c>
      <c r="H74" s="45" t="s">
        <v>769</v>
      </c>
      <c r="I74" s="45" t="b">
        <v>1</v>
      </c>
      <c r="J74" s="132">
        <v>82</v>
      </c>
      <c r="K74" s="132">
        <v>-25</v>
      </c>
      <c r="L74" s="132">
        <v>40</v>
      </c>
      <c r="M74" s="132">
        <v>20</v>
      </c>
      <c r="N74" s="45">
        <v>957</v>
      </c>
    </row>
    <row r="75" spans="1:14">
      <c r="A75" s="45" t="str">
        <f t="array" ref="A75">IFERROR(INDEX(baseline!$A$3:$A$201,MATCH($B75&amp;$C75,baseline!$C$3:$C$201&amp;baseline!$D$3:$D$201,0)),"NA")</f>
        <v>NA</v>
      </c>
      <c r="B75" s="45" t="s">
        <v>697</v>
      </c>
      <c r="C75" s="45" t="s">
        <v>13</v>
      </c>
      <c r="D75" s="132" t="s">
        <v>840</v>
      </c>
      <c r="E75" s="45" t="s">
        <v>769</v>
      </c>
      <c r="F75" s="132" t="s">
        <v>862</v>
      </c>
      <c r="G75" s="132" t="s">
        <v>916</v>
      </c>
      <c r="H75" s="45" t="s">
        <v>769</v>
      </c>
      <c r="I75" s="45" t="b">
        <v>1</v>
      </c>
      <c r="J75" s="132">
        <v>82</v>
      </c>
      <c r="K75" s="132">
        <v>-25</v>
      </c>
      <c r="L75" s="132">
        <v>40</v>
      </c>
      <c r="M75" s="132">
        <v>20</v>
      </c>
      <c r="N75" s="45">
        <v>957</v>
      </c>
    </row>
    <row r="76" spans="1:14">
      <c r="A76" s="45" t="str">
        <f t="array" ref="A76">IFERROR(INDEX(baseline!$A$3:$A$201,MATCH($B76&amp;$C76,baseline!$C$3:$C$201&amp;baseline!$D$3:$D$201,0)),"NA")</f>
        <v>NA</v>
      </c>
      <c r="B76" s="45" t="s">
        <v>697</v>
      </c>
      <c r="C76" s="45" t="s">
        <v>546</v>
      </c>
      <c r="D76" s="132" t="s">
        <v>840</v>
      </c>
      <c r="E76" s="45" t="s">
        <v>769</v>
      </c>
      <c r="F76" s="132" t="s">
        <v>862</v>
      </c>
      <c r="G76" s="132" t="s">
        <v>916</v>
      </c>
      <c r="H76" s="45" t="s">
        <v>769</v>
      </c>
      <c r="I76" s="45" t="b">
        <v>1</v>
      </c>
      <c r="J76" s="132">
        <v>82</v>
      </c>
      <c r="K76" s="132">
        <v>-25</v>
      </c>
      <c r="L76" s="132">
        <v>40</v>
      </c>
      <c r="M76" s="132">
        <v>20</v>
      </c>
      <c r="N76" s="45">
        <v>957</v>
      </c>
    </row>
    <row r="77" spans="1:14">
      <c r="A77" s="45" t="str">
        <f t="array" ref="A77">IFERROR(INDEX(baseline!$A$3:$A$201,MATCH($B77&amp;$C77,baseline!$C$3:$C$201&amp;baseline!$D$3:$D$201,0)),"NA")</f>
        <v>NA</v>
      </c>
      <c r="B77" s="45" t="s">
        <v>713</v>
      </c>
      <c r="C77" s="45" t="s">
        <v>546</v>
      </c>
      <c r="D77" s="132" t="s">
        <v>840</v>
      </c>
      <c r="E77" s="45" t="s">
        <v>769</v>
      </c>
      <c r="F77" s="132" t="s">
        <v>862</v>
      </c>
      <c r="G77" s="132" t="s">
        <v>916</v>
      </c>
      <c r="H77" s="45" t="s">
        <v>769</v>
      </c>
      <c r="I77" s="45" t="b">
        <v>1</v>
      </c>
      <c r="J77" s="132">
        <v>82</v>
      </c>
      <c r="K77" s="132">
        <v>-25</v>
      </c>
      <c r="L77" s="132">
        <v>40</v>
      </c>
      <c r="M77" s="132">
        <v>20</v>
      </c>
      <c r="N77" s="45">
        <v>957</v>
      </c>
    </row>
    <row r="78" spans="1:14">
      <c r="A78" s="45" t="str">
        <f t="array" ref="A78">IFERROR(INDEX(baseline!$A$3:$A$201,MATCH($B78&amp;$C78,baseline!$C$3:$C$201&amp;baseline!$D$3:$D$201,0)),"NA")</f>
        <v>NA</v>
      </c>
      <c r="B78" s="45" t="s">
        <v>762</v>
      </c>
      <c r="C78" s="45" t="s">
        <v>546</v>
      </c>
      <c r="D78" s="132" t="s">
        <v>840</v>
      </c>
      <c r="E78" s="45" t="s">
        <v>769</v>
      </c>
      <c r="F78" s="132" t="s">
        <v>862</v>
      </c>
      <c r="G78" s="132" t="s">
        <v>916</v>
      </c>
      <c r="H78" s="45" t="s">
        <v>769</v>
      </c>
      <c r="I78" s="45" t="b">
        <v>1</v>
      </c>
      <c r="J78" s="132">
        <v>82</v>
      </c>
      <c r="K78" s="132">
        <v>-25</v>
      </c>
      <c r="L78" s="132">
        <v>40</v>
      </c>
      <c r="M78" s="132">
        <v>20</v>
      </c>
      <c r="N78" s="45">
        <v>957</v>
      </c>
    </row>
    <row r="79" spans="1:14">
      <c r="A79" s="45" t="str">
        <f t="array" ref="A79">IFERROR(INDEX(baseline!$A$3:$A$201,MATCH($B79&amp;$C79,baseline!$C$3:$C$201&amp;baseline!$D$3:$D$201,0)),"NA")</f>
        <v>NA</v>
      </c>
      <c r="B79" s="45" t="s">
        <v>763</v>
      </c>
      <c r="C79" s="45" t="s">
        <v>881</v>
      </c>
      <c r="D79" s="132" t="s">
        <v>840</v>
      </c>
      <c r="E79" s="45" t="s">
        <v>769</v>
      </c>
      <c r="F79" s="132" t="s">
        <v>862</v>
      </c>
      <c r="G79" s="132" t="s">
        <v>916</v>
      </c>
      <c r="H79" s="45" t="s">
        <v>769</v>
      </c>
      <c r="I79" s="45" t="b">
        <v>1</v>
      </c>
      <c r="J79" s="132">
        <v>82</v>
      </c>
      <c r="K79" s="132">
        <v>-25</v>
      </c>
      <c r="L79" s="132">
        <v>40</v>
      </c>
      <c r="M79" s="132">
        <v>20</v>
      </c>
      <c r="N79" s="45">
        <v>957</v>
      </c>
    </row>
    <row r="80" spans="1:14">
      <c r="A80" s="45" t="str">
        <f t="array" ref="A80">IFERROR(INDEX(baseline!$A$3:$A$201,MATCH($B80&amp;$C80,baseline!$C$3:$C$201&amp;baseline!$D$3:$D$201,0)),"NA")</f>
        <v>NA</v>
      </c>
      <c r="B80" s="45" t="s">
        <v>712</v>
      </c>
      <c r="C80" s="45" t="s">
        <v>881</v>
      </c>
      <c r="D80" s="132" t="s">
        <v>840</v>
      </c>
      <c r="E80" s="45" t="s">
        <v>769</v>
      </c>
      <c r="F80" s="132" t="s">
        <v>862</v>
      </c>
      <c r="G80" s="132" t="s">
        <v>916</v>
      </c>
      <c r="H80" s="45" t="s">
        <v>769</v>
      </c>
      <c r="I80" s="45" t="b">
        <v>1</v>
      </c>
      <c r="J80" s="132">
        <v>82</v>
      </c>
      <c r="K80" s="132">
        <v>-25</v>
      </c>
      <c r="L80" s="132">
        <v>40</v>
      </c>
      <c r="M80" s="132">
        <v>20</v>
      </c>
      <c r="N80" s="45">
        <v>957</v>
      </c>
    </row>
    <row r="81" spans="1:14">
      <c r="A81" s="45" t="str">
        <f t="array" ref="A81">IFERROR(INDEX(baseline!$A$3:$A$201,MATCH($B81&amp;$C81,baseline!$C$3:$C$201&amp;baseline!$D$3:$D$201,0)),"NA")</f>
        <v>NA</v>
      </c>
      <c r="B81" s="45" t="s">
        <v>712</v>
      </c>
      <c r="C81" s="45" t="s">
        <v>13</v>
      </c>
      <c r="D81" s="132" t="s">
        <v>840</v>
      </c>
      <c r="E81" s="45" t="s">
        <v>769</v>
      </c>
      <c r="F81" s="132" t="s">
        <v>862</v>
      </c>
      <c r="G81" s="132" t="s">
        <v>916</v>
      </c>
      <c r="H81" s="45" t="s">
        <v>769</v>
      </c>
      <c r="I81" s="45" t="b">
        <v>1</v>
      </c>
      <c r="J81" s="132">
        <v>82</v>
      </c>
      <c r="K81" s="132">
        <v>-25</v>
      </c>
      <c r="L81" s="132">
        <v>40</v>
      </c>
      <c r="M81" s="132">
        <v>20</v>
      </c>
      <c r="N81" s="45">
        <v>957</v>
      </c>
    </row>
    <row r="82" spans="1:14">
      <c r="A82" s="45" t="str">
        <f t="array" ref="A82">IFERROR(INDEX(baseline!$A$3:$A$201,MATCH($B82&amp;$C82,baseline!$C$3:$C$201&amp;baseline!$D$3:$D$201,0)),"NA")</f>
        <v>NA</v>
      </c>
      <c r="B82" s="45" t="s">
        <v>712</v>
      </c>
      <c r="C82" s="45" t="s">
        <v>546</v>
      </c>
      <c r="D82" s="132" t="s">
        <v>840</v>
      </c>
      <c r="E82" s="45" t="s">
        <v>769</v>
      </c>
      <c r="F82" s="132" t="s">
        <v>862</v>
      </c>
      <c r="G82" s="132" t="s">
        <v>916</v>
      </c>
      <c r="H82" s="45" t="s">
        <v>769</v>
      </c>
      <c r="I82" s="45" t="b">
        <v>1</v>
      </c>
      <c r="J82" s="132">
        <v>82</v>
      </c>
      <c r="K82" s="132">
        <v>-25</v>
      </c>
      <c r="L82" s="132">
        <v>40</v>
      </c>
      <c r="M82" s="132">
        <v>20</v>
      </c>
      <c r="N82" s="45">
        <v>957</v>
      </c>
    </row>
    <row r="83" spans="1:14">
      <c r="A83" s="45" t="str">
        <f t="array" ref="A83">IFERROR(INDEX(baseline!$A$3:$A$201,MATCH($B83&amp;$C83,baseline!$C$3:$C$201&amp;baseline!$D$3:$D$201,0)),"NA")</f>
        <v>NA</v>
      </c>
      <c r="B83" s="45" t="s">
        <v>547</v>
      </c>
      <c r="C83" s="45" t="s">
        <v>13</v>
      </c>
      <c r="D83" s="132" t="s">
        <v>840</v>
      </c>
      <c r="E83" s="45" t="s">
        <v>769</v>
      </c>
      <c r="F83" s="132" t="s">
        <v>862</v>
      </c>
      <c r="G83" s="132" t="s">
        <v>916</v>
      </c>
      <c r="H83" s="45" t="s">
        <v>769</v>
      </c>
      <c r="I83" s="45" t="b">
        <v>1</v>
      </c>
      <c r="J83" s="132">
        <v>82</v>
      </c>
      <c r="K83" s="132">
        <v>-25</v>
      </c>
      <c r="L83" s="132">
        <v>40</v>
      </c>
      <c r="M83" s="132">
        <v>20</v>
      </c>
      <c r="N83" s="45">
        <v>957</v>
      </c>
    </row>
    <row r="84" spans="1:14">
      <c r="A84" s="45" t="str">
        <f t="array" ref="A84">IFERROR(INDEX(baseline!$A$3:$A$201,MATCH($B84&amp;$C84,baseline!$C$3:$C$201&amp;baseline!$D$3:$D$201,0)),"NA")</f>
        <v>NA</v>
      </c>
      <c r="B84" s="45" t="s">
        <v>1</v>
      </c>
      <c r="C84" s="45" t="s">
        <v>13</v>
      </c>
      <c r="D84" s="132" t="s">
        <v>840</v>
      </c>
      <c r="E84" s="45" t="s">
        <v>769</v>
      </c>
      <c r="F84" s="132" t="s">
        <v>862</v>
      </c>
      <c r="G84" s="132" t="s">
        <v>916</v>
      </c>
      <c r="H84" s="45" t="s">
        <v>769</v>
      </c>
      <c r="I84" s="45" t="b">
        <v>1</v>
      </c>
      <c r="J84" s="132">
        <v>82</v>
      </c>
      <c r="K84" s="132">
        <v>-25</v>
      </c>
      <c r="L84" s="132">
        <v>40</v>
      </c>
      <c r="M84" s="132">
        <v>20</v>
      </c>
      <c r="N84" s="45">
        <v>957</v>
      </c>
    </row>
    <row r="85" spans="1:14">
      <c r="A85" s="45" t="str">
        <f t="array" ref="A85">IFERROR(INDEX(baseline!$A$3:$A$201,MATCH($B85&amp;$C85,baseline!$C$3:$C$201&amp;baseline!$D$3:$D$201,0)),"NA")</f>
        <v>NA</v>
      </c>
      <c r="B85" s="45" t="s">
        <v>1</v>
      </c>
      <c r="C85" s="45" t="s">
        <v>546</v>
      </c>
      <c r="D85" s="132" t="s">
        <v>840</v>
      </c>
      <c r="E85" s="45" t="s">
        <v>769</v>
      </c>
      <c r="F85" s="132" t="s">
        <v>862</v>
      </c>
      <c r="G85" s="132" t="s">
        <v>916</v>
      </c>
      <c r="H85" s="45" t="s">
        <v>769</v>
      </c>
      <c r="I85" s="45" t="b">
        <v>1</v>
      </c>
      <c r="J85" s="132">
        <v>82</v>
      </c>
      <c r="K85" s="132">
        <v>-25</v>
      </c>
      <c r="L85" s="132">
        <v>40</v>
      </c>
      <c r="M85" s="132">
        <v>20</v>
      </c>
      <c r="N85" s="45">
        <v>957</v>
      </c>
    </row>
    <row r="86" spans="1:14">
      <c r="A86" s="45">
        <f t="array" ref="A86">IFERROR(INDEX(baseline!$A$3:$A$201,MATCH($B86&amp;$C86,baseline!$C$3:$C$201&amp;baseline!$D$3:$D$201,0)),"NA")</f>
        <v>16</v>
      </c>
      <c r="B86" s="45" t="s">
        <v>763</v>
      </c>
      <c r="C86" s="45" t="s">
        <v>13</v>
      </c>
      <c r="D86" s="45" t="s">
        <v>769</v>
      </c>
      <c r="E86" s="45" t="s">
        <v>769</v>
      </c>
      <c r="F86" s="132" t="s">
        <v>769</v>
      </c>
      <c r="G86" s="132" t="s">
        <v>917</v>
      </c>
      <c r="H86" s="45" t="s">
        <v>769</v>
      </c>
      <c r="I86" s="132" t="b">
        <v>0</v>
      </c>
      <c r="J86" s="132" t="s">
        <v>769</v>
      </c>
      <c r="K86" s="132" t="s">
        <v>769</v>
      </c>
      <c r="L86" s="132" t="s">
        <v>769</v>
      </c>
      <c r="M86" s="132" t="s">
        <v>769</v>
      </c>
      <c r="N86" s="45">
        <v>0</v>
      </c>
    </row>
    <row r="87" spans="1:14">
      <c r="A87" s="45">
        <f t="array" ref="A87">IFERROR(INDEX(baseline!$A$3:$A$201,MATCH($B87&amp;$C87,baseline!$C$3:$C$201&amp;baseline!$D$3:$D$201,0)),"NA")</f>
        <v>17</v>
      </c>
      <c r="B87" s="45" t="s">
        <v>763</v>
      </c>
      <c r="C87" s="45" t="s">
        <v>14</v>
      </c>
      <c r="D87" s="45" t="s">
        <v>769</v>
      </c>
      <c r="E87" s="45" t="s">
        <v>769</v>
      </c>
      <c r="F87" s="132" t="s">
        <v>769</v>
      </c>
      <c r="G87" s="132" t="s">
        <v>917</v>
      </c>
      <c r="H87" s="45" t="s">
        <v>769</v>
      </c>
      <c r="I87" s="132" t="b">
        <v>0</v>
      </c>
      <c r="J87" s="132" t="s">
        <v>769</v>
      </c>
      <c r="K87" s="132" t="s">
        <v>769</v>
      </c>
      <c r="L87" s="132" t="s">
        <v>769</v>
      </c>
      <c r="M87" s="132" t="s">
        <v>769</v>
      </c>
      <c r="N87" s="45">
        <v>0</v>
      </c>
    </row>
    <row r="88" spans="1:14">
      <c r="A88" s="45">
        <f t="array" ref="A88">IFERROR(INDEX(baseline!$A$3:$A$201,MATCH($B88&amp;$C88,baseline!$C$3:$C$201&amp;baseline!$D$3:$D$201,0)),"NA")</f>
        <v>18</v>
      </c>
      <c r="B88" s="45" t="s">
        <v>763</v>
      </c>
      <c r="C88" s="45" t="s">
        <v>546</v>
      </c>
      <c r="D88" s="45" t="s">
        <v>769</v>
      </c>
      <c r="E88" s="45" t="s">
        <v>769</v>
      </c>
      <c r="F88" s="132" t="s">
        <v>769</v>
      </c>
      <c r="G88" s="132" t="s">
        <v>917</v>
      </c>
      <c r="H88" s="45" t="s">
        <v>769</v>
      </c>
      <c r="I88" s="132" t="b">
        <v>0</v>
      </c>
      <c r="J88" s="132" t="s">
        <v>769</v>
      </c>
      <c r="K88" s="132" t="s">
        <v>769</v>
      </c>
      <c r="L88" s="132" t="s">
        <v>769</v>
      </c>
      <c r="M88" s="132" t="s">
        <v>769</v>
      </c>
      <c r="N88" s="45">
        <v>0</v>
      </c>
    </row>
    <row r="89" spans="1:14">
      <c r="A89" s="45">
        <f t="array" ref="A89">IFERROR(INDEX(baseline!$A$3:$A$201,MATCH($B89&amp;$C89,baseline!$C$3:$C$201&amp;baseline!$D$3:$D$201,0)),"NA")</f>
        <v>20</v>
      </c>
      <c r="B89" s="45" t="s">
        <v>2</v>
      </c>
      <c r="C89" s="45" t="s">
        <v>881</v>
      </c>
      <c r="D89" s="132" t="s">
        <v>769</v>
      </c>
      <c r="E89" s="45" t="s">
        <v>769</v>
      </c>
      <c r="F89" s="132" t="s">
        <v>769</v>
      </c>
      <c r="G89" s="132" t="s">
        <v>916</v>
      </c>
      <c r="H89" s="45" t="s">
        <v>769</v>
      </c>
      <c r="I89" s="132" t="s">
        <v>769</v>
      </c>
      <c r="J89" s="132" t="s">
        <v>769</v>
      </c>
      <c r="K89" s="132" t="s">
        <v>769</v>
      </c>
      <c r="L89" s="132" t="s">
        <v>769</v>
      </c>
      <c r="M89" s="132" t="s">
        <v>769</v>
      </c>
      <c r="N89" s="132" t="s">
        <v>769</v>
      </c>
    </row>
    <row r="90" spans="1:14">
      <c r="A90" s="45">
        <f t="array" ref="A90">IFERROR(INDEX(baseline!$A$3:$A$201,MATCH($B90&amp;$C90,baseline!$C$3:$C$201&amp;baseline!$D$3:$D$201,0)),"NA")</f>
        <v>20</v>
      </c>
      <c r="B90" s="45" t="s">
        <v>2</v>
      </c>
      <c r="C90" s="45" t="s">
        <v>881</v>
      </c>
      <c r="D90" s="45" t="s">
        <v>769</v>
      </c>
      <c r="E90" s="45" t="s">
        <v>769</v>
      </c>
      <c r="F90" s="132" t="s">
        <v>769</v>
      </c>
      <c r="G90" s="132" t="s">
        <v>917</v>
      </c>
      <c r="H90" s="45" t="s">
        <v>769</v>
      </c>
      <c r="I90" s="132" t="b">
        <v>0</v>
      </c>
      <c r="J90" s="132" t="s">
        <v>769</v>
      </c>
      <c r="K90" s="132" t="s">
        <v>769</v>
      </c>
      <c r="L90" s="132" t="s">
        <v>769</v>
      </c>
      <c r="M90" s="132" t="s">
        <v>769</v>
      </c>
      <c r="N90" s="45">
        <v>0</v>
      </c>
    </row>
    <row r="91" spans="1:14">
      <c r="A91" s="45">
        <f t="array" ref="A91">IFERROR(INDEX(baseline!$A$3:$A$201,MATCH($B91&amp;$C91,baseline!$C$3:$C$201&amp;baseline!$D$3:$D$201,0)),"NA")</f>
        <v>21</v>
      </c>
      <c r="B91" s="45" t="s">
        <v>2</v>
      </c>
      <c r="C91" s="45" t="s">
        <v>13</v>
      </c>
      <c r="D91" s="132" t="s">
        <v>769</v>
      </c>
      <c r="E91" s="45" t="s">
        <v>769</v>
      </c>
      <c r="F91" s="132" t="s">
        <v>769</v>
      </c>
      <c r="G91" s="132" t="s">
        <v>916</v>
      </c>
      <c r="H91" s="45" t="s">
        <v>769</v>
      </c>
      <c r="I91" s="132" t="s">
        <v>769</v>
      </c>
      <c r="J91" s="132" t="s">
        <v>769</v>
      </c>
      <c r="K91" s="132" t="s">
        <v>769</v>
      </c>
      <c r="L91" s="132" t="s">
        <v>769</v>
      </c>
      <c r="M91" s="132" t="s">
        <v>769</v>
      </c>
      <c r="N91" s="132" t="s">
        <v>769</v>
      </c>
    </row>
    <row r="92" spans="1:14">
      <c r="A92" s="45">
        <f t="array" ref="A92">IFERROR(INDEX(baseline!$A$3:$A$201,MATCH($B92&amp;$C92,baseline!$C$3:$C$201&amp;baseline!$D$3:$D$201,0)),"NA")</f>
        <v>21</v>
      </c>
      <c r="B92" s="45" t="s">
        <v>2</v>
      </c>
      <c r="C92" s="45" t="s">
        <v>13</v>
      </c>
      <c r="D92" s="45" t="s">
        <v>769</v>
      </c>
      <c r="E92" s="45" t="s">
        <v>769</v>
      </c>
      <c r="F92" s="132" t="s">
        <v>769</v>
      </c>
      <c r="G92" s="132" t="s">
        <v>917</v>
      </c>
      <c r="H92" s="45" t="s">
        <v>769</v>
      </c>
      <c r="I92" s="132" t="b">
        <v>0</v>
      </c>
      <c r="J92" s="132" t="s">
        <v>769</v>
      </c>
      <c r="K92" s="132" t="s">
        <v>769</v>
      </c>
      <c r="L92" s="132" t="s">
        <v>769</v>
      </c>
      <c r="M92" s="132" t="s">
        <v>769</v>
      </c>
      <c r="N92" s="45">
        <v>0</v>
      </c>
    </row>
    <row r="93" spans="1:14">
      <c r="A93" s="45">
        <f t="array" ref="A93">IFERROR(INDEX(baseline!$A$3:$A$201,MATCH($B93&amp;$C93,baseline!$C$3:$C$201&amp;baseline!$D$3:$D$201,0)),"NA")</f>
        <v>22</v>
      </c>
      <c r="B93" s="45" t="s">
        <v>2</v>
      </c>
      <c r="C93" s="45" t="s">
        <v>14</v>
      </c>
      <c r="D93" s="132" t="s">
        <v>769</v>
      </c>
      <c r="E93" s="45" t="s">
        <v>769</v>
      </c>
      <c r="F93" s="132" t="s">
        <v>769</v>
      </c>
      <c r="G93" s="132" t="s">
        <v>916</v>
      </c>
      <c r="H93" s="45" t="s">
        <v>769</v>
      </c>
      <c r="I93" s="132" t="s">
        <v>769</v>
      </c>
      <c r="J93" s="132" t="s">
        <v>769</v>
      </c>
      <c r="K93" s="132" t="s">
        <v>769</v>
      </c>
      <c r="L93" s="132" t="s">
        <v>769</v>
      </c>
      <c r="M93" s="132" t="s">
        <v>769</v>
      </c>
      <c r="N93" s="132" t="s">
        <v>769</v>
      </c>
    </row>
    <row r="94" spans="1:14">
      <c r="A94" s="45">
        <f t="array" ref="A94">IFERROR(INDEX(baseline!$A$3:$A$201,MATCH($B94&amp;$C94,baseline!$C$3:$C$201&amp;baseline!$D$3:$D$201,0)),"NA")</f>
        <v>22</v>
      </c>
      <c r="B94" s="45" t="s">
        <v>2</v>
      </c>
      <c r="C94" s="45" t="s">
        <v>14</v>
      </c>
      <c r="D94" s="45" t="s">
        <v>769</v>
      </c>
      <c r="E94" s="45" t="s">
        <v>769</v>
      </c>
      <c r="F94" s="132" t="s">
        <v>769</v>
      </c>
      <c r="G94" s="132" t="s">
        <v>917</v>
      </c>
      <c r="H94" s="45" t="s">
        <v>769</v>
      </c>
      <c r="I94" s="132" t="b">
        <v>0</v>
      </c>
      <c r="J94" s="132" t="s">
        <v>769</v>
      </c>
      <c r="K94" s="132" t="s">
        <v>769</v>
      </c>
      <c r="L94" s="132" t="s">
        <v>769</v>
      </c>
      <c r="M94" s="132" t="s">
        <v>769</v>
      </c>
      <c r="N94" s="45">
        <v>0</v>
      </c>
    </row>
    <row r="95" spans="1:14">
      <c r="A95" s="45">
        <f t="array" ref="A95">IFERROR(INDEX(baseline!$A$3:$A$201,MATCH($B95&amp;$C95,baseline!$C$3:$C$201&amp;baseline!$D$3:$D$201,0)),"NA")</f>
        <v>23</v>
      </c>
      <c r="B95" s="45" t="s">
        <v>2</v>
      </c>
      <c r="C95" s="45" t="s">
        <v>546</v>
      </c>
      <c r="D95" s="132" t="s">
        <v>769</v>
      </c>
      <c r="E95" s="45" t="s">
        <v>769</v>
      </c>
      <c r="F95" s="132" t="s">
        <v>769</v>
      </c>
      <c r="G95" s="132" t="s">
        <v>916</v>
      </c>
      <c r="H95" s="45" t="s">
        <v>769</v>
      </c>
      <c r="I95" s="132" t="s">
        <v>769</v>
      </c>
      <c r="J95" s="132" t="s">
        <v>769</v>
      </c>
      <c r="K95" s="132" t="s">
        <v>769</v>
      </c>
      <c r="L95" s="132" t="s">
        <v>769</v>
      </c>
      <c r="M95" s="132" t="s">
        <v>769</v>
      </c>
      <c r="N95" s="132" t="s">
        <v>769</v>
      </c>
    </row>
    <row r="96" spans="1:14">
      <c r="A96" s="45">
        <f t="array" ref="A96">IFERROR(INDEX(baseline!$A$3:$A$201,MATCH($B96&amp;$C96,baseline!$C$3:$C$201&amp;baseline!$D$3:$D$201,0)),"NA")</f>
        <v>23</v>
      </c>
      <c r="B96" s="45" t="s">
        <v>2</v>
      </c>
      <c r="C96" s="45" t="s">
        <v>546</v>
      </c>
      <c r="D96" s="45" t="s">
        <v>769</v>
      </c>
      <c r="E96" s="45" t="s">
        <v>769</v>
      </c>
      <c r="F96" s="132" t="s">
        <v>769</v>
      </c>
      <c r="G96" s="132" t="s">
        <v>917</v>
      </c>
      <c r="H96" s="45" t="s">
        <v>769</v>
      </c>
      <c r="I96" s="132" t="b">
        <v>0</v>
      </c>
      <c r="J96" s="132" t="s">
        <v>769</v>
      </c>
      <c r="K96" s="132" t="s">
        <v>769</v>
      </c>
      <c r="L96" s="132" t="s">
        <v>769</v>
      </c>
      <c r="M96" s="132" t="s">
        <v>769</v>
      </c>
      <c r="N96" s="45">
        <v>0</v>
      </c>
    </row>
    <row r="97" spans="1:14">
      <c r="A97" s="45" t="str">
        <f t="array" ref="A97">IFERROR(INDEX(baseline!$A$3:$A$201,MATCH($B97&amp;$C97,baseline!$C$3:$C$201&amp;baseline!$D$3:$D$201,0)),"NA")</f>
        <v>NA</v>
      </c>
      <c r="B97" s="45" t="s">
        <v>763</v>
      </c>
      <c r="C97" s="45" t="s">
        <v>881</v>
      </c>
      <c r="D97" s="45" t="s">
        <v>769</v>
      </c>
      <c r="E97" s="45" t="s">
        <v>769</v>
      </c>
      <c r="F97" s="132" t="s">
        <v>769</v>
      </c>
      <c r="G97" s="132" t="s">
        <v>917</v>
      </c>
      <c r="H97" s="45" t="s">
        <v>769</v>
      </c>
      <c r="I97" s="132" t="b">
        <v>0</v>
      </c>
      <c r="J97" s="132" t="s">
        <v>769</v>
      </c>
      <c r="K97" s="132" t="s">
        <v>769</v>
      </c>
      <c r="L97" s="132" t="s">
        <v>769</v>
      </c>
      <c r="M97" s="132" t="s">
        <v>769</v>
      </c>
      <c r="N97" s="45">
        <v>0</v>
      </c>
    </row>
  </sheetData>
  <sortState ref="A2:N97">
    <sortCondition ref="D2:D97"/>
    <sortCondition ref="A2:A97"/>
    <sortCondition ref="B2:B97"/>
    <sortCondition ref="C2:C97"/>
  </sortState>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sheetPr>
    <tabColor rgb="FF00B050"/>
  </sheetPr>
  <dimension ref="A1:F49"/>
  <sheetViews>
    <sheetView topLeftCell="A26" workbookViewId="0">
      <selection activeCell="I35" sqref="I34:I35"/>
    </sheetView>
  </sheetViews>
  <sheetFormatPr defaultRowHeight="14.4"/>
  <cols>
    <col min="2" max="2" width="23.44140625" bestFit="1" customWidth="1"/>
    <col min="3" max="3" width="15.33203125" customWidth="1"/>
    <col min="4" max="4" width="16.33203125" style="131" customWidth="1"/>
    <col min="5" max="5" width="49.109375" style="131" customWidth="1"/>
    <col min="6" max="6" width="28" bestFit="1" customWidth="1"/>
  </cols>
  <sheetData>
    <row r="1" spans="1:6" ht="15.6">
      <c r="A1" t="s">
        <v>920</v>
      </c>
      <c r="B1" s="128" t="s">
        <v>766</v>
      </c>
      <c r="C1" s="127" t="s">
        <v>748</v>
      </c>
      <c r="D1" s="131" t="s">
        <v>774</v>
      </c>
      <c r="E1" s="131" t="s">
        <v>831</v>
      </c>
      <c r="F1" t="s">
        <v>899</v>
      </c>
    </row>
    <row r="2" spans="1:6">
      <c r="A2" s="45">
        <f t="array" ref="A2">IFERROR(INDEX(baseline!$A$3:$A$201,MATCH($B2&amp;$C2,baseline!$C$3:$C$201&amp;baseline!$D$3:$D$201,0)),"NA")</f>
        <v>1</v>
      </c>
      <c r="B2" t="s">
        <v>0</v>
      </c>
      <c r="C2" t="s">
        <v>881</v>
      </c>
      <c r="D2" s="131" t="s">
        <v>863</v>
      </c>
      <c r="E2" s="131">
        <v>2.0000000000000001E-4</v>
      </c>
      <c r="F2">
        <v>122012</v>
      </c>
    </row>
    <row r="3" spans="1:6">
      <c r="A3" s="45">
        <f t="array" ref="A3">IFERROR(INDEX(baseline!$A$3:$A$201,MATCH($B3&amp;$C3,baseline!$C$3:$C$201&amp;baseline!$D$3:$D$201,0)),"NA")</f>
        <v>2</v>
      </c>
      <c r="B3" t="s">
        <v>78</v>
      </c>
      <c r="C3" t="s">
        <v>881</v>
      </c>
      <c r="D3" s="131" t="s">
        <v>863</v>
      </c>
      <c r="E3" s="131">
        <v>2.9999999999999997E-4</v>
      </c>
      <c r="F3">
        <v>67418</v>
      </c>
    </row>
    <row r="4" spans="1:6">
      <c r="A4" s="45">
        <f t="array" ref="A4">IFERROR(INDEX(baseline!$A$3:$A$201,MATCH($B4&amp;$C4,baseline!$C$3:$C$201&amp;baseline!$D$3:$D$201,0)),"NA")</f>
        <v>3</v>
      </c>
      <c r="B4" t="s">
        <v>545</v>
      </c>
      <c r="C4" t="s">
        <v>881</v>
      </c>
      <c r="D4" s="131" t="s">
        <v>863</v>
      </c>
      <c r="E4" s="131">
        <v>2.0000000000000001E-4</v>
      </c>
      <c r="F4">
        <v>83796</v>
      </c>
    </row>
    <row r="5" spans="1:6">
      <c r="A5" s="45">
        <f t="array" ref="A5">IFERROR(INDEX(baseline!$A$3:$A$201,MATCH($B5&amp;$C5,baseline!$C$3:$C$201&amp;baseline!$D$3:$D$201,0)),"NA")</f>
        <v>4</v>
      </c>
      <c r="B5" t="s">
        <v>545</v>
      </c>
      <c r="C5" t="s">
        <v>546</v>
      </c>
      <c r="D5" s="131" t="s">
        <v>769</v>
      </c>
      <c r="E5" s="131">
        <v>2.0000000000000001E-4</v>
      </c>
      <c r="F5">
        <v>0</v>
      </c>
    </row>
    <row r="6" spans="1:6">
      <c r="A6" s="45">
        <f t="array" ref="A6">IFERROR(INDEX(baseline!$A$3:$A$201,MATCH($B6&amp;$C6,baseline!$C$3:$C$201&amp;baseline!$D$3:$D$201,0)),"NA")</f>
        <v>5</v>
      </c>
      <c r="B6" t="s">
        <v>761</v>
      </c>
      <c r="C6" t="s">
        <v>881</v>
      </c>
      <c r="D6" s="131" t="s">
        <v>863</v>
      </c>
      <c r="E6" s="131">
        <v>2.9999999999999997E-4</v>
      </c>
      <c r="F6">
        <v>96777</v>
      </c>
    </row>
    <row r="7" spans="1:6">
      <c r="A7" s="45">
        <f t="array" ref="A7">IFERROR(INDEX(baseline!$A$3:$A$201,MATCH($B7&amp;$C7,baseline!$C$3:$C$201&amp;baseline!$D$3:$D$201,0)),"NA")</f>
        <v>6</v>
      </c>
      <c r="B7" t="s">
        <v>761</v>
      </c>
      <c r="C7" t="s">
        <v>13</v>
      </c>
      <c r="D7" s="131" t="s">
        <v>863</v>
      </c>
      <c r="E7" s="131">
        <v>2.9999999999999997E-4</v>
      </c>
      <c r="F7">
        <v>96777</v>
      </c>
    </row>
    <row r="8" spans="1:6">
      <c r="A8" s="45">
        <f t="array" ref="A8">IFERROR(INDEX(baseline!$A$3:$A$201,MATCH($B8&amp;$C8,baseline!$C$3:$C$201&amp;baseline!$D$3:$D$201,0)),"NA")</f>
        <v>7</v>
      </c>
      <c r="B8" t="s">
        <v>761</v>
      </c>
      <c r="C8" t="s">
        <v>14</v>
      </c>
      <c r="D8" s="131" t="s">
        <v>863</v>
      </c>
      <c r="E8" s="131">
        <v>2.9999999999999997E-4</v>
      </c>
      <c r="F8">
        <v>88824</v>
      </c>
    </row>
    <row r="9" spans="1:6">
      <c r="A9" s="45">
        <f t="array" ref="A9">IFERROR(INDEX(baseline!$A$3:$A$201,MATCH($B9&amp;$C9,baseline!$C$3:$C$201&amp;baseline!$D$3:$D$201,0)),"NA")</f>
        <v>8</v>
      </c>
      <c r="B9" t="s">
        <v>697</v>
      </c>
      <c r="C9" t="s">
        <v>881</v>
      </c>
      <c r="D9" s="131" t="s">
        <v>863</v>
      </c>
      <c r="E9" s="131">
        <v>2.9999999999999997E-4</v>
      </c>
      <c r="F9">
        <v>74019</v>
      </c>
    </row>
    <row r="10" spans="1:6">
      <c r="A10" s="45">
        <f t="array" ref="A10">IFERROR(INDEX(baseline!$A$3:$A$201,MATCH($B10&amp;$C10,baseline!$C$3:$C$201&amp;baseline!$D$3:$D$201,0)),"NA")</f>
        <v>9</v>
      </c>
      <c r="B10" t="s">
        <v>697</v>
      </c>
      <c r="C10" t="s">
        <v>14</v>
      </c>
      <c r="D10" s="131" t="s">
        <v>863</v>
      </c>
      <c r="E10" s="131">
        <v>2.9999999999999997E-4</v>
      </c>
      <c r="F10">
        <v>67140</v>
      </c>
    </row>
    <row r="11" spans="1:6">
      <c r="A11" s="45">
        <f t="array" ref="A11">IFERROR(INDEX(baseline!$A$3:$A$201,MATCH($B11&amp;$C11,baseline!$C$3:$C$201&amp;baseline!$D$3:$D$201,0)),"NA")</f>
        <v>10</v>
      </c>
      <c r="B11" t="s">
        <v>713</v>
      </c>
      <c r="C11" t="s">
        <v>881</v>
      </c>
      <c r="D11" s="131" t="s">
        <v>863</v>
      </c>
      <c r="E11" s="131">
        <v>2.9999999999999997E-4</v>
      </c>
      <c r="F11">
        <v>47106</v>
      </c>
    </row>
    <row r="12" spans="1:6">
      <c r="A12" s="45">
        <f t="array" ref="A12">IFERROR(INDEX(baseline!$A$3:$A$201,MATCH($B12&amp;$C12,baseline!$C$3:$C$201&amp;baseline!$D$3:$D$201,0)),"NA")</f>
        <v>11</v>
      </c>
      <c r="B12" t="s">
        <v>713</v>
      </c>
      <c r="C12" t="s">
        <v>13</v>
      </c>
      <c r="D12" s="131" t="s">
        <v>863</v>
      </c>
      <c r="E12" s="131">
        <v>2.9999999999999997E-4</v>
      </c>
      <c r="F12">
        <v>47106</v>
      </c>
    </row>
    <row r="13" spans="1:6">
      <c r="A13" s="45">
        <f t="array" ref="A13">IFERROR(INDEX(baseline!$A$3:$A$201,MATCH($B13&amp;$C13,baseline!$C$3:$C$201&amp;baseline!$D$3:$D$201,0)),"NA")</f>
        <v>12</v>
      </c>
      <c r="B13" t="s">
        <v>713</v>
      </c>
      <c r="C13" t="s">
        <v>14</v>
      </c>
      <c r="D13" s="131" t="s">
        <v>863</v>
      </c>
      <c r="E13" s="131">
        <v>2.9999999999999997E-4</v>
      </c>
      <c r="F13">
        <v>43200</v>
      </c>
    </row>
    <row r="14" spans="1:6">
      <c r="A14" s="45">
        <f t="array" ref="A14">IFERROR(INDEX(baseline!$A$3:$A$201,MATCH($B14&amp;$C14,baseline!$C$3:$C$201&amp;baseline!$D$3:$D$201,0)),"NA")</f>
        <v>13</v>
      </c>
      <c r="B14" t="s">
        <v>762</v>
      </c>
      <c r="C14" t="s">
        <v>881</v>
      </c>
      <c r="D14" s="131" t="s">
        <v>863</v>
      </c>
      <c r="E14" s="131">
        <v>2.0000000000000001E-4</v>
      </c>
      <c r="F14">
        <v>54491</v>
      </c>
    </row>
    <row r="15" spans="1:6">
      <c r="A15" s="45">
        <f t="array" ref="A15">IFERROR(INDEX(baseline!$A$3:$A$201,MATCH($B15&amp;$C15,baseline!$C$3:$C$201&amp;baseline!$D$3:$D$201,0)),"NA")</f>
        <v>14</v>
      </c>
      <c r="B15" t="s">
        <v>762</v>
      </c>
      <c r="C15" t="s">
        <v>13</v>
      </c>
      <c r="D15" s="131" t="s">
        <v>863</v>
      </c>
      <c r="E15" s="131">
        <v>2.0000000000000001E-4</v>
      </c>
      <c r="F15">
        <v>54491</v>
      </c>
    </row>
    <row r="16" spans="1:6">
      <c r="A16" s="45">
        <f t="array" ref="A16">IFERROR(INDEX(baseline!$A$3:$A$201,MATCH($B16&amp;$C16,baseline!$C$3:$C$201&amp;baseline!$D$3:$D$201,0)),"NA")</f>
        <v>15</v>
      </c>
      <c r="B16" t="s">
        <v>762</v>
      </c>
      <c r="C16" t="s">
        <v>14</v>
      </c>
      <c r="D16" s="131" t="s">
        <v>863</v>
      </c>
      <c r="E16" s="131">
        <v>2.0000000000000001E-4</v>
      </c>
      <c r="F16">
        <v>49901</v>
      </c>
    </row>
    <row r="17" spans="1:6">
      <c r="A17" s="45">
        <f t="array" ref="A17">IFERROR(INDEX(baseline!$A$3:$A$201,MATCH($B17&amp;$C17,baseline!$C$3:$C$201&amp;baseline!$D$3:$D$201,0)),"NA")</f>
        <v>16</v>
      </c>
      <c r="B17" t="s">
        <v>763</v>
      </c>
      <c r="C17" t="s">
        <v>13</v>
      </c>
      <c r="D17" s="131" t="s">
        <v>863</v>
      </c>
      <c r="E17" s="131">
        <v>2.0000000000000001E-4</v>
      </c>
      <c r="F17">
        <v>36956</v>
      </c>
    </row>
    <row r="18" spans="1:6">
      <c r="A18" s="45">
        <f t="array" ref="A18">IFERROR(INDEX(baseline!$A$3:$A$201,MATCH($B18&amp;$C18,baseline!$C$3:$C$201&amp;baseline!$D$3:$D$201,0)),"NA")</f>
        <v>17</v>
      </c>
      <c r="B18" t="s">
        <v>763</v>
      </c>
      <c r="C18" t="s">
        <v>14</v>
      </c>
      <c r="D18" s="131" t="s">
        <v>863</v>
      </c>
      <c r="E18" s="131">
        <v>2.0000000000000001E-4</v>
      </c>
      <c r="F18">
        <v>33552</v>
      </c>
    </row>
    <row r="19" spans="1:6">
      <c r="A19" s="45">
        <f t="array" ref="A19">IFERROR(INDEX(baseline!$A$3:$A$201,MATCH($B19&amp;$C19,baseline!$C$3:$C$201&amp;baseline!$D$3:$D$201,0)),"NA")</f>
        <v>18</v>
      </c>
      <c r="B19" t="s">
        <v>763</v>
      </c>
      <c r="C19" t="s">
        <v>546</v>
      </c>
      <c r="D19" s="131" t="s">
        <v>769</v>
      </c>
      <c r="E19" s="131">
        <v>2.0000000000000001E-4</v>
      </c>
      <c r="F19">
        <v>0</v>
      </c>
    </row>
    <row r="20" spans="1:6">
      <c r="A20" s="45">
        <f t="array" ref="A20">IFERROR(INDEX(baseline!$A$3:$A$201,MATCH($B20&amp;$C20,baseline!$C$3:$C$201&amp;baseline!$D$3:$D$201,0)),"NA")</f>
        <v>19</v>
      </c>
      <c r="B20" t="s">
        <v>712</v>
      </c>
      <c r="C20" t="s">
        <v>14</v>
      </c>
      <c r="D20" s="131" t="s">
        <v>863</v>
      </c>
      <c r="E20" s="131">
        <v>2.0000000000000001E-4</v>
      </c>
      <c r="F20">
        <v>112850</v>
      </c>
    </row>
    <row r="21" spans="1:6">
      <c r="A21" s="45">
        <f t="array" ref="A21">IFERROR(INDEX(baseline!$A$3:$A$201,MATCH($B21&amp;$C21,baseline!$C$3:$C$201&amp;baseline!$D$3:$D$201,0)),"NA")</f>
        <v>20</v>
      </c>
      <c r="B21" t="s">
        <v>2</v>
      </c>
      <c r="C21" t="s">
        <v>881</v>
      </c>
      <c r="D21" s="131" t="s">
        <v>863</v>
      </c>
      <c r="E21" s="131">
        <v>2.9999999999999997E-4</v>
      </c>
      <c r="F21">
        <v>37359</v>
      </c>
    </row>
    <row r="22" spans="1:6">
      <c r="A22" s="45">
        <f t="array" ref="A22">IFERROR(INDEX(baseline!$A$3:$A$201,MATCH($B22&amp;$C22,baseline!$C$3:$C$201&amp;baseline!$D$3:$D$201,0)),"NA")</f>
        <v>21</v>
      </c>
      <c r="B22" t="s">
        <v>2</v>
      </c>
      <c r="C22" t="s">
        <v>13</v>
      </c>
      <c r="D22" s="131" t="s">
        <v>863</v>
      </c>
      <c r="E22" s="131">
        <v>2.9999999999999997E-4</v>
      </c>
      <c r="F22">
        <v>37359</v>
      </c>
    </row>
    <row r="23" spans="1:6">
      <c r="A23" s="45">
        <f t="array" ref="A23">IFERROR(INDEX(baseline!$A$3:$A$201,MATCH($B23&amp;$C23,baseline!$C$3:$C$201&amp;baseline!$D$3:$D$201,0)),"NA")</f>
        <v>22</v>
      </c>
      <c r="B23" t="s">
        <v>2</v>
      </c>
      <c r="C23" t="s">
        <v>14</v>
      </c>
      <c r="D23" s="131" t="s">
        <v>863</v>
      </c>
      <c r="E23" s="131">
        <v>2.9999999999999997E-4</v>
      </c>
      <c r="F23">
        <v>33525</v>
      </c>
    </row>
    <row r="24" spans="1:6">
      <c r="A24" s="45">
        <f t="array" ref="A24">IFERROR(INDEX(baseline!$A$3:$A$201,MATCH($B24&amp;$C24,baseline!$C$3:$C$201&amp;baseline!$D$3:$D$201,0)),"NA")</f>
        <v>23</v>
      </c>
      <c r="B24" t="s">
        <v>2</v>
      </c>
      <c r="C24" t="s">
        <v>546</v>
      </c>
      <c r="D24" s="131" t="s">
        <v>769</v>
      </c>
      <c r="E24" s="131">
        <v>2.9999999999999997E-4</v>
      </c>
      <c r="F24">
        <v>0</v>
      </c>
    </row>
    <row r="25" spans="1:6">
      <c r="A25" s="45">
        <f t="array" ref="A25">IFERROR(INDEX(baseline!$A$3:$A$201,MATCH($B25&amp;$C25,baseline!$C$3:$C$201&amp;baseline!$D$3:$D$201,0)),"NA")</f>
        <v>24</v>
      </c>
      <c r="B25" t="s">
        <v>547</v>
      </c>
      <c r="C25" t="s">
        <v>881</v>
      </c>
      <c r="D25" s="131" t="s">
        <v>863</v>
      </c>
      <c r="E25" s="131">
        <v>2.0000000000000001E-4</v>
      </c>
      <c r="F25">
        <v>116444</v>
      </c>
    </row>
    <row r="26" spans="1:6">
      <c r="A26" s="45">
        <f t="array" ref="A26">IFERROR(INDEX(baseline!$A$3:$A$201,MATCH($B26&amp;$C26,baseline!$C$3:$C$201&amp;baseline!$D$3:$D$201,0)),"NA")</f>
        <v>25</v>
      </c>
      <c r="B26" t="s">
        <v>547</v>
      </c>
      <c r="C26" t="s">
        <v>14</v>
      </c>
      <c r="D26" s="131" t="s">
        <v>863</v>
      </c>
      <c r="E26" s="131">
        <v>2.0000000000000001E-4</v>
      </c>
      <c r="F26">
        <v>103803</v>
      </c>
    </row>
    <row r="27" spans="1:6">
      <c r="A27" s="45">
        <f t="array" ref="A27">IFERROR(INDEX(baseline!$A$3:$A$201,MATCH($B27&amp;$C27,baseline!$C$3:$C$201&amp;baseline!$D$3:$D$201,0)),"NA")</f>
        <v>26</v>
      </c>
      <c r="B27" t="s">
        <v>547</v>
      </c>
      <c r="C27" t="s">
        <v>546</v>
      </c>
      <c r="D27" s="131" t="s">
        <v>769</v>
      </c>
      <c r="E27" s="131">
        <v>2.0000000000000001E-4</v>
      </c>
      <c r="F27">
        <v>0</v>
      </c>
    </row>
    <row r="28" spans="1:6">
      <c r="A28" s="45">
        <f t="array" ref="A28">IFERROR(INDEX(baseline!$A$3:$A$201,MATCH($B28&amp;$C28,baseline!$C$3:$C$201&amp;baseline!$D$3:$D$201,0)),"NA")</f>
        <v>27</v>
      </c>
      <c r="B28" t="s">
        <v>1</v>
      </c>
      <c r="C28" t="s">
        <v>881</v>
      </c>
      <c r="D28" s="131" t="s">
        <v>863</v>
      </c>
      <c r="E28" s="131">
        <v>2.9999999999999997E-4</v>
      </c>
      <c r="F28">
        <v>67248</v>
      </c>
    </row>
    <row r="29" spans="1:6">
      <c r="A29" s="45">
        <f t="array" ref="A29">IFERROR(INDEX(baseline!$A$3:$A$201,MATCH($B29&amp;$C29,baseline!$C$3:$C$201&amp;baseline!$D$3:$D$201,0)),"NA")</f>
        <v>28</v>
      </c>
      <c r="B29" t="s">
        <v>1</v>
      </c>
      <c r="C29" t="s">
        <v>14</v>
      </c>
      <c r="D29" s="131" t="s">
        <v>863</v>
      </c>
      <c r="E29" s="131">
        <v>2.9999999999999997E-4</v>
      </c>
      <c r="F29">
        <v>62140</v>
      </c>
    </row>
    <row r="30" spans="1:6">
      <c r="A30" s="45" t="str">
        <f t="array" ref="A30">IFERROR(INDEX(baseline!$A$3:$A$201,MATCH($B30&amp;$C30,baseline!$C$3:$C$201&amp;baseline!$D$3:$D$201,0)),"NA")</f>
        <v>NA</v>
      </c>
      <c r="B30" t="s">
        <v>0</v>
      </c>
      <c r="C30" t="s">
        <v>13</v>
      </c>
      <c r="D30" s="131" t="s">
        <v>863</v>
      </c>
      <c r="E30" s="131">
        <v>2.0000000000000001E-4</v>
      </c>
      <c r="F30">
        <v>122012</v>
      </c>
    </row>
    <row r="31" spans="1:6">
      <c r="A31" s="45" t="str">
        <f t="array" ref="A31">IFERROR(INDEX(baseline!$A$3:$A$201,MATCH($B31&amp;$C31,baseline!$C$3:$C$201&amp;baseline!$D$3:$D$201,0)),"NA")</f>
        <v>NA</v>
      </c>
      <c r="B31" t="s">
        <v>0</v>
      </c>
      <c r="C31" t="s">
        <v>14</v>
      </c>
      <c r="D31" s="131" t="s">
        <v>863</v>
      </c>
      <c r="E31" s="131">
        <v>2.0000000000000001E-4</v>
      </c>
      <c r="F31">
        <v>110890</v>
      </c>
    </row>
    <row r="32" spans="1:6">
      <c r="A32" s="45">
        <f t="array" ref="A32">IFERROR(INDEX(baseline!$A$3:$A$201,MATCH($B32&amp;$C32,baseline!$C$3:$C$201&amp;baseline!$D$3:$D$201,0)),"NA")</f>
        <v>30</v>
      </c>
      <c r="B32" t="s">
        <v>0</v>
      </c>
      <c r="C32" t="s">
        <v>546</v>
      </c>
      <c r="D32" s="131" t="s">
        <v>769</v>
      </c>
      <c r="E32" s="131">
        <v>2.0000000000000001E-4</v>
      </c>
      <c r="F32">
        <v>0</v>
      </c>
    </row>
    <row r="33" spans="1:6">
      <c r="A33" s="45" t="str">
        <f t="array" ref="A33">IFERROR(INDEX(baseline!$A$3:$A$201,MATCH($B33&amp;$C33,baseline!$C$3:$C$201&amp;baseline!$D$3:$D$201,0)),"NA")</f>
        <v>NA</v>
      </c>
      <c r="B33" t="s">
        <v>78</v>
      </c>
      <c r="C33" t="s">
        <v>13</v>
      </c>
      <c r="D33" s="131" t="s">
        <v>863</v>
      </c>
      <c r="E33" s="131">
        <v>2.9999999999999997E-4</v>
      </c>
      <c r="F33">
        <v>67418</v>
      </c>
    </row>
    <row r="34" spans="1:6">
      <c r="A34" s="45" t="str">
        <f t="array" ref="A34">IFERROR(INDEX(baseline!$A$3:$A$201,MATCH($B34&amp;$C34,baseline!$C$3:$C$201&amp;baseline!$D$3:$D$201,0)),"NA")</f>
        <v>NA</v>
      </c>
      <c r="B34" t="s">
        <v>78</v>
      </c>
      <c r="C34" t="s">
        <v>14</v>
      </c>
      <c r="D34" s="131" t="s">
        <v>863</v>
      </c>
      <c r="E34" s="131">
        <v>2.9999999999999997E-4</v>
      </c>
      <c r="F34">
        <v>62831</v>
      </c>
    </row>
    <row r="35" spans="1:6">
      <c r="A35" s="45">
        <f t="array" ref="A35">IFERROR(INDEX(baseline!$A$3:$A$201,MATCH($B35&amp;$C35,baseline!$C$3:$C$201&amp;baseline!$D$3:$D$201,0)),"NA")</f>
        <v>31</v>
      </c>
      <c r="B35" t="s">
        <v>78</v>
      </c>
      <c r="C35" t="s">
        <v>546</v>
      </c>
      <c r="D35" s="131" t="s">
        <v>863</v>
      </c>
      <c r="E35" s="131">
        <v>2.9999999999999997E-4</v>
      </c>
      <c r="F35">
        <v>0</v>
      </c>
    </row>
    <row r="36" spans="1:6">
      <c r="A36" s="45" t="str">
        <f t="array" ref="A36">IFERROR(INDEX(baseline!$A$3:$A$201,MATCH($B36&amp;$C36,baseline!$C$3:$C$201&amp;baseline!$D$3:$D$201,0)),"NA")</f>
        <v>NA</v>
      </c>
      <c r="B36" t="s">
        <v>545</v>
      </c>
      <c r="C36" t="s">
        <v>13</v>
      </c>
      <c r="D36" s="131" t="s">
        <v>863</v>
      </c>
      <c r="E36" s="131">
        <v>2.0000000000000001E-4</v>
      </c>
      <c r="F36">
        <v>83796</v>
      </c>
    </row>
    <row r="37" spans="1:6">
      <c r="A37" s="45" t="str">
        <f t="array" ref="A37">IFERROR(INDEX(baseline!$A$3:$A$201,MATCH($B37&amp;$C37,baseline!$C$3:$C$201&amp;baseline!$D$3:$D$201,0)),"NA")</f>
        <v>NA</v>
      </c>
      <c r="B37" t="s">
        <v>545</v>
      </c>
      <c r="C37" t="s">
        <v>14</v>
      </c>
      <c r="D37" s="131" t="s">
        <v>863</v>
      </c>
      <c r="E37" s="131">
        <v>2.0000000000000001E-4</v>
      </c>
      <c r="F37">
        <v>76635</v>
      </c>
    </row>
    <row r="38" spans="1:6">
      <c r="A38" s="45">
        <f t="array" ref="A38">IFERROR(INDEX(baseline!$A$3:$A$201,MATCH($B38&amp;$C38,baseline!$C$3:$C$201&amp;baseline!$D$3:$D$201,0)),"NA")</f>
        <v>29</v>
      </c>
      <c r="B38" t="s">
        <v>761</v>
      </c>
      <c r="C38" t="s">
        <v>546</v>
      </c>
      <c r="D38" s="131" t="s">
        <v>769</v>
      </c>
      <c r="E38" s="131">
        <v>2.9999999999999997E-4</v>
      </c>
      <c r="F38">
        <v>0</v>
      </c>
    </row>
    <row r="39" spans="1:6">
      <c r="A39" s="45" t="str">
        <f t="array" ref="A39">IFERROR(INDEX(baseline!$A$3:$A$201,MATCH($B39&amp;$C39,baseline!$C$3:$C$201&amp;baseline!$D$3:$D$201,0)),"NA")</f>
        <v>NA</v>
      </c>
      <c r="B39" t="s">
        <v>697</v>
      </c>
      <c r="C39" t="s">
        <v>13</v>
      </c>
      <c r="D39" s="131" t="s">
        <v>863</v>
      </c>
      <c r="E39" s="131">
        <v>2.9999999999999997E-4</v>
      </c>
      <c r="F39">
        <v>74019</v>
      </c>
    </row>
    <row r="40" spans="1:6">
      <c r="A40" s="45" t="str">
        <f t="array" ref="A40">IFERROR(INDEX(baseline!$A$3:$A$201,MATCH($B40&amp;$C40,baseline!$C$3:$C$201&amp;baseline!$D$3:$D$201,0)),"NA")</f>
        <v>NA</v>
      </c>
      <c r="B40" t="s">
        <v>697</v>
      </c>
      <c r="C40" t="s">
        <v>546</v>
      </c>
      <c r="D40" s="131" t="s">
        <v>769</v>
      </c>
      <c r="E40" s="131">
        <v>2.9999999999999997E-4</v>
      </c>
      <c r="F40">
        <v>0</v>
      </c>
    </row>
    <row r="41" spans="1:6">
      <c r="A41" s="45" t="str">
        <f t="array" ref="A41">IFERROR(INDEX(baseline!$A$3:$A$201,MATCH($B41&amp;$C41,baseline!$C$3:$C$201&amp;baseline!$D$3:$D$201,0)),"NA")</f>
        <v>NA</v>
      </c>
      <c r="B41" t="s">
        <v>713</v>
      </c>
      <c r="C41" t="s">
        <v>546</v>
      </c>
      <c r="D41" s="131" t="s">
        <v>769</v>
      </c>
      <c r="E41" s="131">
        <v>2.9999999999999997E-4</v>
      </c>
      <c r="F41">
        <v>0</v>
      </c>
    </row>
    <row r="42" spans="1:6">
      <c r="A42" s="45" t="str">
        <f t="array" ref="A42">IFERROR(INDEX(baseline!$A$3:$A$201,MATCH($B42&amp;$C42,baseline!$C$3:$C$201&amp;baseline!$D$3:$D$201,0)),"NA")</f>
        <v>NA</v>
      </c>
      <c r="B42" t="s">
        <v>762</v>
      </c>
      <c r="C42" t="s">
        <v>546</v>
      </c>
      <c r="D42" s="131" t="s">
        <v>769</v>
      </c>
      <c r="E42" s="131">
        <v>2.0000000000000001E-4</v>
      </c>
      <c r="F42">
        <v>0</v>
      </c>
    </row>
    <row r="43" spans="1:6">
      <c r="A43" s="45" t="str">
        <f t="array" ref="A43">IFERROR(INDEX(baseline!$A$3:$A$201,MATCH($B43&amp;$C43,baseline!$C$3:$C$201&amp;baseline!$D$3:$D$201,0)),"NA")</f>
        <v>NA</v>
      </c>
      <c r="B43" s="134" t="s">
        <v>763</v>
      </c>
      <c r="C43" s="134" t="s">
        <v>881</v>
      </c>
      <c r="D43" s="134" t="s">
        <v>863</v>
      </c>
      <c r="E43" s="134">
        <v>2.0000000000000001E-4</v>
      </c>
      <c r="F43" s="134">
        <v>36956</v>
      </c>
    </row>
    <row r="44" spans="1:6">
      <c r="A44" s="45" t="str">
        <f t="array" ref="A44">IFERROR(INDEX(baseline!$A$3:$A$201,MATCH($B44&amp;$C44,baseline!$C$3:$C$201&amp;baseline!$D$3:$D$201,0)),"NA")</f>
        <v>NA</v>
      </c>
      <c r="B44" t="s">
        <v>712</v>
      </c>
      <c r="C44" t="s">
        <v>881</v>
      </c>
      <c r="D44" s="131" t="s">
        <v>863</v>
      </c>
      <c r="E44" s="131">
        <v>2.0000000000000001E-4</v>
      </c>
      <c r="F44">
        <v>123257</v>
      </c>
    </row>
    <row r="45" spans="1:6" s="134" customFormat="1">
      <c r="A45" s="45" t="str">
        <f t="array" ref="A45">IFERROR(INDEX(baseline!$A$3:$A$201,MATCH($B45&amp;$C45,baseline!$C$3:$C$201&amp;baseline!$D$3:$D$201,0)),"NA")</f>
        <v>NA</v>
      </c>
      <c r="B45" t="s">
        <v>712</v>
      </c>
      <c r="C45" t="s">
        <v>13</v>
      </c>
      <c r="D45" s="131" t="s">
        <v>863</v>
      </c>
      <c r="E45" s="131">
        <v>2.0000000000000001E-4</v>
      </c>
      <c r="F45">
        <v>123257</v>
      </c>
    </row>
    <row r="46" spans="1:6">
      <c r="A46" s="45" t="str">
        <f t="array" ref="A46">IFERROR(INDEX(baseline!$A$3:$A$201,MATCH($B46&amp;$C46,baseline!$C$3:$C$201&amp;baseline!$D$3:$D$201,0)),"NA")</f>
        <v>NA</v>
      </c>
      <c r="B46" t="s">
        <v>712</v>
      </c>
      <c r="C46" t="s">
        <v>546</v>
      </c>
      <c r="D46" s="131" t="s">
        <v>769</v>
      </c>
      <c r="E46" s="131">
        <v>2.0000000000000001E-4</v>
      </c>
      <c r="F46">
        <v>0</v>
      </c>
    </row>
    <row r="47" spans="1:6">
      <c r="A47" s="45" t="str">
        <f t="array" ref="A47">IFERROR(INDEX(baseline!$A$3:$A$201,MATCH($B47&amp;$C47,baseline!$C$3:$C$201&amp;baseline!$D$3:$D$201,0)),"NA")</f>
        <v>NA</v>
      </c>
      <c r="B47" t="s">
        <v>547</v>
      </c>
      <c r="C47" t="s">
        <v>13</v>
      </c>
      <c r="D47" s="131" t="s">
        <v>863</v>
      </c>
      <c r="E47" s="131">
        <v>2.0000000000000001E-4</v>
      </c>
      <c r="F47">
        <v>116444</v>
      </c>
    </row>
    <row r="48" spans="1:6">
      <c r="A48" s="45" t="str">
        <f t="array" ref="A48">IFERROR(INDEX(baseline!$A$3:$A$201,MATCH($B48&amp;$C48,baseline!$C$3:$C$201&amp;baseline!$D$3:$D$201,0)),"NA")</f>
        <v>NA</v>
      </c>
      <c r="B48" t="s">
        <v>1</v>
      </c>
      <c r="C48" t="s">
        <v>13</v>
      </c>
      <c r="D48" s="131" t="s">
        <v>863</v>
      </c>
      <c r="E48" s="131">
        <v>2.9999999999999997E-4</v>
      </c>
      <c r="F48">
        <v>67248</v>
      </c>
    </row>
    <row r="49" spans="1:6">
      <c r="A49" s="45" t="str">
        <f t="array" ref="A49">IFERROR(INDEX(baseline!$A$3:$A$201,MATCH($B49&amp;$C49,baseline!$C$3:$C$201&amp;baseline!$D$3:$D$201,0)),"NA")</f>
        <v>NA</v>
      </c>
      <c r="B49" t="s">
        <v>1</v>
      </c>
      <c r="C49" t="s">
        <v>546</v>
      </c>
      <c r="D49" s="131" t="s">
        <v>769</v>
      </c>
      <c r="E49" s="131">
        <v>2.9999999999999997E-4</v>
      </c>
      <c r="F49">
        <v>0</v>
      </c>
    </row>
  </sheetData>
  <sortState ref="A2:F49">
    <sortCondition ref="A2:A49"/>
    <sortCondition ref="B2:B49"/>
    <sortCondition ref="C2:C49"/>
    <sortCondition ref="D2:D49"/>
  </sortState>
  <pageMargins left="0.7" right="0.7" top="0.75" bottom="0.75" header="0.3" footer="0.3"/>
</worksheet>
</file>

<file path=xl/worksheets/sheet25.xml><?xml version="1.0" encoding="utf-8"?>
<worksheet xmlns="http://schemas.openxmlformats.org/spreadsheetml/2006/main" xmlns:r="http://schemas.openxmlformats.org/officeDocument/2006/relationships">
  <sheetPr>
    <tabColor rgb="FF00B050"/>
  </sheetPr>
  <dimension ref="A1:I49"/>
  <sheetViews>
    <sheetView topLeftCell="H1" workbookViewId="0">
      <selection activeCell="I2" sqref="I2"/>
    </sheetView>
  </sheetViews>
  <sheetFormatPr defaultRowHeight="14.4"/>
  <cols>
    <col min="2" max="2" width="23.44140625" bestFit="1" customWidth="1"/>
    <col min="3" max="3" width="13.6640625" bestFit="1" customWidth="1"/>
    <col min="4" max="4" width="17.44140625" style="131" bestFit="1" customWidth="1"/>
    <col min="5" max="5" width="21.109375" style="131" bestFit="1" customWidth="1"/>
    <col min="6" max="8" width="40.5546875" style="131" customWidth="1"/>
    <col min="9" max="9" width="38.6640625" bestFit="1" customWidth="1"/>
    <col min="10" max="10" width="20.109375" customWidth="1"/>
  </cols>
  <sheetData>
    <row r="1" spans="1:9" ht="15.6">
      <c r="A1" t="s">
        <v>920</v>
      </c>
      <c r="B1" s="128" t="s">
        <v>766</v>
      </c>
      <c r="C1" s="127" t="s">
        <v>748</v>
      </c>
      <c r="D1" s="131" t="s">
        <v>774</v>
      </c>
      <c r="E1" s="131" t="s">
        <v>882</v>
      </c>
      <c r="F1" s="131" t="s">
        <v>888</v>
      </c>
      <c r="G1" s="131" t="s">
        <v>889</v>
      </c>
      <c r="H1" s="131" t="s">
        <v>890</v>
      </c>
      <c r="I1" t="s">
        <v>899</v>
      </c>
    </row>
    <row r="2" spans="1:9">
      <c r="A2" s="45">
        <f t="array" ref="A2">IFERROR(INDEX(baseline!$A$3:$A$201,MATCH($B2&amp;$C2,baseline!$C$3:$C$201&amp;baseline!$D$3:$D$201,0)),"NA")</f>
        <v>1</v>
      </c>
      <c r="B2" t="s">
        <v>0</v>
      </c>
      <c r="C2" t="s">
        <v>881</v>
      </c>
      <c r="D2" s="131" t="s">
        <v>860</v>
      </c>
      <c r="E2" s="131">
        <v>0.7</v>
      </c>
      <c r="F2" s="132" t="s">
        <v>769</v>
      </c>
      <c r="G2" s="132" t="s">
        <v>769</v>
      </c>
      <c r="H2" s="132" t="s">
        <v>769</v>
      </c>
      <c r="I2">
        <v>92265</v>
      </c>
    </row>
    <row r="3" spans="1:9">
      <c r="A3" s="45">
        <f t="array" ref="A3">IFERROR(INDEX(baseline!$A$3:$A$201,MATCH($B3&amp;$C3,baseline!$C$3:$C$201&amp;baseline!$D$3:$D$201,0)),"NA")</f>
        <v>2</v>
      </c>
      <c r="B3" t="s">
        <v>78</v>
      </c>
      <c r="C3" t="s">
        <v>881</v>
      </c>
      <c r="D3" s="131" t="s">
        <v>860</v>
      </c>
      <c r="E3" s="131">
        <v>0.7</v>
      </c>
      <c r="F3" s="132" t="s">
        <v>769</v>
      </c>
      <c r="G3" s="132" t="s">
        <v>769</v>
      </c>
      <c r="H3" s="132" t="s">
        <v>769</v>
      </c>
      <c r="I3">
        <v>15765</v>
      </c>
    </row>
    <row r="4" spans="1:9">
      <c r="A4" s="45">
        <f t="array" ref="A4">IFERROR(INDEX(baseline!$A$3:$A$201,MATCH($B4&amp;$C4,baseline!$C$3:$C$201&amp;baseline!$D$3:$D$201,0)),"NA")</f>
        <v>3</v>
      </c>
      <c r="B4" t="s">
        <v>545</v>
      </c>
      <c r="C4" t="s">
        <v>881</v>
      </c>
      <c r="D4" s="131" t="s">
        <v>860</v>
      </c>
      <c r="E4" s="131">
        <v>0.7</v>
      </c>
      <c r="F4" s="132" t="s">
        <v>769</v>
      </c>
      <c r="G4" s="132" t="s">
        <v>769</v>
      </c>
      <c r="H4" s="132" t="s">
        <v>769</v>
      </c>
      <c r="I4">
        <v>111667</v>
      </c>
    </row>
    <row r="5" spans="1:9">
      <c r="A5" s="45">
        <f t="array" ref="A5">IFERROR(INDEX(baseline!$A$3:$A$201,MATCH($B5&amp;$C5,baseline!$C$3:$C$201&amp;baseline!$D$3:$D$201,0)),"NA")</f>
        <v>4</v>
      </c>
      <c r="B5" t="s">
        <v>545</v>
      </c>
      <c r="C5" t="s">
        <v>546</v>
      </c>
      <c r="D5" s="131" t="s">
        <v>860</v>
      </c>
      <c r="E5" s="131">
        <v>0.7</v>
      </c>
      <c r="F5" s="132" t="s">
        <v>769</v>
      </c>
      <c r="G5" s="132" t="s">
        <v>769</v>
      </c>
      <c r="H5" s="132" t="s">
        <v>769</v>
      </c>
      <c r="I5">
        <v>111667</v>
      </c>
    </row>
    <row r="6" spans="1:9">
      <c r="A6" s="45">
        <f t="array" ref="A6">IFERROR(INDEX(baseline!$A$3:$A$201,MATCH($B6&amp;$C6,baseline!$C$3:$C$201&amp;baseline!$D$3:$D$201,0)),"NA")</f>
        <v>5</v>
      </c>
      <c r="B6" t="s">
        <v>761</v>
      </c>
      <c r="C6" t="s">
        <v>881</v>
      </c>
      <c r="D6" s="131" t="s">
        <v>860</v>
      </c>
      <c r="E6" s="131">
        <v>0.7</v>
      </c>
      <c r="F6" s="132" t="s">
        <v>769</v>
      </c>
      <c r="G6" s="132" t="s">
        <v>769</v>
      </c>
      <c r="H6" s="132" t="s">
        <v>769</v>
      </c>
      <c r="I6">
        <v>133713</v>
      </c>
    </row>
    <row r="7" spans="1:9">
      <c r="A7" s="45">
        <f t="array" ref="A7">IFERROR(INDEX(baseline!$A$3:$A$201,MATCH($B7&amp;$C7,baseline!$C$3:$C$201&amp;baseline!$D$3:$D$201,0)),"NA")</f>
        <v>6</v>
      </c>
      <c r="B7" t="s">
        <v>761</v>
      </c>
      <c r="C7" t="s">
        <v>13</v>
      </c>
      <c r="D7" s="131" t="s">
        <v>860</v>
      </c>
      <c r="E7" s="131">
        <v>0.7</v>
      </c>
      <c r="F7" s="132" t="s">
        <v>769</v>
      </c>
      <c r="G7" s="132" t="s">
        <v>769</v>
      </c>
      <c r="H7" s="132" t="s">
        <v>769</v>
      </c>
      <c r="I7">
        <v>133713</v>
      </c>
    </row>
    <row r="8" spans="1:9">
      <c r="A8" s="45">
        <f t="array" ref="A8">IFERROR(INDEX(baseline!$A$3:$A$201,MATCH($B8&amp;$C8,baseline!$C$3:$C$201&amp;baseline!$D$3:$D$201,0)),"NA")</f>
        <v>7</v>
      </c>
      <c r="B8" t="s">
        <v>761</v>
      </c>
      <c r="C8" t="s">
        <v>14</v>
      </c>
      <c r="D8" s="131" t="s">
        <v>860</v>
      </c>
      <c r="E8" s="131">
        <v>0.7</v>
      </c>
      <c r="F8" s="132" t="s">
        <v>769</v>
      </c>
      <c r="G8" s="132" t="s">
        <v>769</v>
      </c>
      <c r="H8" s="132" t="s">
        <v>769</v>
      </c>
      <c r="I8">
        <v>133713</v>
      </c>
    </row>
    <row r="9" spans="1:9">
      <c r="A9" s="45">
        <f t="array" ref="A9">IFERROR(INDEX(baseline!$A$3:$A$201,MATCH($B9&amp;$C9,baseline!$C$3:$C$201&amp;baseline!$D$3:$D$201,0)),"NA")</f>
        <v>8</v>
      </c>
      <c r="B9" t="s">
        <v>697</v>
      </c>
      <c r="C9" t="s">
        <v>881</v>
      </c>
      <c r="D9" s="131" t="s">
        <v>860</v>
      </c>
      <c r="E9" s="131">
        <v>0.7</v>
      </c>
      <c r="F9" s="132" t="s">
        <v>769</v>
      </c>
      <c r="G9" s="132" t="s">
        <v>769</v>
      </c>
      <c r="H9" s="132" t="s">
        <v>769</v>
      </c>
      <c r="I9">
        <v>45581</v>
      </c>
    </row>
    <row r="10" spans="1:9">
      <c r="A10" s="45">
        <f t="array" ref="A10">IFERROR(INDEX(baseline!$A$3:$A$201,MATCH($B10&amp;$C10,baseline!$C$3:$C$201&amp;baseline!$D$3:$D$201,0)),"NA")</f>
        <v>9</v>
      </c>
      <c r="B10" t="s">
        <v>697</v>
      </c>
      <c r="C10" t="s">
        <v>14</v>
      </c>
      <c r="D10" s="131" t="s">
        <v>860</v>
      </c>
      <c r="E10" s="131">
        <v>0.7</v>
      </c>
      <c r="F10" s="132" t="s">
        <v>769</v>
      </c>
      <c r="G10" s="132" t="s">
        <v>769</v>
      </c>
      <c r="H10" s="132" t="s">
        <v>769</v>
      </c>
      <c r="I10">
        <v>45581</v>
      </c>
    </row>
    <row r="11" spans="1:9">
      <c r="A11" s="45">
        <f t="array" ref="A11">IFERROR(INDEX(baseline!$A$3:$A$201,MATCH($B11&amp;$C11,baseline!$C$3:$C$201&amp;baseline!$D$3:$D$201,0)),"NA")</f>
        <v>10</v>
      </c>
      <c r="B11" t="s">
        <v>713</v>
      </c>
      <c r="C11" t="s">
        <v>881</v>
      </c>
      <c r="D11" s="131" t="s">
        <v>860</v>
      </c>
      <c r="E11" s="131">
        <v>0.7</v>
      </c>
      <c r="F11" s="132" t="s">
        <v>769</v>
      </c>
      <c r="G11" s="132" t="s">
        <v>769</v>
      </c>
      <c r="H11" s="132" t="s">
        <v>769</v>
      </c>
      <c r="I11">
        <v>24169</v>
      </c>
    </row>
    <row r="12" spans="1:9">
      <c r="A12" s="45">
        <f t="array" ref="A12">IFERROR(INDEX(baseline!$A$3:$A$201,MATCH($B12&amp;$C12,baseline!$C$3:$C$201&amp;baseline!$D$3:$D$201,0)),"NA")</f>
        <v>11</v>
      </c>
      <c r="B12" t="s">
        <v>713</v>
      </c>
      <c r="C12" t="s">
        <v>13</v>
      </c>
      <c r="D12" s="131" t="s">
        <v>860</v>
      </c>
      <c r="E12" s="131">
        <v>0.7</v>
      </c>
      <c r="F12" s="132" t="s">
        <v>769</v>
      </c>
      <c r="G12" s="132" t="s">
        <v>769</v>
      </c>
      <c r="H12" s="132" t="s">
        <v>769</v>
      </c>
      <c r="I12">
        <v>24169</v>
      </c>
    </row>
    <row r="13" spans="1:9">
      <c r="A13" s="45">
        <f t="array" ref="A13">IFERROR(INDEX(baseline!$A$3:$A$201,MATCH($B13&amp;$C13,baseline!$C$3:$C$201&amp;baseline!$D$3:$D$201,0)),"NA")</f>
        <v>12</v>
      </c>
      <c r="B13" t="s">
        <v>713</v>
      </c>
      <c r="C13" t="s">
        <v>14</v>
      </c>
      <c r="D13" s="131" t="s">
        <v>860</v>
      </c>
      <c r="E13" s="131">
        <v>0.7</v>
      </c>
      <c r="F13" s="132" t="s">
        <v>769</v>
      </c>
      <c r="G13" s="132" t="s">
        <v>769</v>
      </c>
      <c r="H13" s="132" t="s">
        <v>769</v>
      </c>
      <c r="I13">
        <v>24169</v>
      </c>
    </row>
    <row r="14" spans="1:9">
      <c r="A14" s="45">
        <f t="array" ref="A14">IFERROR(INDEX(baseline!$A$3:$A$201,MATCH($B14&amp;$C14,baseline!$C$3:$C$201&amp;baseline!$D$3:$D$201,0)),"NA")</f>
        <v>13</v>
      </c>
      <c r="B14" t="s">
        <v>762</v>
      </c>
      <c r="C14" t="s">
        <v>881</v>
      </c>
      <c r="D14" s="131" t="s">
        <v>860</v>
      </c>
      <c r="E14" s="131">
        <v>0.7</v>
      </c>
      <c r="F14" s="132" t="s">
        <v>769</v>
      </c>
      <c r="G14" s="132" t="s">
        <v>769</v>
      </c>
      <c r="H14" s="132" t="s">
        <v>769</v>
      </c>
      <c r="I14">
        <v>83176</v>
      </c>
    </row>
    <row r="15" spans="1:9">
      <c r="A15" s="45">
        <f t="array" ref="A15">IFERROR(INDEX(baseline!$A$3:$A$201,MATCH($B15&amp;$C15,baseline!$C$3:$C$201&amp;baseline!$D$3:$D$201,0)),"NA")</f>
        <v>14</v>
      </c>
      <c r="B15" t="s">
        <v>762</v>
      </c>
      <c r="C15" t="s">
        <v>13</v>
      </c>
      <c r="D15" s="131" t="s">
        <v>860</v>
      </c>
      <c r="E15" s="131">
        <v>0.7</v>
      </c>
      <c r="F15" s="132" t="s">
        <v>769</v>
      </c>
      <c r="G15" s="132" t="s">
        <v>769</v>
      </c>
      <c r="H15" s="132" t="s">
        <v>769</v>
      </c>
      <c r="I15">
        <v>83176</v>
      </c>
    </row>
    <row r="16" spans="1:9">
      <c r="A16" s="45">
        <f t="array" ref="A16">IFERROR(INDEX(baseline!$A$3:$A$201,MATCH($B16&amp;$C16,baseline!$C$3:$C$201&amp;baseline!$D$3:$D$201,0)),"NA")</f>
        <v>15</v>
      </c>
      <c r="B16" t="s">
        <v>762</v>
      </c>
      <c r="C16" t="s">
        <v>14</v>
      </c>
      <c r="D16" s="131" t="s">
        <v>860</v>
      </c>
      <c r="E16" s="131">
        <v>0.7</v>
      </c>
      <c r="F16" s="132" t="s">
        <v>769</v>
      </c>
      <c r="G16" s="132" t="s">
        <v>769</v>
      </c>
      <c r="H16" s="132" t="s">
        <v>769</v>
      </c>
      <c r="I16">
        <v>83176</v>
      </c>
    </row>
    <row r="17" spans="1:9">
      <c r="A17" s="45">
        <f t="array" ref="A17">IFERROR(INDEX(baseline!$A$3:$A$201,MATCH($B17&amp;$C17,baseline!$C$3:$C$201&amp;baseline!$D$3:$D$201,0)),"NA")</f>
        <v>16</v>
      </c>
      <c r="B17" t="s">
        <v>763</v>
      </c>
      <c r="C17" t="s">
        <v>13</v>
      </c>
      <c r="D17" s="131" t="s">
        <v>860</v>
      </c>
      <c r="E17" s="131">
        <v>0.7</v>
      </c>
      <c r="F17" s="132" t="s">
        <v>769</v>
      </c>
      <c r="G17" s="132" t="s">
        <v>769</v>
      </c>
      <c r="H17" s="132" t="s">
        <v>769</v>
      </c>
      <c r="I17">
        <v>20189</v>
      </c>
    </row>
    <row r="18" spans="1:9">
      <c r="A18" s="45">
        <f t="array" ref="A18">IFERROR(INDEX(baseline!$A$3:$A$201,MATCH($B18&amp;$C18,baseline!$C$3:$C$201&amp;baseline!$D$3:$D$201,0)),"NA")</f>
        <v>17</v>
      </c>
      <c r="B18" t="s">
        <v>763</v>
      </c>
      <c r="C18" t="s">
        <v>14</v>
      </c>
      <c r="D18" s="131" t="s">
        <v>860</v>
      </c>
      <c r="E18" s="131">
        <v>0.7</v>
      </c>
      <c r="F18" s="132" t="s">
        <v>769</v>
      </c>
      <c r="G18" s="132" t="s">
        <v>769</v>
      </c>
      <c r="H18" s="132" t="s">
        <v>769</v>
      </c>
      <c r="I18">
        <v>20189</v>
      </c>
    </row>
    <row r="19" spans="1:9">
      <c r="A19" s="45">
        <f t="array" ref="A19">IFERROR(INDEX(baseline!$A$3:$A$201,MATCH($B19&amp;$C19,baseline!$C$3:$C$201&amp;baseline!$D$3:$D$201,0)),"NA")</f>
        <v>18</v>
      </c>
      <c r="B19" t="s">
        <v>763</v>
      </c>
      <c r="C19" t="s">
        <v>546</v>
      </c>
      <c r="D19" s="131" t="s">
        <v>860</v>
      </c>
      <c r="E19" s="131">
        <v>0.7</v>
      </c>
      <c r="F19" s="132" t="s">
        <v>769</v>
      </c>
      <c r="G19" s="132" t="s">
        <v>769</v>
      </c>
      <c r="H19" s="132" t="s">
        <v>769</v>
      </c>
      <c r="I19">
        <v>20189</v>
      </c>
    </row>
    <row r="20" spans="1:9">
      <c r="A20" s="45">
        <f t="array" ref="A20">IFERROR(INDEX(baseline!$A$3:$A$201,MATCH($B20&amp;$C20,baseline!$C$3:$C$201&amp;baseline!$D$3:$D$201,0)),"NA")</f>
        <v>19</v>
      </c>
      <c r="B20" t="s">
        <v>712</v>
      </c>
      <c r="C20" t="s">
        <v>14</v>
      </c>
      <c r="D20" s="131" t="s">
        <v>860</v>
      </c>
      <c r="E20" s="131">
        <v>0.7</v>
      </c>
      <c r="F20" s="132" t="s">
        <v>769</v>
      </c>
      <c r="G20" s="132" t="s">
        <v>769</v>
      </c>
      <c r="H20" s="132" t="s">
        <v>769</v>
      </c>
      <c r="I20">
        <v>232340</v>
      </c>
    </row>
    <row r="21" spans="1:9">
      <c r="A21" s="45">
        <f t="array" ref="A21">IFERROR(INDEX(baseline!$A$3:$A$201,MATCH($B21&amp;$C21,baseline!$C$3:$C$201&amp;baseline!$D$3:$D$201,0)),"NA")</f>
        <v>20</v>
      </c>
      <c r="B21" t="s">
        <v>2</v>
      </c>
      <c r="C21" t="s">
        <v>881</v>
      </c>
      <c r="D21" s="131" t="s">
        <v>860</v>
      </c>
      <c r="E21" s="131">
        <v>0.7</v>
      </c>
      <c r="F21" s="132" t="s">
        <v>769</v>
      </c>
      <c r="G21" s="132" t="s">
        <v>769</v>
      </c>
      <c r="H21" s="132" t="s">
        <v>769</v>
      </c>
      <c r="I21">
        <v>24436</v>
      </c>
    </row>
    <row r="22" spans="1:9">
      <c r="A22" s="45">
        <f t="array" ref="A22">IFERROR(INDEX(baseline!$A$3:$A$201,MATCH($B22&amp;$C22,baseline!$C$3:$C$201&amp;baseline!$D$3:$D$201,0)),"NA")</f>
        <v>21</v>
      </c>
      <c r="B22" t="s">
        <v>2</v>
      </c>
      <c r="C22" t="s">
        <v>13</v>
      </c>
      <c r="D22" s="131" t="s">
        <v>860</v>
      </c>
      <c r="E22" s="131">
        <v>0.7</v>
      </c>
      <c r="F22" s="132" t="s">
        <v>769</v>
      </c>
      <c r="G22" s="132" t="s">
        <v>769</v>
      </c>
      <c r="H22" s="132" t="s">
        <v>769</v>
      </c>
      <c r="I22">
        <v>24436</v>
      </c>
    </row>
    <row r="23" spans="1:9">
      <c r="A23" s="45">
        <f t="array" ref="A23">IFERROR(INDEX(baseline!$A$3:$A$201,MATCH($B23&amp;$C23,baseline!$C$3:$C$201&amp;baseline!$D$3:$D$201,0)),"NA")</f>
        <v>22</v>
      </c>
      <c r="B23" t="s">
        <v>2</v>
      </c>
      <c r="C23" t="s">
        <v>14</v>
      </c>
      <c r="D23" s="131" t="s">
        <v>860</v>
      </c>
      <c r="E23" s="131">
        <v>0.7</v>
      </c>
      <c r="F23" s="132" t="s">
        <v>769</v>
      </c>
      <c r="G23" s="132" t="s">
        <v>769</v>
      </c>
      <c r="H23" s="132" t="s">
        <v>769</v>
      </c>
      <c r="I23">
        <v>24436</v>
      </c>
    </row>
    <row r="24" spans="1:9">
      <c r="A24" s="45">
        <f t="array" ref="A24">IFERROR(INDEX(baseline!$A$3:$A$201,MATCH($B24&amp;$C24,baseline!$C$3:$C$201&amp;baseline!$D$3:$D$201,0)),"NA")</f>
        <v>23</v>
      </c>
      <c r="B24" t="s">
        <v>2</v>
      </c>
      <c r="C24" t="s">
        <v>546</v>
      </c>
      <c r="D24" s="131" t="s">
        <v>860</v>
      </c>
      <c r="E24" s="131">
        <v>0.7</v>
      </c>
      <c r="F24" s="132" t="s">
        <v>769</v>
      </c>
      <c r="G24" s="132" t="s">
        <v>769</v>
      </c>
      <c r="H24" s="132" t="s">
        <v>769</v>
      </c>
      <c r="I24">
        <v>24436</v>
      </c>
    </row>
    <row r="25" spans="1:9">
      <c r="A25" s="45">
        <f t="array" ref="A25">IFERROR(INDEX(baseline!$A$3:$A$201,MATCH($B25&amp;$C25,baseline!$C$3:$C$201&amp;baseline!$D$3:$D$201,0)),"NA")</f>
        <v>24</v>
      </c>
      <c r="B25" t="s">
        <v>547</v>
      </c>
      <c r="C25" t="s">
        <v>881</v>
      </c>
      <c r="D25" s="131" t="s">
        <v>860</v>
      </c>
      <c r="E25" s="131">
        <v>0.7</v>
      </c>
      <c r="F25" s="132" t="s">
        <v>769</v>
      </c>
      <c r="G25" s="132" t="s">
        <v>769</v>
      </c>
      <c r="H25" s="132" t="s">
        <v>769</v>
      </c>
      <c r="I25">
        <v>160307</v>
      </c>
    </row>
    <row r="26" spans="1:9">
      <c r="A26" s="45">
        <f t="array" ref="A26">IFERROR(INDEX(baseline!$A$3:$A$201,MATCH($B26&amp;$C26,baseline!$C$3:$C$201&amp;baseline!$D$3:$D$201,0)),"NA")</f>
        <v>25</v>
      </c>
      <c r="B26" t="s">
        <v>547</v>
      </c>
      <c r="C26" t="s">
        <v>14</v>
      </c>
      <c r="D26" s="131" t="s">
        <v>860</v>
      </c>
      <c r="E26" s="131">
        <v>0.7</v>
      </c>
      <c r="F26" s="132" t="s">
        <v>769</v>
      </c>
      <c r="G26" s="132" t="s">
        <v>769</v>
      </c>
      <c r="H26" s="132" t="s">
        <v>769</v>
      </c>
      <c r="I26">
        <v>160307</v>
      </c>
    </row>
    <row r="27" spans="1:9">
      <c r="A27" s="45">
        <f t="array" ref="A27">IFERROR(INDEX(baseline!$A$3:$A$201,MATCH($B27&amp;$C27,baseline!$C$3:$C$201&amp;baseline!$D$3:$D$201,0)),"NA")</f>
        <v>26</v>
      </c>
      <c r="B27" t="s">
        <v>547</v>
      </c>
      <c r="C27" t="s">
        <v>546</v>
      </c>
      <c r="D27" s="131" t="s">
        <v>860</v>
      </c>
      <c r="E27" s="131">
        <v>0.7</v>
      </c>
      <c r="F27" s="132" t="s">
        <v>769</v>
      </c>
      <c r="G27" s="132" t="s">
        <v>769</v>
      </c>
      <c r="H27" s="132" t="s">
        <v>769</v>
      </c>
      <c r="I27">
        <v>160307</v>
      </c>
    </row>
    <row r="28" spans="1:9">
      <c r="A28" s="45">
        <f t="array" ref="A28">IFERROR(INDEX(baseline!$A$3:$A$201,MATCH($B28&amp;$C28,baseline!$C$3:$C$201&amp;baseline!$D$3:$D$201,0)),"NA")</f>
        <v>27</v>
      </c>
      <c r="B28" t="s">
        <v>1</v>
      </c>
      <c r="C28" t="s">
        <v>881</v>
      </c>
      <c r="D28" s="131" t="s">
        <v>860</v>
      </c>
      <c r="E28" s="131">
        <v>0.7</v>
      </c>
      <c r="F28" s="132" t="s">
        <v>769</v>
      </c>
      <c r="G28" s="132" t="s">
        <v>769</v>
      </c>
      <c r="H28" s="132" t="s">
        <v>769</v>
      </c>
      <c r="I28">
        <v>26160</v>
      </c>
    </row>
    <row r="29" spans="1:9">
      <c r="A29" s="45">
        <f t="array" ref="A29">IFERROR(INDEX(baseline!$A$3:$A$201,MATCH($B29&amp;$C29,baseline!$C$3:$C$201&amp;baseline!$D$3:$D$201,0)),"NA")</f>
        <v>28</v>
      </c>
      <c r="B29" t="s">
        <v>1</v>
      </c>
      <c r="C29" t="s">
        <v>14</v>
      </c>
      <c r="D29" s="131" t="s">
        <v>860</v>
      </c>
      <c r="E29" s="131">
        <v>0.7</v>
      </c>
      <c r="F29" s="132" t="s">
        <v>769</v>
      </c>
      <c r="G29" s="132" t="s">
        <v>769</v>
      </c>
      <c r="H29" s="132" t="s">
        <v>769</v>
      </c>
      <c r="I29">
        <v>26160</v>
      </c>
    </row>
    <row r="30" spans="1:9">
      <c r="A30" s="45" t="str">
        <f t="array" ref="A30">IFERROR(INDEX(baseline!$A$3:$A$201,MATCH($B30&amp;$C30,baseline!$C$3:$C$201&amp;baseline!$D$3:$D$201,0)),"NA")</f>
        <v>NA</v>
      </c>
      <c r="B30" t="s">
        <v>0</v>
      </c>
      <c r="C30" t="s">
        <v>13</v>
      </c>
      <c r="D30" s="131" t="s">
        <v>860</v>
      </c>
      <c r="E30" s="131">
        <v>0.7</v>
      </c>
      <c r="F30" s="132" t="s">
        <v>769</v>
      </c>
      <c r="G30" s="132" t="s">
        <v>769</v>
      </c>
      <c r="H30" s="132" t="s">
        <v>769</v>
      </c>
      <c r="I30">
        <v>92265</v>
      </c>
    </row>
    <row r="31" spans="1:9">
      <c r="A31" s="45" t="str">
        <f t="array" ref="A31">IFERROR(INDEX(baseline!$A$3:$A$201,MATCH($B31&amp;$C31,baseline!$C$3:$C$201&amp;baseline!$D$3:$D$201,0)),"NA")</f>
        <v>NA</v>
      </c>
      <c r="B31" t="s">
        <v>0</v>
      </c>
      <c r="C31" t="s">
        <v>14</v>
      </c>
      <c r="D31" s="131" t="s">
        <v>860</v>
      </c>
      <c r="E31" s="131">
        <v>0.7</v>
      </c>
      <c r="F31" s="132" t="s">
        <v>769</v>
      </c>
      <c r="G31" s="132" t="s">
        <v>769</v>
      </c>
      <c r="H31" s="132" t="s">
        <v>769</v>
      </c>
      <c r="I31">
        <v>92265</v>
      </c>
    </row>
    <row r="32" spans="1:9">
      <c r="A32" s="45">
        <f t="array" ref="A32">IFERROR(INDEX(baseline!$A$3:$A$201,MATCH($B32&amp;$C32,baseline!$C$3:$C$201&amp;baseline!$D$3:$D$201,0)),"NA")</f>
        <v>30</v>
      </c>
      <c r="B32" t="s">
        <v>0</v>
      </c>
      <c r="C32" t="s">
        <v>546</v>
      </c>
      <c r="D32" s="131" t="s">
        <v>860</v>
      </c>
      <c r="E32" s="131">
        <v>0.7</v>
      </c>
      <c r="F32" s="132" t="s">
        <v>769</v>
      </c>
      <c r="G32" s="132" t="s">
        <v>769</v>
      </c>
      <c r="H32" s="132" t="s">
        <v>769</v>
      </c>
      <c r="I32">
        <v>92265</v>
      </c>
    </row>
    <row r="33" spans="1:9">
      <c r="A33" s="45" t="str">
        <f t="array" ref="A33">IFERROR(INDEX(baseline!$A$3:$A$201,MATCH($B33&amp;$C33,baseline!$C$3:$C$201&amp;baseline!$D$3:$D$201,0)),"NA")</f>
        <v>NA</v>
      </c>
      <c r="B33" t="s">
        <v>78</v>
      </c>
      <c r="C33" t="s">
        <v>13</v>
      </c>
      <c r="D33" s="131" t="s">
        <v>860</v>
      </c>
      <c r="E33" s="131">
        <v>0.7</v>
      </c>
      <c r="F33" s="132" t="s">
        <v>769</v>
      </c>
      <c r="G33" s="132" t="s">
        <v>769</v>
      </c>
      <c r="H33" s="132" t="s">
        <v>769</v>
      </c>
      <c r="I33">
        <v>15765</v>
      </c>
    </row>
    <row r="34" spans="1:9">
      <c r="A34" s="45" t="str">
        <f t="array" ref="A34">IFERROR(INDEX(baseline!$A$3:$A$201,MATCH($B34&amp;$C34,baseline!$C$3:$C$201&amp;baseline!$D$3:$D$201,0)),"NA")</f>
        <v>NA</v>
      </c>
      <c r="B34" t="s">
        <v>78</v>
      </c>
      <c r="C34" t="s">
        <v>14</v>
      </c>
      <c r="D34" s="131" t="s">
        <v>860</v>
      </c>
      <c r="E34" s="131">
        <v>0.7</v>
      </c>
      <c r="F34" s="132" t="s">
        <v>769</v>
      </c>
      <c r="G34" s="132" t="s">
        <v>769</v>
      </c>
      <c r="H34" s="132" t="s">
        <v>769</v>
      </c>
      <c r="I34">
        <v>15765</v>
      </c>
    </row>
    <row r="35" spans="1:9">
      <c r="A35" s="45">
        <f t="array" ref="A35">IFERROR(INDEX(baseline!$A$3:$A$201,MATCH($B35&amp;$C35,baseline!$C$3:$C$201&amp;baseline!$D$3:$D$201,0)),"NA")</f>
        <v>31</v>
      </c>
      <c r="B35" t="s">
        <v>78</v>
      </c>
      <c r="C35" t="s">
        <v>546</v>
      </c>
      <c r="D35" s="131" t="s">
        <v>860</v>
      </c>
      <c r="E35" s="131">
        <v>0.7</v>
      </c>
      <c r="F35" s="132" t="s">
        <v>769</v>
      </c>
      <c r="G35" s="132" t="s">
        <v>769</v>
      </c>
      <c r="H35" s="132" t="s">
        <v>769</v>
      </c>
      <c r="I35">
        <v>15765</v>
      </c>
    </row>
    <row r="36" spans="1:9">
      <c r="A36" s="45" t="str">
        <f t="array" ref="A36">IFERROR(INDEX(baseline!$A$3:$A$201,MATCH($B36&amp;$C36,baseline!$C$3:$C$201&amp;baseline!$D$3:$D$201,0)),"NA")</f>
        <v>NA</v>
      </c>
      <c r="B36" t="s">
        <v>545</v>
      </c>
      <c r="C36" t="s">
        <v>13</v>
      </c>
      <c r="D36" s="131" t="s">
        <v>860</v>
      </c>
      <c r="E36" s="131">
        <v>0.7</v>
      </c>
      <c r="F36" s="132" t="s">
        <v>769</v>
      </c>
      <c r="G36" s="132" t="s">
        <v>769</v>
      </c>
      <c r="H36" s="132" t="s">
        <v>769</v>
      </c>
      <c r="I36">
        <v>111667</v>
      </c>
    </row>
    <row r="37" spans="1:9">
      <c r="A37" s="45" t="str">
        <f t="array" ref="A37">IFERROR(INDEX(baseline!$A$3:$A$201,MATCH($B37&amp;$C37,baseline!$C$3:$C$201&amp;baseline!$D$3:$D$201,0)),"NA")</f>
        <v>NA</v>
      </c>
      <c r="B37" t="s">
        <v>545</v>
      </c>
      <c r="C37" t="s">
        <v>14</v>
      </c>
      <c r="D37" s="131" t="s">
        <v>860</v>
      </c>
      <c r="E37" s="131">
        <v>0.7</v>
      </c>
      <c r="F37" s="132" t="s">
        <v>769</v>
      </c>
      <c r="G37" s="132" t="s">
        <v>769</v>
      </c>
      <c r="H37" s="132" t="s">
        <v>769</v>
      </c>
      <c r="I37">
        <v>111667</v>
      </c>
    </row>
    <row r="38" spans="1:9">
      <c r="A38" s="45">
        <f t="array" ref="A38">IFERROR(INDEX(baseline!$A$3:$A$201,MATCH($B38&amp;$C38,baseline!$C$3:$C$201&amp;baseline!$D$3:$D$201,0)),"NA")</f>
        <v>29</v>
      </c>
      <c r="B38" t="s">
        <v>761</v>
      </c>
      <c r="C38" t="s">
        <v>546</v>
      </c>
      <c r="D38" s="131" t="s">
        <v>860</v>
      </c>
      <c r="E38" s="131">
        <v>0.7</v>
      </c>
      <c r="F38" s="132" t="s">
        <v>769</v>
      </c>
      <c r="G38" s="132" t="s">
        <v>769</v>
      </c>
      <c r="H38" s="132" t="s">
        <v>769</v>
      </c>
      <c r="I38">
        <v>133713</v>
      </c>
    </row>
    <row r="39" spans="1:9">
      <c r="A39" s="45" t="str">
        <f t="array" ref="A39">IFERROR(INDEX(baseline!$A$3:$A$201,MATCH($B39&amp;$C39,baseline!$C$3:$C$201&amp;baseline!$D$3:$D$201,0)),"NA")</f>
        <v>NA</v>
      </c>
      <c r="B39" t="s">
        <v>697</v>
      </c>
      <c r="C39" t="s">
        <v>13</v>
      </c>
      <c r="D39" s="131" t="s">
        <v>860</v>
      </c>
      <c r="E39" s="131">
        <v>0.7</v>
      </c>
      <c r="F39" s="132" t="s">
        <v>769</v>
      </c>
      <c r="G39" s="132" t="s">
        <v>769</v>
      </c>
      <c r="H39" s="132" t="s">
        <v>769</v>
      </c>
      <c r="I39">
        <v>45581</v>
      </c>
    </row>
    <row r="40" spans="1:9">
      <c r="A40" s="45" t="str">
        <f t="array" ref="A40">IFERROR(INDEX(baseline!$A$3:$A$201,MATCH($B40&amp;$C40,baseline!$C$3:$C$201&amp;baseline!$D$3:$D$201,0)),"NA")</f>
        <v>NA</v>
      </c>
      <c r="B40" t="s">
        <v>697</v>
      </c>
      <c r="C40" t="s">
        <v>546</v>
      </c>
      <c r="D40" s="131" t="s">
        <v>860</v>
      </c>
      <c r="E40" s="131">
        <v>0.7</v>
      </c>
      <c r="F40" s="132" t="s">
        <v>769</v>
      </c>
      <c r="G40" s="132" t="s">
        <v>769</v>
      </c>
      <c r="H40" s="132" t="s">
        <v>769</v>
      </c>
      <c r="I40">
        <v>45581</v>
      </c>
    </row>
    <row r="41" spans="1:9">
      <c r="A41" s="45" t="str">
        <f t="array" ref="A41">IFERROR(INDEX(baseline!$A$3:$A$201,MATCH($B41&amp;$C41,baseline!$C$3:$C$201&amp;baseline!$D$3:$D$201,0)),"NA")</f>
        <v>NA</v>
      </c>
      <c r="B41" t="s">
        <v>713</v>
      </c>
      <c r="C41" t="s">
        <v>546</v>
      </c>
      <c r="D41" s="131" t="s">
        <v>860</v>
      </c>
      <c r="E41" s="131">
        <v>0.7</v>
      </c>
      <c r="F41" s="132" t="s">
        <v>769</v>
      </c>
      <c r="G41" s="132" t="s">
        <v>769</v>
      </c>
      <c r="H41" s="132" t="s">
        <v>769</v>
      </c>
      <c r="I41">
        <v>24169</v>
      </c>
    </row>
    <row r="42" spans="1:9">
      <c r="A42" s="45" t="str">
        <f t="array" ref="A42">IFERROR(INDEX(baseline!$A$3:$A$201,MATCH($B42&amp;$C42,baseline!$C$3:$C$201&amp;baseline!$D$3:$D$201,0)),"NA")</f>
        <v>NA</v>
      </c>
      <c r="B42" t="s">
        <v>762</v>
      </c>
      <c r="C42" t="s">
        <v>546</v>
      </c>
      <c r="D42" s="131" t="s">
        <v>860</v>
      </c>
      <c r="E42" s="131">
        <v>0.7</v>
      </c>
      <c r="F42" s="132" t="s">
        <v>769</v>
      </c>
      <c r="G42" s="132" t="s">
        <v>769</v>
      </c>
      <c r="H42" s="132" t="s">
        <v>769</v>
      </c>
      <c r="I42">
        <v>83176</v>
      </c>
    </row>
    <row r="43" spans="1:9">
      <c r="A43" s="45" t="str">
        <f t="array" ref="A43">IFERROR(INDEX(baseline!$A$3:$A$201,MATCH($B43&amp;$C43,baseline!$C$3:$C$201&amp;baseline!$D$3:$D$201,0)),"NA")</f>
        <v>NA</v>
      </c>
      <c r="B43" t="s">
        <v>763</v>
      </c>
      <c r="C43" t="s">
        <v>881</v>
      </c>
      <c r="D43" s="131" t="s">
        <v>860</v>
      </c>
      <c r="E43" s="131">
        <v>0.7</v>
      </c>
      <c r="F43" s="132" t="s">
        <v>769</v>
      </c>
      <c r="G43" s="132" t="s">
        <v>769</v>
      </c>
      <c r="H43" s="132" t="s">
        <v>769</v>
      </c>
      <c r="I43">
        <v>20189</v>
      </c>
    </row>
    <row r="44" spans="1:9">
      <c r="A44" s="45" t="str">
        <f t="array" ref="A44">IFERROR(INDEX(baseline!$A$3:$A$201,MATCH($B44&amp;$C44,baseline!$C$3:$C$201&amp;baseline!$D$3:$D$201,0)),"NA")</f>
        <v>NA</v>
      </c>
      <c r="B44" t="s">
        <v>712</v>
      </c>
      <c r="C44" t="s">
        <v>881</v>
      </c>
      <c r="D44" s="131" t="s">
        <v>860</v>
      </c>
      <c r="E44" s="131">
        <v>0.7</v>
      </c>
      <c r="F44" s="132" t="s">
        <v>769</v>
      </c>
      <c r="G44" s="132" t="s">
        <v>769</v>
      </c>
      <c r="H44" s="132" t="s">
        <v>769</v>
      </c>
      <c r="I44">
        <v>232340</v>
      </c>
    </row>
    <row r="45" spans="1:9">
      <c r="A45" s="45" t="str">
        <f t="array" ref="A45">IFERROR(INDEX(baseline!$A$3:$A$201,MATCH($B45&amp;$C45,baseline!$C$3:$C$201&amp;baseline!$D$3:$D$201,0)),"NA")</f>
        <v>NA</v>
      </c>
      <c r="B45" t="s">
        <v>712</v>
      </c>
      <c r="C45" t="s">
        <v>13</v>
      </c>
      <c r="D45" s="131" t="s">
        <v>860</v>
      </c>
      <c r="E45" s="131">
        <v>0.7</v>
      </c>
      <c r="F45" s="132" t="s">
        <v>769</v>
      </c>
      <c r="G45" s="132" t="s">
        <v>769</v>
      </c>
      <c r="H45" s="132" t="s">
        <v>769</v>
      </c>
      <c r="I45">
        <v>232340</v>
      </c>
    </row>
    <row r="46" spans="1:9">
      <c r="A46" s="45" t="str">
        <f t="array" ref="A46">IFERROR(INDEX(baseline!$A$3:$A$201,MATCH($B46&amp;$C46,baseline!$C$3:$C$201&amp;baseline!$D$3:$D$201,0)),"NA")</f>
        <v>NA</v>
      </c>
      <c r="B46" t="s">
        <v>712</v>
      </c>
      <c r="C46" t="s">
        <v>546</v>
      </c>
      <c r="D46" s="131" t="s">
        <v>860</v>
      </c>
      <c r="E46" s="131">
        <v>0.7</v>
      </c>
      <c r="F46" s="132" t="s">
        <v>769</v>
      </c>
      <c r="G46" s="132" t="s">
        <v>769</v>
      </c>
      <c r="H46" s="132" t="s">
        <v>769</v>
      </c>
      <c r="I46">
        <v>232340</v>
      </c>
    </row>
    <row r="47" spans="1:9">
      <c r="A47" s="45" t="str">
        <f t="array" ref="A47">IFERROR(INDEX(baseline!$A$3:$A$201,MATCH($B47&amp;$C47,baseline!$C$3:$C$201&amp;baseline!$D$3:$D$201,0)),"NA")</f>
        <v>NA</v>
      </c>
      <c r="B47" t="s">
        <v>547</v>
      </c>
      <c r="C47" t="s">
        <v>13</v>
      </c>
      <c r="D47" s="131" t="s">
        <v>860</v>
      </c>
      <c r="E47" s="131">
        <v>0.7</v>
      </c>
      <c r="F47" s="132" t="s">
        <v>769</v>
      </c>
      <c r="G47" s="132" t="s">
        <v>769</v>
      </c>
      <c r="H47" s="132" t="s">
        <v>769</v>
      </c>
      <c r="I47">
        <v>160307</v>
      </c>
    </row>
    <row r="48" spans="1:9">
      <c r="A48" s="45" t="str">
        <f t="array" ref="A48">IFERROR(INDEX(baseline!$A$3:$A$201,MATCH($B48&amp;$C48,baseline!$C$3:$C$201&amp;baseline!$D$3:$D$201,0)),"NA")</f>
        <v>NA</v>
      </c>
      <c r="B48" t="s">
        <v>1</v>
      </c>
      <c r="C48" t="s">
        <v>13</v>
      </c>
      <c r="D48" s="131" t="s">
        <v>860</v>
      </c>
      <c r="E48" s="131">
        <v>0.7</v>
      </c>
      <c r="F48" s="132" t="s">
        <v>769</v>
      </c>
      <c r="G48" s="132" t="s">
        <v>769</v>
      </c>
      <c r="H48" s="132" t="s">
        <v>769</v>
      </c>
      <c r="I48">
        <v>26160</v>
      </c>
    </row>
    <row r="49" spans="1:9">
      <c r="A49" s="45" t="str">
        <f t="array" ref="A49">IFERROR(INDEX(baseline!$A$3:$A$201,MATCH($B49&amp;$C49,baseline!$C$3:$C$201&amp;baseline!$D$3:$D$201,0)),"NA")</f>
        <v>NA</v>
      </c>
      <c r="B49" t="s">
        <v>1</v>
      </c>
      <c r="C49" t="s">
        <v>546</v>
      </c>
      <c r="D49" s="131" t="s">
        <v>860</v>
      </c>
      <c r="E49" s="131">
        <v>0.7</v>
      </c>
      <c r="F49" s="132" t="s">
        <v>769</v>
      </c>
      <c r="G49" s="132" t="s">
        <v>769</v>
      </c>
      <c r="H49" s="132" t="s">
        <v>769</v>
      </c>
      <c r="I49">
        <v>26160</v>
      </c>
    </row>
  </sheetData>
  <sortState ref="A2:I49">
    <sortCondition ref="A2:A49"/>
    <sortCondition ref="B2:B49"/>
    <sortCondition ref="C2:C49"/>
    <sortCondition ref="D2:D49"/>
  </sortState>
  <pageMargins left="0.7" right="0.7" top="0.75" bottom="0.75" header="0.3" footer="0.3"/>
</worksheet>
</file>

<file path=xl/worksheets/sheet26.xml><?xml version="1.0" encoding="utf-8"?>
<worksheet xmlns="http://schemas.openxmlformats.org/spreadsheetml/2006/main" xmlns:r="http://schemas.openxmlformats.org/officeDocument/2006/relationships">
  <sheetPr>
    <tabColor rgb="FF00B050"/>
  </sheetPr>
  <dimension ref="A1:I49"/>
  <sheetViews>
    <sheetView workbookViewId="0">
      <selection activeCell="E1" sqref="E1:I1048576"/>
    </sheetView>
  </sheetViews>
  <sheetFormatPr defaultRowHeight="14.4"/>
  <cols>
    <col min="1" max="1" width="23.44140625" customWidth="1"/>
    <col min="2" max="2" width="23.44140625" bestFit="1" customWidth="1"/>
    <col min="3" max="3" width="13.6640625" bestFit="1" customWidth="1"/>
    <col min="4" max="4" width="21.88671875" style="131" bestFit="1" customWidth="1"/>
    <col min="5" max="5" width="40.88671875" style="131" customWidth="1"/>
    <col min="6" max="8" width="33" customWidth="1"/>
    <col min="9" max="9" width="46" style="131" customWidth="1"/>
  </cols>
  <sheetData>
    <row r="1" spans="1:9" ht="15.6">
      <c r="A1" s="128" t="s">
        <v>920</v>
      </c>
      <c r="B1" s="128" t="s">
        <v>766</v>
      </c>
      <c r="C1" s="127" t="s">
        <v>748</v>
      </c>
      <c r="D1" s="131" t="s">
        <v>774</v>
      </c>
      <c r="E1" s="160" t="s">
        <v>902</v>
      </c>
      <c r="F1" s="160" t="s">
        <v>903</v>
      </c>
      <c r="G1" s="160" t="s">
        <v>918</v>
      </c>
      <c r="H1" s="160" t="s">
        <v>919</v>
      </c>
      <c r="I1" s="182" t="s">
        <v>899</v>
      </c>
    </row>
    <row r="2" spans="1:9">
      <c r="A2" s="45">
        <f t="array" ref="A2">IFERROR(INDEX(baseline!$A$3:$A$201,MATCH($B2&amp;$C2,baseline!$C$3:$C$201&amp;baseline!$D$3:$D$201,0)),"NA")</f>
        <v>1</v>
      </c>
      <c r="B2" t="s">
        <v>0</v>
      </c>
      <c r="C2" t="s">
        <v>881</v>
      </c>
      <c r="D2" s="131" t="s">
        <v>859</v>
      </c>
      <c r="E2" s="131">
        <v>0.9</v>
      </c>
      <c r="F2">
        <v>0.3</v>
      </c>
      <c r="G2" t="s">
        <v>769</v>
      </c>
      <c r="H2" t="s">
        <v>769</v>
      </c>
      <c r="I2" s="131">
        <v>21281</v>
      </c>
    </row>
    <row r="3" spans="1:9">
      <c r="A3" s="45">
        <f t="array" ref="A3">IFERROR(INDEX(baseline!$A$3:$A$201,MATCH($B3&amp;$C3,baseline!$C$3:$C$201&amp;baseline!$D$3:$D$201,0)),"NA")</f>
        <v>2</v>
      </c>
      <c r="B3" t="s">
        <v>78</v>
      </c>
      <c r="C3" t="s">
        <v>881</v>
      </c>
      <c r="D3" s="131" t="s">
        <v>859</v>
      </c>
      <c r="E3" s="131">
        <v>0.9</v>
      </c>
      <c r="F3">
        <v>0.3</v>
      </c>
      <c r="G3" t="s">
        <v>769</v>
      </c>
      <c r="H3" t="s">
        <v>769</v>
      </c>
      <c r="I3" s="131">
        <v>2750</v>
      </c>
    </row>
    <row r="4" spans="1:9">
      <c r="A4" s="45">
        <f t="array" ref="A4">IFERROR(INDEX(baseline!$A$3:$A$201,MATCH($B4&amp;$C4,baseline!$C$3:$C$201&amp;baseline!$D$3:$D$201,0)),"NA")</f>
        <v>3</v>
      </c>
      <c r="B4" t="s">
        <v>545</v>
      </c>
      <c r="C4" t="s">
        <v>881</v>
      </c>
      <c r="D4" s="131" t="s">
        <v>859</v>
      </c>
      <c r="E4" s="131">
        <v>0.9</v>
      </c>
      <c r="F4">
        <v>0.3</v>
      </c>
      <c r="G4" t="s">
        <v>769</v>
      </c>
      <c r="H4" t="s">
        <v>769</v>
      </c>
      <c r="I4" s="131">
        <v>2554</v>
      </c>
    </row>
    <row r="5" spans="1:9">
      <c r="A5" s="45">
        <f t="array" ref="A5">IFERROR(INDEX(baseline!$A$3:$A$201,MATCH($B5&amp;$C5,baseline!$C$3:$C$201&amp;baseline!$D$3:$D$201,0)),"NA")</f>
        <v>4</v>
      </c>
      <c r="B5" t="s">
        <v>545</v>
      </c>
      <c r="C5" t="s">
        <v>546</v>
      </c>
      <c r="D5" s="131" t="s">
        <v>859</v>
      </c>
      <c r="E5" s="131">
        <v>0.9</v>
      </c>
      <c r="F5">
        <v>0.3</v>
      </c>
      <c r="G5" t="s">
        <v>769</v>
      </c>
      <c r="H5" t="s">
        <v>769</v>
      </c>
      <c r="I5" s="131">
        <v>2554</v>
      </c>
    </row>
    <row r="6" spans="1:9">
      <c r="A6" s="45">
        <f t="array" ref="A6">IFERROR(INDEX(baseline!$A$3:$A$201,MATCH($B6&amp;$C6,baseline!$C$3:$C$201&amp;baseline!$D$3:$D$201,0)),"NA")</f>
        <v>5</v>
      </c>
      <c r="B6" t="s">
        <v>761</v>
      </c>
      <c r="C6" t="s">
        <v>881</v>
      </c>
      <c r="D6" s="131" t="s">
        <v>859</v>
      </c>
      <c r="E6" s="131">
        <v>0.9</v>
      </c>
      <c r="F6">
        <v>0.3</v>
      </c>
      <c r="G6" t="s">
        <v>769</v>
      </c>
      <c r="H6" t="s">
        <v>769</v>
      </c>
      <c r="I6" s="131">
        <v>21849</v>
      </c>
    </row>
    <row r="7" spans="1:9">
      <c r="A7" s="45">
        <f t="array" ref="A7">IFERROR(INDEX(baseline!$A$3:$A$201,MATCH($B7&amp;$C7,baseline!$C$3:$C$201&amp;baseline!$D$3:$D$201,0)),"NA")</f>
        <v>6</v>
      </c>
      <c r="B7" t="s">
        <v>761</v>
      </c>
      <c r="C7" t="s">
        <v>13</v>
      </c>
      <c r="D7" s="131" t="s">
        <v>859</v>
      </c>
      <c r="E7" s="131">
        <v>0.9</v>
      </c>
      <c r="F7">
        <v>0.3</v>
      </c>
      <c r="G7" t="s">
        <v>769</v>
      </c>
      <c r="H7" t="s">
        <v>769</v>
      </c>
      <c r="I7" s="131">
        <v>21849</v>
      </c>
    </row>
    <row r="8" spans="1:9">
      <c r="A8" s="45">
        <f t="array" ref="A8">IFERROR(INDEX(baseline!$A$3:$A$201,MATCH($B8&amp;$C8,baseline!$C$3:$C$201&amp;baseline!$D$3:$D$201,0)),"NA")</f>
        <v>7</v>
      </c>
      <c r="B8" t="s">
        <v>761</v>
      </c>
      <c r="C8" t="s">
        <v>14</v>
      </c>
      <c r="D8" s="131" t="s">
        <v>859</v>
      </c>
      <c r="E8" s="131">
        <v>0.9</v>
      </c>
      <c r="F8">
        <v>0.3</v>
      </c>
      <c r="G8" t="s">
        <v>769</v>
      </c>
      <c r="H8" t="s">
        <v>769</v>
      </c>
      <c r="I8" s="131">
        <v>21849</v>
      </c>
    </row>
    <row r="9" spans="1:9">
      <c r="A9" s="45">
        <f t="array" ref="A9">IFERROR(INDEX(baseline!$A$3:$A$201,MATCH($B9&amp;$C9,baseline!$C$3:$C$201&amp;baseline!$D$3:$D$201,0)),"NA")</f>
        <v>8</v>
      </c>
      <c r="B9" t="s">
        <v>697</v>
      </c>
      <c r="C9" t="s">
        <v>881</v>
      </c>
      <c r="D9" s="131" t="s">
        <v>859</v>
      </c>
      <c r="E9" s="131">
        <v>0.9</v>
      </c>
      <c r="F9">
        <v>0.3</v>
      </c>
      <c r="G9" t="s">
        <v>769</v>
      </c>
      <c r="H9" t="s">
        <v>769</v>
      </c>
      <c r="I9" s="131">
        <v>3121</v>
      </c>
    </row>
    <row r="10" spans="1:9">
      <c r="A10" s="45">
        <f t="array" ref="A10">IFERROR(INDEX(baseline!$A$3:$A$201,MATCH($B10&amp;$C10,baseline!$C$3:$C$201&amp;baseline!$D$3:$D$201,0)),"NA")</f>
        <v>9</v>
      </c>
      <c r="B10" t="s">
        <v>697</v>
      </c>
      <c r="C10" t="s">
        <v>14</v>
      </c>
      <c r="D10" s="131" t="s">
        <v>859</v>
      </c>
      <c r="E10" s="131">
        <v>0.9</v>
      </c>
      <c r="F10">
        <v>0.3</v>
      </c>
      <c r="G10" t="s">
        <v>769</v>
      </c>
      <c r="H10" t="s">
        <v>769</v>
      </c>
      <c r="I10" s="131">
        <v>3121</v>
      </c>
    </row>
    <row r="11" spans="1:9">
      <c r="A11" s="45">
        <f t="array" ref="A11">IFERROR(INDEX(baseline!$A$3:$A$201,MATCH($B11&amp;$C11,baseline!$C$3:$C$201&amp;baseline!$D$3:$D$201,0)),"NA")</f>
        <v>10</v>
      </c>
      <c r="B11" t="s">
        <v>713</v>
      </c>
      <c r="C11" t="s">
        <v>881</v>
      </c>
      <c r="D11" s="131" t="s">
        <v>859</v>
      </c>
      <c r="E11" s="131">
        <v>0.9</v>
      </c>
      <c r="F11">
        <v>0.3</v>
      </c>
      <c r="G11" t="s">
        <v>769</v>
      </c>
      <c r="H11" t="s">
        <v>769</v>
      </c>
      <c r="I11" s="131">
        <v>2554</v>
      </c>
    </row>
    <row r="12" spans="1:9">
      <c r="A12" s="45">
        <f t="array" ref="A12">IFERROR(INDEX(baseline!$A$3:$A$201,MATCH($B12&amp;$C12,baseline!$C$3:$C$201&amp;baseline!$D$3:$D$201,0)),"NA")</f>
        <v>11</v>
      </c>
      <c r="B12" t="s">
        <v>713</v>
      </c>
      <c r="C12" t="s">
        <v>13</v>
      </c>
      <c r="D12" s="131" t="s">
        <v>859</v>
      </c>
      <c r="E12" s="131">
        <v>0.9</v>
      </c>
      <c r="F12">
        <v>0.3</v>
      </c>
      <c r="G12" t="s">
        <v>769</v>
      </c>
      <c r="H12" t="s">
        <v>769</v>
      </c>
      <c r="I12" s="131">
        <v>2554</v>
      </c>
    </row>
    <row r="13" spans="1:9">
      <c r="A13" s="45">
        <f t="array" ref="A13">IFERROR(INDEX(baseline!$A$3:$A$201,MATCH($B13&amp;$C13,baseline!$C$3:$C$201&amp;baseline!$D$3:$D$201,0)),"NA")</f>
        <v>12</v>
      </c>
      <c r="B13" t="s">
        <v>713</v>
      </c>
      <c r="C13" t="s">
        <v>14</v>
      </c>
      <c r="D13" s="131" t="s">
        <v>859</v>
      </c>
      <c r="E13" s="131">
        <v>0.9</v>
      </c>
      <c r="F13">
        <v>0.3</v>
      </c>
      <c r="G13" t="s">
        <v>769</v>
      </c>
      <c r="H13" t="s">
        <v>769</v>
      </c>
      <c r="I13" s="131">
        <v>2554</v>
      </c>
    </row>
    <row r="14" spans="1:9">
      <c r="A14" s="45">
        <f t="array" ref="A14">IFERROR(INDEX(baseline!$A$3:$A$201,MATCH($B14&amp;$C14,baseline!$C$3:$C$201&amp;baseline!$D$3:$D$201,0)),"NA")</f>
        <v>13</v>
      </c>
      <c r="B14" t="s">
        <v>762</v>
      </c>
      <c r="C14" t="s">
        <v>881</v>
      </c>
      <c r="D14" s="131" t="s">
        <v>859</v>
      </c>
      <c r="E14" s="131">
        <v>0.9</v>
      </c>
      <c r="F14">
        <v>0.3</v>
      </c>
      <c r="G14" t="s">
        <v>769</v>
      </c>
      <c r="H14" t="s">
        <v>769</v>
      </c>
      <c r="I14" s="131">
        <v>14471</v>
      </c>
    </row>
    <row r="15" spans="1:9">
      <c r="A15" s="45">
        <f t="array" ref="A15">IFERROR(INDEX(baseline!$A$3:$A$201,MATCH($B15&amp;$C15,baseline!$C$3:$C$201&amp;baseline!$D$3:$D$201,0)),"NA")</f>
        <v>14</v>
      </c>
      <c r="B15" t="s">
        <v>762</v>
      </c>
      <c r="C15" t="s">
        <v>13</v>
      </c>
      <c r="D15" s="131" t="s">
        <v>859</v>
      </c>
      <c r="E15" s="131">
        <v>0.9</v>
      </c>
      <c r="F15">
        <v>0.3</v>
      </c>
      <c r="G15" t="s">
        <v>769</v>
      </c>
      <c r="H15" t="s">
        <v>769</v>
      </c>
      <c r="I15" s="131">
        <v>14471</v>
      </c>
    </row>
    <row r="16" spans="1:9">
      <c r="A16" s="45">
        <f t="array" ref="A16">IFERROR(INDEX(baseline!$A$3:$A$201,MATCH($B16&amp;$C16,baseline!$C$3:$C$201&amp;baseline!$D$3:$D$201,0)),"NA")</f>
        <v>15</v>
      </c>
      <c r="B16" t="s">
        <v>762</v>
      </c>
      <c r="C16" t="s">
        <v>14</v>
      </c>
      <c r="D16" s="131" t="s">
        <v>859</v>
      </c>
      <c r="E16" s="131">
        <v>0.9</v>
      </c>
      <c r="F16">
        <v>0.3</v>
      </c>
      <c r="G16" t="s">
        <v>769</v>
      </c>
      <c r="H16" t="s">
        <v>769</v>
      </c>
      <c r="I16" s="131">
        <v>14471</v>
      </c>
    </row>
    <row r="17" spans="1:9">
      <c r="A17" s="45">
        <f t="array" ref="A17">IFERROR(INDEX(baseline!$A$3:$A$201,MATCH($B17&amp;$C17,baseline!$C$3:$C$201&amp;baseline!$D$3:$D$201,0)),"NA")</f>
        <v>16</v>
      </c>
      <c r="B17" t="s">
        <v>763</v>
      </c>
      <c r="C17" t="s">
        <v>13</v>
      </c>
      <c r="D17" s="131" t="s">
        <v>859</v>
      </c>
      <c r="E17" s="131">
        <v>0.9</v>
      </c>
      <c r="F17">
        <v>0.3</v>
      </c>
      <c r="G17" t="s">
        <v>769</v>
      </c>
      <c r="H17" t="s">
        <v>769</v>
      </c>
      <c r="I17" s="131">
        <v>4540</v>
      </c>
    </row>
    <row r="18" spans="1:9">
      <c r="A18" s="45">
        <f t="array" ref="A18">IFERROR(INDEX(baseline!$A$3:$A$201,MATCH($B18&amp;$C18,baseline!$C$3:$C$201&amp;baseline!$D$3:$D$201,0)),"NA")</f>
        <v>17</v>
      </c>
      <c r="B18" t="s">
        <v>763</v>
      </c>
      <c r="C18" t="s">
        <v>14</v>
      </c>
      <c r="D18" s="131" t="s">
        <v>859</v>
      </c>
      <c r="E18" s="131">
        <v>0.9</v>
      </c>
      <c r="F18">
        <v>0.3</v>
      </c>
      <c r="G18" t="s">
        <v>769</v>
      </c>
      <c r="H18" t="s">
        <v>769</v>
      </c>
      <c r="I18" s="131">
        <v>4540</v>
      </c>
    </row>
    <row r="19" spans="1:9">
      <c r="A19" s="45">
        <f t="array" ref="A19">IFERROR(INDEX(baseline!$A$3:$A$201,MATCH($B19&amp;$C19,baseline!$C$3:$C$201&amp;baseline!$D$3:$D$201,0)),"NA")</f>
        <v>18</v>
      </c>
      <c r="B19" t="s">
        <v>763</v>
      </c>
      <c r="C19" t="s">
        <v>546</v>
      </c>
      <c r="D19" s="131" t="s">
        <v>859</v>
      </c>
      <c r="E19" s="131">
        <v>0.9</v>
      </c>
      <c r="F19">
        <v>0.3</v>
      </c>
      <c r="G19" t="s">
        <v>769</v>
      </c>
      <c r="H19" t="s">
        <v>769</v>
      </c>
      <c r="I19" s="131">
        <v>4540</v>
      </c>
    </row>
    <row r="20" spans="1:9">
      <c r="A20" s="45">
        <f t="array" ref="A20">IFERROR(INDEX(baseline!$A$3:$A$201,MATCH($B20&amp;$C20,baseline!$C$3:$C$201&amp;baseline!$D$3:$D$201,0)),"NA")</f>
        <v>19</v>
      </c>
      <c r="B20" t="s">
        <v>712</v>
      </c>
      <c r="C20" t="s">
        <v>14</v>
      </c>
      <c r="D20" s="131" t="s">
        <v>859</v>
      </c>
      <c r="E20" s="131">
        <v>0.9</v>
      </c>
      <c r="F20">
        <v>0.3</v>
      </c>
      <c r="G20" t="s">
        <v>769</v>
      </c>
      <c r="H20" t="s">
        <v>769</v>
      </c>
      <c r="I20" s="131">
        <v>9080</v>
      </c>
    </row>
    <row r="21" spans="1:9">
      <c r="A21" s="45">
        <f t="array" ref="A21">IFERROR(INDEX(baseline!$A$3:$A$201,MATCH($B21&amp;$C21,baseline!$C$3:$C$201&amp;baseline!$D$3:$D$201,0)),"NA")</f>
        <v>20</v>
      </c>
      <c r="B21" t="s">
        <v>2</v>
      </c>
      <c r="C21" t="s">
        <v>881</v>
      </c>
      <c r="D21" s="131" t="s">
        <v>859</v>
      </c>
      <c r="E21" s="131">
        <v>0.9</v>
      </c>
      <c r="F21">
        <v>0.3</v>
      </c>
      <c r="G21" t="s">
        <v>769</v>
      </c>
      <c r="H21" t="s">
        <v>769</v>
      </c>
      <c r="I21" s="131">
        <v>284</v>
      </c>
    </row>
    <row r="22" spans="1:9">
      <c r="A22" s="45">
        <f t="array" ref="A22">IFERROR(INDEX(baseline!$A$3:$A$201,MATCH($B22&amp;$C22,baseline!$C$3:$C$201&amp;baseline!$D$3:$D$201,0)),"NA")</f>
        <v>21</v>
      </c>
      <c r="B22" t="s">
        <v>2</v>
      </c>
      <c r="C22" t="s">
        <v>13</v>
      </c>
      <c r="D22" s="131" t="s">
        <v>859</v>
      </c>
      <c r="E22" s="131">
        <v>0.9</v>
      </c>
      <c r="F22">
        <v>0.3</v>
      </c>
      <c r="G22" t="s">
        <v>769</v>
      </c>
      <c r="H22" t="s">
        <v>769</v>
      </c>
      <c r="I22" s="131">
        <v>284</v>
      </c>
    </row>
    <row r="23" spans="1:9">
      <c r="A23" s="45">
        <f t="array" ref="A23">IFERROR(INDEX(baseline!$A$3:$A$201,MATCH($B23&amp;$C23,baseline!$C$3:$C$201&amp;baseline!$D$3:$D$201,0)),"NA")</f>
        <v>22</v>
      </c>
      <c r="B23" t="s">
        <v>2</v>
      </c>
      <c r="C23" t="s">
        <v>14</v>
      </c>
      <c r="D23" s="131" t="s">
        <v>859</v>
      </c>
      <c r="E23" s="131">
        <v>0.9</v>
      </c>
      <c r="F23">
        <v>0.3</v>
      </c>
      <c r="G23" t="s">
        <v>769</v>
      </c>
      <c r="H23" t="s">
        <v>769</v>
      </c>
      <c r="I23" s="131">
        <v>284</v>
      </c>
    </row>
    <row r="24" spans="1:9">
      <c r="A24" s="45">
        <f t="array" ref="A24">IFERROR(INDEX(baseline!$A$3:$A$201,MATCH($B24&amp;$C24,baseline!$C$3:$C$201&amp;baseline!$D$3:$D$201,0)),"NA")</f>
        <v>23</v>
      </c>
      <c r="B24" t="s">
        <v>2</v>
      </c>
      <c r="C24" t="s">
        <v>546</v>
      </c>
      <c r="D24" s="131" t="s">
        <v>859</v>
      </c>
      <c r="E24" s="131">
        <v>0.9</v>
      </c>
      <c r="F24">
        <v>0.3</v>
      </c>
      <c r="G24" t="s">
        <v>769</v>
      </c>
      <c r="H24" t="s">
        <v>769</v>
      </c>
      <c r="I24" s="131">
        <v>284</v>
      </c>
    </row>
    <row r="25" spans="1:9">
      <c r="A25" s="45">
        <f t="array" ref="A25">IFERROR(INDEX(baseline!$A$3:$A$201,MATCH($B25&amp;$C25,baseline!$C$3:$C$201&amp;baseline!$D$3:$D$201,0)),"NA")</f>
        <v>24</v>
      </c>
      <c r="B25" t="s">
        <v>547</v>
      </c>
      <c r="C25" t="s">
        <v>881</v>
      </c>
      <c r="D25" s="131" t="s">
        <v>859</v>
      </c>
      <c r="E25" s="131">
        <v>0.9</v>
      </c>
      <c r="F25">
        <v>0.3</v>
      </c>
      <c r="G25" t="s">
        <v>769</v>
      </c>
      <c r="H25" t="s">
        <v>769</v>
      </c>
      <c r="I25" s="131">
        <v>11634</v>
      </c>
    </row>
    <row r="26" spans="1:9">
      <c r="A26" s="45">
        <f t="array" ref="A26">IFERROR(INDEX(baseline!$A$3:$A$201,MATCH($B26&amp;$C26,baseline!$C$3:$C$201&amp;baseline!$D$3:$D$201,0)),"NA")</f>
        <v>25</v>
      </c>
      <c r="B26" t="s">
        <v>547</v>
      </c>
      <c r="C26" t="s">
        <v>14</v>
      </c>
      <c r="D26" s="131" t="s">
        <v>859</v>
      </c>
      <c r="E26" s="131">
        <v>0.9</v>
      </c>
      <c r="F26">
        <v>0.3</v>
      </c>
      <c r="G26" t="s">
        <v>769</v>
      </c>
      <c r="H26" t="s">
        <v>769</v>
      </c>
      <c r="I26" s="131">
        <v>11634</v>
      </c>
    </row>
    <row r="27" spans="1:9">
      <c r="A27" s="45">
        <f t="array" ref="A27">IFERROR(INDEX(baseline!$A$3:$A$201,MATCH($B27&amp;$C27,baseline!$C$3:$C$201&amp;baseline!$D$3:$D$201,0)),"NA")</f>
        <v>26</v>
      </c>
      <c r="B27" t="s">
        <v>547</v>
      </c>
      <c r="C27" t="s">
        <v>546</v>
      </c>
      <c r="D27" s="131" t="s">
        <v>859</v>
      </c>
      <c r="E27" s="131">
        <v>0.9</v>
      </c>
      <c r="F27">
        <v>0.3</v>
      </c>
      <c r="G27" t="s">
        <v>769</v>
      </c>
      <c r="H27" t="s">
        <v>769</v>
      </c>
      <c r="I27" s="131">
        <v>11634</v>
      </c>
    </row>
    <row r="28" spans="1:9">
      <c r="A28" s="45">
        <f t="array" ref="A28">IFERROR(INDEX(baseline!$A$3:$A$201,MATCH($B28&amp;$C28,baseline!$C$3:$C$201&amp;baseline!$D$3:$D$201,0)),"NA")</f>
        <v>27</v>
      </c>
      <c r="B28" t="s">
        <v>1</v>
      </c>
      <c r="C28" t="s">
        <v>881</v>
      </c>
      <c r="D28" s="131" t="s">
        <v>859</v>
      </c>
      <c r="E28" s="131">
        <v>0.9</v>
      </c>
      <c r="F28">
        <v>0.3</v>
      </c>
      <c r="G28" t="s">
        <v>769</v>
      </c>
      <c r="H28" t="s">
        <v>769</v>
      </c>
      <c r="I28" s="131">
        <v>2838</v>
      </c>
    </row>
    <row r="29" spans="1:9">
      <c r="A29" s="45">
        <f t="array" ref="A29">IFERROR(INDEX(baseline!$A$3:$A$201,MATCH($B29&amp;$C29,baseline!$C$3:$C$201&amp;baseline!$D$3:$D$201,0)),"NA")</f>
        <v>28</v>
      </c>
      <c r="B29" t="s">
        <v>1</v>
      </c>
      <c r="C29" t="s">
        <v>14</v>
      </c>
      <c r="D29" s="131" t="s">
        <v>859</v>
      </c>
      <c r="E29" s="131">
        <v>0.9</v>
      </c>
      <c r="F29">
        <v>0.3</v>
      </c>
      <c r="G29" t="s">
        <v>769</v>
      </c>
      <c r="H29" t="s">
        <v>769</v>
      </c>
      <c r="I29" s="131">
        <v>2838</v>
      </c>
    </row>
    <row r="30" spans="1:9">
      <c r="A30" s="45" t="str">
        <f t="array" ref="A30">IFERROR(INDEX(baseline!$A$3:$A$201,MATCH($B30&amp;$C30,baseline!$C$3:$C$201&amp;baseline!$D$3:$D$201,0)),"NA")</f>
        <v>NA</v>
      </c>
      <c r="B30" t="s">
        <v>0</v>
      </c>
      <c r="C30" t="s">
        <v>13</v>
      </c>
      <c r="D30" s="131" t="s">
        <v>859</v>
      </c>
      <c r="E30" s="131">
        <v>0.9</v>
      </c>
      <c r="F30">
        <v>0.3</v>
      </c>
      <c r="G30" t="s">
        <v>769</v>
      </c>
      <c r="H30" t="s">
        <v>769</v>
      </c>
      <c r="I30" s="131">
        <v>21281</v>
      </c>
    </row>
    <row r="31" spans="1:9">
      <c r="A31" s="45" t="str">
        <f t="array" ref="A31">IFERROR(INDEX(baseline!$A$3:$A$201,MATCH($B31&amp;$C31,baseline!$C$3:$C$201&amp;baseline!$D$3:$D$201,0)),"NA")</f>
        <v>NA</v>
      </c>
      <c r="B31" t="s">
        <v>0</v>
      </c>
      <c r="C31" t="s">
        <v>14</v>
      </c>
      <c r="D31" s="131" t="s">
        <v>859</v>
      </c>
      <c r="E31" s="131">
        <v>0.9</v>
      </c>
      <c r="F31">
        <v>0.3</v>
      </c>
      <c r="G31" t="s">
        <v>769</v>
      </c>
      <c r="H31" t="s">
        <v>769</v>
      </c>
      <c r="I31" s="131">
        <v>21281</v>
      </c>
    </row>
    <row r="32" spans="1:9">
      <c r="A32" s="45">
        <f t="array" ref="A32">IFERROR(INDEX(baseline!$A$3:$A$201,MATCH($B32&amp;$C32,baseline!$C$3:$C$201&amp;baseline!$D$3:$D$201,0)),"NA")</f>
        <v>30</v>
      </c>
      <c r="B32" t="s">
        <v>0</v>
      </c>
      <c r="C32" t="s">
        <v>546</v>
      </c>
      <c r="D32" s="131" t="s">
        <v>859</v>
      </c>
      <c r="E32" s="131">
        <v>0.9</v>
      </c>
      <c r="F32">
        <v>0.3</v>
      </c>
      <c r="G32" t="s">
        <v>769</v>
      </c>
      <c r="H32" t="s">
        <v>769</v>
      </c>
      <c r="I32" s="131">
        <v>21281</v>
      </c>
    </row>
    <row r="33" spans="1:9">
      <c r="A33" s="45" t="str">
        <f t="array" ref="A33">IFERROR(INDEX(baseline!$A$3:$A$201,MATCH($B33&amp;$C33,baseline!$C$3:$C$201&amp;baseline!$D$3:$D$201,0)),"NA")</f>
        <v>NA</v>
      </c>
      <c r="B33" t="s">
        <v>78</v>
      </c>
      <c r="C33" t="s">
        <v>13</v>
      </c>
      <c r="D33" s="131" t="s">
        <v>859</v>
      </c>
      <c r="E33" s="131">
        <v>0.9</v>
      </c>
      <c r="F33">
        <v>0.3</v>
      </c>
      <c r="G33" t="s">
        <v>769</v>
      </c>
      <c r="H33" t="s">
        <v>769</v>
      </c>
      <c r="I33" s="131">
        <v>2750</v>
      </c>
    </row>
    <row r="34" spans="1:9">
      <c r="A34" s="45" t="str">
        <f t="array" ref="A34">IFERROR(INDEX(baseline!$A$3:$A$201,MATCH($B34&amp;$C34,baseline!$C$3:$C$201&amp;baseline!$D$3:$D$201,0)),"NA")</f>
        <v>NA</v>
      </c>
      <c r="B34" t="s">
        <v>78</v>
      </c>
      <c r="C34" t="s">
        <v>14</v>
      </c>
      <c r="D34" s="131" t="s">
        <v>859</v>
      </c>
      <c r="E34" s="131">
        <v>0.9</v>
      </c>
      <c r="F34">
        <v>0.3</v>
      </c>
      <c r="G34" t="s">
        <v>769</v>
      </c>
      <c r="H34" t="s">
        <v>769</v>
      </c>
      <c r="I34" s="131">
        <v>2750</v>
      </c>
    </row>
    <row r="35" spans="1:9">
      <c r="A35" s="45">
        <f t="array" ref="A35">IFERROR(INDEX(baseline!$A$3:$A$201,MATCH($B35&amp;$C35,baseline!$C$3:$C$201&amp;baseline!$D$3:$D$201,0)),"NA")</f>
        <v>31</v>
      </c>
      <c r="B35" t="s">
        <v>78</v>
      </c>
      <c r="C35" t="s">
        <v>546</v>
      </c>
      <c r="D35" s="131" t="s">
        <v>859</v>
      </c>
      <c r="E35" s="131">
        <v>0.9</v>
      </c>
      <c r="F35">
        <v>0.3</v>
      </c>
      <c r="G35" t="s">
        <v>769</v>
      </c>
      <c r="H35" t="s">
        <v>769</v>
      </c>
      <c r="I35" s="131">
        <v>2750</v>
      </c>
    </row>
    <row r="36" spans="1:9">
      <c r="A36" s="45" t="str">
        <f t="array" ref="A36">IFERROR(INDEX(baseline!$A$3:$A$201,MATCH($B36&amp;$C36,baseline!$C$3:$C$201&amp;baseline!$D$3:$D$201,0)),"NA")</f>
        <v>NA</v>
      </c>
      <c r="B36" t="s">
        <v>545</v>
      </c>
      <c r="C36" t="s">
        <v>13</v>
      </c>
      <c r="D36" s="131" t="s">
        <v>859</v>
      </c>
      <c r="E36" s="131">
        <v>0.9</v>
      </c>
      <c r="F36">
        <v>0.3</v>
      </c>
      <c r="G36" t="s">
        <v>769</v>
      </c>
      <c r="H36" t="s">
        <v>769</v>
      </c>
      <c r="I36" s="131">
        <v>2554</v>
      </c>
    </row>
    <row r="37" spans="1:9">
      <c r="A37" s="45" t="str">
        <f t="array" ref="A37">IFERROR(INDEX(baseline!$A$3:$A$201,MATCH($B37&amp;$C37,baseline!$C$3:$C$201&amp;baseline!$D$3:$D$201,0)),"NA")</f>
        <v>NA</v>
      </c>
      <c r="B37" t="s">
        <v>545</v>
      </c>
      <c r="C37" t="s">
        <v>14</v>
      </c>
      <c r="D37" s="131" t="s">
        <v>859</v>
      </c>
      <c r="E37" s="131">
        <v>0.9</v>
      </c>
      <c r="F37">
        <v>0.3</v>
      </c>
      <c r="G37" t="s">
        <v>769</v>
      </c>
      <c r="H37" t="s">
        <v>769</v>
      </c>
      <c r="I37" s="131">
        <v>2554</v>
      </c>
    </row>
    <row r="38" spans="1:9">
      <c r="A38" s="45">
        <f t="array" ref="A38">IFERROR(INDEX(baseline!$A$3:$A$201,MATCH($B38&amp;$C38,baseline!$C$3:$C$201&amp;baseline!$D$3:$D$201,0)),"NA")</f>
        <v>29</v>
      </c>
      <c r="B38" t="s">
        <v>761</v>
      </c>
      <c r="C38" t="s">
        <v>546</v>
      </c>
      <c r="D38" s="131" t="s">
        <v>859</v>
      </c>
      <c r="E38" s="131">
        <v>0.9</v>
      </c>
      <c r="F38">
        <v>0.3</v>
      </c>
      <c r="G38" t="s">
        <v>769</v>
      </c>
      <c r="H38" t="s">
        <v>769</v>
      </c>
      <c r="I38" s="131">
        <v>21849</v>
      </c>
    </row>
    <row r="39" spans="1:9">
      <c r="A39" s="45" t="str">
        <f t="array" ref="A39">IFERROR(INDEX(baseline!$A$3:$A$201,MATCH($B39&amp;$C39,baseline!$C$3:$C$201&amp;baseline!$D$3:$D$201,0)),"NA")</f>
        <v>NA</v>
      </c>
      <c r="B39" t="s">
        <v>697</v>
      </c>
      <c r="C39" t="s">
        <v>13</v>
      </c>
      <c r="D39" s="131" t="s">
        <v>859</v>
      </c>
      <c r="E39" s="131">
        <v>0.9</v>
      </c>
      <c r="F39">
        <v>0.3</v>
      </c>
      <c r="G39" t="s">
        <v>769</v>
      </c>
      <c r="H39" t="s">
        <v>769</v>
      </c>
      <c r="I39" s="131">
        <v>3121</v>
      </c>
    </row>
    <row r="40" spans="1:9">
      <c r="A40" s="45" t="str">
        <f t="array" ref="A40">IFERROR(INDEX(baseline!$A$3:$A$201,MATCH($B40&amp;$C40,baseline!$C$3:$C$201&amp;baseline!$D$3:$D$201,0)),"NA")</f>
        <v>NA</v>
      </c>
      <c r="B40" t="s">
        <v>697</v>
      </c>
      <c r="C40" t="s">
        <v>546</v>
      </c>
      <c r="D40" s="131" t="s">
        <v>859</v>
      </c>
      <c r="E40" s="131">
        <v>0.9</v>
      </c>
      <c r="F40">
        <v>0.3</v>
      </c>
      <c r="G40" t="s">
        <v>769</v>
      </c>
      <c r="H40" t="s">
        <v>769</v>
      </c>
      <c r="I40" s="131">
        <v>3121</v>
      </c>
    </row>
    <row r="41" spans="1:9">
      <c r="A41" s="45" t="str">
        <f t="array" ref="A41">IFERROR(INDEX(baseline!$A$3:$A$201,MATCH($B41&amp;$C41,baseline!$C$3:$C$201&amp;baseline!$D$3:$D$201,0)),"NA")</f>
        <v>NA</v>
      </c>
      <c r="B41" t="s">
        <v>713</v>
      </c>
      <c r="C41" t="s">
        <v>546</v>
      </c>
      <c r="D41" s="131" t="s">
        <v>859</v>
      </c>
      <c r="E41" s="131">
        <v>0.9</v>
      </c>
      <c r="F41">
        <v>0.3</v>
      </c>
      <c r="G41" t="s">
        <v>769</v>
      </c>
      <c r="H41" t="s">
        <v>769</v>
      </c>
      <c r="I41" s="131">
        <v>2554</v>
      </c>
    </row>
    <row r="42" spans="1:9">
      <c r="A42" s="45" t="str">
        <f t="array" ref="A42">IFERROR(INDEX(baseline!$A$3:$A$201,MATCH($B42&amp;$C42,baseline!$C$3:$C$201&amp;baseline!$D$3:$D$201,0)),"NA")</f>
        <v>NA</v>
      </c>
      <c r="B42" t="s">
        <v>762</v>
      </c>
      <c r="C42" t="s">
        <v>546</v>
      </c>
      <c r="D42" s="131" t="s">
        <v>859</v>
      </c>
      <c r="E42" s="131">
        <v>0.9</v>
      </c>
      <c r="F42">
        <v>0.3</v>
      </c>
      <c r="G42" t="s">
        <v>769</v>
      </c>
      <c r="H42" t="s">
        <v>769</v>
      </c>
      <c r="I42" s="131">
        <v>14471</v>
      </c>
    </row>
    <row r="43" spans="1:9">
      <c r="A43" s="45" t="str">
        <f t="array" ref="A43">IFERROR(INDEX(baseline!$A$3:$A$201,MATCH($B43&amp;$C43,baseline!$C$3:$C$201&amp;baseline!$D$3:$D$201,0)),"NA")</f>
        <v>NA</v>
      </c>
      <c r="B43" t="s">
        <v>763</v>
      </c>
      <c r="C43" t="s">
        <v>881</v>
      </c>
      <c r="D43" s="131" t="s">
        <v>859</v>
      </c>
      <c r="E43" s="131">
        <v>0.9</v>
      </c>
      <c r="F43">
        <v>0.3</v>
      </c>
      <c r="G43" t="s">
        <v>769</v>
      </c>
      <c r="H43" t="s">
        <v>769</v>
      </c>
      <c r="I43" s="131">
        <v>4540</v>
      </c>
    </row>
    <row r="44" spans="1:9">
      <c r="A44" s="45" t="str">
        <f t="array" ref="A44">IFERROR(INDEX(baseline!$A$3:$A$201,MATCH($B44&amp;$C44,baseline!$C$3:$C$201&amp;baseline!$D$3:$D$201,0)),"NA")</f>
        <v>NA</v>
      </c>
      <c r="B44" t="s">
        <v>712</v>
      </c>
      <c r="C44" t="s">
        <v>881</v>
      </c>
      <c r="D44" s="131" t="s">
        <v>859</v>
      </c>
      <c r="E44" s="131">
        <v>0.9</v>
      </c>
      <c r="F44">
        <v>0.3</v>
      </c>
      <c r="G44" t="s">
        <v>769</v>
      </c>
      <c r="H44" t="s">
        <v>769</v>
      </c>
      <c r="I44" s="131">
        <v>9080</v>
      </c>
    </row>
    <row r="45" spans="1:9">
      <c r="A45" s="45" t="str">
        <f t="array" ref="A45">IFERROR(INDEX(baseline!$A$3:$A$201,MATCH($B45&amp;$C45,baseline!$C$3:$C$201&amp;baseline!$D$3:$D$201,0)),"NA")</f>
        <v>NA</v>
      </c>
      <c r="B45" t="s">
        <v>712</v>
      </c>
      <c r="C45" t="s">
        <v>13</v>
      </c>
      <c r="D45" s="131" t="s">
        <v>859</v>
      </c>
      <c r="E45" s="131">
        <v>0.9</v>
      </c>
      <c r="F45">
        <v>0.3</v>
      </c>
      <c r="G45" t="s">
        <v>769</v>
      </c>
      <c r="H45" t="s">
        <v>769</v>
      </c>
      <c r="I45" s="131">
        <v>9080</v>
      </c>
    </row>
    <row r="46" spans="1:9">
      <c r="A46" s="45" t="str">
        <f t="array" ref="A46">IFERROR(INDEX(baseline!$A$3:$A$201,MATCH($B46&amp;$C46,baseline!$C$3:$C$201&amp;baseline!$D$3:$D$201,0)),"NA")</f>
        <v>NA</v>
      </c>
      <c r="B46" t="s">
        <v>712</v>
      </c>
      <c r="C46" t="s">
        <v>546</v>
      </c>
      <c r="D46" s="131" t="s">
        <v>859</v>
      </c>
      <c r="E46" s="131">
        <v>0.9</v>
      </c>
      <c r="F46">
        <v>0.3</v>
      </c>
      <c r="G46" t="s">
        <v>769</v>
      </c>
      <c r="H46" t="s">
        <v>769</v>
      </c>
      <c r="I46" s="131">
        <v>9080</v>
      </c>
    </row>
    <row r="47" spans="1:9">
      <c r="A47" s="45" t="str">
        <f t="array" ref="A47">IFERROR(INDEX(baseline!$A$3:$A$201,MATCH($B47&amp;$C47,baseline!$C$3:$C$201&amp;baseline!$D$3:$D$201,0)),"NA")</f>
        <v>NA</v>
      </c>
      <c r="B47" t="s">
        <v>547</v>
      </c>
      <c r="C47" t="s">
        <v>13</v>
      </c>
      <c r="D47" s="131" t="s">
        <v>859</v>
      </c>
      <c r="E47" s="131">
        <v>0.9</v>
      </c>
      <c r="F47">
        <v>0.3</v>
      </c>
      <c r="G47" t="s">
        <v>769</v>
      </c>
      <c r="H47" t="s">
        <v>769</v>
      </c>
      <c r="I47" s="131">
        <v>11634</v>
      </c>
    </row>
    <row r="48" spans="1:9">
      <c r="A48" s="45" t="str">
        <f t="array" ref="A48">IFERROR(INDEX(baseline!$A$3:$A$201,MATCH($B48&amp;$C48,baseline!$C$3:$C$201&amp;baseline!$D$3:$D$201,0)),"NA")</f>
        <v>NA</v>
      </c>
      <c r="B48" t="s">
        <v>1</v>
      </c>
      <c r="C48" t="s">
        <v>13</v>
      </c>
      <c r="D48" s="131" t="s">
        <v>859</v>
      </c>
      <c r="E48" s="131">
        <v>0.9</v>
      </c>
      <c r="F48">
        <v>0.3</v>
      </c>
      <c r="G48" t="s">
        <v>769</v>
      </c>
      <c r="H48" t="s">
        <v>769</v>
      </c>
      <c r="I48" s="131">
        <v>2838</v>
      </c>
    </row>
    <row r="49" spans="1:9">
      <c r="A49" s="45" t="str">
        <f t="array" ref="A49">IFERROR(INDEX(baseline!$A$3:$A$201,MATCH($B49&amp;$C49,baseline!$C$3:$C$201&amp;baseline!$D$3:$D$201,0)),"NA")</f>
        <v>NA</v>
      </c>
      <c r="B49" t="s">
        <v>1</v>
      </c>
      <c r="C49" t="s">
        <v>546</v>
      </c>
      <c r="D49" s="131" t="s">
        <v>859</v>
      </c>
      <c r="E49" s="131">
        <v>0.9</v>
      </c>
      <c r="F49">
        <v>0.3</v>
      </c>
      <c r="G49" t="s">
        <v>769</v>
      </c>
      <c r="H49" t="s">
        <v>769</v>
      </c>
      <c r="I49" s="131">
        <v>2838</v>
      </c>
    </row>
  </sheetData>
  <sortState ref="A2:I49">
    <sortCondition ref="A2:A49"/>
    <sortCondition ref="B2:B49"/>
    <sortCondition ref="C2:C49"/>
    <sortCondition ref="D2:D49"/>
  </sortState>
  <pageMargins left="0.7" right="0.7" top="0.75" bottom="0.75" header="0.3" footer="0.3"/>
</worksheet>
</file>

<file path=xl/worksheets/sheet27.xml><?xml version="1.0" encoding="utf-8"?>
<worksheet xmlns="http://schemas.openxmlformats.org/spreadsheetml/2006/main" xmlns:r="http://schemas.openxmlformats.org/officeDocument/2006/relationships">
  <sheetPr>
    <tabColor rgb="FF00B050"/>
  </sheetPr>
  <dimension ref="A1:K49"/>
  <sheetViews>
    <sheetView topLeftCell="E13" workbookViewId="0">
      <selection activeCell="K2" sqref="K2:K49"/>
    </sheetView>
  </sheetViews>
  <sheetFormatPr defaultRowHeight="14.4"/>
  <cols>
    <col min="2" max="2" width="23.44140625" bestFit="1" customWidth="1"/>
    <col min="3" max="3" width="13.6640625" bestFit="1" customWidth="1"/>
    <col min="4" max="4" width="18.88671875" customWidth="1"/>
    <col min="5" max="5" width="28.88671875" customWidth="1"/>
    <col min="6" max="6" width="18.88671875" customWidth="1"/>
    <col min="7" max="7" width="24.109375" customWidth="1"/>
    <col min="8" max="9" width="18.88671875" customWidth="1"/>
    <col min="10" max="10" width="30.109375" customWidth="1"/>
    <col min="11" max="11" width="25" bestFit="1" customWidth="1"/>
  </cols>
  <sheetData>
    <row r="1" spans="1:11" ht="15.6">
      <c r="A1" t="s">
        <v>920</v>
      </c>
      <c r="B1" s="128" t="s">
        <v>766</v>
      </c>
      <c r="C1" s="127" t="s">
        <v>748</v>
      </c>
      <c r="D1" t="s">
        <v>774</v>
      </c>
      <c r="E1" t="s">
        <v>871</v>
      </c>
      <c r="F1" t="s">
        <v>872</v>
      </c>
      <c r="G1" t="s">
        <v>874</v>
      </c>
      <c r="H1" t="s">
        <v>873</v>
      </c>
      <c r="I1" t="s">
        <v>875</v>
      </c>
      <c r="J1" t="s">
        <v>876</v>
      </c>
      <c r="K1" t="s">
        <v>899</v>
      </c>
    </row>
    <row r="2" spans="1:11">
      <c r="A2" s="45">
        <f t="array" ref="A2">IFERROR(INDEX(baseline!$A$3:$A$201,MATCH($B2&amp;$C2,baseline!$C$3:$C$201&amp;baseline!$D$3:$D$201,0)),"NA")</f>
        <v>1</v>
      </c>
      <c r="B2" t="s">
        <v>0</v>
      </c>
      <c r="C2" t="s">
        <v>881</v>
      </c>
      <c r="D2" t="s">
        <v>836</v>
      </c>
      <c r="E2" t="b">
        <v>1</v>
      </c>
      <c r="F2">
        <v>0.05</v>
      </c>
      <c r="G2">
        <v>17</v>
      </c>
      <c r="H2">
        <v>22</v>
      </c>
      <c r="I2">
        <v>99</v>
      </c>
      <c r="J2">
        <v>24</v>
      </c>
      <c r="K2">
        <v>36806</v>
      </c>
    </row>
    <row r="3" spans="1:11">
      <c r="A3" s="45">
        <f t="array" ref="A3">IFERROR(INDEX(baseline!$A$3:$A$201,MATCH($B3&amp;$C3,baseline!$C$3:$C$201&amp;baseline!$D$3:$D$201,0)),"NA")</f>
        <v>2</v>
      </c>
      <c r="B3" t="s">
        <v>78</v>
      </c>
      <c r="C3" t="s">
        <v>881</v>
      </c>
      <c r="D3" t="s">
        <v>836</v>
      </c>
      <c r="E3" t="b">
        <v>1</v>
      </c>
      <c r="F3">
        <v>0.05</v>
      </c>
      <c r="G3">
        <v>17</v>
      </c>
      <c r="H3">
        <v>22</v>
      </c>
      <c r="I3">
        <v>99</v>
      </c>
      <c r="J3">
        <v>24</v>
      </c>
      <c r="K3">
        <v>5066</v>
      </c>
    </row>
    <row r="4" spans="1:11">
      <c r="A4" s="45">
        <f t="array" ref="A4">IFERROR(INDEX(baseline!$A$3:$A$201,MATCH($B4&amp;$C4,baseline!$C$3:$C$201&amp;baseline!$D$3:$D$201,0)),"NA")</f>
        <v>3</v>
      </c>
      <c r="B4" t="s">
        <v>545</v>
      </c>
      <c r="C4" t="s">
        <v>881</v>
      </c>
      <c r="D4" t="s">
        <v>836</v>
      </c>
      <c r="E4" t="b">
        <v>1</v>
      </c>
      <c r="F4">
        <v>0.05</v>
      </c>
      <c r="G4">
        <v>17</v>
      </c>
      <c r="H4">
        <v>22</v>
      </c>
      <c r="I4">
        <v>99</v>
      </c>
      <c r="J4">
        <v>24</v>
      </c>
      <c r="K4">
        <v>4417</v>
      </c>
    </row>
    <row r="5" spans="1:11">
      <c r="A5" s="45">
        <f t="array" ref="A5">IFERROR(INDEX(baseline!$A$3:$A$201,MATCH($B5&amp;$C5,baseline!$C$3:$C$201&amp;baseline!$D$3:$D$201,0)),"NA")</f>
        <v>4</v>
      </c>
      <c r="B5" t="s">
        <v>545</v>
      </c>
      <c r="C5" t="s">
        <v>546</v>
      </c>
      <c r="D5" t="s">
        <v>836</v>
      </c>
      <c r="E5" t="b">
        <v>1</v>
      </c>
      <c r="F5">
        <v>0.05</v>
      </c>
      <c r="G5">
        <v>17</v>
      </c>
      <c r="H5">
        <v>22</v>
      </c>
      <c r="I5">
        <v>99</v>
      </c>
      <c r="J5">
        <v>24</v>
      </c>
      <c r="K5">
        <v>4417</v>
      </c>
    </row>
    <row r="6" spans="1:11">
      <c r="A6" s="45">
        <f t="array" ref="A6">IFERROR(INDEX(baseline!$A$3:$A$201,MATCH($B6&amp;$C6,baseline!$C$3:$C$201&amp;baseline!$D$3:$D$201,0)),"NA")</f>
        <v>5</v>
      </c>
      <c r="B6" t="s">
        <v>761</v>
      </c>
      <c r="C6" t="s">
        <v>881</v>
      </c>
      <c r="D6" t="s">
        <v>836</v>
      </c>
      <c r="E6" t="b">
        <v>1</v>
      </c>
      <c r="F6">
        <v>0.05</v>
      </c>
      <c r="G6">
        <v>17</v>
      </c>
      <c r="H6">
        <v>22</v>
      </c>
      <c r="I6">
        <v>99</v>
      </c>
      <c r="J6">
        <v>24</v>
      </c>
      <c r="K6">
        <v>37788</v>
      </c>
    </row>
    <row r="7" spans="1:11">
      <c r="A7" s="45">
        <f t="array" ref="A7">IFERROR(INDEX(baseline!$A$3:$A$201,MATCH($B7&amp;$C7,baseline!$C$3:$C$201&amp;baseline!$D$3:$D$201,0)),"NA")</f>
        <v>6</v>
      </c>
      <c r="B7" t="s">
        <v>761</v>
      </c>
      <c r="C7" t="s">
        <v>13</v>
      </c>
      <c r="D7" t="s">
        <v>836</v>
      </c>
      <c r="E7" t="b">
        <v>1</v>
      </c>
      <c r="F7">
        <v>0.05</v>
      </c>
      <c r="G7">
        <v>17</v>
      </c>
      <c r="H7">
        <v>22</v>
      </c>
      <c r="I7">
        <v>99</v>
      </c>
      <c r="J7">
        <v>24</v>
      </c>
      <c r="K7">
        <v>37788</v>
      </c>
    </row>
    <row r="8" spans="1:11">
      <c r="A8" s="45">
        <f t="array" ref="A8">IFERROR(INDEX(baseline!$A$3:$A$201,MATCH($B8&amp;$C8,baseline!$C$3:$C$201&amp;baseline!$D$3:$D$201,0)),"NA")</f>
        <v>7</v>
      </c>
      <c r="B8" t="s">
        <v>761</v>
      </c>
      <c r="C8" t="s">
        <v>14</v>
      </c>
      <c r="D8" t="s">
        <v>836</v>
      </c>
      <c r="E8" t="b">
        <v>1</v>
      </c>
      <c r="F8">
        <v>0.05</v>
      </c>
      <c r="G8">
        <v>17</v>
      </c>
      <c r="H8">
        <v>22</v>
      </c>
      <c r="I8">
        <v>99</v>
      </c>
      <c r="J8">
        <v>24</v>
      </c>
      <c r="K8">
        <v>37788</v>
      </c>
    </row>
    <row r="9" spans="1:11">
      <c r="A9" s="45">
        <f t="array" ref="A9">IFERROR(INDEX(baseline!$A$3:$A$201,MATCH($B9&amp;$C9,baseline!$C$3:$C$201&amp;baseline!$D$3:$D$201,0)),"NA")</f>
        <v>8</v>
      </c>
      <c r="B9" t="s">
        <v>697</v>
      </c>
      <c r="C9" t="s">
        <v>881</v>
      </c>
      <c r="D9" t="s">
        <v>836</v>
      </c>
      <c r="E9" t="b">
        <v>1</v>
      </c>
      <c r="F9">
        <v>0.05</v>
      </c>
      <c r="G9">
        <v>17</v>
      </c>
      <c r="H9">
        <v>22</v>
      </c>
      <c r="I9">
        <v>99</v>
      </c>
      <c r="J9">
        <v>24</v>
      </c>
      <c r="K9">
        <v>5398</v>
      </c>
    </row>
    <row r="10" spans="1:11">
      <c r="A10" s="45">
        <f t="array" ref="A10">IFERROR(INDEX(baseline!$A$3:$A$201,MATCH($B10&amp;$C10,baseline!$C$3:$C$201&amp;baseline!$D$3:$D$201,0)),"NA")</f>
        <v>9</v>
      </c>
      <c r="B10" t="s">
        <v>697</v>
      </c>
      <c r="C10" t="s">
        <v>14</v>
      </c>
      <c r="D10" t="s">
        <v>836</v>
      </c>
      <c r="E10" t="b">
        <v>1</v>
      </c>
      <c r="F10">
        <v>0.05</v>
      </c>
      <c r="G10">
        <v>17</v>
      </c>
      <c r="H10">
        <v>22</v>
      </c>
      <c r="I10">
        <v>99</v>
      </c>
      <c r="J10">
        <v>24</v>
      </c>
      <c r="K10">
        <v>5398</v>
      </c>
    </row>
    <row r="11" spans="1:11">
      <c r="A11" s="45">
        <f t="array" ref="A11">IFERROR(INDEX(baseline!$A$3:$A$201,MATCH($B11&amp;$C11,baseline!$C$3:$C$201&amp;baseline!$D$3:$D$201,0)),"NA")</f>
        <v>10</v>
      </c>
      <c r="B11" t="s">
        <v>713</v>
      </c>
      <c r="C11" t="s">
        <v>881</v>
      </c>
      <c r="D11" t="s">
        <v>836</v>
      </c>
      <c r="E11" t="b">
        <v>1</v>
      </c>
      <c r="F11">
        <v>0.05</v>
      </c>
      <c r="G11">
        <v>17</v>
      </c>
      <c r="H11">
        <v>22</v>
      </c>
      <c r="I11">
        <v>99</v>
      </c>
      <c r="J11">
        <v>24</v>
      </c>
      <c r="K11">
        <v>4417</v>
      </c>
    </row>
    <row r="12" spans="1:11">
      <c r="A12" s="45">
        <f t="array" ref="A12">IFERROR(INDEX(baseline!$A$3:$A$201,MATCH($B12&amp;$C12,baseline!$C$3:$C$201&amp;baseline!$D$3:$D$201,0)),"NA")</f>
        <v>11</v>
      </c>
      <c r="B12" t="s">
        <v>713</v>
      </c>
      <c r="C12" t="s">
        <v>13</v>
      </c>
      <c r="D12" t="s">
        <v>836</v>
      </c>
      <c r="E12" t="b">
        <v>1</v>
      </c>
      <c r="F12">
        <v>0.05</v>
      </c>
      <c r="G12">
        <v>17</v>
      </c>
      <c r="H12">
        <v>22</v>
      </c>
      <c r="I12">
        <v>99</v>
      </c>
      <c r="J12">
        <v>24</v>
      </c>
      <c r="K12">
        <v>4417</v>
      </c>
    </row>
    <row r="13" spans="1:11">
      <c r="A13" s="45">
        <f t="array" ref="A13">IFERROR(INDEX(baseline!$A$3:$A$201,MATCH($B13&amp;$C13,baseline!$C$3:$C$201&amp;baseline!$D$3:$D$201,0)),"NA")</f>
        <v>12</v>
      </c>
      <c r="B13" t="s">
        <v>713</v>
      </c>
      <c r="C13" t="s">
        <v>14</v>
      </c>
      <c r="D13" t="s">
        <v>836</v>
      </c>
      <c r="E13" t="b">
        <v>1</v>
      </c>
      <c r="F13">
        <v>0.05</v>
      </c>
      <c r="G13">
        <v>17</v>
      </c>
      <c r="H13">
        <v>22</v>
      </c>
      <c r="I13">
        <v>99</v>
      </c>
      <c r="J13">
        <v>24</v>
      </c>
      <c r="K13">
        <v>4417</v>
      </c>
    </row>
    <row r="14" spans="1:11">
      <c r="A14" s="45">
        <f t="array" ref="A14">IFERROR(INDEX(baseline!$A$3:$A$201,MATCH($B14&amp;$C14,baseline!$C$3:$C$201&amp;baseline!$D$3:$D$201,0)),"NA")</f>
        <v>13</v>
      </c>
      <c r="B14" t="s">
        <v>762</v>
      </c>
      <c r="C14" t="s">
        <v>881</v>
      </c>
      <c r="D14" t="s">
        <v>836</v>
      </c>
      <c r="E14" t="b">
        <v>1</v>
      </c>
      <c r="F14">
        <v>0.05</v>
      </c>
      <c r="G14">
        <v>17</v>
      </c>
      <c r="H14">
        <v>22</v>
      </c>
      <c r="I14">
        <v>99</v>
      </c>
      <c r="J14">
        <v>24</v>
      </c>
      <c r="K14">
        <v>25028</v>
      </c>
    </row>
    <row r="15" spans="1:11">
      <c r="A15" s="45">
        <f t="array" ref="A15">IFERROR(INDEX(baseline!$A$3:$A$201,MATCH($B15&amp;$C15,baseline!$C$3:$C$201&amp;baseline!$D$3:$D$201,0)),"NA")</f>
        <v>14</v>
      </c>
      <c r="B15" t="s">
        <v>762</v>
      </c>
      <c r="C15" t="s">
        <v>13</v>
      </c>
      <c r="D15" t="s">
        <v>836</v>
      </c>
      <c r="E15" t="b">
        <v>1</v>
      </c>
      <c r="F15">
        <v>0.05</v>
      </c>
      <c r="G15">
        <v>17</v>
      </c>
      <c r="H15">
        <v>22</v>
      </c>
      <c r="I15">
        <v>99</v>
      </c>
      <c r="J15">
        <v>24</v>
      </c>
      <c r="K15">
        <v>25028</v>
      </c>
    </row>
    <row r="16" spans="1:11">
      <c r="A16" s="45">
        <f t="array" ref="A16">IFERROR(INDEX(baseline!$A$3:$A$201,MATCH($B16&amp;$C16,baseline!$C$3:$C$201&amp;baseline!$D$3:$D$201,0)),"NA")</f>
        <v>15</v>
      </c>
      <c r="B16" t="s">
        <v>762</v>
      </c>
      <c r="C16" t="s">
        <v>14</v>
      </c>
      <c r="D16" t="s">
        <v>836</v>
      </c>
      <c r="E16" t="b">
        <v>1</v>
      </c>
      <c r="F16">
        <v>0.05</v>
      </c>
      <c r="G16">
        <v>17</v>
      </c>
      <c r="H16">
        <v>22</v>
      </c>
      <c r="I16">
        <v>99</v>
      </c>
      <c r="J16">
        <v>24</v>
      </c>
      <c r="K16">
        <v>25028</v>
      </c>
    </row>
    <row r="17" spans="1:11">
      <c r="A17" s="45">
        <f t="array" ref="A17">IFERROR(INDEX(baseline!$A$3:$A$201,MATCH($B17&amp;$C17,baseline!$C$3:$C$201&amp;baseline!$D$3:$D$201,0)),"NA")</f>
        <v>16</v>
      </c>
      <c r="B17" t="s">
        <v>763</v>
      </c>
      <c r="C17" t="s">
        <v>13</v>
      </c>
      <c r="D17" t="s">
        <v>836</v>
      </c>
      <c r="E17" t="b">
        <v>1</v>
      </c>
      <c r="F17">
        <v>0.05</v>
      </c>
      <c r="G17">
        <v>17</v>
      </c>
      <c r="H17">
        <v>22</v>
      </c>
      <c r="I17">
        <v>99</v>
      </c>
      <c r="J17">
        <v>24</v>
      </c>
      <c r="K17">
        <v>7852</v>
      </c>
    </row>
    <row r="18" spans="1:11">
      <c r="A18" s="45">
        <f t="array" ref="A18">IFERROR(INDEX(baseline!$A$3:$A$201,MATCH($B18&amp;$C18,baseline!$C$3:$C$201&amp;baseline!$D$3:$D$201,0)),"NA")</f>
        <v>17</v>
      </c>
      <c r="B18" t="s">
        <v>763</v>
      </c>
      <c r="C18" t="s">
        <v>14</v>
      </c>
      <c r="D18" t="s">
        <v>836</v>
      </c>
      <c r="E18" t="b">
        <v>1</v>
      </c>
      <c r="F18">
        <v>0.05</v>
      </c>
      <c r="G18">
        <v>17</v>
      </c>
      <c r="H18">
        <v>22</v>
      </c>
      <c r="I18">
        <v>99</v>
      </c>
      <c r="J18">
        <v>24</v>
      </c>
      <c r="K18">
        <v>7852</v>
      </c>
    </row>
    <row r="19" spans="1:11">
      <c r="A19" s="45">
        <f t="array" ref="A19">IFERROR(INDEX(baseline!$A$3:$A$201,MATCH($B19&amp;$C19,baseline!$C$3:$C$201&amp;baseline!$D$3:$D$201,0)),"NA")</f>
        <v>18</v>
      </c>
      <c r="B19" t="s">
        <v>763</v>
      </c>
      <c r="C19" t="s">
        <v>546</v>
      </c>
      <c r="D19" t="s">
        <v>836</v>
      </c>
      <c r="E19" t="b">
        <v>1</v>
      </c>
      <c r="F19">
        <v>0.05</v>
      </c>
      <c r="G19">
        <v>17</v>
      </c>
      <c r="H19">
        <v>22</v>
      </c>
      <c r="I19">
        <v>99</v>
      </c>
      <c r="J19">
        <v>24</v>
      </c>
      <c r="K19">
        <v>7852</v>
      </c>
    </row>
    <row r="20" spans="1:11">
      <c r="A20" s="45">
        <f t="array" ref="A20">IFERROR(INDEX(baseline!$A$3:$A$201,MATCH($B20&amp;$C20,baseline!$C$3:$C$201&amp;baseline!$D$3:$D$201,0)),"NA")</f>
        <v>19</v>
      </c>
      <c r="B20" t="s">
        <v>712</v>
      </c>
      <c r="C20" t="s">
        <v>14</v>
      </c>
      <c r="D20" t="s">
        <v>836</v>
      </c>
      <c r="E20" t="b">
        <v>1</v>
      </c>
      <c r="F20">
        <v>0.05</v>
      </c>
      <c r="G20">
        <v>17</v>
      </c>
      <c r="H20">
        <v>22</v>
      </c>
      <c r="I20">
        <v>99</v>
      </c>
      <c r="J20">
        <v>24</v>
      </c>
      <c r="K20">
        <v>15704</v>
      </c>
    </row>
    <row r="21" spans="1:11">
      <c r="A21" s="45">
        <f t="array" ref="A21">IFERROR(INDEX(baseline!$A$3:$A$201,MATCH($B21&amp;$C21,baseline!$C$3:$C$201&amp;baseline!$D$3:$D$201,0)),"NA")</f>
        <v>20</v>
      </c>
      <c r="B21" t="s">
        <v>2</v>
      </c>
      <c r="C21" t="s">
        <v>881</v>
      </c>
      <c r="D21" t="s">
        <v>836</v>
      </c>
      <c r="E21" t="b">
        <v>1</v>
      </c>
      <c r="F21">
        <v>0.05</v>
      </c>
      <c r="G21">
        <v>17</v>
      </c>
      <c r="H21">
        <v>22</v>
      </c>
      <c r="I21">
        <v>99</v>
      </c>
      <c r="J21">
        <v>24</v>
      </c>
      <c r="K21">
        <v>491</v>
      </c>
    </row>
    <row r="22" spans="1:11">
      <c r="A22" s="45">
        <f t="array" ref="A22">IFERROR(INDEX(baseline!$A$3:$A$201,MATCH($B22&amp;$C22,baseline!$C$3:$C$201&amp;baseline!$D$3:$D$201,0)),"NA")</f>
        <v>21</v>
      </c>
      <c r="B22" t="s">
        <v>2</v>
      </c>
      <c r="C22" t="s">
        <v>13</v>
      </c>
      <c r="D22" t="s">
        <v>836</v>
      </c>
      <c r="E22" t="b">
        <v>1</v>
      </c>
      <c r="F22">
        <v>0.05</v>
      </c>
      <c r="G22">
        <v>17</v>
      </c>
      <c r="H22">
        <v>22</v>
      </c>
      <c r="I22">
        <v>99</v>
      </c>
      <c r="J22">
        <v>24</v>
      </c>
      <c r="K22">
        <v>491</v>
      </c>
    </row>
    <row r="23" spans="1:11">
      <c r="A23" s="45">
        <f t="array" ref="A23">IFERROR(INDEX(baseline!$A$3:$A$201,MATCH($B23&amp;$C23,baseline!$C$3:$C$201&amp;baseline!$D$3:$D$201,0)),"NA")</f>
        <v>22</v>
      </c>
      <c r="B23" t="s">
        <v>2</v>
      </c>
      <c r="C23" t="s">
        <v>14</v>
      </c>
      <c r="D23" t="s">
        <v>836</v>
      </c>
      <c r="E23" t="b">
        <v>1</v>
      </c>
      <c r="F23">
        <v>0.05</v>
      </c>
      <c r="G23">
        <v>17</v>
      </c>
      <c r="H23">
        <v>22</v>
      </c>
      <c r="I23">
        <v>99</v>
      </c>
      <c r="J23">
        <v>24</v>
      </c>
      <c r="K23">
        <v>491</v>
      </c>
    </row>
    <row r="24" spans="1:11">
      <c r="A24" s="45">
        <f t="array" ref="A24">IFERROR(INDEX(baseline!$A$3:$A$201,MATCH($B24&amp;$C24,baseline!$C$3:$C$201&amp;baseline!$D$3:$D$201,0)),"NA")</f>
        <v>23</v>
      </c>
      <c r="B24" t="s">
        <v>2</v>
      </c>
      <c r="C24" t="s">
        <v>546</v>
      </c>
      <c r="D24" t="s">
        <v>836</v>
      </c>
      <c r="E24" t="b">
        <v>1</v>
      </c>
      <c r="F24">
        <v>0.05</v>
      </c>
      <c r="G24">
        <v>17</v>
      </c>
      <c r="H24">
        <v>22</v>
      </c>
      <c r="I24">
        <v>99</v>
      </c>
      <c r="J24">
        <v>24</v>
      </c>
      <c r="K24">
        <v>491</v>
      </c>
    </row>
    <row r="25" spans="1:11">
      <c r="A25" s="45">
        <f t="array" ref="A25">IFERROR(INDEX(baseline!$A$3:$A$201,MATCH($B25&amp;$C25,baseline!$C$3:$C$201&amp;baseline!$D$3:$D$201,0)),"NA")</f>
        <v>24</v>
      </c>
      <c r="B25" t="s">
        <v>547</v>
      </c>
      <c r="C25" t="s">
        <v>881</v>
      </c>
      <c r="D25" t="s">
        <v>836</v>
      </c>
      <c r="E25" t="b">
        <v>1</v>
      </c>
      <c r="F25">
        <v>0.05</v>
      </c>
      <c r="G25">
        <v>17</v>
      </c>
      <c r="H25">
        <v>22</v>
      </c>
      <c r="I25">
        <v>99</v>
      </c>
      <c r="J25">
        <v>24</v>
      </c>
      <c r="K25">
        <v>20121</v>
      </c>
    </row>
    <row r="26" spans="1:11">
      <c r="A26" s="45">
        <f t="array" ref="A26">IFERROR(INDEX(baseline!$A$3:$A$201,MATCH($B26&amp;$C26,baseline!$C$3:$C$201&amp;baseline!$D$3:$D$201,0)),"NA")</f>
        <v>25</v>
      </c>
      <c r="B26" t="s">
        <v>547</v>
      </c>
      <c r="C26" t="s">
        <v>14</v>
      </c>
      <c r="D26" t="s">
        <v>836</v>
      </c>
      <c r="E26" t="b">
        <v>1</v>
      </c>
      <c r="F26">
        <v>0.05</v>
      </c>
      <c r="G26">
        <v>17</v>
      </c>
      <c r="H26">
        <v>22</v>
      </c>
      <c r="I26">
        <v>99</v>
      </c>
      <c r="J26">
        <v>24</v>
      </c>
      <c r="K26">
        <v>20121</v>
      </c>
    </row>
    <row r="27" spans="1:11">
      <c r="A27" s="45">
        <f t="array" ref="A27">IFERROR(INDEX(baseline!$A$3:$A$201,MATCH($B27&amp;$C27,baseline!$C$3:$C$201&amp;baseline!$D$3:$D$201,0)),"NA")</f>
        <v>26</v>
      </c>
      <c r="B27" t="s">
        <v>547</v>
      </c>
      <c r="C27" t="s">
        <v>546</v>
      </c>
      <c r="D27" t="s">
        <v>836</v>
      </c>
      <c r="E27" t="b">
        <v>1</v>
      </c>
      <c r="F27">
        <v>0.05</v>
      </c>
      <c r="G27">
        <v>17</v>
      </c>
      <c r="H27">
        <v>22</v>
      </c>
      <c r="I27">
        <v>99</v>
      </c>
      <c r="J27">
        <v>24</v>
      </c>
      <c r="K27">
        <v>20121</v>
      </c>
    </row>
    <row r="28" spans="1:11">
      <c r="A28" s="45">
        <f t="array" ref="A28">IFERROR(INDEX(baseline!$A$3:$A$201,MATCH($B28&amp;$C28,baseline!$C$3:$C$201&amp;baseline!$D$3:$D$201,0)),"NA")</f>
        <v>27</v>
      </c>
      <c r="B28" t="s">
        <v>1</v>
      </c>
      <c r="C28" t="s">
        <v>881</v>
      </c>
      <c r="D28" t="s">
        <v>836</v>
      </c>
      <c r="E28" t="b">
        <v>1</v>
      </c>
      <c r="F28">
        <v>0.05</v>
      </c>
      <c r="G28">
        <v>17</v>
      </c>
      <c r="H28">
        <v>22</v>
      </c>
      <c r="I28">
        <v>99</v>
      </c>
      <c r="J28">
        <v>24</v>
      </c>
      <c r="K28">
        <v>4908</v>
      </c>
    </row>
    <row r="29" spans="1:11">
      <c r="A29" s="45">
        <f t="array" ref="A29">IFERROR(INDEX(baseline!$A$3:$A$201,MATCH($B29&amp;$C29,baseline!$C$3:$C$201&amp;baseline!$D$3:$D$201,0)),"NA")</f>
        <v>28</v>
      </c>
      <c r="B29" t="s">
        <v>1</v>
      </c>
      <c r="C29" t="s">
        <v>14</v>
      </c>
      <c r="D29" t="s">
        <v>836</v>
      </c>
      <c r="E29" t="b">
        <v>1</v>
      </c>
      <c r="F29">
        <v>0.05</v>
      </c>
      <c r="G29">
        <v>17</v>
      </c>
      <c r="H29">
        <v>22</v>
      </c>
      <c r="I29">
        <v>99</v>
      </c>
      <c r="J29">
        <v>24</v>
      </c>
      <c r="K29">
        <v>4908</v>
      </c>
    </row>
    <row r="30" spans="1:11">
      <c r="A30" s="45" t="str">
        <f t="array" ref="A30">IFERROR(INDEX(baseline!$A$3:$A$201,MATCH($B30&amp;$C30,baseline!$C$3:$C$201&amp;baseline!$D$3:$D$201,0)),"NA")</f>
        <v>NA</v>
      </c>
      <c r="B30" t="s">
        <v>0</v>
      </c>
      <c r="C30" t="s">
        <v>13</v>
      </c>
      <c r="D30" t="s">
        <v>836</v>
      </c>
      <c r="E30" t="b">
        <v>1</v>
      </c>
      <c r="F30">
        <v>0.05</v>
      </c>
      <c r="G30">
        <v>17</v>
      </c>
      <c r="H30">
        <v>22</v>
      </c>
      <c r="I30">
        <v>99</v>
      </c>
      <c r="J30">
        <v>24</v>
      </c>
      <c r="K30">
        <v>36806</v>
      </c>
    </row>
    <row r="31" spans="1:11">
      <c r="A31" s="45" t="str">
        <f t="array" ref="A31">IFERROR(INDEX(baseline!$A$3:$A$201,MATCH($B31&amp;$C31,baseline!$C$3:$C$201&amp;baseline!$D$3:$D$201,0)),"NA")</f>
        <v>NA</v>
      </c>
      <c r="B31" t="s">
        <v>0</v>
      </c>
      <c r="C31" t="s">
        <v>14</v>
      </c>
      <c r="D31" t="s">
        <v>836</v>
      </c>
      <c r="E31" t="b">
        <v>1</v>
      </c>
      <c r="F31">
        <v>0.05</v>
      </c>
      <c r="G31">
        <v>17</v>
      </c>
      <c r="H31">
        <v>22</v>
      </c>
      <c r="I31">
        <v>99</v>
      </c>
      <c r="J31">
        <v>24</v>
      </c>
      <c r="K31">
        <v>36806</v>
      </c>
    </row>
    <row r="32" spans="1:11">
      <c r="A32" s="45">
        <f t="array" ref="A32">IFERROR(INDEX(baseline!$A$3:$A$201,MATCH($B32&amp;$C32,baseline!$C$3:$C$201&amp;baseline!$D$3:$D$201,0)),"NA")</f>
        <v>30</v>
      </c>
      <c r="B32" t="s">
        <v>0</v>
      </c>
      <c r="C32" t="s">
        <v>546</v>
      </c>
      <c r="D32" t="s">
        <v>836</v>
      </c>
      <c r="E32" t="b">
        <v>1</v>
      </c>
      <c r="F32">
        <v>0.05</v>
      </c>
      <c r="G32">
        <v>17</v>
      </c>
      <c r="H32">
        <v>22</v>
      </c>
      <c r="I32">
        <v>99</v>
      </c>
      <c r="J32">
        <v>24</v>
      </c>
      <c r="K32">
        <v>36806</v>
      </c>
    </row>
    <row r="33" spans="1:11">
      <c r="A33" s="45" t="str">
        <f t="array" ref="A33">IFERROR(INDEX(baseline!$A$3:$A$201,MATCH($B33&amp;$C33,baseline!$C$3:$C$201&amp;baseline!$D$3:$D$201,0)),"NA")</f>
        <v>NA</v>
      </c>
      <c r="B33" t="s">
        <v>78</v>
      </c>
      <c r="C33" t="s">
        <v>13</v>
      </c>
      <c r="D33" t="s">
        <v>836</v>
      </c>
      <c r="E33" t="b">
        <v>1</v>
      </c>
      <c r="F33">
        <v>0.05</v>
      </c>
      <c r="G33">
        <v>17</v>
      </c>
      <c r="H33">
        <v>22</v>
      </c>
      <c r="I33">
        <v>99</v>
      </c>
      <c r="J33">
        <v>24</v>
      </c>
      <c r="K33">
        <v>5066</v>
      </c>
    </row>
    <row r="34" spans="1:11">
      <c r="A34" s="45" t="str">
        <f t="array" ref="A34">IFERROR(INDEX(baseline!$A$3:$A$201,MATCH($B34&amp;$C34,baseline!$C$3:$C$201&amp;baseline!$D$3:$D$201,0)),"NA")</f>
        <v>NA</v>
      </c>
      <c r="B34" t="s">
        <v>78</v>
      </c>
      <c r="C34" t="s">
        <v>14</v>
      </c>
      <c r="D34" t="s">
        <v>836</v>
      </c>
      <c r="E34" t="b">
        <v>1</v>
      </c>
      <c r="F34">
        <v>0.05</v>
      </c>
      <c r="G34">
        <v>17</v>
      </c>
      <c r="H34">
        <v>22</v>
      </c>
      <c r="I34">
        <v>99</v>
      </c>
      <c r="J34">
        <v>24</v>
      </c>
      <c r="K34">
        <v>5066</v>
      </c>
    </row>
    <row r="35" spans="1:11">
      <c r="A35" s="45">
        <f t="array" ref="A35">IFERROR(INDEX(baseline!$A$3:$A$201,MATCH($B35&amp;$C35,baseline!$C$3:$C$201&amp;baseline!$D$3:$D$201,0)),"NA")</f>
        <v>31</v>
      </c>
      <c r="B35" t="s">
        <v>78</v>
      </c>
      <c r="C35" t="s">
        <v>546</v>
      </c>
      <c r="D35" t="s">
        <v>836</v>
      </c>
      <c r="E35" t="b">
        <v>1</v>
      </c>
      <c r="F35">
        <v>0.05</v>
      </c>
      <c r="G35">
        <v>17</v>
      </c>
      <c r="H35">
        <v>22</v>
      </c>
      <c r="I35">
        <v>99</v>
      </c>
      <c r="J35">
        <v>24</v>
      </c>
      <c r="K35">
        <v>5066</v>
      </c>
    </row>
    <row r="36" spans="1:11">
      <c r="A36" s="45" t="str">
        <f t="array" ref="A36">IFERROR(INDEX(baseline!$A$3:$A$201,MATCH($B36&amp;$C36,baseline!$C$3:$C$201&amp;baseline!$D$3:$D$201,0)),"NA")</f>
        <v>NA</v>
      </c>
      <c r="B36" t="s">
        <v>545</v>
      </c>
      <c r="C36" t="s">
        <v>13</v>
      </c>
      <c r="D36" t="s">
        <v>836</v>
      </c>
      <c r="E36" t="b">
        <v>1</v>
      </c>
      <c r="F36">
        <v>0.05</v>
      </c>
      <c r="G36">
        <v>17</v>
      </c>
      <c r="H36">
        <v>22</v>
      </c>
      <c r="I36">
        <v>99</v>
      </c>
      <c r="J36">
        <v>24</v>
      </c>
      <c r="K36">
        <v>4417</v>
      </c>
    </row>
    <row r="37" spans="1:11">
      <c r="A37" s="45" t="str">
        <f t="array" ref="A37">IFERROR(INDEX(baseline!$A$3:$A$201,MATCH($B37&amp;$C37,baseline!$C$3:$C$201&amp;baseline!$D$3:$D$201,0)),"NA")</f>
        <v>NA</v>
      </c>
      <c r="B37" t="s">
        <v>545</v>
      </c>
      <c r="C37" t="s">
        <v>14</v>
      </c>
      <c r="D37" t="s">
        <v>836</v>
      </c>
      <c r="E37" t="b">
        <v>1</v>
      </c>
      <c r="F37">
        <v>0.05</v>
      </c>
      <c r="G37">
        <v>17</v>
      </c>
      <c r="H37">
        <v>22</v>
      </c>
      <c r="I37">
        <v>99</v>
      </c>
      <c r="J37">
        <v>24</v>
      </c>
      <c r="K37">
        <v>4417</v>
      </c>
    </row>
    <row r="38" spans="1:11">
      <c r="A38" s="45">
        <f t="array" ref="A38">IFERROR(INDEX(baseline!$A$3:$A$201,MATCH($B38&amp;$C38,baseline!$C$3:$C$201&amp;baseline!$D$3:$D$201,0)),"NA")</f>
        <v>29</v>
      </c>
      <c r="B38" t="s">
        <v>761</v>
      </c>
      <c r="C38" t="s">
        <v>546</v>
      </c>
      <c r="D38" t="s">
        <v>836</v>
      </c>
      <c r="E38" t="b">
        <v>1</v>
      </c>
      <c r="F38">
        <v>0.05</v>
      </c>
      <c r="G38">
        <v>17</v>
      </c>
      <c r="H38">
        <v>22</v>
      </c>
      <c r="I38">
        <v>99</v>
      </c>
      <c r="J38">
        <v>24</v>
      </c>
      <c r="K38">
        <v>37788</v>
      </c>
    </row>
    <row r="39" spans="1:11">
      <c r="A39" s="45" t="str">
        <f t="array" ref="A39">IFERROR(INDEX(baseline!$A$3:$A$201,MATCH($B39&amp;$C39,baseline!$C$3:$C$201&amp;baseline!$D$3:$D$201,0)),"NA")</f>
        <v>NA</v>
      </c>
      <c r="B39" t="s">
        <v>697</v>
      </c>
      <c r="C39" t="s">
        <v>13</v>
      </c>
      <c r="D39" t="s">
        <v>836</v>
      </c>
      <c r="E39" t="b">
        <v>1</v>
      </c>
      <c r="F39">
        <v>0.05</v>
      </c>
      <c r="G39">
        <v>17</v>
      </c>
      <c r="H39">
        <v>22</v>
      </c>
      <c r="I39">
        <v>99</v>
      </c>
      <c r="J39">
        <v>24</v>
      </c>
      <c r="K39">
        <v>5398</v>
      </c>
    </row>
    <row r="40" spans="1:11">
      <c r="A40" s="45" t="str">
        <f t="array" ref="A40">IFERROR(INDEX(baseline!$A$3:$A$201,MATCH($B40&amp;$C40,baseline!$C$3:$C$201&amp;baseline!$D$3:$D$201,0)),"NA")</f>
        <v>NA</v>
      </c>
      <c r="B40" t="s">
        <v>697</v>
      </c>
      <c r="C40" t="s">
        <v>546</v>
      </c>
      <c r="D40" t="s">
        <v>836</v>
      </c>
      <c r="E40" t="b">
        <v>1</v>
      </c>
      <c r="F40">
        <v>0.05</v>
      </c>
      <c r="G40">
        <v>17</v>
      </c>
      <c r="H40">
        <v>22</v>
      </c>
      <c r="I40">
        <v>99</v>
      </c>
      <c r="J40">
        <v>24</v>
      </c>
      <c r="K40">
        <v>5398</v>
      </c>
    </row>
    <row r="41" spans="1:11">
      <c r="A41" s="45" t="str">
        <f t="array" ref="A41">IFERROR(INDEX(baseline!$A$3:$A$201,MATCH($B41&amp;$C41,baseline!$C$3:$C$201&amp;baseline!$D$3:$D$201,0)),"NA")</f>
        <v>NA</v>
      </c>
      <c r="B41" t="s">
        <v>713</v>
      </c>
      <c r="C41" t="s">
        <v>546</v>
      </c>
      <c r="D41" t="s">
        <v>836</v>
      </c>
      <c r="E41" t="b">
        <v>1</v>
      </c>
      <c r="F41">
        <v>0.05</v>
      </c>
      <c r="G41">
        <v>17</v>
      </c>
      <c r="H41">
        <v>22</v>
      </c>
      <c r="I41">
        <v>99</v>
      </c>
      <c r="J41">
        <v>24</v>
      </c>
      <c r="K41">
        <v>4417</v>
      </c>
    </row>
    <row r="42" spans="1:11">
      <c r="A42" s="45" t="str">
        <f t="array" ref="A42">IFERROR(INDEX(baseline!$A$3:$A$201,MATCH($B42&amp;$C42,baseline!$C$3:$C$201&amp;baseline!$D$3:$D$201,0)),"NA")</f>
        <v>NA</v>
      </c>
      <c r="B42" t="s">
        <v>762</v>
      </c>
      <c r="C42" t="s">
        <v>546</v>
      </c>
      <c r="D42" t="s">
        <v>836</v>
      </c>
      <c r="E42" t="b">
        <v>1</v>
      </c>
      <c r="F42">
        <v>0.05</v>
      </c>
      <c r="G42">
        <v>17</v>
      </c>
      <c r="H42">
        <v>22</v>
      </c>
      <c r="I42">
        <v>99</v>
      </c>
      <c r="J42">
        <v>24</v>
      </c>
      <c r="K42">
        <v>25028</v>
      </c>
    </row>
    <row r="43" spans="1:11">
      <c r="A43" s="45" t="str">
        <f t="array" ref="A43">IFERROR(INDEX(baseline!$A$3:$A$201,MATCH($B43&amp;$C43,baseline!$C$3:$C$201&amp;baseline!$D$3:$D$201,0)),"NA")</f>
        <v>NA</v>
      </c>
      <c r="B43" t="s">
        <v>763</v>
      </c>
      <c r="C43" t="s">
        <v>881</v>
      </c>
      <c r="D43" t="s">
        <v>836</v>
      </c>
      <c r="E43" t="b">
        <v>1</v>
      </c>
      <c r="F43">
        <v>0.05</v>
      </c>
      <c r="G43">
        <v>17</v>
      </c>
      <c r="H43">
        <v>22</v>
      </c>
      <c r="I43">
        <v>99</v>
      </c>
      <c r="J43">
        <v>24</v>
      </c>
      <c r="K43">
        <v>7852</v>
      </c>
    </row>
    <row r="44" spans="1:11">
      <c r="A44" s="45" t="str">
        <f t="array" ref="A44">IFERROR(INDEX(baseline!$A$3:$A$201,MATCH($B44&amp;$C44,baseline!$C$3:$C$201&amp;baseline!$D$3:$D$201,0)),"NA")</f>
        <v>NA</v>
      </c>
      <c r="B44" t="s">
        <v>712</v>
      </c>
      <c r="C44" t="s">
        <v>881</v>
      </c>
      <c r="D44" t="s">
        <v>836</v>
      </c>
      <c r="E44" t="b">
        <v>1</v>
      </c>
      <c r="F44">
        <v>0.05</v>
      </c>
      <c r="G44">
        <v>17</v>
      </c>
      <c r="H44">
        <v>22</v>
      </c>
      <c r="I44">
        <v>99</v>
      </c>
      <c r="J44">
        <v>24</v>
      </c>
      <c r="K44">
        <v>15704</v>
      </c>
    </row>
    <row r="45" spans="1:11">
      <c r="A45" s="45" t="str">
        <f t="array" ref="A45">IFERROR(INDEX(baseline!$A$3:$A$201,MATCH($B45&amp;$C45,baseline!$C$3:$C$201&amp;baseline!$D$3:$D$201,0)),"NA")</f>
        <v>NA</v>
      </c>
      <c r="B45" t="s">
        <v>712</v>
      </c>
      <c r="C45" t="s">
        <v>13</v>
      </c>
      <c r="D45" t="s">
        <v>836</v>
      </c>
      <c r="E45" t="b">
        <v>1</v>
      </c>
      <c r="F45">
        <v>0.05</v>
      </c>
      <c r="G45">
        <v>17</v>
      </c>
      <c r="H45">
        <v>22</v>
      </c>
      <c r="I45">
        <v>99</v>
      </c>
      <c r="J45">
        <v>24</v>
      </c>
      <c r="K45">
        <v>15704</v>
      </c>
    </row>
    <row r="46" spans="1:11">
      <c r="A46" s="45" t="str">
        <f t="array" ref="A46">IFERROR(INDEX(baseline!$A$3:$A$201,MATCH($B46&amp;$C46,baseline!$C$3:$C$201&amp;baseline!$D$3:$D$201,0)),"NA")</f>
        <v>NA</v>
      </c>
      <c r="B46" t="s">
        <v>712</v>
      </c>
      <c r="C46" t="s">
        <v>546</v>
      </c>
      <c r="D46" t="s">
        <v>836</v>
      </c>
      <c r="E46" t="b">
        <v>1</v>
      </c>
      <c r="F46">
        <v>0.05</v>
      </c>
      <c r="G46">
        <v>17</v>
      </c>
      <c r="H46">
        <v>22</v>
      </c>
      <c r="I46">
        <v>99</v>
      </c>
      <c r="J46">
        <v>24</v>
      </c>
      <c r="K46">
        <v>15704</v>
      </c>
    </row>
    <row r="47" spans="1:11">
      <c r="A47" s="45" t="str">
        <f t="array" ref="A47">IFERROR(INDEX(baseline!$A$3:$A$201,MATCH($B47&amp;$C47,baseline!$C$3:$C$201&amp;baseline!$D$3:$D$201,0)),"NA")</f>
        <v>NA</v>
      </c>
      <c r="B47" t="s">
        <v>547</v>
      </c>
      <c r="C47" t="s">
        <v>13</v>
      </c>
      <c r="D47" t="s">
        <v>836</v>
      </c>
      <c r="E47" t="b">
        <v>1</v>
      </c>
      <c r="F47">
        <v>0.05</v>
      </c>
      <c r="G47">
        <v>17</v>
      </c>
      <c r="H47">
        <v>22</v>
      </c>
      <c r="I47">
        <v>99</v>
      </c>
      <c r="J47">
        <v>24</v>
      </c>
      <c r="K47">
        <v>20121</v>
      </c>
    </row>
    <row r="48" spans="1:11">
      <c r="A48" s="45" t="str">
        <f t="array" ref="A48">IFERROR(INDEX(baseline!$A$3:$A$201,MATCH($B48&amp;$C48,baseline!$C$3:$C$201&amp;baseline!$D$3:$D$201,0)),"NA")</f>
        <v>NA</v>
      </c>
      <c r="B48" t="s">
        <v>1</v>
      </c>
      <c r="C48" t="s">
        <v>13</v>
      </c>
      <c r="D48" t="s">
        <v>836</v>
      </c>
      <c r="E48" t="b">
        <v>1</v>
      </c>
      <c r="F48">
        <v>0.05</v>
      </c>
      <c r="G48">
        <v>17</v>
      </c>
      <c r="H48">
        <v>22</v>
      </c>
      <c r="I48">
        <v>99</v>
      </c>
      <c r="J48">
        <v>24</v>
      </c>
      <c r="K48">
        <v>4908</v>
      </c>
    </row>
    <row r="49" spans="1:11">
      <c r="A49" s="45" t="str">
        <f t="array" ref="A49">IFERROR(INDEX(baseline!$A$3:$A$201,MATCH($B49&amp;$C49,baseline!$C$3:$C$201&amp;baseline!$D$3:$D$201,0)),"NA")</f>
        <v>NA</v>
      </c>
      <c r="B49" t="s">
        <v>1</v>
      </c>
      <c r="C49" t="s">
        <v>546</v>
      </c>
      <c r="D49" t="s">
        <v>836</v>
      </c>
      <c r="E49" t="b">
        <v>1</v>
      </c>
      <c r="F49">
        <v>0.05</v>
      </c>
      <c r="G49">
        <v>17</v>
      </c>
      <c r="H49">
        <v>22</v>
      </c>
      <c r="I49">
        <v>99</v>
      </c>
      <c r="J49">
        <v>24</v>
      </c>
      <c r="K49">
        <v>4908</v>
      </c>
    </row>
  </sheetData>
  <sortState ref="A2:K49">
    <sortCondition ref="A2:A49"/>
    <sortCondition ref="B2:B49"/>
    <sortCondition ref="C2:C49"/>
    <sortCondition ref="D2:D49"/>
  </sortState>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sheetPr>
    <tabColor rgb="FF00B050"/>
  </sheetPr>
  <dimension ref="A1:J49"/>
  <sheetViews>
    <sheetView workbookViewId="0">
      <selection activeCell="H9" sqref="H9"/>
    </sheetView>
  </sheetViews>
  <sheetFormatPr defaultColWidth="9.109375" defaultRowHeight="14.4"/>
  <cols>
    <col min="1" max="1" width="9.109375" style="45"/>
    <col min="2" max="2" width="23.44140625" style="45" bestFit="1" customWidth="1"/>
    <col min="3" max="3" width="13.6640625" style="45" bestFit="1" customWidth="1"/>
    <col min="4" max="4" width="23.33203125" style="45" bestFit="1" customWidth="1"/>
    <col min="5" max="5" width="17.6640625" style="45" bestFit="1" customWidth="1"/>
    <col min="6" max="6" width="35.33203125" style="45" bestFit="1" customWidth="1"/>
    <col min="7" max="7" width="34.6640625" style="45" bestFit="1" customWidth="1"/>
    <col min="8" max="8" width="46.88671875" style="45" bestFit="1" customWidth="1"/>
    <col min="9" max="9" width="46.33203125" style="45" bestFit="1" customWidth="1"/>
    <col min="10" max="10" width="17" style="45" bestFit="1" customWidth="1"/>
    <col min="11" max="16384" width="9.109375" style="45"/>
  </cols>
  <sheetData>
    <row r="1" spans="1:10" ht="15.6">
      <c r="A1" s="45" t="s">
        <v>920</v>
      </c>
      <c r="B1" s="128" t="s">
        <v>766</v>
      </c>
      <c r="C1" s="127" t="s">
        <v>748</v>
      </c>
      <c r="D1" s="45" t="s">
        <v>774</v>
      </c>
      <c r="E1" s="45" t="s">
        <v>883</v>
      </c>
      <c r="F1" s="45" t="s">
        <v>884</v>
      </c>
      <c r="G1" s="45" t="s">
        <v>885</v>
      </c>
      <c r="H1" s="45" t="s">
        <v>886</v>
      </c>
      <c r="I1" s="45" t="s">
        <v>887</v>
      </c>
      <c r="J1" s="45" t="s">
        <v>899</v>
      </c>
    </row>
    <row r="2" spans="1:10">
      <c r="A2" s="45">
        <f t="array" ref="A2">IFERROR(INDEX(baseline!$A$3:$A$201,MATCH($B2&amp;$C2,baseline!$C$3:$C$201&amp;baseline!$D$3:$D$201,0)),"NA")</f>
        <v>1</v>
      </c>
      <c r="B2" s="45" t="s">
        <v>0</v>
      </c>
      <c r="C2" s="45" t="s">
        <v>881</v>
      </c>
      <c r="D2" s="45" t="s">
        <v>832</v>
      </c>
      <c r="E2" s="45" t="b">
        <v>1</v>
      </c>
      <c r="F2" s="45">
        <v>24</v>
      </c>
      <c r="G2" s="45">
        <v>10</v>
      </c>
      <c r="H2" s="45">
        <v>12.8</v>
      </c>
      <c r="I2" s="45">
        <v>24</v>
      </c>
      <c r="J2" s="45">
        <v>10864</v>
      </c>
    </row>
    <row r="3" spans="1:10">
      <c r="A3" s="45">
        <f t="array" ref="A3">IFERROR(INDEX(baseline!$A$3:$A$201,MATCH($B3&amp;$C3,baseline!$C$3:$C$201&amp;baseline!$D$3:$D$201,0)),"NA")</f>
        <v>2</v>
      </c>
      <c r="B3" s="45" t="s">
        <v>78</v>
      </c>
      <c r="C3" s="45" t="s">
        <v>881</v>
      </c>
      <c r="D3" s="45" t="s">
        <v>832</v>
      </c>
      <c r="E3" s="45" t="b">
        <v>1</v>
      </c>
      <c r="F3" s="45">
        <v>24</v>
      </c>
      <c r="G3" s="45">
        <v>10</v>
      </c>
      <c r="H3" s="45">
        <v>12.8</v>
      </c>
      <c r="I3" s="45">
        <v>24</v>
      </c>
      <c r="J3" s="45">
        <v>2760</v>
      </c>
    </row>
    <row r="4" spans="1:10">
      <c r="A4" s="45">
        <f t="array" ref="A4">IFERROR(INDEX(baseline!$A$3:$A$201,MATCH($B4&amp;$C4,baseline!$C$3:$C$201&amp;baseline!$D$3:$D$201,0)),"NA")</f>
        <v>3</v>
      </c>
      <c r="B4" s="45" t="s">
        <v>545</v>
      </c>
      <c r="C4" s="45" t="s">
        <v>881</v>
      </c>
      <c r="D4" s="45" t="s">
        <v>832</v>
      </c>
      <c r="E4" s="45" t="b">
        <v>1</v>
      </c>
      <c r="F4" s="45">
        <v>24</v>
      </c>
      <c r="G4" s="45">
        <v>10</v>
      </c>
      <c r="H4" s="45">
        <v>12.8</v>
      </c>
      <c r="I4" s="45">
        <v>24</v>
      </c>
      <c r="J4" s="45">
        <v>14485</v>
      </c>
    </row>
    <row r="5" spans="1:10">
      <c r="A5" s="45">
        <f t="array" ref="A5">IFERROR(INDEX(baseline!$A$3:$A$201,MATCH($B5&amp;$C5,baseline!$C$3:$C$201&amp;baseline!$D$3:$D$201,0)),"NA")</f>
        <v>4</v>
      </c>
      <c r="B5" s="45" t="s">
        <v>545</v>
      </c>
      <c r="C5" s="45" t="s">
        <v>546</v>
      </c>
      <c r="D5" s="45" t="s">
        <v>832</v>
      </c>
      <c r="E5" s="45" t="b">
        <v>1</v>
      </c>
      <c r="F5" s="45">
        <v>24</v>
      </c>
      <c r="G5" s="45">
        <v>10</v>
      </c>
      <c r="H5" s="45">
        <v>12.8</v>
      </c>
      <c r="I5" s="45">
        <v>24</v>
      </c>
      <c r="J5" s="45">
        <v>14485</v>
      </c>
    </row>
    <row r="6" spans="1:10">
      <c r="A6" s="45">
        <f t="array" ref="A6">IFERROR(INDEX(baseline!$A$3:$A$201,MATCH($B6&amp;$C6,baseline!$C$3:$C$201&amp;baseline!$D$3:$D$201,0)),"NA")</f>
        <v>5</v>
      </c>
      <c r="B6" s="45" t="s">
        <v>761</v>
      </c>
      <c r="C6" s="45" t="s">
        <v>881</v>
      </c>
      <c r="D6" s="45" t="s">
        <v>832</v>
      </c>
      <c r="E6" s="45" t="b">
        <v>1</v>
      </c>
      <c r="F6" s="45">
        <v>24</v>
      </c>
      <c r="G6" s="45">
        <v>10</v>
      </c>
      <c r="H6" s="45">
        <v>12.8</v>
      </c>
      <c r="I6" s="45">
        <v>24</v>
      </c>
      <c r="J6" s="45">
        <v>7243</v>
      </c>
    </row>
    <row r="7" spans="1:10">
      <c r="A7" s="45">
        <f t="array" ref="A7">IFERROR(INDEX(baseline!$A$3:$A$201,MATCH($B7&amp;$C7,baseline!$C$3:$C$201&amp;baseline!$D$3:$D$201,0)),"NA")</f>
        <v>6</v>
      </c>
      <c r="B7" s="45" t="s">
        <v>761</v>
      </c>
      <c r="C7" s="45" t="s">
        <v>13</v>
      </c>
      <c r="D7" s="45" t="s">
        <v>832</v>
      </c>
      <c r="E7" s="45" t="b">
        <v>1</v>
      </c>
      <c r="F7" s="45">
        <v>24</v>
      </c>
      <c r="G7" s="45">
        <v>10</v>
      </c>
      <c r="H7" s="45">
        <v>12.8</v>
      </c>
      <c r="I7" s="45">
        <v>24</v>
      </c>
      <c r="J7" s="45">
        <v>7243</v>
      </c>
    </row>
    <row r="8" spans="1:10">
      <c r="A8" s="45">
        <f t="array" ref="A8">IFERROR(INDEX(baseline!$A$3:$A$201,MATCH($B8&amp;$C8,baseline!$C$3:$C$201&amp;baseline!$D$3:$D$201,0)),"NA")</f>
        <v>7</v>
      </c>
      <c r="B8" s="45" t="s">
        <v>761</v>
      </c>
      <c r="C8" s="45" t="s">
        <v>14</v>
      </c>
      <c r="D8" s="45" t="s">
        <v>832</v>
      </c>
      <c r="E8" s="45" t="b">
        <v>1</v>
      </c>
      <c r="F8" s="45">
        <v>24</v>
      </c>
      <c r="G8" s="45">
        <v>10</v>
      </c>
      <c r="H8" s="45">
        <v>12.8</v>
      </c>
      <c r="I8" s="45">
        <v>24</v>
      </c>
      <c r="J8" s="45">
        <v>7243</v>
      </c>
    </row>
    <row r="9" spans="1:10">
      <c r="A9" s="45">
        <f t="array" ref="A9">IFERROR(INDEX(baseline!$A$3:$A$201,MATCH($B9&amp;$C9,baseline!$C$3:$C$201&amp;baseline!$D$3:$D$201,0)),"NA")</f>
        <v>8</v>
      </c>
      <c r="B9" s="45" t="s">
        <v>697</v>
      </c>
      <c r="C9" s="45" t="s">
        <v>881</v>
      </c>
      <c r="D9" s="45" t="s">
        <v>832</v>
      </c>
      <c r="E9" s="45" t="b">
        <v>1</v>
      </c>
      <c r="F9" s="45">
        <v>24</v>
      </c>
      <c r="G9" s="45">
        <v>10</v>
      </c>
      <c r="H9" s="45">
        <v>12.8</v>
      </c>
      <c r="I9" s="45">
        <v>24</v>
      </c>
      <c r="J9" s="45">
        <v>3621</v>
      </c>
    </row>
    <row r="10" spans="1:10">
      <c r="A10" s="45">
        <f t="array" ref="A10">IFERROR(INDEX(baseline!$A$3:$A$201,MATCH($B10&amp;$C10,baseline!$C$3:$C$201&amp;baseline!$D$3:$D$201,0)),"NA")</f>
        <v>9</v>
      </c>
      <c r="B10" s="45" t="s">
        <v>697</v>
      </c>
      <c r="C10" s="45" t="s">
        <v>14</v>
      </c>
      <c r="D10" s="45" t="s">
        <v>832</v>
      </c>
      <c r="E10" s="45" t="b">
        <v>1</v>
      </c>
      <c r="F10" s="45">
        <v>24</v>
      </c>
      <c r="G10" s="45">
        <v>10</v>
      </c>
      <c r="H10" s="45">
        <v>12.8</v>
      </c>
      <c r="I10" s="45">
        <v>24</v>
      </c>
      <c r="J10" s="45">
        <v>3621</v>
      </c>
    </row>
    <row r="11" spans="1:10">
      <c r="A11" s="45">
        <f t="array" ref="A11">IFERROR(INDEX(baseline!$A$3:$A$201,MATCH($B11&amp;$C11,baseline!$C$3:$C$201&amp;baseline!$D$3:$D$201,0)),"NA")</f>
        <v>10</v>
      </c>
      <c r="B11" s="45" t="s">
        <v>713</v>
      </c>
      <c r="C11" s="45" t="s">
        <v>881</v>
      </c>
      <c r="D11" s="45" t="s">
        <v>832</v>
      </c>
      <c r="E11" s="45" t="b">
        <v>1</v>
      </c>
      <c r="F11" s="45">
        <v>24</v>
      </c>
      <c r="G11" s="45">
        <v>10</v>
      </c>
      <c r="H11" s="45">
        <v>12.8</v>
      </c>
      <c r="I11" s="45">
        <v>24</v>
      </c>
      <c r="J11" s="45">
        <v>3621</v>
      </c>
    </row>
    <row r="12" spans="1:10">
      <c r="A12" s="45">
        <f t="array" ref="A12">IFERROR(INDEX(baseline!$A$3:$A$201,MATCH($B12&amp;$C12,baseline!$C$3:$C$201&amp;baseline!$D$3:$D$201,0)),"NA")</f>
        <v>11</v>
      </c>
      <c r="B12" s="45" t="s">
        <v>713</v>
      </c>
      <c r="C12" s="45" t="s">
        <v>13</v>
      </c>
      <c r="D12" s="45" t="s">
        <v>832</v>
      </c>
      <c r="E12" s="45" t="b">
        <v>1</v>
      </c>
      <c r="F12" s="45">
        <v>24</v>
      </c>
      <c r="G12" s="45">
        <v>10</v>
      </c>
      <c r="H12" s="45">
        <v>12.8</v>
      </c>
      <c r="I12" s="45">
        <v>24</v>
      </c>
      <c r="J12" s="45">
        <v>3621</v>
      </c>
    </row>
    <row r="13" spans="1:10">
      <c r="A13" s="45">
        <f t="array" ref="A13">IFERROR(INDEX(baseline!$A$3:$A$201,MATCH($B13&amp;$C13,baseline!$C$3:$C$201&amp;baseline!$D$3:$D$201,0)),"NA")</f>
        <v>12</v>
      </c>
      <c r="B13" s="45" t="s">
        <v>713</v>
      </c>
      <c r="C13" s="45" t="s">
        <v>14</v>
      </c>
      <c r="D13" s="45" t="s">
        <v>832</v>
      </c>
      <c r="E13" s="45" t="b">
        <v>1</v>
      </c>
      <c r="F13" s="45">
        <v>24</v>
      </c>
      <c r="G13" s="45">
        <v>10</v>
      </c>
      <c r="H13" s="45">
        <v>12.8</v>
      </c>
      <c r="I13" s="45">
        <v>24</v>
      </c>
      <c r="J13" s="45">
        <v>3621</v>
      </c>
    </row>
    <row r="14" spans="1:10">
      <c r="A14" s="45">
        <f t="array" ref="A14">IFERROR(INDEX(baseline!$A$3:$A$201,MATCH($B14&amp;$C14,baseline!$C$3:$C$201&amp;baseline!$D$3:$D$201,0)),"NA")</f>
        <v>13</v>
      </c>
      <c r="B14" s="45" t="s">
        <v>762</v>
      </c>
      <c r="C14" s="45" t="s">
        <v>881</v>
      </c>
      <c r="D14" s="45" t="s">
        <v>832</v>
      </c>
      <c r="E14" s="45" t="b">
        <v>1</v>
      </c>
      <c r="F14" s="45">
        <v>24</v>
      </c>
      <c r="G14" s="45">
        <v>10</v>
      </c>
      <c r="H14" s="45">
        <v>12.8</v>
      </c>
      <c r="I14" s="45">
        <v>24</v>
      </c>
      <c r="J14" s="45">
        <v>18106</v>
      </c>
    </row>
    <row r="15" spans="1:10">
      <c r="A15" s="45">
        <f t="array" ref="A15">IFERROR(INDEX(baseline!$A$3:$A$201,MATCH($B15&amp;$C15,baseline!$C$3:$C$201&amp;baseline!$D$3:$D$201,0)),"NA")</f>
        <v>14</v>
      </c>
      <c r="B15" s="45" t="s">
        <v>762</v>
      </c>
      <c r="C15" s="45" t="s">
        <v>13</v>
      </c>
      <c r="D15" s="45" t="s">
        <v>832</v>
      </c>
      <c r="E15" s="45" t="b">
        <v>1</v>
      </c>
      <c r="F15" s="45">
        <v>24</v>
      </c>
      <c r="G15" s="45">
        <v>10</v>
      </c>
      <c r="H15" s="45">
        <v>12.8</v>
      </c>
      <c r="I15" s="45">
        <v>24</v>
      </c>
      <c r="J15" s="45">
        <v>18106</v>
      </c>
    </row>
    <row r="16" spans="1:10">
      <c r="A16" s="45">
        <f t="array" ref="A16">IFERROR(INDEX(baseline!$A$3:$A$201,MATCH($B16&amp;$C16,baseline!$C$3:$C$201&amp;baseline!$D$3:$D$201,0)),"NA")</f>
        <v>15</v>
      </c>
      <c r="B16" s="45" t="s">
        <v>762</v>
      </c>
      <c r="C16" s="45" t="s">
        <v>14</v>
      </c>
      <c r="D16" s="45" t="s">
        <v>832</v>
      </c>
      <c r="E16" s="45" t="b">
        <v>1</v>
      </c>
      <c r="F16" s="45">
        <v>24</v>
      </c>
      <c r="G16" s="45">
        <v>10</v>
      </c>
      <c r="H16" s="45">
        <v>12.8</v>
      </c>
      <c r="I16" s="45">
        <v>24</v>
      </c>
      <c r="J16" s="45">
        <v>18106</v>
      </c>
    </row>
    <row r="17" spans="1:10">
      <c r="A17" s="45">
        <f t="array" ref="A17">IFERROR(INDEX(baseline!$A$3:$A$201,MATCH($B17&amp;$C17,baseline!$C$3:$C$201&amp;baseline!$D$3:$D$201,0)),"NA")</f>
        <v>16</v>
      </c>
      <c r="B17" s="45" t="s">
        <v>763</v>
      </c>
      <c r="C17" s="45" t="s">
        <v>13</v>
      </c>
      <c r="D17" s="45" t="s">
        <v>832</v>
      </c>
      <c r="E17" s="45" t="b">
        <v>1</v>
      </c>
      <c r="F17" s="45">
        <v>24</v>
      </c>
      <c r="G17" s="45">
        <v>10</v>
      </c>
      <c r="H17" s="45">
        <v>12.8</v>
      </c>
      <c r="I17" s="45">
        <v>24</v>
      </c>
      <c r="J17" s="45">
        <v>14485</v>
      </c>
    </row>
    <row r="18" spans="1:10">
      <c r="A18" s="45">
        <f t="array" ref="A18">IFERROR(INDEX(baseline!$A$3:$A$201,MATCH($B18&amp;$C18,baseline!$C$3:$C$201&amp;baseline!$D$3:$D$201,0)),"NA")</f>
        <v>17</v>
      </c>
      <c r="B18" s="45" t="s">
        <v>763</v>
      </c>
      <c r="C18" s="45" t="s">
        <v>14</v>
      </c>
      <c r="D18" s="45" t="s">
        <v>832</v>
      </c>
      <c r="E18" s="45" t="b">
        <v>1</v>
      </c>
      <c r="F18" s="45">
        <v>24</v>
      </c>
      <c r="G18" s="45">
        <v>10</v>
      </c>
      <c r="H18" s="45">
        <v>12.8</v>
      </c>
      <c r="I18" s="45">
        <v>24</v>
      </c>
      <c r="J18" s="45">
        <v>14485</v>
      </c>
    </row>
    <row r="19" spans="1:10">
      <c r="A19" s="45">
        <f t="array" ref="A19">IFERROR(INDEX(baseline!$A$3:$A$201,MATCH($B19&amp;$C19,baseline!$C$3:$C$201&amp;baseline!$D$3:$D$201,0)),"NA")</f>
        <v>18</v>
      </c>
      <c r="B19" s="45" t="s">
        <v>763</v>
      </c>
      <c r="C19" s="45" t="s">
        <v>546</v>
      </c>
      <c r="D19" s="45" t="s">
        <v>832</v>
      </c>
      <c r="E19" s="45" t="b">
        <v>1</v>
      </c>
      <c r="F19" s="45">
        <v>24</v>
      </c>
      <c r="G19" s="45">
        <v>10</v>
      </c>
      <c r="H19" s="45">
        <v>12.8</v>
      </c>
      <c r="I19" s="45">
        <v>24</v>
      </c>
      <c r="J19" s="45">
        <v>14485</v>
      </c>
    </row>
    <row r="20" spans="1:10">
      <c r="A20" s="45">
        <f t="array" ref="A20">IFERROR(INDEX(baseline!$A$3:$A$201,MATCH($B20&amp;$C20,baseline!$C$3:$C$201&amp;baseline!$D$3:$D$201,0)),"NA")</f>
        <v>19</v>
      </c>
      <c r="B20" s="45" t="s">
        <v>712</v>
      </c>
      <c r="C20" s="45" t="s">
        <v>14</v>
      </c>
      <c r="D20" s="45" t="s">
        <v>832</v>
      </c>
      <c r="E20" s="45" t="b">
        <v>1</v>
      </c>
      <c r="F20" s="45">
        <v>24</v>
      </c>
      <c r="G20" s="45">
        <v>10</v>
      </c>
      <c r="H20" s="45">
        <v>12.8</v>
      </c>
      <c r="I20" s="45">
        <v>24</v>
      </c>
      <c r="J20" s="45">
        <v>32591</v>
      </c>
    </row>
    <row r="21" spans="1:10">
      <c r="A21" s="45">
        <f t="array" ref="A21">IFERROR(INDEX(baseline!$A$3:$A$201,MATCH($B21&amp;$C21,baseline!$C$3:$C$201&amp;baseline!$D$3:$D$201,0)),"NA")</f>
        <v>20</v>
      </c>
      <c r="B21" s="45" t="s">
        <v>2</v>
      </c>
      <c r="C21" s="45" t="s">
        <v>881</v>
      </c>
      <c r="D21" s="45" t="s">
        <v>769</v>
      </c>
      <c r="E21" s="45" t="s">
        <v>769</v>
      </c>
      <c r="F21" s="45" t="s">
        <v>769</v>
      </c>
      <c r="G21" s="45" t="s">
        <v>769</v>
      </c>
      <c r="H21" s="45" t="s">
        <v>769</v>
      </c>
      <c r="I21" s="45" t="s">
        <v>769</v>
      </c>
      <c r="J21" s="45" t="s">
        <v>769</v>
      </c>
    </row>
    <row r="22" spans="1:10">
      <c r="A22" s="45">
        <f t="array" ref="A22">IFERROR(INDEX(baseline!$A$3:$A$201,MATCH($B22&amp;$C22,baseline!$C$3:$C$201&amp;baseline!$D$3:$D$201,0)),"NA")</f>
        <v>21</v>
      </c>
      <c r="B22" s="45" t="s">
        <v>2</v>
      </c>
      <c r="C22" s="45" t="s">
        <v>13</v>
      </c>
      <c r="D22" s="45" t="s">
        <v>769</v>
      </c>
      <c r="E22" s="45" t="s">
        <v>769</v>
      </c>
      <c r="F22" s="45" t="s">
        <v>769</v>
      </c>
      <c r="G22" s="45" t="s">
        <v>769</v>
      </c>
      <c r="H22" s="45" t="s">
        <v>769</v>
      </c>
      <c r="I22" s="45" t="s">
        <v>769</v>
      </c>
      <c r="J22" s="45" t="s">
        <v>769</v>
      </c>
    </row>
    <row r="23" spans="1:10">
      <c r="A23" s="45">
        <f t="array" ref="A23">IFERROR(INDEX(baseline!$A$3:$A$201,MATCH($B23&amp;$C23,baseline!$C$3:$C$201&amp;baseline!$D$3:$D$201,0)),"NA")</f>
        <v>22</v>
      </c>
      <c r="B23" s="45" t="s">
        <v>2</v>
      </c>
      <c r="C23" s="45" t="s">
        <v>14</v>
      </c>
      <c r="D23" s="45" t="s">
        <v>769</v>
      </c>
      <c r="E23" s="45" t="s">
        <v>769</v>
      </c>
      <c r="F23" s="45" t="s">
        <v>769</v>
      </c>
      <c r="G23" s="45" t="s">
        <v>769</v>
      </c>
      <c r="H23" s="45" t="s">
        <v>769</v>
      </c>
      <c r="I23" s="45" t="s">
        <v>769</v>
      </c>
      <c r="J23" s="45" t="s">
        <v>769</v>
      </c>
    </row>
    <row r="24" spans="1:10">
      <c r="A24" s="45">
        <f t="array" ref="A24">IFERROR(INDEX(baseline!$A$3:$A$201,MATCH($B24&amp;$C24,baseline!$C$3:$C$201&amp;baseline!$D$3:$D$201,0)),"NA")</f>
        <v>23</v>
      </c>
      <c r="B24" s="45" t="s">
        <v>2</v>
      </c>
      <c r="C24" s="45" t="s">
        <v>546</v>
      </c>
      <c r="D24" s="45" t="s">
        <v>769</v>
      </c>
      <c r="E24" s="45" t="s">
        <v>769</v>
      </c>
      <c r="F24" s="45" t="s">
        <v>769</v>
      </c>
      <c r="G24" s="45" t="s">
        <v>769</v>
      </c>
      <c r="H24" s="45" t="s">
        <v>769</v>
      </c>
      <c r="I24" s="45" t="s">
        <v>769</v>
      </c>
      <c r="J24" s="45" t="s">
        <v>769</v>
      </c>
    </row>
    <row r="25" spans="1:10">
      <c r="A25" s="45">
        <f t="array" ref="A25">IFERROR(INDEX(baseline!$A$3:$A$201,MATCH($B25&amp;$C25,baseline!$C$3:$C$201&amp;baseline!$D$3:$D$201,0)),"NA")</f>
        <v>24</v>
      </c>
      <c r="B25" s="45" t="s">
        <v>547</v>
      </c>
      <c r="C25" s="45" t="s">
        <v>881</v>
      </c>
      <c r="D25" s="45" t="s">
        <v>832</v>
      </c>
      <c r="E25" s="45" t="b">
        <v>1</v>
      </c>
      <c r="F25" s="45">
        <v>24</v>
      </c>
      <c r="G25" s="45">
        <v>10</v>
      </c>
      <c r="H25" s="45">
        <v>12.8</v>
      </c>
      <c r="I25" s="45">
        <v>24</v>
      </c>
      <c r="J25" s="45">
        <v>14485</v>
      </c>
    </row>
    <row r="26" spans="1:10">
      <c r="A26" s="45">
        <f t="array" ref="A26">IFERROR(INDEX(baseline!$A$3:$A$201,MATCH($B26&amp;$C26,baseline!$C$3:$C$201&amp;baseline!$D$3:$D$201,0)),"NA")</f>
        <v>25</v>
      </c>
      <c r="B26" s="45" t="s">
        <v>547</v>
      </c>
      <c r="C26" s="45" t="s">
        <v>14</v>
      </c>
      <c r="D26" s="45" t="s">
        <v>832</v>
      </c>
      <c r="E26" s="45" t="b">
        <v>1</v>
      </c>
      <c r="F26" s="45">
        <v>24</v>
      </c>
      <c r="G26" s="45">
        <v>10</v>
      </c>
      <c r="H26" s="45">
        <v>12.8</v>
      </c>
      <c r="I26" s="45">
        <v>24</v>
      </c>
      <c r="J26" s="45">
        <v>14485</v>
      </c>
    </row>
    <row r="27" spans="1:10">
      <c r="A27" s="45">
        <f t="array" ref="A27">IFERROR(INDEX(baseline!$A$3:$A$201,MATCH($B27&amp;$C27,baseline!$C$3:$C$201&amp;baseline!$D$3:$D$201,0)),"NA")</f>
        <v>26</v>
      </c>
      <c r="B27" s="45" t="s">
        <v>547</v>
      </c>
      <c r="C27" s="45" t="s">
        <v>546</v>
      </c>
      <c r="D27" s="45" t="s">
        <v>832</v>
      </c>
      <c r="E27" s="45" t="b">
        <v>1</v>
      </c>
      <c r="F27" s="45">
        <v>24</v>
      </c>
      <c r="G27" s="45">
        <v>10</v>
      </c>
      <c r="H27" s="45">
        <v>12.8</v>
      </c>
      <c r="I27" s="45">
        <v>24</v>
      </c>
      <c r="J27" s="45">
        <v>14485</v>
      </c>
    </row>
    <row r="28" spans="1:10">
      <c r="A28" s="45">
        <f t="array" ref="A28">IFERROR(INDEX(baseline!$A$3:$A$201,MATCH($B28&amp;$C28,baseline!$C$3:$C$201&amp;baseline!$D$3:$D$201,0)),"NA")</f>
        <v>27</v>
      </c>
      <c r="B28" s="45" t="s">
        <v>1</v>
      </c>
      <c r="C28" s="45" t="s">
        <v>881</v>
      </c>
      <c r="D28" s="45" t="s">
        <v>832</v>
      </c>
      <c r="E28" s="45" t="b">
        <v>1</v>
      </c>
      <c r="F28" s="45">
        <v>24</v>
      </c>
      <c r="G28" s="45">
        <v>10</v>
      </c>
      <c r="H28" s="45">
        <v>12.8</v>
      </c>
      <c r="I28" s="45">
        <v>24</v>
      </c>
      <c r="J28" s="45">
        <v>9315</v>
      </c>
    </row>
    <row r="29" spans="1:10">
      <c r="A29" s="45">
        <f t="array" ref="A29">IFERROR(INDEX(baseline!$A$3:$A$201,MATCH($B29&amp;$C29,baseline!$C$3:$C$201&amp;baseline!$D$3:$D$201,0)),"NA")</f>
        <v>28</v>
      </c>
      <c r="B29" s="45" t="s">
        <v>1</v>
      </c>
      <c r="C29" s="45" t="s">
        <v>14</v>
      </c>
      <c r="D29" s="45" t="s">
        <v>832</v>
      </c>
      <c r="E29" s="45" t="b">
        <v>1</v>
      </c>
      <c r="F29" s="45">
        <v>24</v>
      </c>
      <c r="G29" s="45">
        <v>10</v>
      </c>
      <c r="H29" s="45">
        <v>12.8</v>
      </c>
      <c r="I29" s="45">
        <v>24</v>
      </c>
      <c r="J29" s="45">
        <v>9315</v>
      </c>
    </row>
    <row r="30" spans="1:10">
      <c r="A30" s="45" t="str">
        <f t="array" ref="A30">IFERROR(INDEX(baseline!$A$3:$A$201,MATCH($B30&amp;$C30,baseline!$C$3:$C$201&amp;baseline!$D$3:$D$201,0)),"NA")</f>
        <v>NA</v>
      </c>
      <c r="B30" s="45" t="s">
        <v>0</v>
      </c>
      <c r="C30" s="45" t="s">
        <v>13</v>
      </c>
      <c r="D30" s="45" t="s">
        <v>832</v>
      </c>
      <c r="E30" s="45" t="b">
        <v>1</v>
      </c>
      <c r="F30" s="45">
        <v>24</v>
      </c>
      <c r="G30" s="45">
        <v>10</v>
      </c>
      <c r="H30" s="45">
        <v>12.8</v>
      </c>
      <c r="I30" s="45">
        <v>24</v>
      </c>
      <c r="J30" s="45">
        <v>10864</v>
      </c>
    </row>
    <row r="31" spans="1:10">
      <c r="A31" s="45" t="str">
        <f t="array" ref="A31">IFERROR(INDEX(baseline!$A$3:$A$201,MATCH($B31&amp;$C31,baseline!$C$3:$C$201&amp;baseline!$D$3:$D$201,0)),"NA")</f>
        <v>NA</v>
      </c>
      <c r="B31" s="45" t="s">
        <v>0</v>
      </c>
      <c r="C31" s="45" t="s">
        <v>14</v>
      </c>
      <c r="D31" s="45" t="s">
        <v>832</v>
      </c>
      <c r="E31" s="45" t="b">
        <v>1</v>
      </c>
      <c r="F31" s="45">
        <v>24</v>
      </c>
      <c r="G31" s="45">
        <v>10</v>
      </c>
      <c r="H31" s="45">
        <v>12.8</v>
      </c>
      <c r="I31" s="45">
        <v>24</v>
      </c>
      <c r="J31" s="45">
        <v>10864</v>
      </c>
    </row>
    <row r="32" spans="1:10">
      <c r="A32" s="45">
        <f t="array" ref="A32">IFERROR(INDEX(baseline!$A$3:$A$201,MATCH($B32&amp;$C32,baseline!$C$3:$C$201&amp;baseline!$D$3:$D$201,0)),"NA")</f>
        <v>30</v>
      </c>
      <c r="B32" s="45" t="s">
        <v>0</v>
      </c>
      <c r="C32" s="45" t="s">
        <v>546</v>
      </c>
      <c r="D32" s="45" t="s">
        <v>832</v>
      </c>
      <c r="E32" s="45" t="b">
        <v>1</v>
      </c>
      <c r="F32" s="45">
        <v>24</v>
      </c>
      <c r="G32" s="45">
        <v>10</v>
      </c>
      <c r="H32" s="45">
        <v>12.8</v>
      </c>
      <c r="I32" s="45">
        <v>24</v>
      </c>
      <c r="J32" s="45">
        <v>10864</v>
      </c>
    </row>
    <row r="33" spans="1:10">
      <c r="A33" s="45" t="str">
        <f t="array" ref="A33">IFERROR(INDEX(baseline!$A$3:$A$201,MATCH($B33&amp;$C33,baseline!$C$3:$C$201&amp;baseline!$D$3:$D$201,0)),"NA")</f>
        <v>NA</v>
      </c>
      <c r="B33" s="45" t="s">
        <v>78</v>
      </c>
      <c r="C33" s="45" t="s">
        <v>13</v>
      </c>
      <c r="D33" s="45" t="s">
        <v>832</v>
      </c>
      <c r="E33" s="45" t="b">
        <v>1</v>
      </c>
      <c r="F33" s="45">
        <v>24</v>
      </c>
      <c r="G33" s="45">
        <v>10</v>
      </c>
      <c r="H33" s="45">
        <v>12.8</v>
      </c>
      <c r="I33" s="45">
        <v>24</v>
      </c>
      <c r="J33" s="45">
        <v>2760</v>
      </c>
    </row>
    <row r="34" spans="1:10">
      <c r="A34" s="45" t="str">
        <f t="array" ref="A34">IFERROR(INDEX(baseline!$A$3:$A$201,MATCH($B34&amp;$C34,baseline!$C$3:$C$201&amp;baseline!$D$3:$D$201,0)),"NA")</f>
        <v>NA</v>
      </c>
      <c r="B34" s="45" t="s">
        <v>78</v>
      </c>
      <c r="C34" s="45" t="s">
        <v>14</v>
      </c>
      <c r="D34" s="45" t="s">
        <v>832</v>
      </c>
      <c r="E34" s="45" t="b">
        <v>1</v>
      </c>
      <c r="F34" s="45">
        <v>24</v>
      </c>
      <c r="G34" s="45">
        <v>10</v>
      </c>
      <c r="H34" s="45">
        <v>12.8</v>
      </c>
      <c r="I34" s="45">
        <v>24</v>
      </c>
      <c r="J34" s="45">
        <v>2760</v>
      </c>
    </row>
    <row r="35" spans="1:10">
      <c r="A35" s="45">
        <f t="array" ref="A35">IFERROR(INDEX(baseline!$A$3:$A$201,MATCH($B35&amp;$C35,baseline!$C$3:$C$201&amp;baseline!$D$3:$D$201,0)),"NA")</f>
        <v>31</v>
      </c>
      <c r="B35" s="45" t="s">
        <v>78</v>
      </c>
      <c r="C35" s="45" t="s">
        <v>546</v>
      </c>
      <c r="D35" s="45" t="s">
        <v>832</v>
      </c>
      <c r="E35" s="45" t="b">
        <v>1</v>
      </c>
      <c r="F35" s="45">
        <v>24</v>
      </c>
      <c r="G35" s="45">
        <v>10</v>
      </c>
      <c r="H35" s="45">
        <v>12.8</v>
      </c>
      <c r="I35" s="45">
        <v>24</v>
      </c>
      <c r="J35" s="45">
        <v>2760</v>
      </c>
    </row>
    <row r="36" spans="1:10">
      <c r="A36" s="45" t="str">
        <f t="array" ref="A36">IFERROR(INDEX(baseline!$A$3:$A$201,MATCH($B36&amp;$C36,baseline!$C$3:$C$201&amp;baseline!$D$3:$D$201,0)),"NA")</f>
        <v>NA</v>
      </c>
      <c r="B36" s="45" t="s">
        <v>545</v>
      </c>
      <c r="C36" s="45" t="s">
        <v>13</v>
      </c>
      <c r="D36" s="45" t="s">
        <v>832</v>
      </c>
      <c r="E36" s="45" t="b">
        <v>1</v>
      </c>
      <c r="F36" s="45">
        <v>24</v>
      </c>
      <c r="G36" s="45">
        <v>10</v>
      </c>
      <c r="H36" s="45">
        <v>12.8</v>
      </c>
      <c r="I36" s="45">
        <v>24</v>
      </c>
      <c r="J36" s="45">
        <v>14485</v>
      </c>
    </row>
    <row r="37" spans="1:10">
      <c r="A37" s="45" t="str">
        <f t="array" ref="A37">IFERROR(INDEX(baseline!$A$3:$A$201,MATCH($B37&amp;$C37,baseline!$C$3:$C$201&amp;baseline!$D$3:$D$201,0)),"NA")</f>
        <v>NA</v>
      </c>
      <c r="B37" s="45" t="s">
        <v>545</v>
      </c>
      <c r="C37" s="45" t="s">
        <v>14</v>
      </c>
      <c r="D37" s="45" t="s">
        <v>832</v>
      </c>
      <c r="E37" s="45" t="b">
        <v>1</v>
      </c>
      <c r="F37" s="45">
        <v>24</v>
      </c>
      <c r="G37" s="45">
        <v>10</v>
      </c>
      <c r="H37" s="45">
        <v>12.8</v>
      </c>
      <c r="I37" s="45">
        <v>24</v>
      </c>
      <c r="J37" s="45">
        <v>14485</v>
      </c>
    </row>
    <row r="38" spans="1:10">
      <c r="A38" s="45">
        <f t="array" ref="A38">IFERROR(INDEX(baseline!$A$3:$A$201,MATCH($B38&amp;$C38,baseline!$C$3:$C$201&amp;baseline!$D$3:$D$201,0)),"NA")</f>
        <v>29</v>
      </c>
      <c r="B38" s="45" t="s">
        <v>761</v>
      </c>
      <c r="C38" s="45" t="s">
        <v>546</v>
      </c>
      <c r="D38" s="45" t="s">
        <v>832</v>
      </c>
      <c r="E38" s="45" t="b">
        <v>1</v>
      </c>
      <c r="F38" s="45">
        <v>24</v>
      </c>
      <c r="G38" s="45">
        <v>10</v>
      </c>
      <c r="H38" s="45">
        <v>12.8</v>
      </c>
      <c r="I38" s="45">
        <v>24</v>
      </c>
      <c r="J38" s="45">
        <v>7243</v>
      </c>
    </row>
    <row r="39" spans="1:10">
      <c r="A39" s="45" t="str">
        <f t="array" ref="A39">IFERROR(INDEX(baseline!$A$3:$A$201,MATCH($B39&amp;$C39,baseline!$C$3:$C$201&amp;baseline!$D$3:$D$201,0)),"NA")</f>
        <v>NA</v>
      </c>
      <c r="B39" s="45" t="s">
        <v>697</v>
      </c>
      <c r="C39" s="45" t="s">
        <v>13</v>
      </c>
      <c r="D39" s="45" t="s">
        <v>832</v>
      </c>
      <c r="E39" s="45" t="b">
        <v>1</v>
      </c>
      <c r="F39" s="45">
        <v>24</v>
      </c>
      <c r="G39" s="45">
        <v>10</v>
      </c>
      <c r="H39" s="45">
        <v>12.8</v>
      </c>
      <c r="I39" s="45">
        <v>24</v>
      </c>
      <c r="J39" s="45">
        <v>3621</v>
      </c>
    </row>
    <row r="40" spans="1:10">
      <c r="A40" s="45" t="str">
        <f t="array" ref="A40">IFERROR(INDEX(baseline!$A$3:$A$201,MATCH($B40&amp;$C40,baseline!$C$3:$C$201&amp;baseline!$D$3:$D$201,0)),"NA")</f>
        <v>NA</v>
      </c>
      <c r="B40" s="45" t="s">
        <v>697</v>
      </c>
      <c r="C40" s="45" t="s">
        <v>546</v>
      </c>
      <c r="D40" s="45" t="s">
        <v>832</v>
      </c>
      <c r="E40" s="45" t="b">
        <v>1</v>
      </c>
      <c r="F40" s="45">
        <v>24</v>
      </c>
      <c r="G40" s="45">
        <v>10</v>
      </c>
      <c r="H40" s="45">
        <v>12.8</v>
      </c>
      <c r="I40" s="45">
        <v>24</v>
      </c>
      <c r="J40" s="45">
        <v>3621</v>
      </c>
    </row>
    <row r="41" spans="1:10">
      <c r="A41" s="45" t="str">
        <f t="array" ref="A41">IFERROR(INDEX(baseline!$A$3:$A$201,MATCH($B41&amp;$C41,baseline!$C$3:$C$201&amp;baseline!$D$3:$D$201,0)),"NA")</f>
        <v>NA</v>
      </c>
      <c r="B41" s="45" t="s">
        <v>713</v>
      </c>
      <c r="C41" s="45" t="s">
        <v>546</v>
      </c>
      <c r="D41" s="45" t="s">
        <v>832</v>
      </c>
      <c r="E41" s="45" t="b">
        <v>1</v>
      </c>
      <c r="F41" s="45">
        <v>24</v>
      </c>
      <c r="G41" s="45">
        <v>10</v>
      </c>
      <c r="H41" s="45">
        <v>12.8</v>
      </c>
      <c r="I41" s="45">
        <v>24</v>
      </c>
      <c r="J41" s="45">
        <v>3621</v>
      </c>
    </row>
    <row r="42" spans="1:10">
      <c r="A42" s="45" t="str">
        <f t="array" ref="A42">IFERROR(INDEX(baseline!$A$3:$A$201,MATCH($B42&amp;$C42,baseline!$C$3:$C$201&amp;baseline!$D$3:$D$201,0)),"NA")</f>
        <v>NA</v>
      </c>
      <c r="B42" s="45" t="s">
        <v>762</v>
      </c>
      <c r="C42" s="45" t="s">
        <v>546</v>
      </c>
      <c r="D42" s="45" t="s">
        <v>832</v>
      </c>
      <c r="E42" s="45" t="b">
        <v>1</v>
      </c>
      <c r="F42" s="45">
        <v>24</v>
      </c>
      <c r="G42" s="45">
        <v>10</v>
      </c>
      <c r="H42" s="45">
        <v>12.8</v>
      </c>
      <c r="I42" s="45">
        <v>24</v>
      </c>
      <c r="J42" s="45">
        <v>18106</v>
      </c>
    </row>
    <row r="43" spans="1:10">
      <c r="A43" s="45" t="str">
        <f t="array" ref="A43">IFERROR(INDEX(baseline!$A$3:$A$201,MATCH($B43&amp;$C43,baseline!$C$3:$C$201&amp;baseline!$D$3:$D$201,0)),"NA")</f>
        <v>NA</v>
      </c>
      <c r="B43" s="45" t="s">
        <v>763</v>
      </c>
      <c r="C43" s="45" t="s">
        <v>881</v>
      </c>
      <c r="D43" s="45" t="s">
        <v>832</v>
      </c>
      <c r="E43" s="45" t="b">
        <v>1</v>
      </c>
      <c r="F43" s="45">
        <v>24</v>
      </c>
      <c r="G43" s="45">
        <v>10</v>
      </c>
      <c r="H43" s="45">
        <v>12.8</v>
      </c>
      <c r="I43" s="45">
        <v>24</v>
      </c>
      <c r="J43" s="45">
        <v>14485</v>
      </c>
    </row>
    <row r="44" spans="1:10">
      <c r="A44" s="45" t="str">
        <f t="array" ref="A44">IFERROR(INDEX(baseline!$A$3:$A$201,MATCH($B44&amp;$C44,baseline!$C$3:$C$201&amp;baseline!$D$3:$D$201,0)),"NA")</f>
        <v>NA</v>
      </c>
      <c r="B44" s="45" t="s">
        <v>712</v>
      </c>
      <c r="C44" s="45" t="s">
        <v>881</v>
      </c>
      <c r="D44" s="45" t="s">
        <v>832</v>
      </c>
      <c r="E44" s="45" t="b">
        <v>1</v>
      </c>
      <c r="F44" s="45">
        <v>24</v>
      </c>
      <c r="G44" s="45">
        <v>10</v>
      </c>
      <c r="H44" s="45">
        <v>12.8</v>
      </c>
      <c r="I44" s="45">
        <v>24</v>
      </c>
      <c r="J44" s="45">
        <v>32591</v>
      </c>
    </row>
    <row r="45" spans="1:10">
      <c r="A45" s="45" t="str">
        <f t="array" ref="A45">IFERROR(INDEX(baseline!$A$3:$A$201,MATCH($B45&amp;$C45,baseline!$C$3:$C$201&amp;baseline!$D$3:$D$201,0)),"NA")</f>
        <v>NA</v>
      </c>
      <c r="B45" s="45" t="s">
        <v>712</v>
      </c>
      <c r="C45" s="45" t="s">
        <v>13</v>
      </c>
      <c r="D45" s="45" t="s">
        <v>832</v>
      </c>
      <c r="E45" s="45" t="b">
        <v>1</v>
      </c>
      <c r="F45" s="45">
        <v>24</v>
      </c>
      <c r="G45" s="45">
        <v>10</v>
      </c>
      <c r="H45" s="45">
        <v>12.8</v>
      </c>
      <c r="I45" s="45">
        <v>24</v>
      </c>
      <c r="J45" s="45">
        <v>32591</v>
      </c>
    </row>
    <row r="46" spans="1:10">
      <c r="A46" s="45" t="str">
        <f t="array" ref="A46">IFERROR(INDEX(baseline!$A$3:$A$201,MATCH($B46&amp;$C46,baseline!$C$3:$C$201&amp;baseline!$D$3:$D$201,0)),"NA")</f>
        <v>NA</v>
      </c>
      <c r="B46" s="45" t="s">
        <v>712</v>
      </c>
      <c r="C46" s="45" t="s">
        <v>546</v>
      </c>
      <c r="D46" s="45" t="s">
        <v>832</v>
      </c>
      <c r="E46" s="45" t="b">
        <v>1</v>
      </c>
      <c r="F46" s="45">
        <v>24</v>
      </c>
      <c r="G46" s="45">
        <v>10</v>
      </c>
      <c r="H46" s="45">
        <v>12.8</v>
      </c>
      <c r="I46" s="45">
        <v>24</v>
      </c>
      <c r="J46" s="45">
        <v>32591</v>
      </c>
    </row>
    <row r="47" spans="1:10">
      <c r="A47" s="45" t="str">
        <f t="array" ref="A47">IFERROR(INDEX(baseline!$A$3:$A$201,MATCH($B47&amp;$C47,baseline!$C$3:$C$201&amp;baseline!$D$3:$D$201,0)),"NA")</f>
        <v>NA</v>
      </c>
      <c r="B47" s="45" t="s">
        <v>547</v>
      </c>
      <c r="C47" s="45" t="s">
        <v>13</v>
      </c>
      <c r="D47" s="45" t="s">
        <v>832</v>
      </c>
      <c r="E47" s="45" t="b">
        <v>1</v>
      </c>
      <c r="F47" s="45">
        <v>24</v>
      </c>
      <c r="G47" s="45">
        <v>10</v>
      </c>
      <c r="H47" s="45">
        <v>12.8</v>
      </c>
      <c r="I47" s="45">
        <v>24</v>
      </c>
      <c r="J47" s="45">
        <v>14485</v>
      </c>
    </row>
    <row r="48" spans="1:10">
      <c r="A48" s="45" t="str">
        <f t="array" ref="A48">IFERROR(INDEX(baseline!$A$3:$A$201,MATCH($B48&amp;$C48,baseline!$C$3:$C$201&amp;baseline!$D$3:$D$201,0)),"NA")</f>
        <v>NA</v>
      </c>
      <c r="B48" s="45" t="s">
        <v>1</v>
      </c>
      <c r="C48" s="45" t="s">
        <v>13</v>
      </c>
      <c r="D48" s="45" t="s">
        <v>832</v>
      </c>
      <c r="E48" s="45" t="b">
        <v>1</v>
      </c>
      <c r="F48" s="45">
        <v>24</v>
      </c>
      <c r="G48" s="45">
        <v>10</v>
      </c>
      <c r="H48" s="45">
        <v>12.8</v>
      </c>
      <c r="I48" s="45">
        <v>24</v>
      </c>
      <c r="J48" s="45">
        <v>9315</v>
      </c>
    </row>
    <row r="49" spans="1:10">
      <c r="A49" s="45" t="str">
        <f t="array" ref="A49">IFERROR(INDEX(baseline!$A$3:$A$201,MATCH($B49&amp;$C49,baseline!$C$3:$C$201&amp;baseline!$D$3:$D$201,0)),"NA")</f>
        <v>NA</v>
      </c>
      <c r="B49" s="45" t="s">
        <v>1</v>
      </c>
      <c r="C49" s="45" t="s">
        <v>546</v>
      </c>
      <c r="D49" s="45" t="s">
        <v>832</v>
      </c>
      <c r="E49" s="45" t="b">
        <v>1</v>
      </c>
      <c r="F49" s="45">
        <v>24</v>
      </c>
      <c r="G49" s="45">
        <v>10</v>
      </c>
      <c r="H49" s="45">
        <v>12.8</v>
      </c>
      <c r="I49" s="45">
        <v>24</v>
      </c>
      <c r="J49" s="45">
        <v>9315</v>
      </c>
    </row>
  </sheetData>
  <sortState ref="A2:J49">
    <sortCondition ref="A2:A49"/>
    <sortCondition ref="B2:B49"/>
    <sortCondition ref="C2:C49"/>
    <sortCondition ref="D2:D49"/>
  </sortState>
  <pageMargins left="0.7" right="0.7" top="0.75" bottom="0.75" header="0.3" footer="0.3"/>
</worksheet>
</file>

<file path=xl/worksheets/sheet29.xml><?xml version="1.0" encoding="utf-8"?>
<worksheet xmlns="http://schemas.openxmlformats.org/spreadsheetml/2006/main" xmlns:r="http://schemas.openxmlformats.org/officeDocument/2006/relationships">
  <sheetPr>
    <tabColor rgb="FF00B050"/>
  </sheetPr>
  <dimension ref="A1:W130"/>
  <sheetViews>
    <sheetView topLeftCell="K1" workbookViewId="0">
      <selection activeCell="W1" sqref="W1"/>
    </sheetView>
  </sheetViews>
  <sheetFormatPr defaultRowHeight="14.4"/>
  <cols>
    <col min="4" max="4" width="20.5546875" customWidth="1"/>
    <col min="9" max="9" width="17.33203125" style="131" customWidth="1"/>
    <col min="10" max="10" width="16.88671875" customWidth="1"/>
    <col min="11" max="11" width="13.44140625" customWidth="1"/>
    <col min="12" max="12" width="18.44140625" customWidth="1"/>
    <col min="14" max="14" width="24.33203125" style="45" customWidth="1"/>
    <col min="15" max="15" width="15.109375" customWidth="1"/>
    <col min="18" max="18" width="17" style="144" customWidth="1"/>
    <col min="19" max="19" width="18.6640625" customWidth="1"/>
    <col min="20" max="20" width="20.109375" style="45" customWidth="1"/>
    <col min="21" max="21" width="14.5546875" style="131" customWidth="1"/>
    <col min="23" max="23" width="17" style="144" bestFit="1" customWidth="1"/>
  </cols>
  <sheetData>
    <row r="1" spans="1:23" ht="31.2">
      <c r="A1" t="s">
        <v>920</v>
      </c>
      <c r="B1" s="128" t="s">
        <v>766</v>
      </c>
      <c r="C1" s="127" t="s">
        <v>748</v>
      </c>
      <c r="D1" s="131" t="s">
        <v>774</v>
      </c>
      <c r="E1" s="131" t="s">
        <v>882</v>
      </c>
      <c r="F1" s="131" t="s">
        <v>888</v>
      </c>
      <c r="G1" s="131" t="s">
        <v>889</v>
      </c>
      <c r="H1" s="131" t="s">
        <v>890</v>
      </c>
      <c r="I1" s="160" t="s">
        <v>902</v>
      </c>
      <c r="J1" s="160" t="s">
        <v>903</v>
      </c>
      <c r="K1" s="160" t="s">
        <v>918</v>
      </c>
      <c r="L1" s="160" t="s">
        <v>919</v>
      </c>
      <c r="N1" s="45" t="s">
        <v>906</v>
      </c>
      <c r="O1" t="s">
        <v>805</v>
      </c>
      <c r="P1" s="145" t="s">
        <v>727</v>
      </c>
      <c r="Q1" s="145" t="s">
        <v>858</v>
      </c>
      <c r="R1" t="s">
        <v>899</v>
      </c>
      <c r="S1" t="s">
        <v>1018</v>
      </c>
      <c r="T1" s="45" t="s">
        <v>1017</v>
      </c>
      <c r="U1" s="182" t="s">
        <v>1015</v>
      </c>
      <c r="V1" t="s">
        <v>1014</v>
      </c>
      <c r="W1" s="144" t="s">
        <v>1016</v>
      </c>
    </row>
    <row r="2" spans="1:23">
      <c r="A2" s="45">
        <f t="array" ref="A2">IFERROR(INDEX(baseline!$A$3:$A$201,MATCH($B2&amp;$C2,baseline!$C$3:$C$201&amp;baseline!$D$3:$D$201,0)),"NA")</f>
        <v>1</v>
      </c>
      <c r="B2" t="s">
        <v>0</v>
      </c>
      <c r="C2" t="s">
        <v>881</v>
      </c>
      <c r="D2" s="131" t="s">
        <v>1013</v>
      </c>
      <c r="E2" s="131">
        <v>0.7</v>
      </c>
      <c r="F2" s="132" t="s">
        <v>769</v>
      </c>
      <c r="G2" s="132" t="s">
        <v>769</v>
      </c>
      <c r="H2" s="132" t="s">
        <v>769</v>
      </c>
      <c r="I2" s="131">
        <v>0.9</v>
      </c>
      <c r="J2">
        <v>0.3</v>
      </c>
      <c r="K2" t="s">
        <v>769</v>
      </c>
      <c r="L2" t="s">
        <v>769</v>
      </c>
      <c r="N2" s="45" t="s">
        <v>769</v>
      </c>
      <c r="O2" t="b">
        <v>1</v>
      </c>
      <c r="P2" s="132">
        <v>0.89500000000000002</v>
      </c>
      <c r="Q2" s="132">
        <v>0.89500000000000002</v>
      </c>
      <c r="R2" s="144">
        <f>S2+T2+U2+V2+W2</f>
        <v>192544</v>
      </c>
      <c r="S2">
        <v>64275</v>
      </c>
      <c r="T2" s="45">
        <v>4523</v>
      </c>
      <c r="U2" s="131">
        <v>21281</v>
      </c>
      <c r="V2">
        <v>92265</v>
      </c>
      <c r="W2" s="145">
        <v>10200</v>
      </c>
    </row>
    <row r="3" spans="1:23">
      <c r="A3" s="45">
        <f t="array" ref="A3">IFERROR(INDEX(baseline!$A$3:$A$201,MATCH($B3&amp;$C3,baseline!$C$3:$C$201&amp;baseline!$D$3:$D$201,0)),"NA")</f>
        <v>2</v>
      </c>
      <c r="B3" t="s">
        <v>78</v>
      </c>
      <c r="C3" t="s">
        <v>881</v>
      </c>
      <c r="D3" s="131" t="s">
        <v>1013</v>
      </c>
      <c r="E3" s="131">
        <v>0.7</v>
      </c>
      <c r="F3" s="132" t="s">
        <v>769</v>
      </c>
      <c r="G3" s="132" t="s">
        <v>769</v>
      </c>
      <c r="H3" s="132" t="s">
        <v>769</v>
      </c>
      <c r="I3" s="131">
        <v>0.9</v>
      </c>
      <c r="J3">
        <v>0.3</v>
      </c>
      <c r="K3" t="s">
        <v>769</v>
      </c>
      <c r="L3" t="s">
        <v>769</v>
      </c>
      <c r="N3" s="45" t="s">
        <v>769</v>
      </c>
      <c r="O3" t="b">
        <v>1</v>
      </c>
      <c r="P3" s="132">
        <v>0.89500000000000002</v>
      </c>
      <c r="Q3" s="132">
        <v>0.89500000000000002</v>
      </c>
      <c r="R3" s="144">
        <f t="shared" ref="R3:R20" si="0">S3+T3+U3+V3+W3</f>
        <v>35564</v>
      </c>
      <c r="S3">
        <v>8668</v>
      </c>
      <c r="T3" s="45">
        <v>2261</v>
      </c>
      <c r="U3" s="131">
        <v>2750</v>
      </c>
      <c r="V3">
        <v>15765</v>
      </c>
      <c r="W3" s="145">
        <v>6120</v>
      </c>
    </row>
    <row r="4" spans="1:23">
      <c r="A4" s="45">
        <f t="array" ref="A4">IFERROR(INDEX(baseline!$A$3:$A$201,MATCH($B4&amp;$C4,baseline!$C$3:$C$201&amp;baseline!$D$3:$D$201,0)),"NA")</f>
        <v>3</v>
      </c>
      <c r="B4" t="s">
        <v>545</v>
      </c>
      <c r="C4" t="s">
        <v>881</v>
      </c>
      <c r="D4" s="131" t="s">
        <v>1013</v>
      </c>
      <c r="E4" s="131">
        <v>0.7</v>
      </c>
      <c r="F4" s="132" t="s">
        <v>769</v>
      </c>
      <c r="G4" s="132" t="s">
        <v>769</v>
      </c>
      <c r="H4" s="132" t="s">
        <v>769</v>
      </c>
      <c r="I4" s="131">
        <v>0.9</v>
      </c>
      <c r="J4">
        <v>0.3</v>
      </c>
      <c r="K4" t="s">
        <v>769</v>
      </c>
      <c r="L4" t="s">
        <v>769</v>
      </c>
      <c r="N4" s="45" t="b">
        <v>1</v>
      </c>
      <c r="O4" t="b">
        <v>1</v>
      </c>
      <c r="P4" s="132">
        <v>0.89500000000000002</v>
      </c>
      <c r="Q4" s="132">
        <v>0.89500000000000002</v>
      </c>
      <c r="R4" s="144">
        <f t="shared" si="0"/>
        <v>139354</v>
      </c>
      <c r="S4">
        <v>7713</v>
      </c>
      <c r="T4" s="45">
        <v>6784</v>
      </c>
      <c r="U4" s="131">
        <v>2554</v>
      </c>
      <c r="V4">
        <v>111667</v>
      </c>
      <c r="W4" s="145">
        <v>10636</v>
      </c>
    </row>
    <row r="5" spans="1:23">
      <c r="A5" s="45">
        <f t="array" ref="A5">IFERROR(INDEX(baseline!$A$3:$A$201,MATCH($B5&amp;$C5,baseline!$C$3:$C$201&amp;baseline!$D$3:$D$201,0)),"NA")</f>
        <v>4</v>
      </c>
      <c r="B5" t="s">
        <v>545</v>
      </c>
      <c r="C5" t="s">
        <v>546</v>
      </c>
      <c r="D5" s="131" t="s">
        <v>1013</v>
      </c>
      <c r="E5" s="131">
        <v>0.7</v>
      </c>
      <c r="F5" s="132" t="s">
        <v>769</v>
      </c>
      <c r="G5" s="132" t="s">
        <v>769</v>
      </c>
      <c r="H5" s="132" t="s">
        <v>769</v>
      </c>
      <c r="I5" s="131">
        <v>0.9</v>
      </c>
      <c r="J5">
        <v>0.3</v>
      </c>
      <c r="K5" t="s">
        <v>769</v>
      </c>
      <c r="L5" t="s">
        <v>769</v>
      </c>
      <c r="N5" s="45" t="b">
        <v>1</v>
      </c>
      <c r="O5" t="b">
        <v>1</v>
      </c>
      <c r="P5" s="132">
        <v>0.89500000000000002</v>
      </c>
      <c r="Q5" s="132">
        <v>0.89500000000000002</v>
      </c>
      <c r="R5" s="144">
        <f t="shared" si="0"/>
        <v>139354</v>
      </c>
      <c r="S5">
        <v>7713</v>
      </c>
      <c r="T5" s="45">
        <v>6784</v>
      </c>
      <c r="U5" s="131">
        <v>2554</v>
      </c>
      <c r="V5">
        <v>111667</v>
      </c>
      <c r="W5" s="145">
        <v>10636</v>
      </c>
    </row>
    <row r="6" spans="1:23">
      <c r="A6" s="45">
        <f t="array" ref="A6">IFERROR(INDEX(baseline!$A$3:$A$201,MATCH($B6&amp;$C6,baseline!$C$3:$C$201&amp;baseline!$D$3:$D$201,0)),"NA")</f>
        <v>5</v>
      </c>
      <c r="B6" t="s">
        <v>761</v>
      </c>
      <c r="C6" t="s">
        <v>881</v>
      </c>
      <c r="D6" s="131" t="s">
        <v>1013</v>
      </c>
      <c r="E6" s="131">
        <v>0.7</v>
      </c>
      <c r="F6" s="132" t="s">
        <v>769</v>
      </c>
      <c r="G6" s="132" t="s">
        <v>769</v>
      </c>
      <c r="H6" s="132" t="s">
        <v>769</v>
      </c>
      <c r="I6" s="131">
        <v>0.9</v>
      </c>
      <c r="J6">
        <v>0.3</v>
      </c>
      <c r="K6" t="s">
        <v>769</v>
      </c>
      <c r="L6" t="s">
        <v>769</v>
      </c>
      <c r="N6" s="45" t="b">
        <v>1</v>
      </c>
      <c r="O6" t="b">
        <v>1</v>
      </c>
      <c r="P6" s="132">
        <v>0.89500000000000002</v>
      </c>
      <c r="Q6" s="132">
        <v>0.89500000000000002</v>
      </c>
      <c r="R6" s="144">
        <f t="shared" si="0"/>
        <v>232175</v>
      </c>
      <c r="S6">
        <v>65989</v>
      </c>
      <c r="T6" s="45">
        <v>3769</v>
      </c>
      <c r="U6" s="131">
        <v>21849</v>
      </c>
      <c r="V6">
        <v>133713</v>
      </c>
      <c r="W6" s="145">
        <v>6855</v>
      </c>
    </row>
    <row r="7" spans="1:23">
      <c r="A7" s="45">
        <f t="array" ref="A7">IFERROR(INDEX(baseline!$A$3:$A$201,MATCH($B7&amp;$C7,baseline!$C$3:$C$201&amp;baseline!$D$3:$D$201,0)),"NA")</f>
        <v>6</v>
      </c>
      <c r="B7" t="s">
        <v>761</v>
      </c>
      <c r="C7" t="s">
        <v>13</v>
      </c>
      <c r="D7" s="131" t="s">
        <v>1013</v>
      </c>
      <c r="E7" s="131">
        <v>0.7</v>
      </c>
      <c r="F7" s="132" t="s">
        <v>769</v>
      </c>
      <c r="G7" s="132" t="s">
        <v>769</v>
      </c>
      <c r="H7" s="132" t="s">
        <v>769</v>
      </c>
      <c r="I7" s="131">
        <v>0.9</v>
      </c>
      <c r="J7">
        <v>0.3</v>
      </c>
      <c r="K7" t="s">
        <v>769</v>
      </c>
      <c r="L7" t="s">
        <v>769</v>
      </c>
      <c r="N7" s="45" t="b">
        <v>1</v>
      </c>
      <c r="O7" t="b">
        <v>1</v>
      </c>
      <c r="P7" s="132">
        <v>0.89500000000000002</v>
      </c>
      <c r="Q7" s="132">
        <v>0.89500000000000002</v>
      </c>
      <c r="R7" s="144">
        <f t="shared" si="0"/>
        <v>232175</v>
      </c>
      <c r="S7">
        <v>65989</v>
      </c>
      <c r="T7" s="45">
        <v>3769</v>
      </c>
      <c r="U7" s="131">
        <v>21849</v>
      </c>
      <c r="V7">
        <v>133713</v>
      </c>
      <c r="W7" s="145">
        <v>6855</v>
      </c>
    </row>
    <row r="8" spans="1:23">
      <c r="A8" s="45">
        <f t="array" ref="A8">IFERROR(INDEX(baseline!$A$3:$A$201,MATCH($B8&amp;$C8,baseline!$C$3:$C$201&amp;baseline!$D$3:$D$201,0)),"NA")</f>
        <v>7</v>
      </c>
      <c r="B8" t="s">
        <v>761</v>
      </c>
      <c r="C8" t="s">
        <v>14</v>
      </c>
      <c r="D8" s="131" t="s">
        <v>1013</v>
      </c>
      <c r="E8" s="131">
        <v>0.7</v>
      </c>
      <c r="F8" s="132" t="s">
        <v>769</v>
      </c>
      <c r="G8" s="132" t="s">
        <v>769</v>
      </c>
      <c r="H8" s="132" t="s">
        <v>769</v>
      </c>
      <c r="I8" s="131">
        <v>0.9</v>
      </c>
      <c r="J8">
        <v>0.3</v>
      </c>
      <c r="K8" t="s">
        <v>769</v>
      </c>
      <c r="L8" t="s">
        <v>769</v>
      </c>
      <c r="N8" s="45" t="b">
        <v>1</v>
      </c>
      <c r="O8" t="b">
        <v>1</v>
      </c>
      <c r="P8" s="132">
        <v>0.89500000000000002</v>
      </c>
      <c r="Q8" s="132">
        <v>0.89500000000000002</v>
      </c>
      <c r="R8" s="144">
        <f t="shared" si="0"/>
        <v>232175</v>
      </c>
      <c r="S8">
        <v>65989</v>
      </c>
      <c r="T8" s="45">
        <v>3769</v>
      </c>
      <c r="U8" s="131">
        <v>21849</v>
      </c>
      <c r="V8">
        <v>133713</v>
      </c>
      <c r="W8" s="145">
        <v>6855</v>
      </c>
    </row>
    <row r="9" spans="1:23">
      <c r="A9" s="45">
        <f t="array" ref="A9">IFERROR(INDEX(baseline!$A$3:$A$201,MATCH($B9&amp;$C9,baseline!$C$3:$C$201&amp;baseline!$D$3:$D$201,0)),"NA")</f>
        <v>8</v>
      </c>
      <c r="B9" t="s">
        <v>697</v>
      </c>
      <c r="C9" t="s">
        <v>881</v>
      </c>
      <c r="D9" s="131" t="s">
        <v>1013</v>
      </c>
      <c r="E9" s="131">
        <v>0.7</v>
      </c>
      <c r="F9" s="132" t="s">
        <v>769</v>
      </c>
      <c r="G9" s="132" t="s">
        <v>769</v>
      </c>
      <c r="H9" s="132" t="s">
        <v>769</v>
      </c>
      <c r="I9" s="131">
        <v>0.9</v>
      </c>
      <c r="J9">
        <v>0.3</v>
      </c>
      <c r="K9" t="s">
        <v>769</v>
      </c>
      <c r="L9" t="s">
        <v>769</v>
      </c>
      <c r="N9" s="45" t="b">
        <v>1</v>
      </c>
      <c r="O9" t="b">
        <v>1</v>
      </c>
      <c r="P9" s="132">
        <v>0.89500000000000002</v>
      </c>
      <c r="Q9" s="132">
        <v>0.89500000000000002</v>
      </c>
      <c r="R9" s="144">
        <f t="shared" si="0"/>
        <v>65656</v>
      </c>
      <c r="S9">
        <v>9427</v>
      </c>
      <c r="T9" s="45">
        <v>2261</v>
      </c>
      <c r="U9" s="131">
        <v>3121</v>
      </c>
      <c r="V9">
        <v>45581</v>
      </c>
      <c r="W9" s="145">
        <v>5266</v>
      </c>
    </row>
    <row r="10" spans="1:23">
      <c r="A10" s="45">
        <f t="array" ref="A10">IFERROR(INDEX(baseline!$A$3:$A$201,MATCH($B10&amp;$C10,baseline!$C$3:$C$201&amp;baseline!$D$3:$D$201,0)),"NA")</f>
        <v>9</v>
      </c>
      <c r="B10" t="s">
        <v>697</v>
      </c>
      <c r="C10" t="s">
        <v>14</v>
      </c>
      <c r="D10" s="131" t="s">
        <v>1013</v>
      </c>
      <c r="E10" s="131">
        <v>0.7</v>
      </c>
      <c r="F10" s="132" t="s">
        <v>769</v>
      </c>
      <c r="G10" s="132" t="s">
        <v>769</v>
      </c>
      <c r="H10" s="132" t="s">
        <v>769</v>
      </c>
      <c r="I10" s="131">
        <v>0.9</v>
      </c>
      <c r="J10">
        <v>0.3</v>
      </c>
      <c r="K10" t="s">
        <v>769</v>
      </c>
      <c r="L10" t="s">
        <v>769</v>
      </c>
      <c r="N10" s="45" t="b">
        <v>1</v>
      </c>
      <c r="O10" t="b">
        <v>1</v>
      </c>
      <c r="P10" s="132">
        <v>0.89500000000000002</v>
      </c>
      <c r="Q10" s="132">
        <v>0.89500000000000002</v>
      </c>
      <c r="R10" s="144">
        <f t="shared" si="0"/>
        <v>65656</v>
      </c>
      <c r="S10">
        <v>9427</v>
      </c>
      <c r="T10" s="45">
        <v>2261</v>
      </c>
      <c r="U10" s="131">
        <v>3121</v>
      </c>
      <c r="V10">
        <v>45581</v>
      </c>
      <c r="W10" s="145">
        <v>5266</v>
      </c>
    </row>
    <row r="11" spans="1:23">
      <c r="A11" s="45">
        <f t="array" ref="A11">IFERROR(INDEX(baseline!$A$3:$A$201,MATCH($B11&amp;$C11,baseline!$C$3:$C$201&amp;baseline!$D$3:$D$201,0)),"NA")</f>
        <v>10</v>
      </c>
      <c r="B11" t="s">
        <v>713</v>
      </c>
      <c r="C11" t="s">
        <v>881</v>
      </c>
      <c r="D11" s="131" t="s">
        <v>1013</v>
      </c>
      <c r="E11" s="131">
        <v>0.7</v>
      </c>
      <c r="F11" s="132" t="s">
        <v>769</v>
      </c>
      <c r="G11" s="132" t="s">
        <v>769</v>
      </c>
      <c r="H11" s="132" t="s">
        <v>769</v>
      </c>
      <c r="I11" s="131">
        <v>0.9</v>
      </c>
      <c r="J11">
        <v>0.3</v>
      </c>
      <c r="K11" t="s">
        <v>769</v>
      </c>
      <c r="L11" t="s">
        <v>769</v>
      </c>
      <c r="N11" s="45" t="b">
        <v>1</v>
      </c>
      <c r="O11" t="b">
        <v>1</v>
      </c>
      <c r="P11" s="132">
        <v>0.89500000000000002</v>
      </c>
      <c r="Q11" s="132">
        <v>0.89500000000000002</v>
      </c>
      <c r="R11" s="144">
        <f t="shared" si="0"/>
        <v>39706</v>
      </c>
      <c r="S11">
        <v>7713</v>
      </c>
      <c r="T11" s="45">
        <v>754</v>
      </c>
      <c r="U11" s="131">
        <v>2554</v>
      </c>
      <c r="V11">
        <v>24169</v>
      </c>
      <c r="W11" s="145">
        <v>4516</v>
      </c>
    </row>
    <row r="12" spans="1:23">
      <c r="A12" s="45">
        <f t="array" ref="A12">IFERROR(INDEX(baseline!$A$3:$A$201,MATCH($B12&amp;$C12,baseline!$C$3:$C$201&amp;baseline!$D$3:$D$201,0)),"NA")</f>
        <v>11</v>
      </c>
      <c r="B12" t="s">
        <v>713</v>
      </c>
      <c r="C12" t="s">
        <v>13</v>
      </c>
      <c r="D12" s="131" t="s">
        <v>1013</v>
      </c>
      <c r="E12" s="131">
        <v>0.7</v>
      </c>
      <c r="F12" s="132" t="s">
        <v>769</v>
      </c>
      <c r="G12" s="132" t="s">
        <v>769</v>
      </c>
      <c r="H12" s="132" t="s">
        <v>769</v>
      </c>
      <c r="I12" s="131">
        <v>0.9</v>
      </c>
      <c r="J12">
        <v>0.3</v>
      </c>
      <c r="K12" t="s">
        <v>769</v>
      </c>
      <c r="L12" t="s">
        <v>769</v>
      </c>
      <c r="N12" s="45" t="b">
        <v>1</v>
      </c>
      <c r="O12" t="b">
        <v>1</v>
      </c>
      <c r="P12" s="132">
        <v>0.89500000000000002</v>
      </c>
      <c r="Q12" s="132">
        <v>0.89500000000000002</v>
      </c>
      <c r="R12" s="144">
        <f t="shared" si="0"/>
        <v>39706</v>
      </c>
      <c r="S12">
        <v>7713</v>
      </c>
      <c r="T12" s="45">
        <v>754</v>
      </c>
      <c r="U12" s="131">
        <v>2554</v>
      </c>
      <c r="V12">
        <v>24169</v>
      </c>
      <c r="W12" s="145">
        <v>4516</v>
      </c>
    </row>
    <row r="13" spans="1:23">
      <c r="A13" s="45">
        <f t="array" ref="A13">IFERROR(INDEX(baseline!$A$3:$A$201,MATCH($B13&amp;$C13,baseline!$C$3:$C$201&amp;baseline!$D$3:$D$201,0)),"NA")</f>
        <v>12</v>
      </c>
      <c r="B13" t="s">
        <v>713</v>
      </c>
      <c r="C13" t="s">
        <v>14</v>
      </c>
      <c r="D13" s="131" t="s">
        <v>1013</v>
      </c>
      <c r="E13" s="131">
        <v>0.7</v>
      </c>
      <c r="F13" s="132" t="s">
        <v>769</v>
      </c>
      <c r="G13" s="132" t="s">
        <v>769</v>
      </c>
      <c r="H13" s="132" t="s">
        <v>769</v>
      </c>
      <c r="I13" s="131">
        <v>0.9</v>
      </c>
      <c r="J13">
        <v>0.3</v>
      </c>
      <c r="K13" t="s">
        <v>769</v>
      </c>
      <c r="L13" t="s">
        <v>769</v>
      </c>
      <c r="N13" s="45" t="b">
        <v>1</v>
      </c>
      <c r="O13" t="b">
        <v>1</v>
      </c>
      <c r="P13" s="132">
        <v>0.89500000000000002</v>
      </c>
      <c r="Q13" s="132">
        <v>0.89500000000000002</v>
      </c>
      <c r="R13" s="144">
        <f t="shared" si="0"/>
        <v>39706</v>
      </c>
      <c r="S13">
        <v>7713</v>
      </c>
      <c r="T13" s="45">
        <v>754</v>
      </c>
      <c r="U13" s="131">
        <v>2554</v>
      </c>
      <c r="V13">
        <v>24169</v>
      </c>
      <c r="W13" s="145">
        <v>4516</v>
      </c>
    </row>
    <row r="14" spans="1:23">
      <c r="A14" s="45">
        <f t="array" ref="A14">IFERROR(INDEX(baseline!$A$3:$A$201,MATCH($B14&amp;$C14,baseline!$C$3:$C$201&amp;baseline!$D$3:$D$201,0)),"NA")</f>
        <v>13</v>
      </c>
      <c r="B14" t="s">
        <v>762</v>
      </c>
      <c r="C14" t="s">
        <v>881</v>
      </c>
      <c r="D14" s="131" t="s">
        <v>1013</v>
      </c>
      <c r="E14" s="131">
        <v>0.7</v>
      </c>
      <c r="F14" s="132" t="s">
        <v>769</v>
      </c>
      <c r="G14" s="132" t="s">
        <v>769</v>
      </c>
      <c r="H14" s="132" t="s">
        <v>769</v>
      </c>
      <c r="I14" s="131">
        <v>0.9</v>
      </c>
      <c r="J14">
        <v>0.3</v>
      </c>
      <c r="K14" t="s">
        <v>769</v>
      </c>
      <c r="L14" t="s">
        <v>769</v>
      </c>
      <c r="N14" s="45" t="b">
        <v>1</v>
      </c>
      <c r="O14" t="b">
        <v>1</v>
      </c>
      <c r="P14" s="132">
        <v>0.89500000000000002</v>
      </c>
      <c r="Q14" s="132">
        <v>0.89500000000000002</v>
      </c>
      <c r="R14" s="144">
        <f t="shared" si="0"/>
        <v>154906</v>
      </c>
      <c r="S14">
        <v>43707</v>
      </c>
      <c r="T14" s="45">
        <v>5276</v>
      </c>
      <c r="U14" s="131">
        <v>14471</v>
      </c>
      <c r="V14">
        <v>83176</v>
      </c>
      <c r="W14" s="145">
        <v>8276</v>
      </c>
    </row>
    <row r="15" spans="1:23">
      <c r="A15" s="45">
        <f t="array" ref="A15">IFERROR(INDEX(baseline!$A$3:$A$201,MATCH($B15&amp;$C15,baseline!$C$3:$C$201&amp;baseline!$D$3:$D$201,0)),"NA")</f>
        <v>14</v>
      </c>
      <c r="B15" t="s">
        <v>762</v>
      </c>
      <c r="C15" t="s">
        <v>13</v>
      </c>
      <c r="D15" s="131" t="s">
        <v>1013</v>
      </c>
      <c r="E15" s="131">
        <v>0.7</v>
      </c>
      <c r="F15" s="132" t="s">
        <v>769</v>
      </c>
      <c r="G15" s="132" t="s">
        <v>769</v>
      </c>
      <c r="H15" s="132" t="s">
        <v>769</v>
      </c>
      <c r="I15" s="131">
        <v>0.9</v>
      </c>
      <c r="J15">
        <v>0.3</v>
      </c>
      <c r="K15" t="s">
        <v>769</v>
      </c>
      <c r="L15" t="s">
        <v>769</v>
      </c>
      <c r="N15" s="45" t="b">
        <v>1</v>
      </c>
      <c r="O15" t="b">
        <v>1</v>
      </c>
      <c r="P15" s="132">
        <v>0.89500000000000002</v>
      </c>
      <c r="Q15" s="132">
        <v>0.89500000000000002</v>
      </c>
      <c r="R15" s="144">
        <f t="shared" si="0"/>
        <v>154906</v>
      </c>
      <c r="S15">
        <v>43707</v>
      </c>
      <c r="T15" s="45">
        <v>5276</v>
      </c>
      <c r="U15" s="131">
        <v>14471</v>
      </c>
      <c r="V15">
        <v>83176</v>
      </c>
      <c r="W15" s="145">
        <v>8276</v>
      </c>
    </row>
    <row r="16" spans="1:23">
      <c r="A16" s="45">
        <f t="array" ref="A16">IFERROR(INDEX(baseline!$A$3:$A$201,MATCH($B16&amp;$C16,baseline!$C$3:$C$201&amp;baseline!$D$3:$D$201,0)),"NA")</f>
        <v>15</v>
      </c>
      <c r="B16" t="s">
        <v>762</v>
      </c>
      <c r="C16" t="s">
        <v>14</v>
      </c>
      <c r="D16" s="131" t="s">
        <v>1013</v>
      </c>
      <c r="E16" s="131">
        <v>0.7</v>
      </c>
      <c r="F16" s="132" t="s">
        <v>769</v>
      </c>
      <c r="G16" s="132" t="s">
        <v>769</v>
      </c>
      <c r="H16" s="132" t="s">
        <v>769</v>
      </c>
      <c r="I16" s="131">
        <v>0.9</v>
      </c>
      <c r="J16">
        <v>0.3</v>
      </c>
      <c r="K16" t="s">
        <v>769</v>
      </c>
      <c r="L16" t="s">
        <v>769</v>
      </c>
      <c r="N16" s="45" t="b">
        <v>1</v>
      </c>
      <c r="O16" t="b">
        <v>1</v>
      </c>
      <c r="P16" s="132">
        <v>0.89500000000000002</v>
      </c>
      <c r="Q16" s="132">
        <v>0.89500000000000002</v>
      </c>
      <c r="R16" s="144">
        <f t="shared" si="0"/>
        <v>154906</v>
      </c>
      <c r="S16">
        <v>43707</v>
      </c>
      <c r="T16" s="45">
        <v>5276</v>
      </c>
      <c r="U16" s="131">
        <v>14471</v>
      </c>
      <c r="V16">
        <v>83176</v>
      </c>
      <c r="W16" s="145">
        <v>8276</v>
      </c>
    </row>
    <row r="17" spans="1:23">
      <c r="A17" s="45">
        <f t="array" ref="A17">IFERROR(INDEX(baseline!$A$3:$A$201,MATCH($B17&amp;$C17,baseline!$C$3:$C$201&amp;baseline!$D$3:$D$201,0)),"NA")</f>
        <v>16</v>
      </c>
      <c r="B17" t="s">
        <v>763</v>
      </c>
      <c r="C17" t="s">
        <v>13</v>
      </c>
      <c r="D17" s="131" t="s">
        <v>1013</v>
      </c>
      <c r="E17" s="131">
        <v>0.7</v>
      </c>
      <c r="F17" s="132" t="s">
        <v>769</v>
      </c>
      <c r="G17" s="132" t="s">
        <v>769</v>
      </c>
      <c r="H17" s="132" t="s">
        <v>769</v>
      </c>
      <c r="I17" s="131">
        <v>0.9</v>
      </c>
      <c r="J17">
        <v>0.3</v>
      </c>
      <c r="K17" t="s">
        <v>769</v>
      </c>
      <c r="L17" t="s">
        <v>769</v>
      </c>
      <c r="N17" s="45" t="b">
        <v>1</v>
      </c>
      <c r="O17" t="b">
        <v>1</v>
      </c>
      <c r="P17" s="132">
        <v>0.89500000000000002</v>
      </c>
      <c r="Q17" s="132">
        <v>0.89500000000000002</v>
      </c>
      <c r="R17" s="144">
        <f t="shared" si="0"/>
        <v>41694</v>
      </c>
      <c r="S17">
        <v>13712</v>
      </c>
      <c r="T17" s="45">
        <v>1508</v>
      </c>
      <c r="U17" s="131">
        <v>4540</v>
      </c>
      <c r="V17">
        <v>20189</v>
      </c>
      <c r="W17" s="145">
        <v>1745</v>
      </c>
    </row>
    <row r="18" spans="1:23">
      <c r="A18" s="45">
        <f t="array" ref="A18">IFERROR(INDEX(baseline!$A$3:$A$201,MATCH($B18&amp;$C18,baseline!$C$3:$C$201&amp;baseline!$D$3:$D$201,0)),"NA")</f>
        <v>17</v>
      </c>
      <c r="B18" t="s">
        <v>763</v>
      </c>
      <c r="C18" t="s">
        <v>14</v>
      </c>
      <c r="D18" s="131" t="s">
        <v>1013</v>
      </c>
      <c r="E18" s="131">
        <v>0.7</v>
      </c>
      <c r="F18" s="132" t="s">
        <v>769</v>
      </c>
      <c r="G18" s="132" t="s">
        <v>769</v>
      </c>
      <c r="H18" s="132" t="s">
        <v>769</v>
      </c>
      <c r="I18" s="131">
        <v>0.9</v>
      </c>
      <c r="J18">
        <v>0.3</v>
      </c>
      <c r="K18" t="s">
        <v>769</v>
      </c>
      <c r="L18" t="s">
        <v>769</v>
      </c>
      <c r="N18" s="45" t="b">
        <v>1</v>
      </c>
      <c r="O18" t="b">
        <v>1</v>
      </c>
      <c r="P18" s="132">
        <v>0.89500000000000002</v>
      </c>
      <c r="Q18" s="132">
        <v>0.89500000000000002</v>
      </c>
      <c r="R18" s="144">
        <f t="shared" si="0"/>
        <v>41694</v>
      </c>
      <c r="S18">
        <v>13712</v>
      </c>
      <c r="T18" s="45">
        <v>1508</v>
      </c>
      <c r="U18" s="131">
        <v>4540</v>
      </c>
      <c r="V18">
        <v>20189</v>
      </c>
      <c r="W18" s="145">
        <v>1745</v>
      </c>
    </row>
    <row r="19" spans="1:23">
      <c r="A19" s="45">
        <f t="array" ref="A19">IFERROR(INDEX(baseline!$A$3:$A$201,MATCH($B19&amp;$C19,baseline!$C$3:$C$201&amp;baseline!$D$3:$D$201,0)),"NA")</f>
        <v>18</v>
      </c>
      <c r="B19" t="s">
        <v>763</v>
      </c>
      <c r="C19" t="s">
        <v>546</v>
      </c>
      <c r="D19" s="131" t="s">
        <v>1013</v>
      </c>
      <c r="E19" s="131">
        <v>0.7</v>
      </c>
      <c r="F19" s="132" t="s">
        <v>769</v>
      </c>
      <c r="G19" s="132" t="s">
        <v>769</v>
      </c>
      <c r="H19" s="132" t="s">
        <v>769</v>
      </c>
      <c r="I19" s="131">
        <v>0.9</v>
      </c>
      <c r="J19">
        <v>0.3</v>
      </c>
      <c r="K19" t="s">
        <v>769</v>
      </c>
      <c r="L19" t="s">
        <v>769</v>
      </c>
      <c r="N19" s="45" t="b">
        <v>1</v>
      </c>
      <c r="O19" t="b">
        <v>1</v>
      </c>
      <c r="P19" s="132">
        <v>0.89500000000000002</v>
      </c>
      <c r="Q19" s="132">
        <v>0.89500000000000002</v>
      </c>
      <c r="R19" s="144">
        <f t="shared" si="0"/>
        <v>41694</v>
      </c>
      <c r="S19">
        <v>13712</v>
      </c>
      <c r="T19" s="45">
        <v>1508</v>
      </c>
      <c r="U19" s="131">
        <v>4540</v>
      </c>
      <c r="V19">
        <v>20189</v>
      </c>
      <c r="W19" s="145">
        <v>1745</v>
      </c>
    </row>
    <row r="20" spans="1:23">
      <c r="A20" s="45">
        <f t="array" ref="A20">IFERROR(INDEX(baseline!$A$3:$A$201,MATCH($B20&amp;$C20,baseline!$C$3:$C$201&amp;baseline!$D$3:$D$201,0)),"NA")</f>
        <v>19</v>
      </c>
      <c r="B20" t="s">
        <v>712</v>
      </c>
      <c r="C20" t="s">
        <v>14</v>
      </c>
      <c r="D20" s="131" t="s">
        <v>1013</v>
      </c>
      <c r="E20" s="131">
        <v>0.7</v>
      </c>
      <c r="F20" s="132" t="s">
        <v>769</v>
      </c>
      <c r="G20" s="132" t="s">
        <v>769</v>
      </c>
      <c r="H20" s="132" t="s">
        <v>769</v>
      </c>
      <c r="I20" s="131">
        <v>0.9</v>
      </c>
      <c r="J20">
        <v>0.3</v>
      </c>
      <c r="K20" t="s">
        <v>769</v>
      </c>
      <c r="L20" t="s">
        <v>769</v>
      </c>
      <c r="N20" s="45" t="s">
        <v>769</v>
      </c>
      <c r="O20" t="b">
        <v>1</v>
      </c>
      <c r="P20" s="132">
        <v>0.89500000000000002</v>
      </c>
      <c r="Q20" s="132">
        <v>0.89500000000000002</v>
      </c>
      <c r="R20" s="144">
        <f t="shared" si="0"/>
        <v>310272</v>
      </c>
      <c r="S20">
        <v>27424</v>
      </c>
      <c r="T20" s="45">
        <v>6030</v>
      </c>
      <c r="U20" s="131">
        <v>9080</v>
      </c>
      <c r="V20">
        <v>232340</v>
      </c>
      <c r="W20" s="145">
        <v>35398</v>
      </c>
    </row>
    <row r="21" spans="1:23">
      <c r="A21" s="45">
        <f t="array" ref="A21">IFERROR(INDEX(baseline!$A$3:$A$201,MATCH($B21&amp;$C21,baseline!$C$3:$C$201&amp;baseline!$D$3:$D$201,0)),"NA")</f>
        <v>20</v>
      </c>
      <c r="B21" t="s">
        <v>2</v>
      </c>
      <c r="C21" t="s">
        <v>881</v>
      </c>
      <c r="D21" s="131" t="s">
        <v>1013</v>
      </c>
      <c r="E21" s="131">
        <v>0.7</v>
      </c>
      <c r="F21" s="132" t="s">
        <v>769</v>
      </c>
      <c r="G21" s="132" t="s">
        <v>769</v>
      </c>
      <c r="H21" s="132" t="s">
        <v>769</v>
      </c>
      <c r="I21" s="131">
        <v>0.9</v>
      </c>
      <c r="J21">
        <v>0.3</v>
      </c>
      <c r="K21" t="s">
        <v>769</v>
      </c>
      <c r="L21" t="s">
        <v>769</v>
      </c>
      <c r="N21" s="45" t="b">
        <v>1</v>
      </c>
      <c r="O21" t="b">
        <v>1</v>
      </c>
      <c r="P21" s="132">
        <v>0.89500000000000002</v>
      </c>
      <c r="Q21" s="132">
        <v>0.89500000000000002</v>
      </c>
      <c r="R21" s="144">
        <f t="shared" ref="R21:R49" si="1">S21+T21+U21+V21+W25</f>
        <v>46364</v>
      </c>
      <c r="S21">
        <v>857</v>
      </c>
      <c r="T21" s="45">
        <v>754</v>
      </c>
      <c r="U21" s="131">
        <v>284</v>
      </c>
      <c r="V21">
        <v>24436</v>
      </c>
      <c r="W21" s="144">
        <v>0</v>
      </c>
    </row>
    <row r="22" spans="1:23">
      <c r="A22" s="45">
        <f t="array" ref="A22">IFERROR(INDEX(baseline!$A$3:$A$201,MATCH($B22&amp;$C22,baseline!$C$3:$C$201&amp;baseline!$D$3:$D$201,0)),"NA")</f>
        <v>21</v>
      </c>
      <c r="B22" t="s">
        <v>2</v>
      </c>
      <c r="C22" t="s">
        <v>13</v>
      </c>
      <c r="D22" s="131" t="s">
        <v>1013</v>
      </c>
      <c r="E22" s="131">
        <v>0.7</v>
      </c>
      <c r="F22" s="132" t="s">
        <v>769</v>
      </c>
      <c r="G22" s="132" t="s">
        <v>769</v>
      </c>
      <c r="H22" s="132" t="s">
        <v>769</v>
      </c>
      <c r="I22" s="131">
        <v>0.9</v>
      </c>
      <c r="J22">
        <v>0.3</v>
      </c>
      <c r="K22" t="s">
        <v>769</v>
      </c>
      <c r="L22" t="s">
        <v>769</v>
      </c>
      <c r="N22" s="45" t="b">
        <v>1</v>
      </c>
      <c r="O22" t="b">
        <v>1</v>
      </c>
      <c r="P22" s="132">
        <v>0.89500000000000002</v>
      </c>
      <c r="Q22" s="132">
        <v>0.89500000000000002</v>
      </c>
      <c r="R22" s="144">
        <f t="shared" si="1"/>
        <v>46364</v>
      </c>
      <c r="S22">
        <v>857</v>
      </c>
      <c r="T22" s="45">
        <v>754</v>
      </c>
      <c r="U22" s="131">
        <v>284</v>
      </c>
      <c r="V22">
        <v>24436</v>
      </c>
      <c r="W22" s="144">
        <v>0</v>
      </c>
    </row>
    <row r="23" spans="1:23">
      <c r="A23" s="45">
        <f t="array" ref="A23">IFERROR(INDEX(baseline!$A$3:$A$201,MATCH($B23&amp;$C23,baseline!$C$3:$C$201&amp;baseline!$D$3:$D$201,0)),"NA")</f>
        <v>22</v>
      </c>
      <c r="B23" t="s">
        <v>2</v>
      </c>
      <c r="C23" t="s">
        <v>14</v>
      </c>
      <c r="D23" s="131" t="s">
        <v>1013</v>
      </c>
      <c r="E23" s="131">
        <v>0.7</v>
      </c>
      <c r="F23" s="132" t="s">
        <v>769</v>
      </c>
      <c r="G23" s="132" t="s">
        <v>769</v>
      </c>
      <c r="H23" s="132" t="s">
        <v>769</v>
      </c>
      <c r="I23" s="131">
        <v>0.9</v>
      </c>
      <c r="J23">
        <v>0.3</v>
      </c>
      <c r="K23" t="s">
        <v>769</v>
      </c>
      <c r="L23" t="s">
        <v>769</v>
      </c>
      <c r="N23" s="45" t="b">
        <v>1</v>
      </c>
      <c r="O23" t="b">
        <v>1</v>
      </c>
      <c r="P23" s="132">
        <v>0.89500000000000002</v>
      </c>
      <c r="Q23" s="132">
        <v>0.89500000000000002</v>
      </c>
      <c r="R23" s="144">
        <f t="shared" si="1"/>
        <v>46364</v>
      </c>
      <c r="S23">
        <v>857</v>
      </c>
      <c r="T23" s="45">
        <v>754</v>
      </c>
      <c r="U23" s="131">
        <v>284</v>
      </c>
      <c r="V23">
        <v>24436</v>
      </c>
      <c r="W23" s="144">
        <v>0</v>
      </c>
    </row>
    <row r="24" spans="1:23">
      <c r="A24" s="45">
        <f t="array" ref="A24">IFERROR(INDEX(baseline!$A$3:$A$201,MATCH($B24&amp;$C24,baseline!$C$3:$C$201&amp;baseline!$D$3:$D$201,0)),"NA")</f>
        <v>23</v>
      </c>
      <c r="B24" t="s">
        <v>2</v>
      </c>
      <c r="C24" t="s">
        <v>546</v>
      </c>
      <c r="D24" s="131" t="s">
        <v>1013</v>
      </c>
      <c r="E24" s="131">
        <v>0.7</v>
      </c>
      <c r="F24" s="132" t="s">
        <v>769</v>
      </c>
      <c r="G24" s="132" t="s">
        <v>769</v>
      </c>
      <c r="H24" s="132" t="s">
        <v>769</v>
      </c>
      <c r="I24" s="131">
        <v>0.9</v>
      </c>
      <c r="J24">
        <v>0.3</v>
      </c>
      <c r="K24" t="s">
        <v>769</v>
      </c>
      <c r="L24" t="s">
        <v>769</v>
      </c>
      <c r="N24" s="45" t="b">
        <v>1</v>
      </c>
      <c r="O24" t="b">
        <v>1</v>
      </c>
      <c r="P24" s="132">
        <v>0.89500000000000002</v>
      </c>
      <c r="Q24" s="132">
        <v>0.89500000000000002</v>
      </c>
      <c r="R24" s="144">
        <f t="shared" si="1"/>
        <v>29680</v>
      </c>
      <c r="S24">
        <v>857</v>
      </c>
      <c r="T24" s="45">
        <v>754</v>
      </c>
      <c r="U24" s="131">
        <v>284</v>
      </c>
      <c r="V24">
        <v>24436</v>
      </c>
      <c r="W24" s="144">
        <v>0</v>
      </c>
    </row>
    <row r="25" spans="1:23">
      <c r="A25" s="45">
        <f t="array" ref="A25">IFERROR(INDEX(baseline!$A$3:$A$201,MATCH($B25&amp;$C25,baseline!$C$3:$C$201&amp;baseline!$D$3:$D$201,0)),"NA")</f>
        <v>24</v>
      </c>
      <c r="B25" t="s">
        <v>547</v>
      </c>
      <c r="C25" t="s">
        <v>881</v>
      </c>
      <c r="D25" s="131" t="s">
        <v>1013</v>
      </c>
      <c r="E25" s="131">
        <v>0.7</v>
      </c>
      <c r="F25" s="132" t="s">
        <v>769</v>
      </c>
      <c r="G25" s="132" t="s">
        <v>769</v>
      </c>
      <c r="H25" s="132" t="s">
        <v>769</v>
      </c>
      <c r="I25" s="131">
        <v>0.9</v>
      </c>
      <c r="J25">
        <v>0.3</v>
      </c>
      <c r="K25" t="s">
        <v>769</v>
      </c>
      <c r="L25" t="s">
        <v>769</v>
      </c>
      <c r="N25" s="45" t="b">
        <v>1</v>
      </c>
      <c r="O25" t="b">
        <v>1</v>
      </c>
      <c r="P25" s="132">
        <v>0.89500000000000002</v>
      </c>
      <c r="Q25" s="132">
        <v>0.89500000000000002</v>
      </c>
      <c r="R25" s="144">
        <f t="shared" si="1"/>
        <v>211935</v>
      </c>
      <c r="S25">
        <v>35137</v>
      </c>
      <c r="T25" s="45">
        <v>1508</v>
      </c>
      <c r="U25" s="131">
        <v>11634</v>
      </c>
      <c r="V25">
        <v>160307</v>
      </c>
      <c r="W25" s="145">
        <v>20033</v>
      </c>
    </row>
    <row r="26" spans="1:23">
      <c r="A26" s="45">
        <f t="array" ref="A26">IFERROR(INDEX(baseline!$A$3:$A$201,MATCH($B26&amp;$C26,baseline!$C$3:$C$201&amp;baseline!$D$3:$D$201,0)),"NA")</f>
        <v>25</v>
      </c>
      <c r="B26" t="s">
        <v>547</v>
      </c>
      <c r="C26" t="s">
        <v>14</v>
      </c>
      <c r="D26" s="131" t="s">
        <v>1013</v>
      </c>
      <c r="E26" s="131">
        <v>0.7</v>
      </c>
      <c r="F26" s="132" t="s">
        <v>769</v>
      </c>
      <c r="G26" s="132" t="s">
        <v>769</v>
      </c>
      <c r="H26" s="132" t="s">
        <v>769</v>
      </c>
      <c r="I26" s="131">
        <v>0.9</v>
      </c>
      <c r="J26">
        <v>0.3</v>
      </c>
      <c r="K26" t="s">
        <v>769</v>
      </c>
      <c r="L26" t="s">
        <v>769</v>
      </c>
      <c r="N26" s="45" t="b">
        <v>1</v>
      </c>
      <c r="O26" t="b">
        <v>1</v>
      </c>
      <c r="P26" s="132">
        <v>0.89500000000000002</v>
      </c>
      <c r="Q26" s="132">
        <v>0.89500000000000002</v>
      </c>
      <c r="R26" s="144">
        <f t="shared" si="1"/>
        <v>218786</v>
      </c>
      <c r="S26">
        <v>35137</v>
      </c>
      <c r="T26" s="45">
        <v>1508</v>
      </c>
      <c r="U26" s="131">
        <v>11634</v>
      </c>
      <c r="V26">
        <v>160307</v>
      </c>
      <c r="W26" s="145">
        <v>20033</v>
      </c>
    </row>
    <row r="27" spans="1:23">
      <c r="A27" s="45">
        <f t="array" ref="A27">IFERROR(INDEX(baseline!$A$3:$A$201,MATCH($B27&amp;$C27,baseline!$C$3:$C$201&amp;baseline!$D$3:$D$201,0)),"NA")</f>
        <v>26</v>
      </c>
      <c r="B27" t="s">
        <v>547</v>
      </c>
      <c r="C27" t="s">
        <v>546</v>
      </c>
      <c r="D27" s="131" t="s">
        <v>1013</v>
      </c>
      <c r="E27" s="131">
        <v>0.7</v>
      </c>
      <c r="F27" s="132" t="s">
        <v>769</v>
      </c>
      <c r="G27" s="132" t="s">
        <v>769</v>
      </c>
      <c r="H27" s="132" t="s">
        <v>769</v>
      </c>
      <c r="I27" s="131">
        <v>0.9</v>
      </c>
      <c r="J27">
        <v>0.3</v>
      </c>
      <c r="K27" t="s">
        <v>769</v>
      </c>
      <c r="L27" t="s">
        <v>769</v>
      </c>
      <c r="N27" s="45" t="b">
        <v>1</v>
      </c>
      <c r="O27" t="b">
        <v>1</v>
      </c>
      <c r="P27" s="132">
        <v>0.89500000000000002</v>
      </c>
      <c r="Q27" s="132">
        <v>0.89500000000000002</v>
      </c>
      <c r="R27" s="144">
        <f t="shared" si="1"/>
        <v>218786</v>
      </c>
      <c r="S27">
        <v>35137</v>
      </c>
      <c r="T27" s="45">
        <v>1508</v>
      </c>
      <c r="U27" s="131">
        <v>11634</v>
      </c>
      <c r="V27">
        <v>160307</v>
      </c>
      <c r="W27" s="145">
        <v>20033</v>
      </c>
    </row>
    <row r="28" spans="1:23">
      <c r="A28" s="45">
        <f t="array" ref="A28">IFERROR(INDEX(baseline!$A$3:$A$201,MATCH($B28&amp;$C28,baseline!$C$3:$C$201&amp;baseline!$D$3:$D$201,0)),"NA")</f>
        <v>27</v>
      </c>
      <c r="B28" t="s">
        <v>1</v>
      </c>
      <c r="C28" t="s">
        <v>881</v>
      </c>
      <c r="D28" s="131" t="s">
        <v>1013</v>
      </c>
      <c r="E28" s="131">
        <v>0.7</v>
      </c>
      <c r="F28" s="132" t="s">
        <v>769</v>
      </c>
      <c r="G28" s="132" t="s">
        <v>769</v>
      </c>
      <c r="H28" s="132" t="s">
        <v>769</v>
      </c>
      <c r="I28" s="131">
        <v>0.9</v>
      </c>
      <c r="J28">
        <v>0.3</v>
      </c>
      <c r="K28" t="s">
        <v>769</v>
      </c>
      <c r="L28" t="s">
        <v>769</v>
      </c>
      <c r="N28" s="45" t="b">
        <v>1</v>
      </c>
      <c r="O28" t="b">
        <v>1</v>
      </c>
      <c r="P28" s="132">
        <v>0.89500000000000002</v>
      </c>
      <c r="Q28" s="132">
        <v>0.89500000000000002</v>
      </c>
      <c r="R28" s="144">
        <f t="shared" si="1"/>
        <v>48702</v>
      </c>
      <c r="S28">
        <v>8750</v>
      </c>
      <c r="T28" s="45">
        <v>754</v>
      </c>
      <c r="U28" s="131">
        <v>2838</v>
      </c>
      <c r="V28">
        <v>26160</v>
      </c>
      <c r="W28" s="145">
        <v>3349</v>
      </c>
    </row>
    <row r="29" spans="1:23">
      <c r="A29" s="45">
        <f t="array" ref="A29">IFERROR(INDEX(baseline!$A$3:$A$201,MATCH($B29&amp;$C29,baseline!$C$3:$C$201&amp;baseline!$D$3:$D$201,0)),"NA")</f>
        <v>28</v>
      </c>
      <c r="B29" t="s">
        <v>1</v>
      </c>
      <c r="C29" t="s">
        <v>14</v>
      </c>
      <c r="D29" s="131" t="s">
        <v>1013</v>
      </c>
      <c r="E29" s="131">
        <v>0.7</v>
      </c>
      <c r="F29" s="132" t="s">
        <v>769</v>
      </c>
      <c r="G29" s="132" t="s">
        <v>769</v>
      </c>
      <c r="H29" s="132" t="s">
        <v>769</v>
      </c>
      <c r="I29" s="131">
        <v>0.9</v>
      </c>
      <c r="J29">
        <v>0.3</v>
      </c>
      <c r="K29" t="s">
        <v>769</v>
      </c>
      <c r="L29" t="s">
        <v>769</v>
      </c>
      <c r="N29" s="45" t="b">
        <v>1</v>
      </c>
      <c r="O29" t="b">
        <v>1</v>
      </c>
      <c r="P29" s="132">
        <v>0.89500000000000002</v>
      </c>
      <c r="Q29" s="132">
        <v>0.89500000000000002</v>
      </c>
      <c r="R29" s="144">
        <f t="shared" si="1"/>
        <v>44622</v>
      </c>
      <c r="S29">
        <v>8750</v>
      </c>
      <c r="T29" s="45">
        <v>754</v>
      </c>
      <c r="U29" s="131">
        <v>2838</v>
      </c>
      <c r="V29">
        <v>26160</v>
      </c>
      <c r="W29" s="145">
        <v>3349</v>
      </c>
    </row>
    <row r="30" spans="1:23">
      <c r="A30" s="45" t="str">
        <f t="array" ref="A30">IFERROR(INDEX(baseline!$A$3:$A$201,MATCH($B30&amp;$C30,baseline!$C$3:$C$201&amp;baseline!$D$3:$D$201,0)),"NA")</f>
        <v>NA</v>
      </c>
      <c r="B30" t="s">
        <v>0</v>
      </c>
      <c r="C30" t="s">
        <v>13</v>
      </c>
      <c r="D30" s="131" t="s">
        <v>1013</v>
      </c>
      <c r="E30" s="131">
        <v>0.7</v>
      </c>
      <c r="F30" s="132" t="s">
        <v>769</v>
      </c>
      <c r="G30" s="132" t="s">
        <v>769</v>
      </c>
      <c r="H30" s="132" t="s">
        <v>769</v>
      </c>
      <c r="I30" s="131">
        <v>0.9</v>
      </c>
      <c r="J30">
        <v>0.3</v>
      </c>
      <c r="K30" t="s">
        <v>769</v>
      </c>
      <c r="L30" t="s">
        <v>769</v>
      </c>
      <c r="N30" s="45" t="s">
        <v>769</v>
      </c>
      <c r="O30" t="b">
        <v>1</v>
      </c>
      <c r="P30" s="132">
        <v>0.89500000000000002</v>
      </c>
      <c r="Q30" s="132">
        <v>0.89500000000000002</v>
      </c>
      <c r="R30" s="144">
        <f t="shared" si="1"/>
        <v>188464</v>
      </c>
      <c r="S30">
        <v>64275</v>
      </c>
      <c r="T30" s="45">
        <v>4523</v>
      </c>
      <c r="U30" s="131">
        <v>21281</v>
      </c>
      <c r="V30">
        <v>92265</v>
      </c>
      <c r="W30" s="145">
        <v>10200</v>
      </c>
    </row>
    <row r="31" spans="1:23">
      <c r="A31" s="45" t="str">
        <f t="array" ref="A31">IFERROR(INDEX(baseline!$A$3:$A$201,MATCH($B31&amp;$C31,baseline!$C$3:$C$201&amp;baseline!$D$3:$D$201,0)),"NA")</f>
        <v>NA</v>
      </c>
      <c r="B31" t="s">
        <v>0</v>
      </c>
      <c r="C31" t="s">
        <v>14</v>
      </c>
      <c r="D31" s="131" t="s">
        <v>1013</v>
      </c>
      <c r="E31" s="131">
        <v>0.7</v>
      </c>
      <c r="F31" s="132" t="s">
        <v>769</v>
      </c>
      <c r="G31" s="132" t="s">
        <v>769</v>
      </c>
      <c r="H31" s="132" t="s">
        <v>769</v>
      </c>
      <c r="I31" s="131">
        <v>0.9</v>
      </c>
      <c r="J31">
        <v>0.3</v>
      </c>
      <c r="K31" t="s">
        <v>769</v>
      </c>
      <c r="L31" t="s">
        <v>769</v>
      </c>
      <c r="N31" s="45" t="s">
        <v>769</v>
      </c>
      <c r="O31" t="b">
        <v>1</v>
      </c>
      <c r="P31" s="132">
        <v>0.89500000000000002</v>
      </c>
      <c r="Q31" s="132">
        <v>0.89500000000000002</v>
      </c>
      <c r="R31" s="144">
        <f t="shared" si="1"/>
        <v>188464</v>
      </c>
      <c r="S31">
        <v>64275</v>
      </c>
      <c r="T31" s="45">
        <v>4523</v>
      </c>
      <c r="U31" s="131">
        <v>21281</v>
      </c>
      <c r="V31">
        <v>92265</v>
      </c>
      <c r="W31" s="145">
        <v>10200</v>
      </c>
    </row>
    <row r="32" spans="1:23">
      <c r="A32" s="45">
        <f t="array" ref="A32">IFERROR(INDEX(baseline!$A$3:$A$201,MATCH($B32&amp;$C32,baseline!$C$3:$C$201&amp;baseline!$D$3:$D$201,0)),"NA")</f>
        <v>30</v>
      </c>
      <c r="B32" t="s">
        <v>0</v>
      </c>
      <c r="C32" t="s">
        <v>546</v>
      </c>
      <c r="D32" s="131" t="s">
        <v>1013</v>
      </c>
      <c r="E32" s="131">
        <v>0.7</v>
      </c>
      <c r="F32" s="132" t="s">
        <v>769</v>
      </c>
      <c r="G32" s="132" t="s">
        <v>769</v>
      </c>
      <c r="H32" s="132" t="s">
        <v>769</v>
      </c>
      <c r="I32" s="131">
        <v>0.9</v>
      </c>
      <c r="J32">
        <v>0.3</v>
      </c>
      <c r="K32" t="s">
        <v>769</v>
      </c>
      <c r="L32" t="s">
        <v>769</v>
      </c>
      <c r="N32" s="45" t="s">
        <v>769</v>
      </c>
      <c r="O32" t="b">
        <v>1</v>
      </c>
      <c r="P32" s="132">
        <v>0.89500000000000002</v>
      </c>
      <c r="Q32" s="132">
        <v>0.89500000000000002</v>
      </c>
      <c r="R32" s="144">
        <f t="shared" si="1"/>
        <v>192980</v>
      </c>
      <c r="S32">
        <v>64275</v>
      </c>
      <c r="T32" s="45">
        <v>4523</v>
      </c>
      <c r="U32" s="131">
        <v>21281</v>
      </c>
      <c r="V32">
        <v>92265</v>
      </c>
      <c r="W32" s="145">
        <v>10200</v>
      </c>
    </row>
    <row r="33" spans="1:23">
      <c r="A33" s="45" t="str">
        <f t="array" ref="A33">IFERROR(INDEX(baseline!$A$3:$A$201,MATCH($B33&amp;$C33,baseline!$C$3:$C$201&amp;baseline!$D$3:$D$201,0)),"NA")</f>
        <v>NA</v>
      </c>
      <c r="B33" t="s">
        <v>78</v>
      </c>
      <c r="C33" t="s">
        <v>13</v>
      </c>
      <c r="D33" s="131" t="s">
        <v>1013</v>
      </c>
      <c r="E33" s="131">
        <v>0.7</v>
      </c>
      <c r="F33" s="132" t="s">
        <v>769</v>
      </c>
      <c r="G33" s="132" t="s">
        <v>769</v>
      </c>
      <c r="H33" s="132" t="s">
        <v>769</v>
      </c>
      <c r="I33" s="131">
        <v>0.9</v>
      </c>
      <c r="J33">
        <v>0.3</v>
      </c>
      <c r="K33" t="s">
        <v>769</v>
      </c>
      <c r="L33" t="s">
        <v>769</v>
      </c>
      <c r="N33" s="45" t="s">
        <v>769</v>
      </c>
      <c r="O33" t="b">
        <v>1</v>
      </c>
      <c r="P33" s="132">
        <v>0.89500000000000002</v>
      </c>
      <c r="Q33" s="132">
        <v>0.89500000000000002</v>
      </c>
      <c r="R33" s="144">
        <f t="shared" si="1"/>
        <v>40080</v>
      </c>
      <c r="S33">
        <v>8668</v>
      </c>
      <c r="T33" s="45">
        <v>2261</v>
      </c>
      <c r="U33" s="131">
        <v>2750</v>
      </c>
      <c r="V33">
        <v>15765</v>
      </c>
      <c r="W33" s="145">
        <v>6120</v>
      </c>
    </row>
    <row r="34" spans="1:23">
      <c r="A34" s="45" t="str">
        <f t="array" ref="A34">IFERROR(INDEX(baseline!$A$3:$A$201,MATCH($B34&amp;$C34,baseline!$C$3:$C$201&amp;baseline!$D$3:$D$201,0)),"NA")</f>
        <v>NA</v>
      </c>
      <c r="B34" t="s">
        <v>78</v>
      </c>
      <c r="C34" t="s">
        <v>14</v>
      </c>
      <c r="D34" s="131" t="s">
        <v>1013</v>
      </c>
      <c r="E34" s="131">
        <v>0.7</v>
      </c>
      <c r="F34" s="132" t="s">
        <v>769</v>
      </c>
      <c r="G34" s="132" t="s">
        <v>769</v>
      </c>
      <c r="H34" s="132" t="s">
        <v>769</v>
      </c>
      <c r="I34" s="131">
        <v>0.9</v>
      </c>
      <c r="J34">
        <v>0.3</v>
      </c>
      <c r="K34" t="s">
        <v>769</v>
      </c>
      <c r="L34" t="s">
        <v>769</v>
      </c>
      <c r="N34" s="45" t="s">
        <v>769</v>
      </c>
      <c r="O34" t="b">
        <v>1</v>
      </c>
      <c r="P34" s="132">
        <v>0.89500000000000002</v>
      </c>
      <c r="Q34" s="132">
        <v>0.89500000000000002</v>
      </c>
      <c r="R34" s="144">
        <f t="shared" si="1"/>
        <v>36299</v>
      </c>
      <c r="S34">
        <v>8668</v>
      </c>
      <c r="T34" s="45">
        <v>2261</v>
      </c>
      <c r="U34" s="131">
        <v>2750</v>
      </c>
      <c r="V34">
        <v>15765</v>
      </c>
      <c r="W34" s="145">
        <v>6120</v>
      </c>
    </row>
    <row r="35" spans="1:23">
      <c r="A35" s="45">
        <f t="array" ref="A35">IFERROR(INDEX(baseline!$A$3:$A$201,MATCH($B35&amp;$C35,baseline!$C$3:$C$201&amp;baseline!$D$3:$D$201,0)),"NA")</f>
        <v>31</v>
      </c>
      <c r="B35" t="s">
        <v>78</v>
      </c>
      <c r="C35" t="s">
        <v>546</v>
      </c>
      <c r="D35" s="131" t="s">
        <v>1013</v>
      </c>
      <c r="E35" s="131">
        <v>0.7</v>
      </c>
      <c r="F35" s="132" t="s">
        <v>769</v>
      </c>
      <c r="G35" s="132" t="s">
        <v>769</v>
      </c>
      <c r="H35" s="132" t="s">
        <v>769</v>
      </c>
      <c r="I35" s="131">
        <v>0.9</v>
      </c>
      <c r="J35">
        <v>0.3</v>
      </c>
      <c r="K35" t="s">
        <v>769</v>
      </c>
      <c r="L35" t="s">
        <v>769</v>
      </c>
      <c r="N35" s="45" t="s">
        <v>769</v>
      </c>
      <c r="O35" t="b">
        <v>1</v>
      </c>
      <c r="P35" s="132">
        <v>0.89500000000000002</v>
      </c>
      <c r="Q35" s="132">
        <v>0.89500000000000002</v>
      </c>
      <c r="R35" s="144">
        <f t="shared" si="1"/>
        <v>34710</v>
      </c>
      <c r="S35">
        <v>8668</v>
      </c>
      <c r="T35" s="45">
        <v>2261</v>
      </c>
      <c r="U35" s="131">
        <v>2750</v>
      </c>
      <c r="V35">
        <v>15765</v>
      </c>
      <c r="W35" s="145">
        <v>6120</v>
      </c>
    </row>
    <row r="36" spans="1:23">
      <c r="A36" s="45" t="str">
        <f t="array" ref="A36">IFERROR(INDEX(baseline!$A$3:$A$201,MATCH($B36&amp;$C36,baseline!$C$3:$C$201&amp;baseline!$D$3:$D$201,0)),"NA")</f>
        <v>NA</v>
      </c>
      <c r="B36" t="s">
        <v>545</v>
      </c>
      <c r="C36" t="s">
        <v>13</v>
      </c>
      <c r="D36" s="131" t="s">
        <v>1013</v>
      </c>
      <c r="E36" s="131">
        <v>0.7</v>
      </c>
      <c r="F36" s="132" t="s">
        <v>769</v>
      </c>
      <c r="G36" s="132" t="s">
        <v>769</v>
      </c>
      <c r="H36" s="132" t="s">
        <v>769</v>
      </c>
      <c r="I36" s="131">
        <v>0.9</v>
      </c>
      <c r="J36">
        <v>0.3</v>
      </c>
      <c r="K36" t="s">
        <v>769</v>
      </c>
      <c r="L36" t="s">
        <v>769</v>
      </c>
      <c r="N36" s="45" t="b">
        <v>1</v>
      </c>
      <c r="O36" t="b">
        <v>1</v>
      </c>
      <c r="P36" s="132">
        <v>0.89500000000000002</v>
      </c>
      <c r="Q36" s="132">
        <v>0.89500000000000002</v>
      </c>
      <c r="R36" s="144">
        <f t="shared" si="1"/>
        <v>133984</v>
      </c>
      <c r="S36">
        <v>7713</v>
      </c>
      <c r="T36" s="45">
        <v>6784</v>
      </c>
      <c r="U36" s="131">
        <v>2554</v>
      </c>
      <c r="V36">
        <v>111667</v>
      </c>
      <c r="W36" s="145">
        <v>10636</v>
      </c>
    </row>
    <row r="37" spans="1:23">
      <c r="A37" s="45" t="str">
        <f t="array" ref="A37">IFERROR(INDEX(baseline!$A$3:$A$201,MATCH($B37&amp;$C37,baseline!$C$3:$C$201&amp;baseline!$D$3:$D$201,0)),"NA")</f>
        <v>NA</v>
      </c>
      <c r="B37" t="s">
        <v>545</v>
      </c>
      <c r="C37" t="s">
        <v>14</v>
      </c>
      <c r="D37" s="131" t="s">
        <v>1013</v>
      </c>
      <c r="E37" s="131">
        <v>0.7</v>
      </c>
      <c r="F37" s="132" t="s">
        <v>769</v>
      </c>
      <c r="G37" s="132" t="s">
        <v>769</v>
      </c>
      <c r="H37" s="132" t="s">
        <v>769</v>
      </c>
      <c r="I37" s="131">
        <v>0.9</v>
      </c>
      <c r="J37">
        <v>0.3</v>
      </c>
      <c r="K37" t="s">
        <v>769</v>
      </c>
      <c r="L37" t="s">
        <v>769</v>
      </c>
      <c r="N37" s="45" t="b">
        <v>1</v>
      </c>
      <c r="O37" t="b">
        <v>1</v>
      </c>
      <c r="P37" s="132">
        <v>0.89500000000000002</v>
      </c>
      <c r="Q37" s="132">
        <v>0.89500000000000002</v>
      </c>
      <c r="R37" s="144">
        <f t="shared" si="1"/>
        <v>133234</v>
      </c>
      <c r="S37">
        <v>7713</v>
      </c>
      <c r="T37" s="45">
        <v>6784</v>
      </c>
      <c r="U37" s="131">
        <v>2554</v>
      </c>
      <c r="V37">
        <v>111667</v>
      </c>
      <c r="W37" s="145">
        <v>10636</v>
      </c>
    </row>
    <row r="38" spans="1:23">
      <c r="A38" s="45">
        <f t="array" ref="A38">IFERROR(INDEX(baseline!$A$3:$A$201,MATCH($B38&amp;$C38,baseline!$C$3:$C$201&amp;baseline!$D$3:$D$201,0)),"NA")</f>
        <v>29</v>
      </c>
      <c r="B38" t="s">
        <v>761</v>
      </c>
      <c r="C38" t="s">
        <v>546</v>
      </c>
      <c r="D38" s="131" t="s">
        <v>1013</v>
      </c>
      <c r="E38" s="131">
        <v>0.7</v>
      </c>
      <c r="F38" s="132" t="s">
        <v>769</v>
      </c>
      <c r="G38" s="132" t="s">
        <v>769</v>
      </c>
      <c r="H38" s="132" t="s">
        <v>769</v>
      </c>
      <c r="I38" s="131">
        <v>0.9</v>
      </c>
      <c r="J38">
        <v>0.3</v>
      </c>
      <c r="K38" t="s">
        <v>769</v>
      </c>
      <c r="L38" t="s">
        <v>769</v>
      </c>
      <c r="N38" s="45" t="b">
        <v>1</v>
      </c>
      <c r="O38" t="b">
        <v>1</v>
      </c>
      <c r="P38" s="132">
        <v>0.89500000000000002</v>
      </c>
      <c r="Q38" s="132">
        <v>0.89500000000000002</v>
      </c>
      <c r="R38" s="144">
        <f t="shared" si="1"/>
        <v>233596</v>
      </c>
      <c r="S38">
        <v>65989</v>
      </c>
      <c r="T38" s="45">
        <v>3769</v>
      </c>
      <c r="U38" s="131">
        <v>21849</v>
      </c>
      <c r="V38">
        <v>133713</v>
      </c>
      <c r="W38" s="145">
        <v>6855</v>
      </c>
    </row>
    <row r="39" spans="1:23">
      <c r="A39" s="45" t="str">
        <f t="array" ref="A39">IFERROR(INDEX(baseline!$A$3:$A$201,MATCH($B39&amp;$C39,baseline!$C$3:$C$201&amp;baseline!$D$3:$D$201,0)),"NA")</f>
        <v>NA</v>
      </c>
      <c r="B39" t="s">
        <v>697</v>
      </c>
      <c r="C39" t="s">
        <v>13</v>
      </c>
      <c r="D39" s="131" t="s">
        <v>1013</v>
      </c>
      <c r="E39" s="131">
        <v>0.7</v>
      </c>
      <c r="F39" s="132" t="s">
        <v>769</v>
      </c>
      <c r="G39" s="132" t="s">
        <v>769</v>
      </c>
      <c r="H39" s="132" t="s">
        <v>769</v>
      </c>
      <c r="I39" s="131">
        <v>0.9</v>
      </c>
      <c r="J39">
        <v>0.3</v>
      </c>
      <c r="K39" t="s">
        <v>769</v>
      </c>
      <c r="L39" t="s">
        <v>769</v>
      </c>
      <c r="N39" s="45" t="b">
        <v>1</v>
      </c>
      <c r="O39" t="b">
        <v>1</v>
      </c>
      <c r="P39" s="132">
        <v>0.89500000000000002</v>
      </c>
      <c r="Q39" s="132">
        <v>0.89500000000000002</v>
      </c>
      <c r="R39" s="144">
        <f t="shared" si="1"/>
        <v>62135</v>
      </c>
      <c r="S39">
        <v>9427</v>
      </c>
      <c r="T39" s="45">
        <v>2261</v>
      </c>
      <c r="U39" s="131">
        <v>3121</v>
      </c>
      <c r="V39">
        <v>45581</v>
      </c>
      <c r="W39" s="145">
        <v>5266</v>
      </c>
    </row>
    <row r="40" spans="1:23">
      <c r="A40" s="45" t="str">
        <f t="array" ref="A40">IFERROR(INDEX(baseline!$A$3:$A$201,MATCH($B40&amp;$C40,baseline!$C$3:$C$201&amp;baseline!$D$3:$D$201,0)),"NA")</f>
        <v>NA</v>
      </c>
      <c r="B40" t="s">
        <v>697</v>
      </c>
      <c r="C40" t="s">
        <v>546</v>
      </c>
      <c r="D40" s="131" t="s">
        <v>1013</v>
      </c>
      <c r="E40" s="131">
        <v>0.7</v>
      </c>
      <c r="F40" s="132" t="s">
        <v>769</v>
      </c>
      <c r="G40" s="132" t="s">
        <v>769</v>
      </c>
      <c r="H40" s="132" t="s">
        <v>769</v>
      </c>
      <c r="I40" s="131">
        <v>0.9</v>
      </c>
      <c r="J40">
        <v>0.3</v>
      </c>
      <c r="K40" t="s">
        <v>769</v>
      </c>
      <c r="L40" t="s">
        <v>769</v>
      </c>
      <c r="N40" s="45" t="b">
        <v>1</v>
      </c>
      <c r="O40" t="b">
        <v>1</v>
      </c>
      <c r="P40" s="132">
        <v>0.89500000000000002</v>
      </c>
      <c r="Q40" s="132">
        <v>0.89500000000000002</v>
      </c>
      <c r="R40" s="144">
        <f t="shared" si="1"/>
        <v>95788</v>
      </c>
      <c r="S40">
        <v>9427</v>
      </c>
      <c r="T40" s="45">
        <v>2261</v>
      </c>
      <c r="U40" s="131">
        <v>3121</v>
      </c>
      <c r="V40">
        <v>45581</v>
      </c>
      <c r="W40" s="145">
        <v>5266</v>
      </c>
    </row>
    <row r="41" spans="1:23">
      <c r="A41" s="45" t="str">
        <f t="array" ref="A41">IFERROR(INDEX(baseline!$A$3:$A$201,MATCH($B41&amp;$C41,baseline!$C$3:$C$201&amp;baseline!$D$3:$D$201,0)),"NA")</f>
        <v>NA</v>
      </c>
      <c r="B41" t="s">
        <v>713</v>
      </c>
      <c r="C41" t="s">
        <v>546</v>
      </c>
      <c r="D41" s="131" t="s">
        <v>1013</v>
      </c>
      <c r="E41" s="131">
        <v>0.7</v>
      </c>
      <c r="F41" s="132" t="s">
        <v>769</v>
      </c>
      <c r="G41" s="132" t="s">
        <v>769</v>
      </c>
      <c r="H41" s="132" t="s">
        <v>769</v>
      </c>
      <c r="I41" s="131">
        <v>0.9</v>
      </c>
      <c r="J41">
        <v>0.3</v>
      </c>
      <c r="K41" t="s">
        <v>769</v>
      </c>
      <c r="L41" t="s">
        <v>769</v>
      </c>
      <c r="N41" s="45" t="b">
        <v>1</v>
      </c>
      <c r="O41" t="b">
        <v>1</v>
      </c>
      <c r="P41" s="132">
        <v>0.89500000000000002</v>
      </c>
      <c r="Q41" s="132">
        <v>0.89500000000000002</v>
      </c>
      <c r="R41" s="144">
        <f t="shared" si="1"/>
        <v>70588</v>
      </c>
      <c r="S41">
        <v>7713</v>
      </c>
      <c r="T41" s="45">
        <v>754</v>
      </c>
      <c r="U41" s="131">
        <v>2554</v>
      </c>
      <c r="V41">
        <v>24169</v>
      </c>
      <c r="W41" s="145">
        <v>4516</v>
      </c>
    </row>
    <row r="42" spans="1:23">
      <c r="A42" s="45" t="str">
        <f t="array" ref="A42">IFERROR(INDEX(baseline!$A$3:$A$201,MATCH($B42&amp;$C42,baseline!$C$3:$C$201&amp;baseline!$D$3:$D$201,0)),"NA")</f>
        <v>NA</v>
      </c>
      <c r="B42" t="s">
        <v>762</v>
      </c>
      <c r="C42" t="s">
        <v>546</v>
      </c>
      <c r="D42" s="131" t="s">
        <v>1013</v>
      </c>
      <c r="E42" s="131">
        <v>0.7</v>
      </c>
      <c r="F42" s="132" t="s">
        <v>769</v>
      </c>
      <c r="G42" s="132" t="s">
        <v>769</v>
      </c>
      <c r="H42" s="132" t="s">
        <v>769</v>
      </c>
      <c r="I42" s="131">
        <v>0.9</v>
      </c>
      <c r="J42">
        <v>0.3</v>
      </c>
      <c r="K42" t="s">
        <v>769</v>
      </c>
      <c r="L42" t="s">
        <v>769</v>
      </c>
      <c r="N42" s="45" t="b">
        <v>1</v>
      </c>
      <c r="O42" t="b">
        <v>1</v>
      </c>
      <c r="P42" s="132">
        <v>0.89500000000000002</v>
      </c>
      <c r="Q42" s="132">
        <v>0.89500000000000002</v>
      </c>
      <c r="R42" s="144">
        <f t="shared" si="1"/>
        <v>182028</v>
      </c>
      <c r="S42">
        <v>43707</v>
      </c>
      <c r="T42" s="45">
        <v>5276</v>
      </c>
      <c r="U42" s="131">
        <v>14471</v>
      </c>
      <c r="V42">
        <v>83176</v>
      </c>
      <c r="W42" s="145">
        <v>8276</v>
      </c>
    </row>
    <row r="43" spans="1:23">
      <c r="A43" s="45" t="str">
        <f t="array" ref="A43">IFERROR(INDEX(baseline!$A$3:$A$201,MATCH($B43&amp;$C43,baseline!$C$3:$C$201&amp;baseline!$D$3:$D$201,0)),"NA")</f>
        <v>NA</v>
      </c>
      <c r="B43" t="s">
        <v>763</v>
      </c>
      <c r="C43" t="s">
        <v>881</v>
      </c>
      <c r="D43" s="131" t="s">
        <v>1013</v>
      </c>
      <c r="E43" s="131">
        <v>0.7</v>
      </c>
      <c r="F43" s="132" t="s">
        <v>769</v>
      </c>
      <c r="G43" s="132" t="s">
        <v>769</v>
      </c>
      <c r="H43" s="132" t="s">
        <v>769</v>
      </c>
      <c r="I43" s="131">
        <v>0.9</v>
      </c>
      <c r="J43">
        <v>0.3</v>
      </c>
      <c r="K43" t="s">
        <v>769</v>
      </c>
      <c r="L43" t="s">
        <v>769</v>
      </c>
      <c r="N43" s="45" t="b">
        <v>1</v>
      </c>
      <c r="O43" t="b">
        <v>1</v>
      </c>
      <c r="P43" s="132">
        <v>0.89500000000000002</v>
      </c>
      <c r="Q43" s="132">
        <v>0.89500000000000002</v>
      </c>
      <c r="R43" s="144">
        <f t="shared" si="1"/>
        <v>59982</v>
      </c>
      <c r="S43">
        <v>13712</v>
      </c>
      <c r="T43" s="45">
        <v>1508</v>
      </c>
      <c r="U43" s="131">
        <v>4540</v>
      </c>
      <c r="V43">
        <v>20189</v>
      </c>
      <c r="W43" s="145">
        <v>1745</v>
      </c>
    </row>
    <row r="44" spans="1:23">
      <c r="A44" s="45" t="str">
        <f t="array" ref="A44">IFERROR(INDEX(baseline!$A$3:$A$201,MATCH($B44&amp;$C44,baseline!$C$3:$C$201&amp;baseline!$D$3:$D$201,0)),"NA")</f>
        <v>NA</v>
      </c>
      <c r="B44" t="s">
        <v>712</v>
      </c>
      <c r="C44" t="s">
        <v>881</v>
      </c>
      <c r="D44" s="131" t="s">
        <v>1013</v>
      </c>
      <c r="E44" s="131">
        <v>0.7</v>
      </c>
      <c r="F44" s="132" t="s">
        <v>769</v>
      </c>
      <c r="G44" s="132" t="s">
        <v>769</v>
      </c>
      <c r="H44" s="132" t="s">
        <v>769</v>
      </c>
      <c r="I44" s="131">
        <v>0.9</v>
      </c>
      <c r="J44">
        <v>0.3</v>
      </c>
      <c r="K44" t="s">
        <v>769</v>
      </c>
      <c r="L44" t="s">
        <v>769</v>
      </c>
      <c r="N44" s="45" t="s">
        <v>769</v>
      </c>
      <c r="O44" t="b">
        <v>1</v>
      </c>
      <c r="P44" s="132">
        <v>0.89500000000000002</v>
      </c>
      <c r="Q44" s="132">
        <v>0.89500000000000002</v>
      </c>
      <c r="R44" s="144">
        <f t="shared" si="1"/>
        <v>278223</v>
      </c>
      <c r="S44">
        <v>27424</v>
      </c>
      <c r="T44" s="45">
        <v>6030</v>
      </c>
      <c r="U44" s="131">
        <v>9080</v>
      </c>
      <c r="V44">
        <v>232340</v>
      </c>
      <c r="W44" s="145">
        <v>35398</v>
      </c>
    </row>
    <row r="45" spans="1:23">
      <c r="A45" s="45" t="str">
        <f t="array" ref="A45">IFERROR(INDEX(baseline!$A$3:$A$201,MATCH($B45&amp;$C45,baseline!$C$3:$C$201&amp;baseline!$D$3:$D$201,0)),"NA")</f>
        <v>NA</v>
      </c>
      <c r="B45" t="s">
        <v>712</v>
      </c>
      <c r="C45" t="s">
        <v>13</v>
      </c>
      <c r="D45" s="131" t="s">
        <v>1013</v>
      </c>
      <c r="E45" s="131">
        <v>0.7</v>
      </c>
      <c r="F45" s="132" t="s">
        <v>769</v>
      </c>
      <c r="G45" s="132" t="s">
        <v>769</v>
      </c>
      <c r="H45" s="132" t="s">
        <v>769</v>
      </c>
      <c r="I45" s="131">
        <v>0.9</v>
      </c>
      <c r="J45">
        <v>0.3</v>
      </c>
      <c r="K45" t="s">
        <v>769</v>
      </c>
      <c r="L45" t="s">
        <v>769</v>
      </c>
      <c r="N45" s="45" t="s">
        <v>769</v>
      </c>
      <c r="O45" t="b">
        <v>1</v>
      </c>
      <c r="P45" s="132">
        <v>0.89500000000000002</v>
      </c>
      <c r="Q45" s="132">
        <v>0.89500000000000002</v>
      </c>
      <c r="R45" s="144">
        <f t="shared" si="1"/>
        <v>278223</v>
      </c>
      <c r="S45">
        <v>27424</v>
      </c>
      <c r="T45" s="45">
        <v>6030</v>
      </c>
      <c r="U45" s="131">
        <v>9080</v>
      </c>
      <c r="V45">
        <v>232340</v>
      </c>
      <c r="W45" s="145">
        <v>35398</v>
      </c>
    </row>
    <row r="46" spans="1:23">
      <c r="A46" s="45" t="str">
        <f t="array" ref="A46">IFERROR(INDEX(baseline!$A$3:$A$201,MATCH($B46&amp;$C46,baseline!$C$3:$C$201&amp;baseline!$D$3:$D$201,0)),"NA")</f>
        <v>NA</v>
      </c>
      <c r="B46" t="s">
        <v>712</v>
      </c>
      <c r="C46" t="s">
        <v>546</v>
      </c>
      <c r="D46" s="131" t="s">
        <v>1013</v>
      </c>
      <c r="E46" s="131">
        <v>0.7</v>
      </c>
      <c r="F46" s="132" t="s">
        <v>769</v>
      </c>
      <c r="G46" s="132" t="s">
        <v>769</v>
      </c>
      <c r="H46" s="132" t="s">
        <v>769</v>
      </c>
      <c r="I46" s="131">
        <v>0.9</v>
      </c>
      <c r="J46">
        <v>0.3</v>
      </c>
      <c r="K46" t="s">
        <v>769</v>
      </c>
      <c r="L46" t="s">
        <v>769</v>
      </c>
      <c r="N46" s="45" t="s">
        <v>769</v>
      </c>
      <c r="O46" t="b">
        <v>1</v>
      </c>
      <c r="P46" s="132">
        <v>0.89500000000000002</v>
      </c>
      <c r="Q46" s="132">
        <v>0.89500000000000002</v>
      </c>
      <c r="R46" s="144">
        <f t="shared" si="1"/>
        <v>274874</v>
      </c>
      <c r="S46">
        <v>27424</v>
      </c>
      <c r="T46" s="45">
        <v>6030</v>
      </c>
      <c r="U46" s="131">
        <v>9080</v>
      </c>
      <c r="V46">
        <v>232340</v>
      </c>
      <c r="W46" s="145">
        <v>35398</v>
      </c>
    </row>
    <row r="47" spans="1:23">
      <c r="A47" s="45" t="str">
        <f t="array" ref="A47">IFERROR(INDEX(baseline!$A$3:$A$201,MATCH($B47&amp;$C47,baseline!$C$3:$C$201&amp;baseline!$D$3:$D$201,0)),"NA")</f>
        <v>NA</v>
      </c>
      <c r="B47" t="s">
        <v>547</v>
      </c>
      <c r="C47" t="s">
        <v>13</v>
      </c>
      <c r="D47" s="131" t="s">
        <v>1013</v>
      </c>
      <c r="E47" s="131">
        <v>0.7</v>
      </c>
      <c r="F47" s="132" t="s">
        <v>769</v>
      </c>
      <c r="G47" s="132" t="s">
        <v>769</v>
      </c>
      <c r="H47" s="132" t="s">
        <v>769</v>
      </c>
      <c r="I47" s="131">
        <v>0.9</v>
      </c>
      <c r="J47">
        <v>0.3</v>
      </c>
      <c r="K47" t="s">
        <v>769</v>
      </c>
      <c r="L47" t="s">
        <v>769</v>
      </c>
      <c r="N47" s="45" t="b">
        <v>1</v>
      </c>
      <c r="O47" t="b">
        <v>1</v>
      </c>
      <c r="P47" s="132">
        <v>0.89500000000000002</v>
      </c>
      <c r="Q47" s="132">
        <v>0.89500000000000002</v>
      </c>
      <c r="R47" s="144">
        <f t="shared" si="1"/>
        <v>208586</v>
      </c>
      <c r="S47">
        <v>35137</v>
      </c>
      <c r="T47" s="45">
        <v>1508</v>
      </c>
      <c r="U47" s="131">
        <v>11634</v>
      </c>
      <c r="V47">
        <v>160307</v>
      </c>
      <c r="W47" s="145">
        <v>20033</v>
      </c>
    </row>
    <row r="48" spans="1:23">
      <c r="A48" s="45" t="str">
        <f t="array" ref="A48">IFERROR(INDEX(baseline!$A$3:$A$201,MATCH($B48&amp;$C48,baseline!$C$3:$C$201&amp;baseline!$D$3:$D$201,0)),"NA")</f>
        <v>NA</v>
      </c>
      <c r="B48" t="s">
        <v>1</v>
      </c>
      <c r="C48" t="s">
        <v>13</v>
      </c>
      <c r="D48" s="131" t="s">
        <v>1013</v>
      </c>
      <c r="E48" s="131">
        <v>0.7</v>
      </c>
      <c r="F48" s="132" t="s">
        <v>769</v>
      </c>
      <c r="G48" s="132" t="s">
        <v>769</v>
      </c>
      <c r="H48" s="132" t="s">
        <v>769</v>
      </c>
      <c r="I48" s="131">
        <v>0.9</v>
      </c>
      <c r="J48">
        <v>0.3</v>
      </c>
      <c r="K48" t="s">
        <v>769</v>
      </c>
      <c r="L48" t="s">
        <v>769</v>
      </c>
      <c r="N48" s="45" t="b">
        <v>1</v>
      </c>
      <c r="O48" t="b">
        <v>1</v>
      </c>
      <c r="P48" s="132">
        <v>0.89500000000000002</v>
      </c>
      <c r="Q48" s="132">
        <v>0.89500000000000002</v>
      </c>
      <c r="R48" s="144">
        <f t="shared" si="1"/>
        <v>38502</v>
      </c>
      <c r="S48">
        <v>8750</v>
      </c>
      <c r="T48" s="45">
        <v>754</v>
      </c>
      <c r="U48" s="131">
        <v>2838</v>
      </c>
      <c r="V48">
        <v>26160</v>
      </c>
      <c r="W48" s="145">
        <v>3349</v>
      </c>
    </row>
    <row r="49" spans="1:23">
      <c r="A49" s="45" t="str">
        <f t="array" ref="A49">IFERROR(INDEX(baseline!$A$3:$A$201,MATCH($B49&amp;$C49,baseline!$C$3:$C$201&amp;baseline!$D$3:$D$201,0)),"NA")</f>
        <v>NA</v>
      </c>
      <c r="B49" t="s">
        <v>1</v>
      </c>
      <c r="C49" t="s">
        <v>546</v>
      </c>
      <c r="D49" s="131" t="s">
        <v>1013</v>
      </c>
      <c r="E49" s="131">
        <v>0.7</v>
      </c>
      <c r="F49" s="132" t="s">
        <v>769</v>
      </c>
      <c r="G49" s="132" t="s">
        <v>769</v>
      </c>
      <c r="H49" s="132" t="s">
        <v>769</v>
      </c>
      <c r="I49" s="131">
        <v>0.9</v>
      </c>
      <c r="J49">
        <v>0.3</v>
      </c>
      <c r="K49" t="s">
        <v>769</v>
      </c>
      <c r="L49" t="s">
        <v>769</v>
      </c>
      <c r="N49" s="45" t="b">
        <v>1</v>
      </c>
      <c r="O49" t="b">
        <v>1</v>
      </c>
      <c r="P49" s="132">
        <v>0.89500000000000002</v>
      </c>
      <c r="Q49" s="132">
        <v>0.89500000000000002</v>
      </c>
      <c r="R49" s="144">
        <f t="shared" si="1"/>
        <v>38502</v>
      </c>
      <c r="S49">
        <v>8750</v>
      </c>
      <c r="T49" s="45">
        <v>754</v>
      </c>
      <c r="U49" s="131">
        <v>2838</v>
      </c>
      <c r="V49">
        <v>26160</v>
      </c>
      <c r="W49" s="145">
        <v>3349</v>
      </c>
    </row>
    <row r="57" spans="1:23">
      <c r="R57" s="145"/>
      <c r="W57" s="145"/>
    </row>
    <row r="58" spans="1:23">
      <c r="R58" s="145"/>
      <c r="W58" s="145"/>
    </row>
    <row r="59" spans="1:23">
      <c r="R59" s="145"/>
      <c r="W59" s="145"/>
    </row>
    <row r="60" spans="1:23">
      <c r="R60" s="145"/>
      <c r="W60" s="145"/>
    </row>
    <row r="61" spans="1:23">
      <c r="R61" s="145"/>
      <c r="W61" s="145"/>
    </row>
    <row r="62" spans="1:23">
      <c r="R62" s="145"/>
      <c r="W62" s="145"/>
    </row>
    <row r="63" spans="1:23">
      <c r="R63" s="145"/>
      <c r="W63" s="145"/>
    </row>
    <row r="64" spans="1:23">
      <c r="R64" s="145"/>
      <c r="W64" s="145"/>
    </row>
    <row r="65" spans="18:23">
      <c r="R65" s="145"/>
      <c r="W65" s="145"/>
    </row>
    <row r="66" spans="18:23">
      <c r="R66" s="145"/>
      <c r="W66" s="145"/>
    </row>
    <row r="67" spans="18:23">
      <c r="R67" s="145"/>
      <c r="W67" s="145"/>
    </row>
    <row r="68" spans="18:23">
      <c r="R68" s="145"/>
      <c r="W68" s="145"/>
    </row>
    <row r="69" spans="18:23">
      <c r="R69" s="145"/>
      <c r="W69" s="145"/>
    </row>
    <row r="70" spans="18:23">
      <c r="R70" s="145"/>
      <c r="W70" s="145"/>
    </row>
    <row r="71" spans="18:23">
      <c r="R71" s="145"/>
      <c r="W71" s="145"/>
    </row>
    <row r="72" spans="18:23">
      <c r="R72" s="145"/>
      <c r="W72" s="145"/>
    </row>
    <row r="73" spans="18:23">
      <c r="R73" s="145"/>
      <c r="W73" s="145"/>
    </row>
    <row r="74" spans="18:23">
      <c r="R74" s="145"/>
      <c r="W74" s="145"/>
    </row>
    <row r="75" spans="18:23">
      <c r="R75" s="145"/>
      <c r="W75" s="145"/>
    </row>
    <row r="76" spans="18:23">
      <c r="R76" s="145"/>
      <c r="W76" s="145"/>
    </row>
    <row r="77" spans="18:23">
      <c r="R77" s="145"/>
      <c r="W77" s="145"/>
    </row>
    <row r="78" spans="18:23">
      <c r="R78" s="145"/>
      <c r="W78" s="145"/>
    </row>
    <row r="79" spans="18:23">
      <c r="R79" s="145"/>
      <c r="W79" s="145"/>
    </row>
    <row r="80" spans="18:23">
      <c r="R80" s="145"/>
      <c r="W80" s="145"/>
    </row>
    <row r="81" spans="18:23">
      <c r="R81" s="145"/>
      <c r="W81" s="145"/>
    </row>
    <row r="82" spans="18:23">
      <c r="R82" s="145"/>
      <c r="W82" s="145"/>
    </row>
    <row r="83" spans="18:23">
      <c r="R83" s="145"/>
      <c r="W83" s="145"/>
    </row>
    <row r="84" spans="18:23">
      <c r="R84" s="145"/>
      <c r="W84" s="145"/>
    </row>
    <row r="87" spans="18:23">
      <c r="R87" s="145"/>
      <c r="W87" s="145"/>
    </row>
    <row r="88" spans="18:23">
      <c r="R88" s="145"/>
      <c r="W88" s="145"/>
    </row>
    <row r="89" spans="18:23">
      <c r="R89" s="145"/>
      <c r="W89" s="145"/>
    </row>
    <row r="90" spans="18:23">
      <c r="R90" s="145"/>
      <c r="W90" s="145"/>
    </row>
    <row r="91" spans="18:23">
      <c r="R91" s="145"/>
      <c r="W91" s="145"/>
    </row>
    <row r="92" spans="18:23">
      <c r="R92" s="145"/>
      <c r="W92" s="145"/>
    </row>
    <row r="93" spans="18:23">
      <c r="R93" s="145"/>
      <c r="W93" s="145"/>
    </row>
    <row r="94" spans="18:23">
      <c r="R94" s="145"/>
      <c r="W94" s="145"/>
    </row>
    <row r="95" spans="18:23">
      <c r="R95" s="145"/>
      <c r="W95" s="145"/>
    </row>
    <row r="96" spans="18:23">
      <c r="R96" s="145"/>
      <c r="W96" s="145"/>
    </row>
    <row r="97" spans="18:23">
      <c r="R97" s="145"/>
      <c r="W97" s="145"/>
    </row>
    <row r="98" spans="18:23">
      <c r="R98" s="145"/>
      <c r="W98" s="145"/>
    </row>
    <row r="99" spans="18:23">
      <c r="R99" s="145"/>
      <c r="W99" s="145"/>
    </row>
    <row r="100" spans="18:23">
      <c r="R100" s="145"/>
      <c r="W100" s="145"/>
    </row>
    <row r="101" spans="18:23">
      <c r="R101" s="145"/>
      <c r="W101" s="145"/>
    </row>
    <row r="102" spans="18:23">
      <c r="R102" s="145"/>
      <c r="W102" s="145"/>
    </row>
    <row r="103" spans="18:23">
      <c r="R103" s="145"/>
      <c r="W103" s="145"/>
    </row>
    <row r="104" spans="18:23">
      <c r="R104" s="145"/>
      <c r="W104" s="145"/>
    </row>
    <row r="105" spans="18:23">
      <c r="R105" s="145"/>
      <c r="W105" s="145"/>
    </row>
    <row r="106" spans="18:23">
      <c r="R106" s="145"/>
      <c r="W106" s="145"/>
    </row>
    <row r="107" spans="18:23">
      <c r="R107" s="145"/>
      <c r="W107" s="145"/>
    </row>
    <row r="108" spans="18:23">
      <c r="R108" s="145"/>
      <c r="W108" s="145"/>
    </row>
    <row r="109" spans="18:23">
      <c r="R109" s="145"/>
      <c r="W109" s="145"/>
    </row>
    <row r="110" spans="18:23">
      <c r="R110" s="145"/>
      <c r="W110" s="145"/>
    </row>
    <row r="111" spans="18:23">
      <c r="R111" s="145"/>
      <c r="W111" s="145"/>
    </row>
    <row r="112" spans="18:23">
      <c r="R112" s="145"/>
      <c r="W112" s="145"/>
    </row>
    <row r="113" spans="18:23">
      <c r="R113" s="145"/>
      <c r="W113" s="145"/>
    </row>
    <row r="114" spans="18:23">
      <c r="R114" s="145"/>
      <c r="W114" s="145"/>
    </row>
    <row r="115" spans="18:23">
      <c r="R115" s="145"/>
      <c r="W115" s="145"/>
    </row>
    <row r="116" spans="18:23">
      <c r="R116" s="145"/>
      <c r="W116" s="145"/>
    </row>
    <row r="117" spans="18:23">
      <c r="R117" s="145"/>
      <c r="W117" s="145"/>
    </row>
    <row r="118" spans="18:23">
      <c r="R118" s="145"/>
      <c r="W118" s="145"/>
    </row>
    <row r="119" spans="18:23">
      <c r="R119" s="145"/>
      <c r="W119" s="145"/>
    </row>
    <row r="120" spans="18:23">
      <c r="R120" s="145"/>
      <c r="W120" s="145"/>
    </row>
    <row r="121" spans="18:23">
      <c r="R121" s="145"/>
      <c r="W121" s="145"/>
    </row>
    <row r="122" spans="18:23">
      <c r="R122" s="145"/>
      <c r="W122" s="145"/>
    </row>
    <row r="123" spans="18:23">
      <c r="R123" s="145"/>
      <c r="W123" s="145"/>
    </row>
    <row r="124" spans="18:23">
      <c r="R124" s="145"/>
      <c r="W124" s="145"/>
    </row>
    <row r="125" spans="18:23">
      <c r="R125" s="145"/>
      <c r="W125" s="145"/>
    </row>
    <row r="126" spans="18:23">
      <c r="R126" s="145"/>
      <c r="W126" s="145"/>
    </row>
    <row r="127" spans="18:23">
      <c r="R127" s="145"/>
      <c r="W127" s="145"/>
    </row>
    <row r="128" spans="18:23">
      <c r="R128" s="145"/>
      <c r="W128" s="145"/>
    </row>
    <row r="129" spans="18:23">
      <c r="R129" s="145"/>
      <c r="W129" s="145"/>
    </row>
    <row r="130" spans="18:23">
      <c r="R130" s="145"/>
      <c r="W130" s="14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sheetPr>
    <tabColor rgb="FF00B050"/>
  </sheetPr>
  <dimension ref="A1:P49"/>
  <sheetViews>
    <sheetView topLeftCell="H1" workbookViewId="0">
      <selection activeCell="K28" sqref="A28:XFD28"/>
    </sheetView>
  </sheetViews>
  <sheetFormatPr defaultRowHeight="14.4"/>
  <cols>
    <col min="2" max="2" width="21.6640625" customWidth="1"/>
    <col min="3" max="3" width="20.109375" customWidth="1"/>
    <col min="4" max="4" width="14.6640625" customWidth="1"/>
    <col min="5" max="5" width="22.33203125" customWidth="1"/>
    <col min="6" max="6" width="28.88671875" customWidth="1"/>
    <col min="7" max="7" width="18.88671875" customWidth="1"/>
    <col min="8" max="8" width="24.109375" customWidth="1"/>
    <col min="9" max="10" width="18.88671875" customWidth="1"/>
    <col min="11" max="11" width="30.109375" customWidth="1"/>
    <col min="12" max="12" width="16.33203125" customWidth="1"/>
    <col min="13" max="13" width="20.33203125" customWidth="1"/>
    <col min="14" max="14" width="16.5546875" customWidth="1"/>
    <col min="15" max="15" width="30.109375" customWidth="1"/>
    <col min="16" max="16" width="9.5546875" style="187" bestFit="1" customWidth="1"/>
  </cols>
  <sheetData>
    <row r="1" spans="1:16" ht="20.25" customHeight="1">
      <c r="A1" t="s">
        <v>920</v>
      </c>
      <c r="B1" s="128" t="s">
        <v>766</v>
      </c>
      <c r="C1" s="127" t="s">
        <v>748</v>
      </c>
      <c r="D1" s="131" t="s">
        <v>774</v>
      </c>
      <c r="E1" s="131" t="s">
        <v>831</v>
      </c>
      <c r="F1" t="s">
        <v>871</v>
      </c>
      <c r="G1" t="s">
        <v>872</v>
      </c>
      <c r="H1" t="s">
        <v>874</v>
      </c>
      <c r="I1" t="s">
        <v>873</v>
      </c>
      <c r="J1" t="s">
        <v>875</v>
      </c>
      <c r="K1" t="s">
        <v>876</v>
      </c>
      <c r="L1" s="144" t="s">
        <v>904</v>
      </c>
      <c r="M1" s="143" t="s">
        <v>891</v>
      </c>
      <c r="N1" s="145" t="s">
        <v>858</v>
      </c>
      <c r="O1" s="187" t="s">
        <v>899</v>
      </c>
      <c r="P1" s="187" t="s">
        <v>1012</v>
      </c>
    </row>
    <row r="2" spans="1:16">
      <c r="A2" s="45">
        <f t="array" ref="A2">IFERROR(INDEX(baseline!$A$3:$A$201,MATCH($B2&amp;$C2,baseline!$C$3:$C$201&amp;baseline!$D$3:$D$201,0)),"NA")</f>
        <v>1</v>
      </c>
      <c r="B2" t="s">
        <v>0</v>
      </c>
      <c r="C2" t="s">
        <v>881</v>
      </c>
      <c r="D2" s="131" t="s">
        <v>1011</v>
      </c>
      <c r="E2" s="131">
        <v>2.0000000000000001E-4</v>
      </c>
      <c r="F2" t="b">
        <v>1</v>
      </c>
      <c r="G2">
        <v>0.05</v>
      </c>
      <c r="H2">
        <v>17</v>
      </c>
      <c r="I2">
        <v>22</v>
      </c>
      <c r="J2">
        <v>99</v>
      </c>
      <c r="K2">
        <v>24</v>
      </c>
      <c r="L2" s="132" t="s">
        <v>769</v>
      </c>
      <c r="M2" s="132" t="s">
        <v>769</v>
      </c>
      <c r="N2" s="132" t="s">
        <v>769</v>
      </c>
      <c r="O2" s="187">
        <f>P2+ecm_occ_temp_setback!K2</f>
        <v>195624</v>
      </c>
      <c r="P2" s="187">
        <f>122012+VALUE(ecm_occ_temp_setback!K2)</f>
        <v>158818</v>
      </c>
    </row>
    <row r="3" spans="1:16">
      <c r="A3" s="45">
        <f t="array" ref="A3">IFERROR(INDEX(baseline!$A$3:$A$201,MATCH($B3&amp;$C3,baseline!$C$3:$C$201&amp;baseline!$D$3:$D$201,0)),"NA")</f>
        <v>2</v>
      </c>
      <c r="B3" t="s">
        <v>78</v>
      </c>
      <c r="C3" t="s">
        <v>881</v>
      </c>
      <c r="D3" s="131" t="s">
        <v>1011</v>
      </c>
      <c r="E3" s="131">
        <v>2.9999999999999997E-4</v>
      </c>
      <c r="F3" t="b">
        <v>1</v>
      </c>
      <c r="G3">
        <v>0.05</v>
      </c>
      <c r="H3">
        <v>17</v>
      </c>
      <c r="I3">
        <v>22</v>
      </c>
      <c r="J3">
        <v>99</v>
      </c>
      <c r="K3">
        <v>24</v>
      </c>
      <c r="L3" s="132" t="s">
        <v>769</v>
      </c>
      <c r="M3" s="132" t="s">
        <v>769</v>
      </c>
      <c r="N3" s="132" t="s">
        <v>769</v>
      </c>
      <c r="O3" s="187">
        <f>P3+ecm_occ_temp_setback!K3</f>
        <v>72484</v>
      </c>
      <c r="P3" s="187">
        <v>67418</v>
      </c>
    </row>
    <row r="4" spans="1:16">
      <c r="A4" s="45">
        <f t="array" ref="A4">IFERROR(INDEX(baseline!$A$3:$A$201,MATCH($B4&amp;$C4,baseline!$C$3:$C$201&amp;baseline!$D$3:$D$201,0)),"NA")</f>
        <v>3</v>
      </c>
      <c r="B4" t="s">
        <v>545</v>
      </c>
      <c r="C4" t="s">
        <v>881</v>
      </c>
      <c r="D4" s="131" t="s">
        <v>1011</v>
      </c>
      <c r="E4" s="131">
        <v>2.0000000000000001E-4</v>
      </c>
      <c r="F4" t="b">
        <v>1</v>
      </c>
      <c r="G4">
        <v>0.05</v>
      </c>
      <c r="H4">
        <v>17</v>
      </c>
      <c r="I4">
        <v>22</v>
      </c>
      <c r="J4">
        <v>99</v>
      </c>
      <c r="K4">
        <v>24</v>
      </c>
      <c r="L4" s="132" t="s">
        <v>769</v>
      </c>
      <c r="M4" s="132" t="s">
        <v>769</v>
      </c>
      <c r="N4" s="132" t="s">
        <v>769</v>
      </c>
      <c r="O4" s="187">
        <f>P4+ecm_occ_temp_setback!K4</f>
        <v>88213</v>
      </c>
      <c r="P4" s="187">
        <v>83796</v>
      </c>
    </row>
    <row r="5" spans="1:16">
      <c r="A5" s="45">
        <f t="array" ref="A5">IFERROR(INDEX(baseline!$A$3:$A$201,MATCH($B5&amp;$C5,baseline!$C$3:$C$201&amp;baseline!$D$3:$D$201,0)),"NA")</f>
        <v>4</v>
      </c>
      <c r="B5" t="s">
        <v>545</v>
      </c>
      <c r="C5" t="s">
        <v>546</v>
      </c>
      <c r="D5" s="131" t="s">
        <v>769</v>
      </c>
      <c r="E5" s="131">
        <v>2.0000000000000001E-4</v>
      </c>
      <c r="F5" t="b">
        <v>1</v>
      </c>
      <c r="G5">
        <v>0.05</v>
      </c>
      <c r="H5">
        <v>17</v>
      </c>
      <c r="I5">
        <v>22</v>
      </c>
      <c r="J5">
        <v>99</v>
      </c>
      <c r="K5">
        <v>24</v>
      </c>
      <c r="L5" s="132" t="s">
        <v>769</v>
      </c>
      <c r="M5" s="132" t="s">
        <v>769</v>
      </c>
      <c r="N5" s="132" t="s">
        <v>769</v>
      </c>
      <c r="O5" s="187">
        <f>P5+ecm_occ_temp_setback!K5</f>
        <v>4417</v>
      </c>
      <c r="P5" s="187">
        <v>0</v>
      </c>
    </row>
    <row r="6" spans="1:16">
      <c r="A6" s="45">
        <f t="array" ref="A6">IFERROR(INDEX(baseline!$A$3:$A$201,MATCH($B6&amp;$C6,baseline!$C$3:$C$201&amp;baseline!$D$3:$D$201,0)),"NA")</f>
        <v>5</v>
      </c>
      <c r="B6" t="s">
        <v>761</v>
      </c>
      <c r="C6" t="s">
        <v>881</v>
      </c>
      <c r="D6" s="131" t="s">
        <v>1011</v>
      </c>
      <c r="E6" s="131">
        <v>2.9999999999999997E-4</v>
      </c>
      <c r="F6" t="b">
        <v>1</v>
      </c>
      <c r="G6">
        <v>0.05</v>
      </c>
      <c r="H6">
        <v>17</v>
      </c>
      <c r="I6">
        <v>22</v>
      </c>
      <c r="J6">
        <v>99</v>
      </c>
      <c r="K6">
        <v>24</v>
      </c>
      <c r="L6" s="132" t="s">
        <v>769</v>
      </c>
      <c r="M6" s="132" t="s">
        <v>769</v>
      </c>
      <c r="N6" s="132" t="s">
        <v>769</v>
      </c>
      <c r="O6" s="187">
        <f>P6+ecm_occ_temp_setback!K6</f>
        <v>134565</v>
      </c>
      <c r="P6" s="187">
        <v>96777</v>
      </c>
    </row>
    <row r="7" spans="1:16">
      <c r="A7" s="45">
        <f t="array" ref="A7">IFERROR(INDEX(baseline!$A$3:$A$201,MATCH($B7&amp;$C7,baseline!$C$3:$C$201&amp;baseline!$D$3:$D$201,0)),"NA")</f>
        <v>6</v>
      </c>
      <c r="B7" t="s">
        <v>761</v>
      </c>
      <c r="C7" t="s">
        <v>13</v>
      </c>
      <c r="D7" s="131" t="s">
        <v>1011</v>
      </c>
      <c r="E7" s="131">
        <v>2.9999999999999997E-4</v>
      </c>
      <c r="F7" t="b">
        <v>1</v>
      </c>
      <c r="G7">
        <v>0.05</v>
      </c>
      <c r="H7">
        <v>17</v>
      </c>
      <c r="I7">
        <v>22</v>
      </c>
      <c r="J7">
        <v>99</v>
      </c>
      <c r="K7">
        <v>24</v>
      </c>
      <c r="L7" s="132" t="s">
        <v>769</v>
      </c>
      <c r="M7" s="132" t="s">
        <v>769</v>
      </c>
      <c r="N7" s="132" t="s">
        <v>769</v>
      </c>
      <c r="O7" s="187">
        <f>P7+ecm_occ_temp_setback!K7</f>
        <v>134565</v>
      </c>
      <c r="P7" s="187">
        <v>96777</v>
      </c>
    </row>
    <row r="8" spans="1:16">
      <c r="A8" s="45">
        <f t="array" ref="A8">IFERROR(INDEX(baseline!$A$3:$A$201,MATCH($B8&amp;$C8,baseline!$C$3:$C$201&amp;baseline!$D$3:$D$201,0)),"NA")</f>
        <v>7</v>
      </c>
      <c r="B8" t="s">
        <v>761</v>
      </c>
      <c r="C8" t="s">
        <v>14</v>
      </c>
      <c r="D8" s="131" t="s">
        <v>1011</v>
      </c>
      <c r="E8" s="131">
        <v>2.9999999999999997E-4</v>
      </c>
      <c r="F8" t="b">
        <v>1</v>
      </c>
      <c r="G8">
        <v>0.05</v>
      </c>
      <c r="H8">
        <v>17</v>
      </c>
      <c r="I8">
        <v>22</v>
      </c>
      <c r="J8">
        <v>99</v>
      </c>
      <c r="K8">
        <v>24</v>
      </c>
      <c r="L8" s="132" t="s">
        <v>769</v>
      </c>
      <c r="M8" s="132" t="s">
        <v>769</v>
      </c>
      <c r="N8" s="132" t="s">
        <v>769</v>
      </c>
      <c r="O8" s="187">
        <f>P8+ecm_occ_temp_setback!K8</f>
        <v>126612</v>
      </c>
      <c r="P8" s="187">
        <v>88824</v>
      </c>
    </row>
    <row r="9" spans="1:16">
      <c r="A9" s="45">
        <f t="array" ref="A9">IFERROR(INDEX(baseline!$A$3:$A$201,MATCH($B9&amp;$C9,baseline!$C$3:$C$201&amp;baseline!$D$3:$D$201,0)),"NA")</f>
        <v>8</v>
      </c>
      <c r="B9" t="s">
        <v>697</v>
      </c>
      <c r="C9" t="s">
        <v>881</v>
      </c>
      <c r="D9" s="131" t="s">
        <v>1011</v>
      </c>
      <c r="E9" s="131">
        <v>2.9999999999999997E-4</v>
      </c>
      <c r="F9" t="b">
        <v>1</v>
      </c>
      <c r="G9">
        <v>0.05</v>
      </c>
      <c r="H9">
        <v>17</v>
      </c>
      <c r="I9">
        <v>22</v>
      </c>
      <c r="J9">
        <v>99</v>
      </c>
      <c r="K9">
        <v>24</v>
      </c>
      <c r="L9" s="132" t="s">
        <v>769</v>
      </c>
      <c r="M9" s="132" t="s">
        <v>769</v>
      </c>
      <c r="N9" s="132" t="s">
        <v>769</v>
      </c>
      <c r="O9" s="187">
        <f>P9+ecm_occ_temp_setback!K9</f>
        <v>79417</v>
      </c>
      <c r="P9" s="187">
        <v>74019</v>
      </c>
    </row>
    <row r="10" spans="1:16">
      <c r="A10" s="45">
        <f t="array" ref="A10">IFERROR(INDEX(baseline!$A$3:$A$201,MATCH($B10&amp;$C10,baseline!$C$3:$C$201&amp;baseline!$D$3:$D$201,0)),"NA")</f>
        <v>9</v>
      </c>
      <c r="B10" t="s">
        <v>697</v>
      </c>
      <c r="C10" t="s">
        <v>14</v>
      </c>
      <c r="D10" s="131" t="s">
        <v>1011</v>
      </c>
      <c r="E10" s="131">
        <v>2.9999999999999997E-4</v>
      </c>
      <c r="F10" t="b">
        <v>1</v>
      </c>
      <c r="G10">
        <v>0.05</v>
      </c>
      <c r="H10">
        <v>17</v>
      </c>
      <c r="I10">
        <v>22</v>
      </c>
      <c r="J10">
        <v>99</v>
      </c>
      <c r="K10">
        <v>24</v>
      </c>
      <c r="L10" s="132" t="s">
        <v>769</v>
      </c>
      <c r="M10" s="132" t="s">
        <v>769</v>
      </c>
      <c r="N10" s="132" t="s">
        <v>769</v>
      </c>
      <c r="O10" s="187">
        <f>P10+ecm_occ_temp_setback!K10</f>
        <v>72538</v>
      </c>
      <c r="P10" s="187">
        <v>67140</v>
      </c>
    </row>
    <row r="11" spans="1:16">
      <c r="A11" s="45">
        <f t="array" ref="A11">IFERROR(INDEX(baseline!$A$3:$A$201,MATCH($B11&amp;$C11,baseline!$C$3:$C$201&amp;baseline!$D$3:$D$201,0)),"NA")</f>
        <v>10</v>
      </c>
      <c r="B11" t="s">
        <v>713</v>
      </c>
      <c r="C11" t="s">
        <v>881</v>
      </c>
      <c r="D11" s="131" t="s">
        <v>1011</v>
      </c>
      <c r="E11" s="131">
        <v>2.9999999999999997E-4</v>
      </c>
      <c r="F11" t="b">
        <v>1</v>
      </c>
      <c r="G11">
        <v>0.05</v>
      </c>
      <c r="H11">
        <v>17</v>
      </c>
      <c r="I11">
        <v>22</v>
      </c>
      <c r="J11">
        <v>99</v>
      </c>
      <c r="K11">
        <v>24</v>
      </c>
      <c r="L11" s="132" t="s">
        <v>769</v>
      </c>
      <c r="M11" s="132" t="s">
        <v>769</v>
      </c>
      <c r="N11" s="132" t="s">
        <v>769</v>
      </c>
      <c r="O11" s="187">
        <f>P11+ecm_occ_temp_setback!K11</f>
        <v>51523</v>
      </c>
      <c r="P11" s="187">
        <v>47106</v>
      </c>
    </row>
    <row r="12" spans="1:16">
      <c r="A12" s="45">
        <f t="array" ref="A12">IFERROR(INDEX(baseline!$A$3:$A$201,MATCH($B12&amp;$C12,baseline!$C$3:$C$201&amp;baseline!$D$3:$D$201,0)),"NA")</f>
        <v>11</v>
      </c>
      <c r="B12" t="s">
        <v>713</v>
      </c>
      <c r="C12" t="s">
        <v>13</v>
      </c>
      <c r="D12" s="131" t="s">
        <v>1011</v>
      </c>
      <c r="E12" s="131">
        <v>2.9999999999999997E-4</v>
      </c>
      <c r="F12" t="b">
        <v>1</v>
      </c>
      <c r="G12">
        <v>0.05</v>
      </c>
      <c r="H12">
        <v>17</v>
      </c>
      <c r="I12">
        <v>22</v>
      </c>
      <c r="J12">
        <v>99</v>
      </c>
      <c r="K12">
        <v>24</v>
      </c>
      <c r="L12" s="132" t="s">
        <v>769</v>
      </c>
      <c r="M12" s="132" t="s">
        <v>769</v>
      </c>
      <c r="N12" s="132" t="s">
        <v>769</v>
      </c>
      <c r="O12" s="187">
        <f>P12+ecm_occ_temp_setback!K12</f>
        <v>51523</v>
      </c>
      <c r="P12" s="187">
        <v>47106</v>
      </c>
    </row>
    <row r="13" spans="1:16">
      <c r="A13" s="45">
        <f t="array" ref="A13">IFERROR(INDEX(baseline!$A$3:$A$201,MATCH($B13&amp;$C13,baseline!$C$3:$C$201&amp;baseline!$D$3:$D$201,0)),"NA")</f>
        <v>12</v>
      </c>
      <c r="B13" t="s">
        <v>713</v>
      </c>
      <c r="C13" t="s">
        <v>14</v>
      </c>
      <c r="D13" s="131" t="s">
        <v>1011</v>
      </c>
      <c r="E13" s="131">
        <v>2.9999999999999997E-4</v>
      </c>
      <c r="F13" t="b">
        <v>1</v>
      </c>
      <c r="G13">
        <v>0.05</v>
      </c>
      <c r="H13">
        <v>17</v>
      </c>
      <c r="I13">
        <v>22</v>
      </c>
      <c r="J13">
        <v>99</v>
      </c>
      <c r="K13">
        <v>24</v>
      </c>
      <c r="L13" s="132" t="s">
        <v>769</v>
      </c>
      <c r="M13" s="132" t="s">
        <v>769</v>
      </c>
      <c r="N13" s="132" t="s">
        <v>769</v>
      </c>
      <c r="O13" s="187">
        <f>P13+ecm_occ_temp_setback!K13</f>
        <v>47617</v>
      </c>
      <c r="P13" s="187">
        <v>43200</v>
      </c>
    </row>
    <row r="14" spans="1:16">
      <c r="A14" s="45">
        <f t="array" ref="A14">IFERROR(INDEX(baseline!$A$3:$A$201,MATCH($B14&amp;$C14,baseline!$C$3:$C$201&amp;baseline!$D$3:$D$201,0)),"NA")</f>
        <v>13</v>
      </c>
      <c r="B14" t="s">
        <v>762</v>
      </c>
      <c r="C14" t="s">
        <v>881</v>
      </c>
      <c r="D14" s="131" t="s">
        <v>1011</v>
      </c>
      <c r="E14" s="131">
        <v>2.0000000000000001E-4</v>
      </c>
      <c r="F14" t="b">
        <v>1</v>
      </c>
      <c r="G14">
        <v>0.05</v>
      </c>
      <c r="H14">
        <v>17</v>
      </c>
      <c r="I14">
        <v>22</v>
      </c>
      <c r="J14">
        <v>99</v>
      </c>
      <c r="K14">
        <v>24</v>
      </c>
      <c r="L14" s="132" t="s">
        <v>769</v>
      </c>
      <c r="M14" s="132" t="s">
        <v>769</v>
      </c>
      <c r="N14" s="132" t="s">
        <v>769</v>
      </c>
      <c r="O14" s="187">
        <f>P14+ecm_occ_temp_setback!K14</f>
        <v>79519</v>
      </c>
      <c r="P14" s="187">
        <v>54491</v>
      </c>
    </row>
    <row r="15" spans="1:16">
      <c r="A15" s="45">
        <f t="array" ref="A15">IFERROR(INDEX(baseline!$A$3:$A$201,MATCH($B15&amp;$C15,baseline!$C$3:$C$201&amp;baseline!$D$3:$D$201,0)),"NA")</f>
        <v>14</v>
      </c>
      <c r="B15" t="s">
        <v>762</v>
      </c>
      <c r="C15" t="s">
        <v>13</v>
      </c>
      <c r="D15" s="131" t="s">
        <v>1011</v>
      </c>
      <c r="E15" s="131">
        <v>2.0000000000000001E-4</v>
      </c>
      <c r="F15" t="b">
        <v>1</v>
      </c>
      <c r="G15">
        <v>0.05</v>
      </c>
      <c r="H15">
        <v>17</v>
      </c>
      <c r="I15">
        <v>22</v>
      </c>
      <c r="J15">
        <v>99</v>
      </c>
      <c r="K15">
        <v>24</v>
      </c>
      <c r="L15" s="132" t="s">
        <v>769</v>
      </c>
      <c r="M15" s="132" t="s">
        <v>769</v>
      </c>
      <c r="N15" s="132" t="s">
        <v>769</v>
      </c>
      <c r="O15" s="187">
        <f>P15+ecm_occ_temp_setback!K15</f>
        <v>79519</v>
      </c>
      <c r="P15" s="187">
        <v>54491</v>
      </c>
    </row>
    <row r="16" spans="1:16">
      <c r="A16" s="45">
        <f t="array" ref="A16">IFERROR(INDEX(baseline!$A$3:$A$201,MATCH($B16&amp;$C16,baseline!$C$3:$C$201&amp;baseline!$D$3:$D$201,0)),"NA")</f>
        <v>15</v>
      </c>
      <c r="B16" t="s">
        <v>762</v>
      </c>
      <c r="C16" t="s">
        <v>14</v>
      </c>
      <c r="D16" s="131" t="s">
        <v>1011</v>
      </c>
      <c r="E16" s="131">
        <v>2.0000000000000001E-4</v>
      </c>
      <c r="F16" t="b">
        <v>1</v>
      </c>
      <c r="G16">
        <v>0.05</v>
      </c>
      <c r="H16">
        <v>17</v>
      </c>
      <c r="I16">
        <v>22</v>
      </c>
      <c r="J16">
        <v>99</v>
      </c>
      <c r="K16">
        <v>24</v>
      </c>
      <c r="L16" s="132" t="s">
        <v>769</v>
      </c>
      <c r="M16" s="132" t="s">
        <v>769</v>
      </c>
      <c r="N16" s="132" t="s">
        <v>769</v>
      </c>
      <c r="O16" s="187">
        <f>P16+ecm_occ_temp_setback!K16</f>
        <v>74929</v>
      </c>
      <c r="P16" s="187">
        <v>49901</v>
      </c>
    </row>
    <row r="17" spans="1:16">
      <c r="A17" s="45">
        <f t="array" ref="A17">IFERROR(INDEX(baseline!$A$3:$A$201,MATCH($B17&amp;$C17,baseline!$C$3:$C$201&amp;baseline!$D$3:$D$201,0)),"NA")</f>
        <v>16</v>
      </c>
      <c r="B17" t="s">
        <v>763</v>
      </c>
      <c r="C17" t="s">
        <v>13</v>
      </c>
      <c r="D17" s="131" t="s">
        <v>1011</v>
      </c>
      <c r="E17" s="131">
        <v>2.0000000000000001E-4</v>
      </c>
      <c r="F17" t="b">
        <v>1</v>
      </c>
      <c r="G17">
        <v>0.05</v>
      </c>
      <c r="H17">
        <v>17</v>
      </c>
      <c r="I17">
        <v>22</v>
      </c>
      <c r="J17">
        <v>99</v>
      </c>
      <c r="K17">
        <v>24</v>
      </c>
      <c r="L17" s="132" t="s">
        <v>769</v>
      </c>
      <c r="M17" s="132" t="s">
        <v>769</v>
      </c>
      <c r="N17" s="132" t="s">
        <v>769</v>
      </c>
      <c r="O17" s="187">
        <f>P17+ecm_occ_temp_setback!K17</f>
        <v>44808</v>
      </c>
      <c r="P17" s="187">
        <v>36956</v>
      </c>
    </row>
    <row r="18" spans="1:16">
      <c r="A18" s="45">
        <f t="array" ref="A18">IFERROR(INDEX(baseline!$A$3:$A$201,MATCH($B18&amp;$C18,baseline!$C$3:$C$201&amp;baseline!$D$3:$D$201,0)),"NA")</f>
        <v>17</v>
      </c>
      <c r="B18" t="s">
        <v>763</v>
      </c>
      <c r="C18" t="s">
        <v>14</v>
      </c>
      <c r="D18" s="131" t="s">
        <v>1011</v>
      </c>
      <c r="E18" s="131">
        <v>2.0000000000000001E-4</v>
      </c>
      <c r="F18" t="b">
        <v>1</v>
      </c>
      <c r="G18">
        <v>0.05</v>
      </c>
      <c r="H18">
        <v>17</v>
      </c>
      <c r="I18">
        <v>22</v>
      </c>
      <c r="J18">
        <v>99</v>
      </c>
      <c r="K18">
        <v>24</v>
      </c>
      <c r="L18" s="132" t="s">
        <v>769</v>
      </c>
      <c r="M18" s="132" t="s">
        <v>769</v>
      </c>
      <c r="N18" s="132" t="s">
        <v>769</v>
      </c>
      <c r="O18" s="187">
        <f>P18+ecm_occ_temp_setback!K18</f>
        <v>41404</v>
      </c>
      <c r="P18" s="187">
        <v>33552</v>
      </c>
    </row>
    <row r="19" spans="1:16">
      <c r="A19" s="45">
        <f t="array" ref="A19">IFERROR(INDEX(baseline!$A$3:$A$201,MATCH($B19&amp;$C19,baseline!$C$3:$C$201&amp;baseline!$D$3:$D$201,0)),"NA")</f>
        <v>18</v>
      </c>
      <c r="B19" t="s">
        <v>763</v>
      </c>
      <c r="C19" t="s">
        <v>546</v>
      </c>
      <c r="D19" s="131" t="s">
        <v>769</v>
      </c>
      <c r="E19" s="131">
        <v>2.0000000000000001E-4</v>
      </c>
      <c r="F19" t="b">
        <v>1</v>
      </c>
      <c r="G19">
        <v>0.05</v>
      </c>
      <c r="H19">
        <v>17</v>
      </c>
      <c r="I19">
        <v>22</v>
      </c>
      <c r="J19">
        <v>99</v>
      </c>
      <c r="K19">
        <v>24</v>
      </c>
      <c r="L19" s="132" t="s">
        <v>769</v>
      </c>
      <c r="M19" s="132" t="s">
        <v>769</v>
      </c>
      <c r="N19" s="132" t="s">
        <v>769</v>
      </c>
      <c r="O19" s="187">
        <f>P19+ecm_occ_temp_setback!K19</f>
        <v>7852</v>
      </c>
      <c r="P19" s="187">
        <v>0</v>
      </c>
    </row>
    <row r="20" spans="1:16">
      <c r="A20" s="45">
        <f t="array" ref="A20">IFERROR(INDEX(baseline!$A$3:$A$201,MATCH($B20&amp;$C20,baseline!$C$3:$C$201&amp;baseline!$D$3:$D$201,0)),"NA")</f>
        <v>19</v>
      </c>
      <c r="B20" t="s">
        <v>712</v>
      </c>
      <c r="C20" t="s">
        <v>14</v>
      </c>
      <c r="D20" s="131" t="s">
        <v>1011</v>
      </c>
      <c r="E20" s="131">
        <v>2.0000000000000001E-4</v>
      </c>
      <c r="F20" t="b">
        <v>1</v>
      </c>
      <c r="G20">
        <v>0.05</v>
      </c>
      <c r="H20">
        <v>17</v>
      </c>
      <c r="I20">
        <v>22</v>
      </c>
      <c r="J20">
        <v>99</v>
      </c>
      <c r="K20">
        <v>24</v>
      </c>
      <c r="L20" s="132" t="s">
        <v>769</v>
      </c>
      <c r="M20" s="132" t="s">
        <v>769</v>
      </c>
      <c r="N20" s="132" t="s">
        <v>769</v>
      </c>
      <c r="O20" s="187">
        <f>P20+ecm_occ_temp_setback!K20</f>
        <v>128554</v>
      </c>
      <c r="P20" s="187">
        <v>112850</v>
      </c>
    </row>
    <row r="21" spans="1:16">
      <c r="A21" s="45">
        <f t="array" ref="A21">IFERROR(INDEX(baseline!$A$3:$A$201,MATCH($B21&amp;$C21,baseline!$C$3:$C$201&amp;baseline!$D$3:$D$201,0)),"NA")</f>
        <v>20</v>
      </c>
      <c r="B21" t="s">
        <v>2</v>
      </c>
      <c r="C21" t="s">
        <v>881</v>
      </c>
      <c r="D21" s="131" t="s">
        <v>1011</v>
      </c>
      <c r="E21" s="131">
        <v>2.9999999999999997E-4</v>
      </c>
      <c r="F21" t="b">
        <v>1</v>
      </c>
      <c r="G21">
        <v>0.05</v>
      </c>
      <c r="H21">
        <v>17</v>
      </c>
      <c r="I21">
        <v>22</v>
      </c>
      <c r="J21">
        <v>99</v>
      </c>
      <c r="K21">
        <v>24</v>
      </c>
      <c r="L21" s="132" t="s">
        <v>769</v>
      </c>
      <c r="M21" s="132" t="s">
        <v>769</v>
      </c>
      <c r="N21" s="132" t="s">
        <v>769</v>
      </c>
      <c r="O21" s="187">
        <f>P21+ecm_occ_temp_setback!K21</f>
        <v>37850</v>
      </c>
      <c r="P21" s="187">
        <v>37359</v>
      </c>
    </row>
    <row r="22" spans="1:16">
      <c r="A22" s="45">
        <f t="array" ref="A22">IFERROR(INDEX(baseline!$A$3:$A$201,MATCH($B22&amp;$C22,baseline!$C$3:$C$201&amp;baseline!$D$3:$D$201,0)),"NA")</f>
        <v>21</v>
      </c>
      <c r="B22" t="s">
        <v>2</v>
      </c>
      <c r="C22" t="s">
        <v>13</v>
      </c>
      <c r="D22" s="131" t="s">
        <v>1011</v>
      </c>
      <c r="E22" s="131">
        <v>2.9999999999999997E-4</v>
      </c>
      <c r="F22" t="b">
        <v>1</v>
      </c>
      <c r="G22">
        <v>0.05</v>
      </c>
      <c r="H22">
        <v>17</v>
      </c>
      <c r="I22">
        <v>22</v>
      </c>
      <c r="J22">
        <v>99</v>
      </c>
      <c r="K22">
        <v>24</v>
      </c>
      <c r="L22" s="132" t="s">
        <v>769</v>
      </c>
      <c r="M22" s="132" t="s">
        <v>769</v>
      </c>
      <c r="N22" s="132" t="s">
        <v>769</v>
      </c>
      <c r="O22" s="187">
        <f>P22+ecm_occ_temp_setback!K22</f>
        <v>37850</v>
      </c>
      <c r="P22" s="187">
        <v>37359</v>
      </c>
    </row>
    <row r="23" spans="1:16">
      <c r="A23" s="45">
        <f t="array" ref="A23">IFERROR(INDEX(baseline!$A$3:$A$201,MATCH($B23&amp;$C23,baseline!$C$3:$C$201&amp;baseline!$D$3:$D$201,0)),"NA")</f>
        <v>22</v>
      </c>
      <c r="B23" t="s">
        <v>2</v>
      </c>
      <c r="C23" t="s">
        <v>14</v>
      </c>
      <c r="D23" s="131" t="s">
        <v>1011</v>
      </c>
      <c r="E23" s="131">
        <v>2.9999999999999997E-4</v>
      </c>
      <c r="F23" t="b">
        <v>1</v>
      </c>
      <c r="G23">
        <v>0.05</v>
      </c>
      <c r="H23">
        <v>17</v>
      </c>
      <c r="I23">
        <v>22</v>
      </c>
      <c r="J23">
        <v>99</v>
      </c>
      <c r="K23">
        <v>24</v>
      </c>
      <c r="L23" s="132" t="s">
        <v>769</v>
      </c>
      <c r="M23" s="132" t="s">
        <v>769</v>
      </c>
      <c r="N23" s="132" t="s">
        <v>769</v>
      </c>
      <c r="O23" s="187">
        <f>P23+ecm_occ_temp_setback!K23</f>
        <v>34016</v>
      </c>
      <c r="P23" s="187">
        <v>33525</v>
      </c>
    </row>
    <row r="24" spans="1:16">
      <c r="A24" s="45">
        <f t="array" ref="A24">IFERROR(INDEX(baseline!$A$3:$A$201,MATCH($B24&amp;$C24,baseline!$C$3:$C$201&amp;baseline!$D$3:$D$201,0)),"NA")</f>
        <v>23</v>
      </c>
      <c r="B24" t="s">
        <v>2</v>
      </c>
      <c r="C24" t="s">
        <v>546</v>
      </c>
      <c r="D24" s="131" t="s">
        <v>769</v>
      </c>
      <c r="E24" s="131">
        <v>2.9999999999999997E-4</v>
      </c>
      <c r="F24" t="b">
        <v>1</v>
      </c>
      <c r="G24">
        <v>0.05</v>
      </c>
      <c r="H24">
        <v>17</v>
      </c>
      <c r="I24">
        <v>22</v>
      </c>
      <c r="J24">
        <v>99</v>
      </c>
      <c r="K24">
        <v>24</v>
      </c>
      <c r="L24" s="132" t="s">
        <v>769</v>
      </c>
      <c r="M24" s="132" t="s">
        <v>769</v>
      </c>
      <c r="N24" s="132" t="s">
        <v>769</v>
      </c>
      <c r="O24" s="187">
        <f>P24+ecm_occ_temp_setback!K24</f>
        <v>491</v>
      </c>
      <c r="P24" s="187">
        <v>0</v>
      </c>
    </row>
    <row r="25" spans="1:16">
      <c r="A25" s="45">
        <f t="array" ref="A25">IFERROR(INDEX(baseline!$A$3:$A$201,MATCH($B25&amp;$C25,baseline!$C$3:$C$201&amp;baseline!$D$3:$D$201,0)),"NA")</f>
        <v>24</v>
      </c>
      <c r="B25" t="s">
        <v>547</v>
      </c>
      <c r="C25" t="s">
        <v>881</v>
      </c>
      <c r="D25" s="131" t="s">
        <v>1011</v>
      </c>
      <c r="E25" s="131">
        <v>2.0000000000000001E-4</v>
      </c>
      <c r="F25" t="b">
        <v>1</v>
      </c>
      <c r="G25">
        <v>0.05</v>
      </c>
      <c r="H25">
        <v>17</v>
      </c>
      <c r="I25">
        <v>22</v>
      </c>
      <c r="J25">
        <v>99</v>
      </c>
      <c r="K25">
        <v>24</v>
      </c>
      <c r="L25" s="132" t="s">
        <v>769</v>
      </c>
      <c r="M25" s="132" t="s">
        <v>769</v>
      </c>
      <c r="N25" s="132" t="s">
        <v>769</v>
      </c>
      <c r="O25" s="187">
        <f>P25+ecm_occ_temp_setback!K25</f>
        <v>136565</v>
      </c>
      <c r="P25" s="187">
        <v>116444</v>
      </c>
    </row>
    <row r="26" spans="1:16">
      <c r="A26" s="45">
        <f t="array" ref="A26">IFERROR(INDEX(baseline!$A$3:$A$201,MATCH($B26&amp;$C26,baseline!$C$3:$C$201&amp;baseline!$D$3:$D$201,0)),"NA")</f>
        <v>25</v>
      </c>
      <c r="B26" t="s">
        <v>547</v>
      </c>
      <c r="C26" t="s">
        <v>14</v>
      </c>
      <c r="D26" s="131" t="s">
        <v>1011</v>
      </c>
      <c r="E26" s="131">
        <v>2.0000000000000001E-4</v>
      </c>
      <c r="F26" t="b">
        <v>1</v>
      </c>
      <c r="G26">
        <v>0.05</v>
      </c>
      <c r="H26">
        <v>17</v>
      </c>
      <c r="I26">
        <v>22</v>
      </c>
      <c r="J26">
        <v>99</v>
      </c>
      <c r="K26">
        <v>24</v>
      </c>
      <c r="L26" s="132" t="s">
        <v>769</v>
      </c>
      <c r="M26" s="132" t="s">
        <v>769</v>
      </c>
      <c r="N26" s="132" t="s">
        <v>769</v>
      </c>
      <c r="O26" s="187">
        <f>P26+ecm_occ_temp_setback!K26</f>
        <v>123924</v>
      </c>
      <c r="P26" s="187">
        <v>103803</v>
      </c>
    </row>
    <row r="27" spans="1:16">
      <c r="A27" s="45">
        <f t="array" ref="A27">IFERROR(INDEX(baseline!$A$3:$A$201,MATCH($B27&amp;$C27,baseline!$C$3:$C$201&amp;baseline!$D$3:$D$201,0)),"NA")</f>
        <v>26</v>
      </c>
      <c r="B27" t="s">
        <v>547</v>
      </c>
      <c r="C27" t="s">
        <v>546</v>
      </c>
      <c r="D27" s="131" t="s">
        <v>769</v>
      </c>
      <c r="E27" s="131">
        <v>2.0000000000000001E-4</v>
      </c>
      <c r="F27" t="b">
        <v>1</v>
      </c>
      <c r="G27">
        <v>0.05</v>
      </c>
      <c r="H27">
        <v>17</v>
      </c>
      <c r="I27">
        <v>22</v>
      </c>
      <c r="J27">
        <v>99</v>
      </c>
      <c r="K27">
        <v>24</v>
      </c>
      <c r="L27" s="132" t="s">
        <v>769</v>
      </c>
      <c r="M27" s="132" t="s">
        <v>769</v>
      </c>
      <c r="N27" s="132" t="s">
        <v>769</v>
      </c>
      <c r="O27" s="187">
        <f>P27+ecm_occ_temp_setback!K27</f>
        <v>20121</v>
      </c>
      <c r="P27" s="187">
        <v>0</v>
      </c>
    </row>
    <row r="28" spans="1:16">
      <c r="A28" s="45">
        <f t="array" ref="A28">IFERROR(INDEX(baseline!$A$3:$A$201,MATCH($B28&amp;$C28,baseline!$C$3:$C$201&amp;baseline!$D$3:$D$201,0)),"NA")</f>
        <v>27</v>
      </c>
      <c r="B28" t="s">
        <v>1</v>
      </c>
      <c r="C28" t="s">
        <v>881</v>
      </c>
      <c r="D28" s="131" t="s">
        <v>1011</v>
      </c>
      <c r="E28" s="131">
        <v>2.9999999999999997E-4</v>
      </c>
      <c r="F28" t="b">
        <v>1</v>
      </c>
      <c r="G28">
        <v>0.05</v>
      </c>
      <c r="H28">
        <v>17</v>
      </c>
      <c r="I28">
        <v>22</v>
      </c>
      <c r="J28">
        <v>99</v>
      </c>
      <c r="K28">
        <v>24</v>
      </c>
      <c r="L28" s="144" t="s">
        <v>900</v>
      </c>
      <c r="M28" s="146" t="s">
        <v>901</v>
      </c>
      <c r="N28">
        <v>0.89500000000000002</v>
      </c>
      <c r="O28" s="187">
        <f>P28+ecm_occ_temp_setback!K28</f>
        <v>72156</v>
      </c>
      <c r="P28" s="187">
        <v>67248</v>
      </c>
    </row>
    <row r="29" spans="1:16">
      <c r="A29" s="45">
        <f t="array" ref="A29">IFERROR(INDEX(baseline!$A$3:$A$201,MATCH($B29&amp;$C29,baseline!$C$3:$C$201&amp;baseline!$D$3:$D$201,0)),"NA")</f>
        <v>28</v>
      </c>
      <c r="B29" t="s">
        <v>1</v>
      </c>
      <c r="C29" t="s">
        <v>14</v>
      </c>
      <c r="D29" s="131" t="s">
        <v>1011</v>
      </c>
      <c r="E29" s="131">
        <v>2.9999999999999997E-4</v>
      </c>
      <c r="F29" t="b">
        <v>1</v>
      </c>
      <c r="G29">
        <v>0.05</v>
      </c>
      <c r="H29">
        <v>17</v>
      </c>
      <c r="I29">
        <v>22</v>
      </c>
      <c r="J29">
        <v>99</v>
      </c>
      <c r="K29">
        <v>24</v>
      </c>
      <c r="L29" s="144" t="s">
        <v>900</v>
      </c>
      <c r="M29" s="146" t="s">
        <v>901</v>
      </c>
      <c r="N29">
        <v>0.89500000000000002</v>
      </c>
      <c r="O29" s="187">
        <f>P29+ecm_occ_temp_setback!K29</f>
        <v>67048</v>
      </c>
      <c r="P29" s="187">
        <v>62140</v>
      </c>
    </row>
    <row r="30" spans="1:16">
      <c r="A30" s="45" t="str">
        <f t="array" ref="A30">IFERROR(INDEX(baseline!$A$3:$A$201,MATCH($B30&amp;$C30,baseline!$C$3:$C$201&amp;baseline!$D$3:$D$201,0)),"NA")</f>
        <v>NA</v>
      </c>
      <c r="B30" t="s">
        <v>0</v>
      </c>
      <c r="C30" t="s">
        <v>13</v>
      </c>
      <c r="D30" s="131" t="s">
        <v>1011</v>
      </c>
      <c r="E30" s="131">
        <v>2.0000000000000001E-4</v>
      </c>
      <c r="F30" t="b">
        <v>1</v>
      </c>
      <c r="G30">
        <v>0.05</v>
      </c>
      <c r="H30">
        <v>17</v>
      </c>
      <c r="I30">
        <v>22</v>
      </c>
      <c r="J30">
        <v>99</v>
      </c>
      <c r="K30">
        <v>24</v>
      </c>
      <c r="L30" s="132" t="s">
        <v>769</v>
      </c>
      <c r="M30" s="132" t="s">
        <v>769</v>
      </c>
      <c r="N30" s="132" t="s">
        <v>769</v>
      </c>
      <c r="O30" s="187">
        <f>P30+ecm_occ_temp_setback!K30</f>
        <v>158818</v>
      </c>
      <c r="P30" s="187">
        <v>122012</v>
      </c>
    </row>
    <row r="31" spans="1:16">
      <c r="A31" s="45" t="str">
        <f t="array" ref="A31">IFERROR(INDEX(baseline!$A$3:$A$201,MATCH($B31&amp;$C31,baseline!$C$3:$C$201&amp;baseline!$D$3:$D$201,0)),"NA")</f>
        <v>NA</v>
      </c>
      <c r="B31" t="s">
        <v>0</v>
      </c>
      <c r="C31" t="s">
        <v>14</v>
      </c>
      <c r="D31" s="131" t="s">
        <v>1011</v>
      </c>
      <c r="E31" s="131">
        <v>2.0000000000000001E-4</v>
      </c>
      <c r="F31" t="b">
        <v>1</v>
      </c>
      <c r="G31">
        <v>0.05</v>
      </c>
      <c r="H31">
        <v>17</v>
      </c>
      <c r="I31">
        <v>22</v>
      </c>
      <c r="J31">
        <v>99</v>
      </c>
      <c r="K31">
        <v>24</v>
      </c>
      <c r="L31" s="132" t="s">
        <v>769</v>
      </c>
      <c r="M31" s="132" t="s">
        <v>769</v>
      </c>
      <c r="N31" s="132" t="s">
        <v>769</v>
      </c>
      <c r="O31" s="187">
        <f>P31+ecm_occ_temp_setback!K31</f>
        <v>147696</v>
      </c>
      <c r="P31" s="187">
        <v>110890</v>
      </c>
    </row>
    <row r="32" spans="1:16">
      <c r="A32" s="45">
        <f t="array" ref="A32">IFERROR(INDEX(baseline!$A$3:$A$201,MATCH($B32&amp;$C32,baseline!$C$3:$C$201&amp;baseline!$D$3:$D$201,0)),"NA")</f>
        <v>30</v>
      </c>
      <c r="B32" t="s">
        <v>0</v>
      </c>
      <c r="C32" t="s">
        <v>546</v>
      </c>
      <c r="D32" s="131" t="s">
        <v>769</v>
      </c>
      <c r="E32" s="131">
        <v>2.0000000000000001E-4</v>
      </c>
      <c r="F32" t="b">
        <v>1</v>
      </c>
      <c r="G32">
        <v>0.05</v>
      </c>
      <c r="H32">
        <v>17</v>
      </c>
      <c r="I32">
        <v>22</v>
      </c>
      <c r="J32">
        <v>99</v>
      </c>
      <c r="K32">
        <v>24</v>
      </c>
      <c r="L32" s="132" t="s">
        <v>769</v>
      </c>
      <c r="M32" s="132" t="s">
        <v>769</v>
      </c>
      <c r="N32" s="132" t="s">
        <v>769</v>
      </c>
      <c r="O32" s="187">
        <f>P32+ecm_occ_temp_setback!K32</f>
        <v>36806</v>
      </c>
      <c r="P32" s="187">
        <v>0</v>
      </c>
    </row>
    <row r="33" spans="1:16">
      <c r="A33" s="45" t="str">
        <f t="array" ref="A33">IFERROR(INDEX(baseline!$A$3:$A$201,MATCH($B33&amp;$C33,baseline!$C$3:$C$201&amp;baseline!$D$3:$D$201,0)),"NA")</f>
        <v>NA</v>
      </c>
      <c r="B33" t="s">
        <v>78</v>
      </c>
      <c r="C33" t="s">
        <v>13</v>
      </c>
      <c r="D33" s="131" t="s">
        <v>1011</v>
      </c>
      <c r="E33" s="131">
        <v>2.9999999999999997E-4</v>
      </c>
      <c r="F33" t="b">
        <v>1</v>
      </c>
      <c r="G33">
        <v>0.05</v>
      </c>
      <c r="H33">
        <v>17</v>
      </c>
      <c r="I33">
        <v>22</v>
      </c>
      <c r="J33">
        <v>99</v>
      </c>
      <c r="K33">
        <v>24</v>
      </c>
      <c r="L33" s="132" t="s">
        <v>769</v>
      </c>
      <c r="M33" s="132" t="s">
        <v>769</v>
      </c>
      <c r="N33" s="132" t="s">
        <v>769</v>
      </c>
      <c r="O33" s="187">
        <f>P33+ecm_occ_temp_setback!K33</f>
        <v>72484</v>
      </c>
      <c r="P33" s="187">
        <v>67418</v>
      </c>
    </row>
    <row r="34" spans="1:16">
      <c r="A34" s="45" t="str">
        <f t="array" ref="A34">IFERROR(INDEX(baseline!$A$3:$A$201,MATCH($B34&amp;$C34,baseline!$C$3:$C$201&amp;baseline!$D$3:$D$201,0)),"NA")</f>
        <v>NA</v>
      </c>
      <c r="B34" t="s">
        <v>78</v>
      </c>
      <c r="C34" t="s">
        <v>14</v>
      </c>
      <c r="D34" s="131" t="s">
        <v>1011</v>
      </c>
      <c r="E34" s="131">
        <v>2.9999999999999997E-4</v>
      </c>
      <c r="F34" t="b">
        <v>1</v>
      </c>
      <c r="G34">
        <v>0.05</v>
      </c>
      <c r="H34">
        <v>17</v>
      </c>
      <c r="I34">
        <v>22</v>
      </c>
      <c r="J34">
        <v>99</v>
      </c>
      <c r="K34">
        <v>24</v>
      </c>
      <c r="L34" s="132" t="s">
        <v>769</v>
      </c>
      <c r="M34" s="132" t="s">
        <v>769</v>
      </c>
      <c r="N34" s="132" t="s">
        <v>769</v>
      </c>
      <c r="O34" s="187">
        <f>P34+ecm_occ_temp_setback!K34</f>
        <v>67897</v>
      </c>
      <c r="P34" s="187">
        <v>62831</v>
      </c>
    </row>
    <row r="35" spans="1:16">
      <c r="A35" s="45">
        <f t="array" ref="A35">IFERROR(INDEX(baseline!$A$3:$A$201,MATCH($B35&amp;$C35,baseline!$C$3:$C$201&amp;baseline!$D$3:$D$201,0)),"NA")</f>
        <v>31</v>
      </c>
      <c r="B35" t="s">
        <v>78</v>
      </c>
      <c r="C35" t="s">
        <v>546</v>
      </c>
      <c r="D35" s="131" t="s">
        <v>1011</v>
      </c>
      <c r="E35" s="131">
        <v>2.9999999999999997E-4</v>
      </c>
      <c r="F35" t="b">
        <v>1</v>
      </c>
      <c r="G35">
        <v>0.05</v>
      </c>
      <c r="H35">
        <v>17</v>
      </c>
      <c r="I35">
        <v>22</v>
      </c>
      <c r="J35">
        <v>99</v>
      </c>
      <c r="K35">
        <v>24</v>
      </c>
      <c r="L35" s="132" t="s">
        <v>769</v>
      </c>
      <c r="M35" s="132" t="s">
        <v>769</v>
      </c>
      <c r="N35" s="132" t="s">
        <v>769</v>
      </c>
      <c r="O35" s="187">
        <f>P35+ecm_occ_temp_setback!K35</f>
        <v>5066</v>
      </c>
      <c r="P35" s="187">
        <v>0</v>
      </c>
    </row>
    <row r="36" spans="1:16">
      <c r="A36" s="45" t="str">
        <f t="array" ref="A36">IFERROR(INDEX(baseline!$A$3:$A$201,MATCH($B36&amp;$C36,baseline!$C$3:$C$201&amp;baseline!$D$3:$D$201,0)),"NA")</f>
        <v>NA</v>
      </c>
      <c r="B36" t="s">
        <v>545</v>
      </c>
      <c r="C36" t="s">
        <v>13</v>
      </c>
      <c r="D36" s="131" t="s">
        <v>1011</v>
      </c>
      <c r="E36" s="131">
        <v>2.0000000000000001E-4</v>
      </c>
      <c r="F36" t="b">
        <v>1</v>
      </c>
      <c r="G36">
        <v>0.05</v>
      </c>
      <c r="H36">
        <v>17</v>
      </c>
      <c r="I36">
        <v>22</v>
      </c>
      <c r="J36">
        <v>99</v>
      </c>
      <c r="K36">
        <v>24</v>
      </c>
      <c r="L36" s="132" t="s">
        <v>769</v>
      </c>
      <c r="M36" s="132" t="s">
        <v>769</v>
      </c>
      <c r="N36" s="132" t="s">
        <v>769</v>
      </c>
      <c r="O36" s="187">
        <f>P36+ecm_occ_temp_setback!K36</f>
        <v>88213</v>
      </c>
      <c r="P36" s="187">
        <v>83796</v>
      </c>
    </row>
    <row r="37" spans="1:16">
      <c r="A37" s="45" t="str">
        <f t="array" ref="A37">IFERROR(INDEX(baseline!$A$3:$A$201,MATCH($B37&amp;$C37,baseline!$C$3:$C$201&amp;baseline!$D$3:$D$201,0)),"NA")</f>
        <v>NA</v>
      </c>
      <c r="B37" t="s">
        <v>545</v>
      </c>
      <c r="C37" t="s">
        <v>14</v>
      </c>
      <c r="D37" s="131" t="s">
        <v>1011</v>
      </c>
      <c r="E37" s="131">
        <v>2.0000000000000001E-4</v>
      </c>
      <c r="F37" t="b">
        <v>1</v>
      </c>
      <c r="G37">
        <v>0.05</v>
      </c>
      <c r="H37">
        <v>17</v>
      </c>
      <c r="I37">
        <v>22</v>
      </c>
      <c r="J37">
        <v>99</v>
      </c>
      <c r="K37">
        <v>24</v>
      </c>
      <c r="L37" s="132" t="s">
        <v>769</v>
      </c>
      <c r="M37" s="132" t="s">
        <v>769</v>
      </c>
      <c r="N37" s="132" t="s">
        <v>769</v>
      </c>
      <c r="O37" s="187">
        <f>P37+ecm_occ_temp_setback!K37</f>
        <v>81052</v>
      </c>
      <c r="P37" s="187">
        <v>76635</v>
      </c>
    </row>
    <row r="38" spans="1:16">
      <c r="A38" s="45">
        <f t="array" ref="A38">IFERROR(INDEX(baseline!$A$3:$A$201,MATCH($B38&amp;$C38,baseline!$C$3:$C$201&amp;baseline!$D$3:$D$201,0)),"NA")</f>
        <v>29</v>
      </c>
      <c r="B38" t="s">
        <v>761</v>
      </c>
      <c r="C38" t="s">
        <v>546</v>
      </c>
      <c r="D38" s="131" t="s">
        <v>769</v>
      </c>
      <c r="E38" s="131">
        <v>2.9999999999999997E-4</v>
      </c>
      <c r="F38" t="b">
        <v>1</v>
      </c>
      <c r="G38">
        <v>0.05</v>
      </c>
      <c r="H38">
        <v>17</v>
      </c>
      <c r="I38">
        <v>22</v>
      </c>
      <c r="J38">
        <v>99</v>
      </c>
      <c r="K38">
        <v>24</v>
      </c>
      <c r="L38" s="132" t="s">
        <v>769</v>
      </c>
      <c r="M38" s="132" t="s">
        <v>769</v>
      </c>
      <c r="N38" s="132" t="s">
        <v>769</v>
      </c>
      <c r="O38" s="187">
        <f>P38+ecm_occ_temp_setback!K38</f>
        <v>37788</v>
      </c>
      <c r="P38" s="187">
        <v>0</v>
      </c>
    </row>
    <row r="39" spans="1:16">
      <c r="A39" s="45" t="str">
        <f t="array" ref="A39">IFERROR(INDEX(baseline!$A$3:$A$201,MATCH($B39&amp;$C39,baseline!$C$3:$C$201&amp;baseline!$D$3:$D$201,0)),"NA")</f>
        <v>NA</v>
      </c>
      <c r="B39" t="s">
        <v>697</v>
      </c>
      <c r="C39" t="s">
        <v>13</v>
      </c>
      <c r="D39" s="131" t="s">
        <v>1011</v>
      </c>
      <c r="E39" s="131">
        <v>2.9999999999999997E-4</v>
      </c>
      <c r="F39" t="b">
        <v>1</v>
      </c>
      <c r="G39">
        <v>0.05</v>
      </c>
      <c r="H39">
        <v>17</v>
      </c>
      <c r="I39">
        <v>22</v>
      </c>
      <c r="J39">
        <v>99</v>
      </c>
      <c r="K39">
        <v>24</v>
      </c>
      <c r="L39" s="132" t="s">
        <v>769</v>
      </c>
      <c r="M39" s="132" t="s">
        <v>769</v>
      </c>
      <c r="N39" s="132" t="s">
        <v>769</v>
      </c>
      <c r="O39" s="187">
        <f>P39+ecm_occ_temp_setback!K39</f>
        <v>79417</v>
      </c>
      <c r="P39" s="187">
        <v>74019</v>
      </c>
    </row>
    <row r="40" spans="1:16">
      <c r="A40" s="45" t="str">
        <f t="array" ref="A40">IFERROR(INDEX(baseline!$A$3:$A$201,MATCH($B40&amp;$C40,baseline!$C$3:$C$201&amp;baseline!$D$3:$D$201,0)),"NA")</f>
        <v>NA</v>
      </c>
      <c r="B40" t="s">
        <v>697</v>
      </c>
      <c r="C40" t="s">
        <v>546</v>
      </c>
      <c r="D40" s="131" t="s">
        <v>769</v>
      </c>
      <c r="E40" s="131">
        <v>2.9999999999999997E-4</v>
      </c>
      <c r="F40" t="b">
        <v>1</v>
      </c>
      <c r="G40">
        <v>0.05</v>
      </c>
      <c r="H40">
        <v>17</v>
      </c>
      <c r="I40">
        <v>22</v>
      </c>
      <c r="J40">
        <v>99</v>
      </c>
      <c r="K40">
        <v>24</v>
      </c>
      <c r="L40" s="132" t="s">
        <v>769</v>
      </c>
      <c r="M40" s="132" t="s">
        <v>769</v>
      </c>
      <c r="N40" s="132" t="s">
        <v>769</v>
      </c>
      <c r="O40" s="187">
        <f>P40+ecm_occ_temp_setback!K40</f>
        <v>5398</v>
      </c>
      <c r="P40" s="187">
        <v>0</v>
      </c>
    </row>
    <row r="41" spans="1:16">
      <c r="A41" s="45" t="str">
        <f t="array" ref="A41">IFERROR(INDEX(baseline!$A$3:$A$201,MATCH($B41&amp;$C41,baseline!$C$3:$C$201&amp;baseline!$D$3:$D$201,0)),"NA")</f>
        <v>NA</v>
      </c>
      <c r="B41" t="s">
        <v>713</v>
      </c>
      <c r="C41" t="s">
        <v>546</v>
      </c>
      <c r="D41" s="131" t="s">
        <v>769</v>
      </c>
      <c r="E41" s="131">
        <v>2.9999999999999997E-4</v>
      </c>
      <c r="F41" t="b">
        <v>1</v>
      </c>
      <c r="G41">
        <v>0.05</v>
      </c>
      <c r="H41">
        <v>17</v>
      </c>
      <c r="I41">
        <v>22</v>
      </c>
      <c r="J41">
        <v>99</v>
      </c>
      <c r="K41">
        <v>24</v>
      </c>
      <c r="L41" s="132" t="s">
        <v>769</v>
      </c>
      <c r="M41" s="132" t="s">
        <v>769</v>
      </c>
      <c r="N41" s="132" t="s">
        <v>769</v>
      </c>
      <c r="O41" s="187">
        <f>P41+ecm_occ_temp_setback!K41</f>
        <v>4417</v>
      </c>
      <c r="P41" s="187">
        <v>0</v>
      </c>
    </row>
    <row r="42" spans="1:16">
      <c r="A42" s="45" t="str">
        <f t="array" ref="A42">IFERROR(INDEX(baseline!$A$3:$A$201,MATCH($B42&amp;$C42,baseline!$C$3:$C$201&amp;baseline!$D$3:$D$201,0)),"NA")</f>
        <v>NA</v>
      </c>
      <c r="B42" t="s">
        <v>762</v>
      </c>
      <c r="C42" t="s">
        <v>546</v>
      </c>
      <c r="D42" s="131" t="s">
        <v>769</v>
      </c>
      <c r="E42" s="131">
        <v>2.0000000000000001E-4</v>
      </c>
      <c r="F42" t="b">
        <v>1</v>
      </c>
      <c r="G42">
        <v>0.05</v>
      </c>
      <c r="H42">
        <v>17</v>
      </c>
      <c r="I42">
        <v>22</v>
      </c>
      <c r="J42">
        <v>99</v>
      </c>
      <c r="K42">
        <v>24</v>
      </c>
      <c r="L42" s="132" t="s">
        <v>769</v>
      </c>
      <c r="M42" s="132" t="s">
        <v>769</v>
      </c>
      <c r="N42" s="132" t="s">
        <v>769</v>
      </c>
      <c r="O42" s="187">
        <f>P42+ecm_occ_temp_setback!K42</f>
        <v>25028</v>
      </c>
      <c r="P42" s="187">
        <v>0</v>
      </c>
    </row>
    <row r="43" spans="1:16">
      <c r="A43" s="45" t="str">
        <f t="array" ref="A43">IFERROR(INDEX(baseline!$A$3:$A$201,MATCH($B43&amp;$C43,baseline!$C$3:$C$201&amp;baseline!$D$3:$D$201,0)),"NA")</f>
        <v>NA</v>
      </c>
      <c r="B43" s="131" t="s">
        <v>763</v>
      </c>
      <c r="C43" s="131" t="s">
        <v>881</v>
      </c>
      <c r="D43" s="131" t="s">
        <v>1011</v>
      </c>
      <c r="E43" s="131">
        <v>2.0000000000000001E-4</v>
      </c>
      <c r="F43" t="b">
        <v>1</v>
      </c>
      <c r="G43">
        <v>0.05</v>
      </c>
      <c r="H43">
        <v>17</v>
      </c>
      <c r="I43">
        <v>22</v>
      </c>
      <c r="J43">
        <v>99</v>
      </c>
      <c r="K43">
        <v>24</v>
      </c>
      <c r="L43" s="132" t="s">
        <v>769</v>
      </c>
      <c r="M43" s="132" t="s">
        <v>769</v>
      </c>
      <c r="N43" s="132" t="s">
        <v>769</v>
      </c>
      <c r="O43" s="187">
        <f>P43+ecm_occ_temp_setback!K43</f>
        <v>44808</v>
      </c>
      <c r="P43" s="188">
        <v>36956</v>
      </c>
    </row>
    <row r="44" spans="1:16">
      <c r="A44" s="45" t="str">
        <f t="array" ref="A44">IFERROR(INDEX(baseline!$A$3:$A$201,MATCH($B44&amp;$C44,baseline!$C$3:$C$201&amp;baseline!$D$3:$D$201,0)),"NA")</f>
        <v>NA</v>
      </c>
      <c r="B44" t="s">
        <v>712</v>
      </c>
      <c r="C44" t="s">
        <v>881</v>
      </c>
      <c r="D44" s="131" t="s">
        <v>1011</v>
      </c>
      <c r="E44" s="131">
        <v>2.0000000000000001E-4</v>
      </c>
      <c r="F44" t="b">
        <v>1</v>
      </c>
      <c r="G44">
        <v>0.05</v>
      </c>
      <c r="H44">
        <v>17</v>
      </c>
      <c r="I44">
        <v>22</v>
      </c>
      <c r="J44">
        <v>99</v>
      </c>
      <c r="K44">
        <v>24</v>
      </c>
      <c r="L44" s="132" t="s">
        <v>769</v>
      </c>
      <c r="M44" s="132" t="s">
        <v>769</v>
      </c>
      <c r="N44" s="132" t="s">
        <v>769</v>
      </c>
      <c r="O44" s="187">
        <f>P44+ecm_occ_temp_setback!K44</f>
        <v>138961</v>
      </c>
      <c r="P44" s="187">
        <v>123257</v>
      </c>
    </row>
    <row r="45" spans="1:16">
      <c r="A45" s="45" t="str">
        <f t="array" ref="A45">IFERROR(INDEX(baseline!$A$3:$A$201,MATCH($B45&amp;$C45,baseline!$C$3:$C$201&amp;baseline!$D$3:$D$201,0)),"NA")</f>
        <v>NA</v>
      </c>
      <c r="B45" t="s">
        <v>712</v>
      </c>
      <c r="C45" t="s">
        <v>13</v>
      </c>
      <c r="D45" s="131" t="s">
        <v>1011</v>
      </c>
      <c r="E45" s="131">
        <v>2.0000000000000001E-4</v>
      </c>
      <c r="F45" t="b">
        <v>1</v>
      </c>
      <c r="G45">
        <v>0.05</v>
      </c>
      <c r="H45">
        <v>17</v>
      </c>
      <c r="I45">
        <v>22</v>
      </c>
      <c r="J45">
        <v>99</v>
      </c>
      <c r="K45">
        <v>24</v>
      </c>
      <c r="L45" s="132" t="s">
        <v>769</v>
      </c>
      <c r="M45" s="132" t="s">
        <v>769</v>
      </c>
      <c r="N45" s="132" t="s">
        <v>769</v>
      </c>
      <c r="O45" s="187">
        <f>P45+ecm_occ_temp_setback!K45</f>
        <v>138961</v>
      </c>
      <c r="P45" s="187">
        <v>123257</v>
      </c>
    </row>
    <row r="46" spans="1:16">
      <c r="A46" s="45" t="str">
        <f t="array" ref="A46">IFERROR(INDEX(baseline!$A$3:$A$201,MATCH($B46&amp;$C46,baseline!$C$3:$C$201&amp;baseline!$D$3:$D$201,0)),"NA")</f>
        <v>NA</v>
      </c>
      <c r="B46" t="s">
        <v>712</v>
      </c>
      <c r="C46" t="s">
        <v>546</v>
      </c>
      <c r="D46" s="131" t="s">
        <v>769</v>
      </c>
      <c r="E46" s="131">
        <v>2.0000000000000001E-4</v>
      </c>
      <c r="F46" t="b">
        <v>1</v>
      </c>
      <c r="G46">
        <v>0.05</v>
      </c>
      <c r="H46">
        <v>17</v>
      </c>
      <c r="I46">
        <v>22</v>
      </c>
      <c r="J46">
        <v>99</v>
      </c>
      <c r="K46">
        <v>24</v>
      </c>
      <c r="L46" s="132" t="s">
        <v>769</v>
      </c>
      <c r="M46" s="132" t="s">
        <v>769</v>
      </c>
      <c r="N46" s="132" t="s">
        <v>769</v>
      </c>
      <c r="O46" s="187">
        <f>P46+ecm_occ_temp_setback!K46</f>
        <v>15704</v>
      </c>
      <c r="P46" s="187">
        <v>0</v>
      </c>
    </row>
    <row r="47" spans="1:16">
      <c r="A47" s="45" t="str">
        <f t="array" ref="A47">IFERROR(INDEX(baseline!$A$3:$A$201,MATCH($B47&amp;$C47,baseline!$C$3:$C$201&amp;baseline!$D$3:$D$201,0)),"NA")</f>
        <v>NA</v>
      </c>
      <c r="B47" t="s">
        <v>547</v>
      </c>
      <c r="C47" t="s">
        <v>13</v>
      </c>
      <c r="D47" s="131" t="s">
        <v>1011</v>
      </c>
      <c r="E47" s="131">
        <v>2.0000000000000001E-4</v>
      </c>
      <c r="F47" t="b">
        <v>1</v>
      </c>
      <c r="G47">
        <v>0.05</v>
      </c>
      <c r="H47">
        <v>17</v>
      </c>
      <c r="I47">
        <v>22</v>
      </c>
      <c r="J47">
        <v>99</v>
      </c>
      <c r="K47">
        <v>24</v>
      </c>
      <c r="L47" s="132" t="s">
        <v>769</v>
      </c>
      <c r="M47" s="132" t="s">
        <v>769</v>
      </c>
      <c r="N47" s="132" t="s">
        <v>769</v>
      </c>
      <c r="O47" s="187">
        <f>P47+ecm_occ_temp_setback!K47</f>
        <v>136565</v>
      </c>
      <c r="P47" s="187">
        <v>116444</v>
      </c>
    </row>
    <row r="48" spans="1:16">
      <c r="A48" s="45" t="str">
        <f t="array" ref="A48">IFERROR(INDEX(baseline!$A$3:$A$201,MATCH($B48&amp;$C48,baseline!$C$3:$C$201&amp;baseline!$D$3:$D$201,0)),"NA")</f>
        <v>NA</v>
      </c>
      <c r="B48" t="s">
        <v>1</v>
      </c>
      <c r="C48" t="s">
        <v>13</v>
      </c>
      <c r="D48" s="131" t="s">
        <v>1011</v>
      </c>
      <c r="E48" s="131">
        <v>2.9999999999999997E-4</v>
      </c>
      <c r="F48" t="b">
        <v>1</v>
      </c>
      <c r="G48">
        <v>0.05</v>
      </c>
      <c r="H48">
        <v>17</v>
      </c>
      <c r="I48">
        <v>22</v>
      </c>
      <c r="J48">
        <v>99</v>
      </c>
      <c r="K48">
        <v>24</v>
      </c>
      <c r="L48" s="132" t="s">
        <v>769</v>
      </c>
      <c r="M48" s="132" t="s">
        <v>769</v>
      </c>
      <c r="N48" s="132" t="s">
        <v>769</v>
      </c>
      <c r="O48" s="187">
        <f>P48+ecm_occ_temp_setback!K48</f>
        <v>72156</v>
      </c>
      <c r="P48" s="187">
        <v>67248</v>
      </c>
    </row>
    <row r="49" spans="1:16">
      <c r="A49" s="45" t="str">
        <f t="array" ref="A49">IFERROR(INDEX(baseline!$A$3:$A$201,MATCH($B49&amp;$C49,baseline!$C$3:$C$201&amp;baseline!$D$3:$D$201,0)),"NA")</f>
        <v>NA</v>
      </c>
      <c r="B49" t="s">
        <v>1</v>
      </c>
      <c r="C49" t="s">
        <v>546</v>
      </c>
      <c r="D49" s="131" t="s">
        <v>769</v>
      </c>
      <c r="E49" s="131">
        <v>2.9999999999999997E-4</v>
      </c>
      <c r="F49" t="b">
        <v>1</v>
      </c>
      <c r="G49">
        <v>0.05</v>
      </c>
      <c r="H49">
        <v>17</v>
      </c>
      <c r="I49">
        <v>22</v>
      </c>
      <c r="J49">
        <v>99</v>
      </c>
      <c r="K49">
        <v>24</v>
      </c>
      <c r="L49" s="132" t="s">
        <v>769</v>
      </c>
      <c r="M49" s="132" t="s">
        <v>769</v>
      </c>
      <c r="N49" s="132" t="s">
        <v>769</v>
      </c>
      <c r="O49" s="187">
        <f>P49+ecm_occ_temp_setback!K49</f>
        <v>4908</v>
      </c>
      <c r="P49" s="187">
        <v>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sheetPr>
    <tabColor rgb="FF00B050"/>
  </sheetPr>
  <dimension ref="A1:Z51"/>
  <sheetViews>
    <sheetView topLeftCell="U1" workbookViewId="0">
      <selection activeCell="X2" sqref="X2"/>
    </sheetView>
  </sheetViews>
  <sheetFormatPr defaultRowHeight="14.4"/>
  <cols>
    <col min="2" max="2" width="21.6640625" customWidth="1"/>
    <col min="3" max="3" width="20.109375" customWidth="1"/>
    <col min="4" max="4" width="14.6640625" customWidth="1"/>
    <col min="5" max="5" width="22.33203125" customWidth="1"/>
    <col min="6" max="6" width="28.88671875" customWidth="1"/>
    <col min="7" max="7" width="18.88671875" customWidth="1"/>
    <col min="8" max="8" width="24.109375" customWidth="1"/>
    <col min="9" max="10" width="18.88671875" customWidth="1"/>
    <col min="11" max="20" width="30.109375" customWidth="1"/>
    <col min="21" max="21" width="17.109375" customWidth="1"/>
    <col min="22" max="22" width="20.5546875" customWidth="1"/>
    <col min="23" max="23" width="17.33203125" customWidth="1"/>
    <col min="24" max="24" width="30.109375" customWidth="1"/>
    <col min="25" max="25" width="9.5546875" style="187" bestFit="1" customWidth="1"/>
    <col min="26" max="26" width="30.109375" customWidth="1"/>
  </cols>
  <sheetData>
    <row r="1" spans="1:26" ht="15.6">
      <c r="A1" t="s">
        <v>920</v>
      </c>
      <c r="B1" s="128" t="s">
        <v>766</v>
      </c>
      <c r="C1" s="127" t="s">
        <v>748</v>
      </c>
      <c r="D1" s="131" t="s">
        <v>774</v>
      </c>
      <c r="E1" s="131" t="s">
        <v>831</v>
      </c>
      <c r="F1" t="s">
        <v>871</v>
      </c>
      <c r="G1" t="s">
        <v>872</v>
      </c>
      <c r="H1" t="s">
        <v>874</v>
      </c>
      <c r="I1" t="s">
        <v>873</v>
      </c>
      <c r="J1" t="s">
        <v>875</v>
      </c>
      <c r="K1" t="s">
        <v>876</v>
      </c>
      <c r="L1" s="158" t="s">
        <v>914</v>
      </c>
      <c r="M1" s="158" t="s">
        <v>907</v>
      </c>
      <c r="N1" s="158" t="s">
        <v>915</v>
      </c>
      <c r="O1" s="158" t="s">
        <v>913</v>
      </c>
      <c r="P1" s="157" t="s">
        <v>908</v>
      </c>
      <c r="Q1" s="157" t="s">
        <v>909</v>
      </c>
      <c r="R1" s="157" t="s">
        <v>910</v>
      </c>
      <c r="S1" s="157" t="s">
        <v>911</v>
      </c>
      <c r="T1" s="157" t="s">
        <v>912</v>
      </c>
      <c r="U1" s="144" t="s">
        <v>904</v>
      </c>
      <c r="V1" s="143" t="s">
        <v>891</v>
      </c>
      <c r="W1" s="145" t="s">
        <v>858</v>
      </c>
      <c r="X1" s="187" t="s">
        <v>899</v>
      </c>
      <c r="Y1" s="187" t="s">
        <v>1012</v>
      </c>
      <c r="Z1" s="45" t="s">
        <v>1020</v>
      </c>
    </row>
    <row r="2" spans="1:26">
      <c r="A2" s="45">
        <f t="array" ref="A2">IFERROR(INDEX(baseline!$A$3:$A$201,MATCH($B2&amp;$C2,baseline!$C$3:$C$201&amp;baseline!$D$3:$D$201,0)),"NA")</f>
        <v>1</v>
      </c>
      <c r="B2" t="s">
        <v>0</v>
      </c>
      <c r="C2" t="s">
        <v>881</v>
      </c>
      <c r="D2" s="131" t="s">
        <v>1019</v>
      </c>
      <c r="E2" s="131">
        <v>2.0000000000000001E-4</v>
      </c>
      <c r="F2" t="b">
        <v>1</v>
      </c>
      <c r="G2">
        <v>0.05</v>
      </c>
      <c r="H2">
        <v>17</v>
      </c>
      <c r="I2">
        <v>22</v>
      </c>
      <c r="J2">
        <v>99</v>
      </c>
      <c r="K2">
        <v>24</v>
      </c>
      <c r="L2" s="45" t="s">
        <v>769</v>
      </c>
      <c r="M2" s="132" t="s">
        <v>862</v>
      </c>
      <c r="N2" s="132" t="s">
        <v>916</v>
      </c>
      <c r="O2" s="45" t="s">
        <v>769</v>
      </c>
      <c r="P2" s="45" t="b">
        <v>1</v>
      </c>
      <c r="Q2" s="132">
        <v>82</v>
      </c>
      <c r="R2" s="132">
        <v>-25</v>
      </c>
      <c r="S2" s="132">
        <v>40</v>
      </c>
      <c r="T2" s="132">
        <v>20</v>
      </c>
      <c r="U2" s="132" t="s">
        <v>769</v>
      </c>
      <c r="V2" s="132" t="s">
        <v>769</v>
      </c>
      <c r="W2" s="132" t="s">
        <v>769</v>
      </c>
      <c r="X2" s="187">
        <f>Y2+ecm_occ_temp_setback!K2+Z2</f>
        <v>196581</v>
      </c>
      <c r="Y2" s="187">
        <f>122012+VALUE(ecm_occ_temp_setback!K2)</f>
        <v>158818</v>
      </c>
      <c r="Z2" s="45">
        <v>957</v>
      </c>
    </row>
    <row r="3" spans="1:26">
      <c r="A3" s="45">
        <f t="array" ref="A3">IFERROR(INDEX(baseline!$A$3:$A$201,MATCH($B3&amp;$C3,baseline!$C$3:$C$201&amp;baseline!$D$3:$D$201,0)),"NA")</f>
        <v>2</v>
      </c>
      <c r="B3" t="s">
        <v>78</v>
      </c>
      <c r="C3" t="s">
        <v>881</v>
      </c>
      <c r="D3" s="131" t="s">
        <v>1019</v>
      </c>
      <c r="E3" s="131">
        <v>2.9999999999999997E-4</v>
      </c>
      <c r="F3" t="b">
        <v>1</v>
      </c>
      <c r="G3">
        <v>0.05</v>
      </c>
      <c r="H3">
        <v>17</v>
      </c>
      <c r="I3">
        <v>22</v>
      </c>
      <c r="J3">
        <v>99</v>
      </c>
      <c r="K3">
        <v>24</v>
      </c>
      <c r="L3" s="45" t="s">
        <v>769</v>
      </c>
      <c r="M3" s="132" t="s">
        <v>862</v>
      </c>
      <c r="N3" s="132" t="s">
        <v>916</v>
      </c>
      <c r="O3" s="45" t="s">
        <v>769</v>
      </c>
      <c r="P3" s="45" t="b">
        <v>1</v>
      </c>
      <c r="Q3" s="132">
        <v>82</v>
      </c>
      <c r="R3" s="132">
        <v>-25</v>
      </c>
      <c r="S3" s="132">
        <v>40</v>
      </c>
      <c r="T3" s="132">
        <v>20</v>
      </c>
      <c r="U3" s="132" t="s">
        <v>769</v>
      </c>
      <c r="V3" s="132" t="s">
        <v>769</v>
      </c>
      <c r="W3" s="132" t="s">
        <v>769</v>
      </c>
      <c r="X3" s="187">
        <f>Y3+ecm_occ_temp_setback!K3+Z3</f>
        <v>73441</v>
      </c>
      <c r="Y3" s="187">
        <v>67418</v>
      </c>
      <c r="Z3" s="45">
        <v>957</v>
      </c>
    </row>
    <row r="4" spans="1:26">
      <c r="A4" s="45">
        <f t="array" ref="A4">IFERROR(INDEX(baseline!$A$3:$A$201,MATCH($B4&amp;$C4,baseline!$C$3:$C$201&amp;baseline!$D$3:$D$201,0)),"NA")</f>
        <v>3</v>
      </c>
      <c r="B4" t="s">
        <v>545</v>
      </c>
      <c r="C4" t="s">
        <v>881</v>
      </c>
      <c r="D4" s="131" t="s">
        <v>1019</v>
      </c>
      <c r="E4" s="131">
        <v>2.0000000000000001E-4</v>
      </c>
      <c r="F4" t="b">
        <v>1</v>
      </c>
      <c r="G4">
        <v>0.05</v>
      </c>
      <c r="H4">
        <v>17</v>
      </c>
      <c r="I4">
        <v>22</v>
      </c>
      <c r="J4">
        <v>99</v>
      </c>
      <c r="K4">
        <v>24</v>
      </c>
      <c r="L4" s="45" t="s">
        <v>769</v>
      </c>
      <c r="M4" s="132" t="s">
        <v>862</v>
      </c>
      <c r="N4" s="132" t="s">
        <v>916</v>
      </c>
      <c r="O4" s="45" t="s">
        <v>769</v>
      </c>
      <c r="P4" s="45" t="b">
        <v>1</v>
      </c>
      <c r="Q4" s="132">
        <v>82</v>
      </c>
      <c r="R4" s="132">
        <v>-25</v>
      </c>
      <c r="S4" s="132">
        <v>40</v>
      </c>
      <c r="T4" s="132">
        <v>20</v>
      </c>
      <c r="U4" s="132" t="s">
        <v>769</v>
      </c>
      <c r="V4" s="132" t="s">
        <v>769</v>
      </c>
      <c r="W4" s="132" t="s">
        <v>769</v>
      </c>
      <c r="X4" s="187">
        <f>Y4+ecm_occ_temp_setback!K4+Z4</f>
        <v>89170</v>
      </c>
      <c r="Y4" s="187">
        <v>83796</v>
      </c>
      <c r="Z4" s="45">
        <v>957</v>
      </c>
    </row>
    <row r="5" spans="1:26">
      <c r="A5" s="45">
        <f t="array" ref="A5">IFERROR(INDEX(baseline!$A$3:$A$201,MATCH($B5&amp;$C5,baseline!$C$3:$C$201&amp;baseline!$D$3:$D$201,0)),"NA")</f>
        <v>4</v>
      </c>
      <c r="B5" t="s">
        <v>545</v>
      </c>
      <c r="C5" t="s">
        <v>546</v>
      </c>
      <c r="D5" s="131" t="s">
        <v>1019</v>
      </c>
      <c r="E5" s="131">
        <v>2.0000000000000001E-4</v>
      </c>
      <c r="F5" t="b">
        <v>1</v>
      </c>
      <c r="G5">
        <v>0.05</v>
      </c>
      <c r="H5">
        <v>17</v>
      </c>
      <c r="I5">
        <v>22</v>
      </c>
      <c r="J5">
        <v>99</v>
      </c>
      <c r="K5">
        <v>24</v>
      </c>
      <c r="L5" s="45" t="s">
        <v>769</v>
      </c>
      <c r="M5" s="132" t="s">
        <v>862</v>
      </c>
      <c r="N5" s="132" t="s">
        <v>916</v>
      </c>
      <c r="O5" s="45" t="s">
        <v>769</v>
      </c>
      <c r="P5" s="45" t="b">
        <v>1</v>
      </c>
      <c r="Q5" s="132">
        <v>82</v>
      </c>
      <c r="R5" s="132">
        <v>-25</v>
      </c>
      <c r="S5" s="132">
        <v>40</v>
      </c>
      <c r="T5" s="132">
        <v>20</v>
      </c>
      <c r="U5" s="132" t="s">
        <v>769</v>
      </c>
      <c r="V5" s="132" t="s">
        <v>769</v>
      </c>
      <c r="W5" s="132" t="s">
        <v>769</v>
      </c>
      <c r="X5" s="187">
        <f>Y5+ecm_occ_temp_setback!K5+Z5</f>
        <v>5374</v>
      </c>
      <c r="Y5" s="187">
        <v>0</v>
      </c>
      <c r="Z5" s="45">
        <v>957</v>
      </c>
    </row>
    <row r="6" spans="1:26">
      <c r="A6" s="45">
        <f t="array" ref="A6">IFERROR(INDEX(baseline!$A$3:$A$201,MATCH($B6&amp;$C6,baseline!$C$3:$C$201&amp;baseline!$D$3:$D$201,0)),"NA")</f>
        <v>5</v>
      </c>
      <c r="B6" t="s">
        <v>761</v>
      </c>
      <c r="C6" t="s">
        <v>881</v>
      </c>
      <c r="D6" s="131" t="s">
        <v>1019</v>
      </c>
      <c r="E6" s="131">
        <v>2.9999999999999997E-4</v>
      </c>
      <c r="F6" t="b">
        <v>1</v>
      </c>
      <c r="G6">
        <v>0.05</v>
      </c>
      <c r="H6">
        <v>17</v>
      </c>
      <c r="I6">
        <v>22</v>
      </c>
      <c r="J6">
        <v>99</v>
      </c>
      <c r="K6">
        <v>24</v>
      </c>
      <c r="L6" s="45" t="s">
        <v>769</v>
      </c>
      <c r="M6" s="132" t="s">
        <v>862</v>
      </c>
      <c r="N6" s="132" t="s">
        <v>916</v>
      </c>
      <c r="O6" s="45" t="s">
        <v>769</v>
      </c>
      <c r="P6" s="45" t="b">
        <v>1</v>
      </c>
      <c r="Q6" s="132">
        <v>82</v>
      </c>
      <c r="R6" s="132">
        <v>-25</v>
      </c>
      <c r="S6" s="132">
        <v>40</v>
      </c>
      <c r="T6" s="132">
        <v>20</v>
      </c>
      <c r="U6" s="132" t="s">
        <v>769</v>
      </c>
      <c r="V6" s="132" t="s">
        <v>769</v>
      </c>
      <c r="W6" s="132" t="s">
        <v>769</v>
      </c>
      <c r="X6" s="187">
        <f>Y6+ecm_occ_temp_setback!K6+Z6</f>
        <v>135522</v>
      </c>
      <c r="Y6" s="187">
        <v>96777</v>
      </c>
      <c r="Z6" s="45">
        <v>957</v>
      </c>
    </row>
    <row r="7" spans="1:26">
      <c r="A7" s="45">
        <f t="array" ref="A7">IFERROR(INDEX(baseline!$A$3:$A$201,MATCH($B7&amp;$C7,baseline!$C$3:$C$201&amp;baseline!$D$3:$D$201,0)),"NA")</f>
        <v>6</v>
      </c>
      <c r="B7" t="s">
        <v>761</v>
      </c>
      <c r="C7" t="s">
        <v>13</v>
      </c>
      <c r="D7" s="131" t="s">
        <v>1019</v>
      </c>
      <c r="E7" s="131">
        <v>2.9999999999999997E-4</v>
      </c>
      <c r="F7" t="b">
        <v>1</v>
      </c>
      <c r="G7">
        <v>0.05</v>
      </c>
      <c r="H7">
        <v>17</v>
      </c>
      <c r="I7">
        <v>22</v>
      </c>
      <c r="J7">
        <v>99</v>
      </c>
      <c r="K7">
        <v>24</v>
      </c>
      <c r="L7" s="45" t="s">
        <v>769</v>
      </c>
      <c r="M7" s="132" t="s">
        <v>862</v>
      </c>
      <c r="N7" s="132" t="s">
        <v>916</v>
      </c>
      <c r="O7" s="45" t="s">
        <v>769</v>
      </c>
      <c r="P7" s="45" t="b">
        <v>1</v>
      </c>
      <c r="Q7" s="132">
        <v>82</v>
      </c>
      <c r="R7" s="132">
        <v>-25</v>
      </c>
      <c r="S7" s="132">
        <v>40</v>
      </c>
      <c r="T7" s="132">
        <v>20</v>
      </c>
      <c r="U7" s="132" t="s">
        <v>769</v>
      </c>
      <c r="V7" s="132" t="s">
        <v>769</v>
      </c>
      <c r="W7" s="132" t="s">
        <v>769</v>
      </c>
      <c r="X7" s="187">
        <f>Y7+ecm_occ_temp_setback!K7+Z7</f>
        <v>135522</v>
      </c>
      <c r="Y7" s="187">
        <v>96777</v>
      </c>
      <c r="Z7" s="45">
        <v>957</v>
      </c>
    </row>
    <row r="8" spans="1:26">
      <c r="A8" s="45">
        <f t="array" ref="A8">IFERROR(INDEX(baseline!$A$3:$A$201,MATCH($B8&amp;$C8,baseline!$C$3:$C$201&amp;baseline!$D$3:$D$201,0)),"NA")</f>
        <v>7</v>
      </c>
      <c r="B8" t="s">
        <v>761</v>
      </c>
      <c r="C8" t="s">
        <v>14</v>
      </c>
      <c r="D8" s="131" t="s">
        <v>1019</v>
      </c>
      <c r="E8" s="131">
        <v>2.9999999999999997E-4</v>
      </c>
      <c r="F8" t="b">
        <v>1</v>
      </c>
      <c r="G8">
        <v>0.05</v>
      </c>
      <c r="H8">
        <v>17</v>
      </c>
      <c r="I8">
        <v>22</v>
      </c>
      <c r="J8">
        <v>99</v>
      </c>
      <c r="K8">
        <v>24</v>
      </c>
      <c r="L8" s="45" t="s">
        <v>769</v>
      </c>
      <c r="M8" s="132" t="s">
        <v>862</v>
      </c>
      <c r="N8" s="132" t="s">
        <v>916</v>
      </c>
      <c r="O8" s="45" t="s">
        <v>769</v>
      </c>
      <c r="P8" s="45" t="b">
        <v>1</v>
      </c>
      <c r="Q8" s="132">
        <v>82</v>
      </c>
      <c r="R8" s="132">
        <v>-25</v>
      </c>
      <c r="S8" s="132">
        <v>40</v>
      </c>
      <c r="T8" s="132">
        <v>20</v>
      </c>
      <c r="U8" s="132" t="s">
        <v>769</v>
      </c>
      <c r="V8" s="132" t="s">
        <v>769</v>
      </c>
      <c r="W8" s="132" t="s">
        <v>769</v>
      </c>
      <c r="X8" s="187">
        <f>Y8+ecm_occ_temp_setback!K8+Z8</f>
        <v>127569</v>
      </c>
      <c r="Y8" s="187">
        <v>88824</v>
      </c>
      <c r="Z8" s="45">
        <v>957</v>
      </c>
    </row>
    <row r="9" spans="1:26">
      <c r="A9" s="45">
        <f t="array" ref="A9">IFERROR(INDEX(baseline!$A$3:$A$201,MATCH($B9&amp;$C9,baseline!$C$3:$C$201&amp;baseline!$D$3:$D$201,0)),"NA")</f>
        <v>8</v>
      </c>
      <c r="B9" t="s">
        <v>697</v>
      </c>
      <c r="C9" t="s">
        <v>881</v>
      </c>
      <c r="D9" s="131" t="s">
        <v>1019</v>
      </c>
      <c r="E9" s="131">
        <v>2.9999999999999997E-4</v>
      </c>
      <c r="F9" t="b">
        <v>1</v>
      </c>
      <c r="G9">
        <v>0.05</v>
      </c>
      <c r="H9">
        <v>17</v>
      </c>
      <c r="I9">
        <v>22</v>
      </c>
      <c r="J9">
        <v>99</v>
      </c>
      <c r="K9">
        <v>24</v>
      </c>
      <c r="L9" s="45" t="s">
        <v>769</v>
      </c>
      <c r="M9" s="132" t="s">
        <v>862</v>
      </c>
      <c r="N9" s="132" t="s">
        <v>916</v>
      </c>
      <c r="O9" s="45" t="s">
        <v>769</v>
      </c>
      <c r="P9" s="45" t="b">
        <v>1</v>
      </c>
      <c r="Q9" s="132">
        <v>82</v>
      </c>
      <c r="R9" s="132">
        <v>-25</v>
      </c>
      <c r="S9" s="132">
        <v>40</v>
      </c>
      <c r="T9" s="132">
        <v>20</v>
      </c>
      <c r="U9" s="132" t="s">
        <v>769</v>
      </c>
      <c r="V9" s="132" t="s">
        <v>769</v>
      </c>
      <c r="W9" s="132" t="s">
        <v>769</v>
      </c>
      <c r="X9" s="187">
        <f>Y9+ecm_occ_temp_setback!K9+Z9</f>
        <v>80374</v>
      </c>
      <c r="Y9" s="187">
        <v>74019</v>
      </c>
      <c r="Z9" s="45">
        <v>957</v>
      </c>
    </row>
    <row r="10" spans="1:26">
      <c r="A10" s="45">
        <f t="array" ref="A10">IFERROR(INDEX(baseline!$A$3:$A$201,MATCH($B10&amp;$C10,baseline!$C$3:$C$201&amp;baseline!$D$3:$D$201,0)),"NA")</f>
        <v>9</v>
      </c>
      <c r="B10" t="s">
        <v>697</v>
      </c>
      <c r="C10" t="s">
        <v>14</v>
      </c>
      <c r="D10" s="131" t="s">
        <v>1019</v>
      </c>
      <c r="E10" s="131">
        <v>2.9999999999999997E-4</v>
      </c>
      <c r="F10" t="b">
        <v>1</v>
      </c>
      <c r="G10">
        <v>0.05</v>
      </c>
      <c r="H10">
        <v>17</v>
      </c>
      <c r="I10">
        <v>22</v>
      </c>
      <c r="J10">
        <v>99</v>
      </c>
      <c r="K10">
        <v>24</v>
      </c>
      <c r="L10" s="45" t="s">
        <v>769</v>
      </c>
      <c r="M10" s="132" t="s">
        <v>862</v>
      </c>
      <c r="N10" s="132" t="s">
        <v>916</v>
      </c>
      <c r="O10" s="45" t="s">
        <v>769</v>
      </c>
      <c r="P10" s="45" t="b">
        <v>1</v>
      </c>
      <c r="Q10" s="132">
        <v>82</v>
      </c>
      <c r="R10" s="132">
        <v>-25</v>
      </c>
      <c r="S10" s="132">
        <v>40</v>
      </c>
      <c r="T10" s="132">
        <v>20</v>
      </c>
      <c r="U10" s="132" t="s">
        <v>769</v>
      </c>
      <c r="V10" s="132" t="s">
        <v>769</v>
      </c>
      <c r="W10" s="132" t="s">
        <v>769</v>
      </c>
      <c r="X10" s="187">
        <f>Y10+ecm_occ_temp_setback!K10+Z10</f>
        <v>73495</v>
      </c>
      <c r="Y10" s="187">
        <v>67140</v>
      </c>
      <c r="Z10" s="45">
        <v>957</v>
      </c>
    </row>
    <row r="11" spans="1:26">
      <c r="A11" s="45">
        <f t="array" ref="A11">IFERROR(INDEX(baseline!$A$3:$A$201,MATCH($B11&amp;$C11,baseline!$C$3:$C$201&amp;baseline!$D$3:$D$201,0)),"NA")</f>
        <v>10</v>
      </c>
      <c r="B11" t="s">
        <v>713</v>
      </c>
      <c r="C11" t="s">
        <v>881</v>
      </c>
      <c r="D11" s="131" t="s">
        <v>1019</v>
      </c>
      <c r="E11" s="131">
        <v>2.9999999999999997E-4</v>
      </c>
      <c r="F11" t="b">
        <v>1</v>
      </c>
      <c r="G11">
        <v>0.05</v>
      </c>
      <c r="H11">
        <v>17</v>
      </c>
      <c r="I11">
        <v>22</v>
      </c>
      <c r="J11">
        <v>99</v>
      </c>
      <c r="K11">
        <v>24</v>
      </c>
      <c r="L11" s="45" t="s">
        <v>769</v>
      </c>
      <c r="M11" s="132" t="s">
        <v>862</v>
      </c>
      <c r="N11" s="132" t="s">
        <v>916</v>
      </c>
      <c r="O11" s="45" t="s">
        <v>769</v>
      </c>
      <c r="P11" s="45" t="b">
        <v>1</v>
      </c>
      <c r="Q11" s="132">
        <v>82</v>
      </c>
      <c r="R11" s="132">
        <v>-25</v>
      </c>
      <c r="S11" s="132">
        <v>40</v>
      </c>
      <c r="T11" s="132">
        <v>20</v>
      </c>
      <c r="U11" s="132" t="s">
        <v>769</v>
      </c>
      <c r="V11" s="132" t="s">
        <v>769</v>
      </c>
      <c r="W11" s="132" t="s">
        <v>769</v>
      </c>
      <c r="X11" s="187">
        <f>Y11+ecm_occ_temp_setback!K11+Z11</f>
        <v>52480</v>
      </c>
      <c r="Y11" s="187">
        <v>47106</v>
      </c>
      <c r="Z11" s="45">
        <v>957</v>
      </c>
    </row>
    <row r="12" spans="1:26">
      <c r="A12" s="45">
        <f t="array" ref="A12">IFERROR(INDEX(baseline!$A$3:$A$201,MATCH($B12&amp;$C12,baseline!$C$3:$C$201&amp;baseline!$D$3:$D$201,0)),"NA")</f>
        <v>11</v>
      </c>
      <c r="B12" t="s">
        <v>713</v>
      </c>
      <c r="C12" t="s">
        <v>13</v>
      </c>
      <c r="D12" s="131" t="s">
        <v>1019</v>
      </c>
      <c r="E12" s="131">
        <v>2.9999999999999997E-4</v>
      </c>
      <c r="F12" t="b">
        <v>1</v>
      </c>
      <c r="G12">
        <v>0.05</v>
      </c>
      <c r="H12">
        <v>17</v>
      </c>
      <c r="I12">
        <v>22</v>
      </c>
      <c r="J12">
        <v>99</v>
      </c>
      <c r="K12">
        <v>24</v>
      </c>
      <c r="L12" s="45" t="s">
        <v>769</v>
      </c>
      <c r="M12" s="132" t="s">
        <v>862</v>
      </c>
      <c r="N12" s="132" t="s">
        <v>916</v>
      </c>
      <c r="O12" s="45" t="s">
        <v>769</v>
      </c>
      <c r="P12" s="45" t="b">
        <v>1</v>
      </c>
      <c r="Q12" s="132">
        <v>82</v>
      </c>
      <c r="R12" s="132">
        <v>-25</v>
      </c>
      <c r="S12" s="132">
        <v>40</v>
      </c>
      <c r="T12" s="132">
        <v>20</v>
      </c>
      <c r="U12" s="132" t="s">
        <v>769</v>
      </c>
      <c r="V12" s="132" t="s">
        <v>769</v>
      </c>
      <c r="W12" s="132" t="s">
        <v>769</v>
      </c>
      <c r="X12" s="187">
        <f>Y12+ecm_occ_temp_setback!K12+Z12</f>
        <v>52480</v>
      </c>
      <c r="Y12" s="187">
        <v>47106</v>
      </c>
      <c r="Z12" s="45">
        <v>957</v>
      </c>
    </row>
    <row r="13" spans="1:26">
      <c r="A13" s="45">
        <f t="array" ref="A13">IFERROR(INDEX(baseline!$A$3:$A$201,MATCH($B13&amp;$C13,baseline!$C$3:$C$201&amp;baseline!$D$3:$D$201,0)),"NA")</f>
        <v>12</v>
      </c>
      <c r="B13" t="s">
        <v>713</v>
      </c>
      <c r="C13" t="s">
        <v>14</v>
      </c>
      <c r="D13" s="131" t="s">
        <v>1019</v>
      </c>
      <c r="E13" s="131">
        <v>2.9999999999999997E-4</v>
      </c>
      <c r="F13" t="b">
        <v>1</v>
      </c>
      <c r="G13">
        <v>0.05</v>
      </c>
      <c r="H13">
        <v>17</v>
      </c>
      <c r="I13">
        <v>22</v>
      </c>
      <c r="J13">
        <v>99</v>
      </c>
      <c r="K13">
        <v>24</v>
      </c>
      <c r="L13" s="45" t="s">
        <v>769</v>
      </c>
      <c r="M13" s="132" t="s">
        <v>862</v>
      </c>
      <c r="N13" s="132" t="s">
        <v>916</v>
      </c>
      <c r="O13" s="45" t="s">
        <v>769</v>
      </c>
      <c r="P13" s="45" t="b">
        <v>1</v>
      </c>
      <c r="Q13" s="132">
        <v>82</v>
      </c>
      <c r="R13" s="132">
        <v>-25</v>
      </c>
      <c r="S13" s="132">
        <v>40</v>
      </c>
      <c r="T13" s="132">
        <v>20</v>
      </c>
      <c r="U13" s="132" t="s">
        <v>769</v>
      </c>
      <c r="V13" s="132" t="s">
        <v>769</v>
      </c>
      <c r="W13" s="132" t="s">
        <v>769</v>
      </c>
      <c r="X13" s="187">
        <f>Y13+ecm_occ_temp_setback!K13+Z13</f>
        <v>48574</v>
      </c>
      <c r="Y13" s="187">
        <v>43200</v>
      </c>
      <c r="Z13" s="45">
        <v>957</v>
      </c>
    </row>
    <row r="14" spans="1:26">
      <c r="A14" s="45">
        <f t="array" ref="A14">IFERROR(INDEX(baseline!$A$3:$A$201,MATCH($B14&amp;$C14,baseline!$C$3:$C$201&amp;baseline!$D$3:$D$201,0)),"NA")</f>
        <v>13</v>
      </c>
      <c r="B14" t="s">
        <v>762</v>
      </c>
      <c r="C14" t="s">
        <v>881</v>
      </c>
      <c r="D14" s="131" t="s">
        <v>1019</v>
      </c>
      <c r="E14" s="131">
        <v>2.0000000000000001E-4</v>
      </c>
      <c r="F14" t="b">
        <v>1</v>
      </c>
      <c r="G14">
        <v>0.05</v>
      </c>
      <c r="H14">
        <v>17</v>
      </c>
      <c r="I14">
        <v>22</v>
      </c>
      <c r="J14">
        <v>99</v>
      </c>
      <c r="K14">
        <v>24</v>
      </c>
      <c r="L14" s="45" t="s">
        <v>769</v>
      </c>
      <c r="M14" s="132" t="s">
        <v>862</v>
      </c>
      <c r="N14" s="132" t="s">
        <v>916</v>
      </c>
      <c r="O14" s="45" t="s">
        <v>769</v>
      </c>
      <c r="P14" s="45" t="b">
        <v>1</v>
      </c>
      <c r="Q14" s="132">
        <v>82</v>
      </c>
      <c r="R14" s="132">
        <v>-25</v>
      </c>
      <c r="S14" s="132">
        <v>40</v>
      </c>
      <c r="T14" s="132">
        <v>20</v>
      </c>
      <c r="U14" s="132" t="s">
        <v>769</v>
      </c>
      <c r="V14" s="132" t="s">
        <v>769</v>
      </c>
      <c r="W14" s="132" t="s">
        <v>769</v>
      </c>
      <c r="X14" s="187">
        <f>Y14+ecm_occ_temp_setback!K14+Z14</f>
        <v>80476</v>
      </c>
      <c r="Y14" s="187">
        <v>54491</v>
      </c>
      <c r="Z14" s="45">
        <v>957</v>
      </c>
    </row>
    <row r="15" spans="1:26">
      <c r="A15" s="45">
        <f t="array" ref="A15">IFERROR(INDEX(baseline!$A$3:$A$201,MATCH($B15&amp;$C15,baseline!$C$3:$C$201&amp;baseline!$D$3:$D$201,0)),"NA")</f>
        <v>14</v>
      </c>
      <c r="B15" t="s">
        <v>762</v>
      </c>
      <c r="C15" t="s">
        <v>13</v>
      </c>
      <c r="D15" s="131" t="s">
        <v>1019</v>
      </c>
      <c r="E15" s="131">
        <v>2.0000000000000001E-4</v>
      </c>
      <c r="F15" t="b">
        <v>1</v>
      </c>
      <c r="G15">
        <v>0.05</v>
      </c>
      <c r="H15">
        <v>17</v>
      </c>
      <c r="I15">
        <v>22</v>
      </c>
      <c r="J15">
        <v>99</v>
      </c>
      <c r="K15">
        <v>24</v>
      </c>
      <c r="L15" s="45" t="s">
        <v>769</v>
      </c>
      <c r="M15" s="132" t="s">
        <v>862</v>
      </c>
      <c r="N15" s="132" t="s">
        <v>916</v>
      </c>
      <c r="O15" s="45" t="s">
        <v>769</v>
      </c>
      <c r="P15" s="45" t="b">
        <v>1</v>
      </c>
      <c r="Q15" s="132">
        <v>82</v>
      </c>
      <c r="R15" s="132">
        <v>-25</v>
      </c>
      <c r="S15" s="132">
        <v>40</v>
      </c>
      <c r="T15" s="132">
        <v>20</v>
      </c>
      <c r="U15" s="132" t="s">
        <v>769</v>
      </c>
      <c r="V15" s="132" t="s">
        <v>769</v>
      </c>
      <c r="W15" s="132" t="s">
        <v>769</v>
      </c>
      <c r="X15" s="187">
        <f>Y15+ecm_occ_temp_setback!K15+Z15</f>
        <v>80476</v>
      </c>
      <c r="Y15" s="187">
        <v>54491</v>
      </c>
      <c r="Z15" s="45">
        <v>957</v>
      </c>
    </row>
    <row r="16" spans="1:26">
      <c r="A16" s="45">
        <f t="array" ref="A16">IFERROR(INDEX(baseline!$A$3:$A$201,MATCH($B16&amp;$C16,baseline!$C$3:$C$201&amp;baseline!$D$3:$D$201,0)),"NA")</f>
        <v>15</v>
      </c>
      <c r="B16" t="s">
        <v>762</v>
      </c>
      <c r="C16" t="s">
        <v>14</v>
      </c>
      <c r="D16" s="131" t="s">
        <v>1019</v>
      </c>
      <c r="E16" s="131">
        <v>2.0000000000000001E-4</v>
      </c>
      <c r="F16" t="b">
        <v>1</v>
      </c>
      <c r="G16">
        <v>0.05</v>
      </c>
      <c r="H16">
        <v>17</v>
      </c>
      <c r="I16">
        <v>22</v>
      </c>
      <c r="J16">
        <v>99</v>
      </c>
      <c r="K16">
        <v>24</v>
      </c>
      <c r="L16" s="45" t="s">
        <v>769</v>
      </c>
      <c r="M16" s="132" t="s">
        <v>862</v>
      </c>
      <c r="N16" s="132" t="s">
        <v>916</v>
      </c>
      <c r="O16" s="45" t="s">
        <v>769</v>
      </c>
      <c r="P16" s="45" t="b">
        <v>1</v>
      </c>
      <c r="Q16" s="132">
        <v>82</v>
      </c>
      <c r="R16" s="132">
        <v>-25</v>
      </c>
      <c r="S16" s="132">
        <v>40</v>
      </c>
      <c r="T16" s="132">
        <v>20</v>
      </c>
      <c r="U16" s="132" t="s">
        <v>769</v>
      </c>
      <c r="V16" s="132" t="s">
        <v>769</v>
      </c>
      <c r="W16" s="132" t="s">
        <v>769</v>
      </c>
      <c r="X16" s="187">
        <f>Y16+ecm_occ_temp_setback!K16+Z16</f>
        <v>75886</v>
      </c>
      <c r="Y16" s="187">
        <v>49901</v>
      </c>
      <c r="Z16" s="45">
        <v>957</v>
      </c>
    </row>
    <row r="17" spans="1:26">
      <c r="A17" s="45">
        <f t="array" ref="A17">IFERROR(INDEX(baseline!$A$3:$A$201,MATCH($B17&amp;$C17,baseline!$C$3:$C$201&amp;baseline!$D$3:$D$201,0)),"NA")</f>
        <v>16</v>
      </c>
      <c r="B17" t="s">
        <v>763</v>
      </c>
      <c r="C17" t="s">
        <v>13</v>
      </c>
      <c r="D17" s="131" t="s">
        <v>1019</v>
      </c>
      <c r="E17" s="131">
        <v>2.0000000000000001E-4</v>
      </c>
      <c r="F17" t="b">
        <v>1</v>
      </c>
      <c r="G17">
        <v>0.05</v>
      </c>
      <c r="H17">
        <v>17</v>
      </c>
      <c r="I17">
        <v>22</v>
      </c>
      <c r="J17">
        <v>99</v>
      </c>
      <c r="K17">
        <v>24</v>
      </c>
      <c r="L17" s="45" t="s">
        <v>769</v>
      </c>
      <c r="M17" s="132" t="s">
        <v>862</v>
      </c>
      <c r="N17" s="132" t="s">
        <v>916</v>
      </c>
      <c r="O17" s="45" t="s">
        <v>769</v>
      </c>
      <c r="P17" s="45" t="b">
        <v>1</v>
      </c>
      <c r="Q17" s="132">
        <v>82</v>
      </c>
      <c r="R17" s="132">
        <v>-25</v>
      </c>
      <c r="S17" s="132">
        <v>40</v>
      </c>
      <c r="T17" s="132">
        <v>20</v>
      </c>
      <c r="U17" s="132" t="s">
        <v>769</v>
      </c>
      <c r="V17" s="132" t="s">
        <v>769</v>
      </c>
      <c r="W17" s="132" t="s">
        <v>769</v>
      </c>
      <c r="X17" s="187">
        <f>Y17+ecm_occ_temp_setback!K17+Z17</f>
        <v>45765</v>
      </c>
      <c r="Y17" s="187">
        <v>36956</v>
      </c>
      <c r="Z17" s="45">
        <v>957</v>
      </c>
    </row>
    <row r="18" spans="1:26">
      <c r="A18" s="45">
        <f t="array" ref="A18">IFERROR(INDEX(baseline!$A$3:$A$201,MATCH($B18&amp;$C18,baseline!$C$3:$C$201&amp;baseline!$D$3:$D$201,0)),"NA")</f>
        <v>17</v>
      </c>
      <c r="B18" t="s">
        <v>763</v>
      </c>
      <c r="C18" t="s">
        <v>14</v>
      </c>
      <c r="D18" s="131" t="s">
        <v>1019</v>
      </c>
      <c r="E18" s="131">
        <v>2.0000000000000001E-4</v>
      </c>
      <c r="F18" t="b">
        <v>1</v>
      </c>
      <c r="G18">
        <v>0.05</v>
      </c>
      <c r="H18">
        <v>17</v>
      </c>
      <c r="I18">
        <v>22</v>
      </c>
      <c r="J18">
        <v>99</v>
      </c>
      <c r="K18">
        <v>24</v>
      </c>
      <c r="L18" s="45" t="s">
        <v>769</v>
      </c>
      <c r="M18" s="132" t="s">
        <v>862</v>
      </c>
      <c r="N18" s="132" t="s">
        <v>916</v>
      </c>
      <c r="O18" s="45" t="s">
        <v>769</v>
      </c>
      <c r="P18" s="45" t="b">
        <v>1</v>
      </c>
      <c r="Q18" s="132">
        <v>82</v>
      </c>
      <c r="R18" s="132">
        <v>-25</v>
      </c>
      <c r="S18" s="132">
        <v>40</v>
      </c>
      <c r="T18" s="132">
        <v>20</v>
      </c>
      <c r="U18" s="132" t="s">
        <v>769</v>
      </c>
      <c r="V18" s="132" t="s">
        <v>769</v>
      </c>
      <c r="W18" s="132" t="s">
        <v>769</v>
      </c>
      <c r="X18" s="187">
        <f>Y18+ecm_occ_temp_setback!K18+Z18</f>
        <v>42361</v>
      </c>
      <c r="Y18" s="187">
        <v>33552</v>
      </c>
      <c r="Z18" s="45">
        <v>957</v>
      </c>
    </row>
    <row r="19" spans="1:26">
      <c r="A19" s="45">
        <f t="array" ref="A19">IFERROR(INDEX(baseline!$A$3:$A$201,MATCH($B19&amp;$C19,baseline!$C$3:$C$201&amp;baseline!$D$3:$D$201,0)),"NA")</f>
        <v>18</v>
      </c>
      <c r="B19" t="s">
        <v>763</v>
      </c>
      <c r="C19" t="s">
        <v>546</v>
      </c>
      <c r="D19" s="131" t="s">
        <v>1019</v>
      </c>
      <c r="E19" s="131">
        <v>2.0000000000000001E-4</v>
      </c>
      <c r="F19" t="b">
        <v>1</v>
      </c>
      <c r="G19">
        <v>0.05</v>
      </c>
      <c r="H19">
        <v>17</v>
      </c>
      <c r="I19">
        <v>22</v>
      </c>
      <c r="J19">
        <v>99</v>
      </c>
      <c r="K19">
        <v>24</v>
      </c>
      <c r="L19" s="45" t="s">
        <v>769</v>
      </c>
      <c r="M19" s="132" t="s">
        <v>862</v>
      </c>
      <c r="N19" s="132" t="s">
        <v>916</v>
      </c>
      <c r="O19" s="45" t="s">
        <v>769</v>
      </c>
      <c r="P19" s="45" t="b">
        <v>1</v>
      </c>
      <c r="Q19" s="132">
        <v>82</v>
      </c>
      <c r="R19" s="132">
        <v>-25</v>
      </c>
      <c r="S19" s="132">
        <v>40</v>
      </c>
      <c r="T19" s="132">
        <v>20</v>
      </c>
      <c r="U19" s="132" t="s">
        <v>769</v>
      </c>
      <c r="V19" s="132" t="s">
        <v>769</v>
      </c>
      <c r="W19" s="132" t="s">
        <v>769</v>
      </c>
      <c r="X19" s="187">
        <f>Y19+ecm_occ_temp_setback!K19+Z19</f>
        <v>8809</v>
      </c>
      <c r="Y19" s="187">
        <v>0</v>
      </c>
      <c r="Z19" s="45">
        <v>957</v>
      </c>
    </row>
    <row r="20" spans="1:26">
      <c r="A20" s="45">
        <f t="array" ref="A20">IFERROR(INDEX(baseline!$A$3:$A$201,MATCH($B20&amp;$C20,baseline!$C$3:$C$201&amp;baseline!$D$3:$D$201,0)),"NA")</f>
        <v>19</v>
      </c>
      <c r="B20" t="s">
        <v>712</v>
      </c>
      <c r="C20" t="s">
        <v>14</v>
      </c>
      <c r="D20" s="131" t="s">
        <v>1019</v>
      </c>
      <c r="E20" s="131">
        <v>2.0000000000000001E-4</v>
      </c>
      <c r="F20" t="b">
        <v>1</v>
      </c>
      <c r="G20">
        <v>0.05</v>
      </c>
      <c r="H20">
        <v>17</v>
      </c>
      <c r="I20">
        <v>22</v>
      </c>
      <c r="J20">
        <v>99</v>
      </c>
      <c r="K20">
        <v>24</v>
      </c>
      <c r="L20" s="45" t="s">
        <v>769</v>
      </c>
      <c r="M20" s="132" t="s">
        <v>862</v>
      </c>
      <c r="N20" s="132" t="s">
        <v>916</v>
      </c>
      <c r="O20" s="45" t="s">
        <v>769</v>
      </c>
      <c r="P20" s="45" t="b">
        <v>1</v>
      </c>
      <c r="Q20" s="132">
        <v>82</v>
      </c>
      <c r="R20" s="132">
        <v>-25</v>
      </c>
      <c r="S20" s="132">
        <v>40</v>
      </c>
      <c r="T20" s="132">
        <v>20</v>
      </c>
      <c r="U20" s="132" t="s">
        <v>769</v>
      </c>
      <c r="V20" s="132" t="s">
        <v>769</v>
      </c>
      <c r="W20" s="132" t="s">
        <v>769</v>
      </c>
      <c r="X20" s="187">
        <f>Y20+ecm_occ_temp_setback!K20+Z20</f>
        <v>129511</v>
      </c>
      <c r="Y20" s="187">
        <v>112850</v>
      </c>
      <c r="Z20" s="45">
        <v>957</v>
      </c>
    </row>
    <row r="21" spans="1:26">
      <c r="A21" s="45">
        <f t="array" ref="A21">IFERROR(INDEX(baseline!$A$3:$A$201,MATCH($B21&amp;$C21,baseline!$C$3:$C$201&amp;baseline!$D$3:$D$201,0)),"NA")</f>
        <v>20</v>
      </c>
      <c r="B21" t="s">
        <v>2</v>
      </c>
      <c r="C21" t="s">
        <v>881</v>
      </c>
      <c r="D21" s="131" t="s">
        <v>1019</v>
      </c>
      <c r="E21" s="131">
        <v>2.9999999999999997E-4</v>
      </c>
      <c r="F21" t="b">
        <v>1</v>
      </c>
      <c r="G21">
        <v>0.05</v>
      </c>
      <c r="H21">
        <v>17</v>
      </c>
      <c r="I21">
        <v>22</v>
      </c>
      <c r="J21">
        <v>99</v>
      </c>
      <c r="K21">
        <v>24</v>
      </c>
      <c r="L21" s="45" t="s">
        <v>769</v>
      </c>
      <c r="M21" s="132" t="s">
        <v>769</v>
      </c>
      <c r="N21" s="132" t="s">
        <v>916</v>
      </c>
      <c r="O21" s="45" t="s">
        <v>769</v>
      </c>
      <c r="P21" s="132" t="s">
        <v>769</v>
      </c>
      <c r="Q21" s="132" t="s">
        <v>769</v>
      </c>
      <c r="R21" s="132" t="s">
        <v>769</v>
      </c>
      <c r="S21" s="132" t="s">
        <v>769</v>
      </c>
      <c r="T21" s="132" t="s">
        <v>769</v>
      </c>
      <c r="U21" s="132" t="s">
        <v>769</v>
      </c>
      <c r="V21" s="132" t="s">
        <v>769</v>
      </c>
      <c r="W21" s="132" t="s">
        <v>769</v>
      </c>
      <c r="X21" s="187">
        <f>Y21+ecm_occ_temp_setback!K21+Z21</f>
        <v>37850</v>
      </c>
      <c r="Y21" s="187">
        <v>37359</v>
      </c>
      <c r="Z21" s="132">
        <v>0</v>
      </c>
    </row>
    <row r="22" spans="1:26">
      <c r="A22" s="45">
        <f t="array" ref="A22">IFERROR(INDEX(baseline!$A$3:$A$201,MATCH($B22&amp;$C22,baseline!$C$3:$C$201&amp;baseline!$D$3:$D$201,0)),"NA")</f>
        <v>21</v>
      </c>
      <c r="B22" t="s">
        <v>2</v>
      </c>
      <c r="C22" t="s">
        <v>13</v>
      </c>
      <c r="D22" s="131" t="s">
        <v>1019</v>
      </c>
      <c r="E22" s="131">
        <v>2.9999999999999997E-4</v>
      </c>
      <c r="F22" t="b">
        <v>1</v>
      </c>
      <c r="G22">
        <v>0.05</v>
      </c>
      <c r="H22">
        <v>17</v>
      </c>
      <c r="I22">
        <v>22</v>
      </c>
      <c r="J22">
        <v>99</v>
      </c>
      <c r="K22">
        <v>24</v>
      </c>
      <c r="L22" s="45" t="s">
        <v>769</v>
      </c>
      <c r="M22" s="132" t="s">
        <v>769</v>
      </c>
      <c r="N22" s="132" t="s">
        <v>916</v>
      </c>
      <c r="O22" s="45" t="s">
        <v>769</v>
      </c>
      <c r="P22" s="132" t="s">
        <v>769</v>
      </c>
      <c r="Q22" s="132" t="s">
        <v>769</v>
      </c>
      <c r="R22" s="132" t="s">
        <v>769</v>
      </c>
      <c r="S22" s="132" t="s">
        <v>769</v>
      </c>
      <c r="T22" s="132" t="s">
        <v>769</v>
      </c>
      <c r="U22" s="132" t="s">
        <v>769</v>
      </c>
      <c r="V22" s="132" t="s">
        <v>769</v>
      </c>
      <c r="W22" s="132" t="s">
        <v>769</v>
      </c>
      <c r="X22" s="187">
        <f>Y22+ecm_occ_temp_setback!K22+Z22</f>
        <v>37850</v>
      </c>
      <c r="Y22" s="187">
        <v>37359</v>
      </c>
      <c r="Z22" s="132">
        <v>0</v>
      </c>
    </row>
    <row r="23" spans="1:26">
      <c r="A23" s="45">
        <f t="array" ref="A23">IFERROR(INDEX(baseline!$A$3:$A$201,MATCH($B23&amp;$C23,baseline!$C$3:$C$201&amp;baseline!$D$3:$D$201,0)),"NA")</f>
        <v>22</v>
      </c>
      <c r="B23" t="s">
        <v>2</v>
      </c>
      <c r="C23" t="s">
        <v>14</v>
      </c>
      <c r="D23" s="131" t="s">
        <v>1019</v>
      </c>
      <c r="E23" s="131">
        <v>2.9999999999999997E-4</v>
      </c>
      <c r="F23" t="b">
        <v>1</v>
      </c>
      <c r="G23">
        <v>0.05</v>
      </c>
      <c r="H23">
        <v>17</v>
      </c>
      <c r="I23">
        <v>22</v>
      </c>
      <c r="J23">
        <v>99</v>
      </c>
      <c r="K23">
        <v>24</v>
      </c>
      <c r="L23" s="45" t="s">
        <v>769</v>
      </c>
      <c r="M23" s="132" t="s">
        <v>769</v>
      </c>
      <c r="N23" s="132" t="s">
        <v>916</v>
      </c>
      <c r="O23" s="45" t="s">
        <v>769</v>
      </c>
      <c r="P23" s="132" t="s">
        <v>769</v>
      </c>
      <c r="Q23" s="132" t="s">
        <v>769</v>
      </c>
      <c r="R23" s="132" t="s">
        <v>769</v>
      </c>
      <c r="S23" s="132" t="s">
        <v>769</v>
      </c>
      <c r="T23" s="132" t="s">
        <v>769</v>
      </c>
      <c r="U23" s="132" t="s">
        <v>769</v>
      </c>
      <c r="V23" s="132" t="s">
        <v>769</v>
      </c>
      <c r="W23" s="132" t="s">
        <v>769</v>
      </c>
      <c r="X23" s="187">
        <f>Y23+ecm_occ_temp_setback!K23+Z23</f>
        <v>34016</v>
      </c>
      <c r="Y23" s="187">
        <v>33525</v>
      </c>
      <c r="Z23" s="132">
        <v>0</v>
      </c>
    </row>
    <row r="24" spans="1:26">
      <c r="A24" s="45">
        <f t="array" ref="A24">IFERROR(INDEX(baseline!$A$3:$A$201,MATCH($B24&amp;$C24,baseline!$C$3:$C$201&amp;baseline!$D$3:$D$201,0)),"NA")</f>
        <v>23</v>
      </c>
      <c r="B24" t="s">
        <v>2</v>
      </c>
      <c r="C24" t="s">
        <v>546</v>
      </c>
      <c r="D24" s="131" t="s">
        <v>1019</v>
      </c>
      <c r="E24" s="131">
        <v>2.9999999999999997E-4</v>
      </c>
      <c r="F24" t="b">
        <v>1</v>
      </c>
      <c r="G24">
        <v>0.05</v>
      </c>
      <c r="H24">
        <v>17</v>
      </c>
      <c r="I24">
        <v>22</v>
      </c>
      <c r="J24">
        <v>99</v>
      </c>
      <c r="K24">
        <v>24</v>
      </c>
      <c r="L24" s="45" t="s">
        <v>769</v>
      </c>
      <c r="M24" s="132" t="s">
        <v>769</v>
      </c>
      <c r="N24" s="132" t="s">
        <v>916</v>
      </c>
      <c r="O24" s="45" t="s">
        <v>769</v>
      </c>
      <c r="P24" s="132" t="s">
        <v>769</v>
      </c>
      <c r="Q24" s="132" t="s">
        <v>769</v>
      </c>
      <c r="R24" s="132" t="s">
        <v>769</v>
      </c>
      <c r="S24" s="132" t="s">
        <v>769</v>
      </c>
      <c r="T24" s="132" t="s">
        <v>769</v>
      </c>
      <c r="U24" s="132" t="s">
        <v>769</v>
      </c>
      <c r="V24" s="132" t="s">
        <v>769</v>
      </c>
      <c r="W24" s="132" t="s">
        <v>769</v>
      </c>
      <c r="X24" s="187">
        <f>Y24+ecm_occ_temp_setback!K24+Z24</f>
        <v>491</v>
      </c>
      <c r="Y24" s="187">
        <v>0</v>
      </c>
      <c r="Z24" s="132">
        <v>0</v>
      </c>
    </row>
    <row r="25" spans="1:26">
      <c r="A25" s="45">
        <f t="array" ref="A25">IFERROR(INDEX(baseline!$A$3:$A$201,MATCH($B25&amp;$C25,baseline!$C$3:$C$201&amp;baseline!$D$3:$D$201,0)),"NA")</f>
        <v>24</v>
      </c>
      <c r="B25" t="s">
        <v>547</v>
      </c>
      <c r="C25" t="s">
        <v>881</v>
      </c>
      <c r="D25" s="131" t="s">
        <v>1019</v>
      </c>
      <c r="E25" s="131">
        <v>2.0000000000000001E-4</v>
      </c>
      <c r="F25" t="b">
        <v>1</v>
      </c>
      <c r="G25">
        <v>0.05</v>
      </c>
      <c r="H25">
        <v>17</v>
      </c>
      <c r="I25">
        <v>22</v>
      </c>
      <c r="J25">
        <v>99</v>
      </c>
      <c r="K25">
        <v>24</v>
      </c>
      <c r="L25" s="45" t="s">
        <v>769</v>
      </c>
      <c r="M25" s="132" t="s">
        <v>769</v>
      </c>
      <c r="N25" s="132" t="s">
        <v>916</v>
      </c>
      <c r="O25" s="45" t="s">
        <v>769</v>
      </c>
      <c r="P25" s="132" t="s">
        <v>769</v>
      </c>
      <c r="Q25" s="132" t="s">
        <v>769</v>
      </c>
      <c r="R25" s="132" t="s">
        <v>769</v>
      </c>
      <c r="S25" s="132" t="s">
        <v>769</v>
      </c>
      <c r="T25" s="132" t="s">
        <v>769</v>
      </c>
      <c r="U25" s="132" t="s">
        <v>769</v>
      </c>
      <c r="V25" s="132" t="s">
        <v>769</v>
      </c>
      <c r="W25" s="132" t="s">
        <v>769</v>
      </c>
      <c r="X25" s="187">
        <f>Y25+ecm_occ_temp_setback!K25+Z25</f>
        <v>136565</v>
      </c>
      <c r="Y25" s="187">
        <v>116444</v>
      </c>
      <c r="Z25" s="132">
        <v>0</v>
      </c>
    </row>
    <row r="26" spans="1:26">
      <c r="A26" s="45">
        <f t="array" ref="A26">IFERROR(INDEX(baseline!$A$3:$A$201,MATCH($B26&amp;$C26,baseline!$C$3:$C$201&amp;baseline!$D$3:$D$201,0)),"NA")</f>
        <v>25</v>
      </c>
      <c r="B26" t="s">
        <v>547</v>
      </c>
      <c r="C26" t="s">
        <v>14</v>
      </c>
      <c r="D26" s="131" t="s">
        <v>1019</v>
      </c>
      <c r="E26" s="131">
        <v>2.0000000000000001E-4</v>
      </c>
      <c r="F26" t="b">
        <v>1</v>
      </c>
      <c r="G26">
        <v>0.05</v>
      </c>
      <c r="H26">
        <v>17</v>
      </c>
      <c r="I26">
        <v>22</v>
      </c>
      <c r="J26">
        <v>99</v>
      </c>
      <c r="K26">
        <v>24</v>
      </c>
      <c r="L26" s="45" t="s">
        <v>769</v>
      </c>
      <c r="M26" s="132" t="s">
        <v>769</v>
      </c>
      <c r="N26" s="132" t="s">
        <v>916</v>
      </c>
      <c r="O26" s="45" t="s">
        <v>769</v>
      </c>
      <c r="P26" s="132" t="s">
        <v>769</v>
      </c>
      <c r="Q26" s="132" t="s">
        <v>769</v>
      </c>
      <c r="R26" s="132" t="s">
        <v>769</v>
      </c>
      <c r="S26" s="132" t="s">
        <v>769</v>
      </c>
      <c r="T26" s="132" t="s">
        <v>769</v>
      </c>
      <c r="U26" s="132" t="s">
        <v>769</v>
      </c>
      <c r="V26" s="132" t="s">
        <v>769</v>
      </c>
      <c r="W26" s="132" t="s">
        <v>769</v>
      </c>
      <c r="X26" s="187">
        <f>Y26+ecm_occ_temp_setback!K26+Z26</f>
        <v>123924</v>
      </c>
      <c r="Y26" s="187">
        <v>103803</v>
      </c>
      <c r="Z26" s="132">
        <v>0</v>
      </c>
    </row>
    <row r="27" spans="1:26">
      <c r="A27" s="45">
        <f t="array" ref="A27">IFERROR(INDEX(baseline!$A$3:$A$201,MATCH($B27&amp;$C27,baseline!$C$3:$C$201&amp;baseline!$D$3:$D$201,0)),"NA")</f>
        <v>26</v>
      </c>
      <c r="B27" t="s">
        <v>547</v>
      </c>
      <c r="C27" t="s">
        <v>546</v>
      </c>
      <c r="D27" s="131" t="s">
        <v>1019</v>
      </c>
      <c r="E27" s="131">
        <v>2.0000000000000001E-4</v>
      </c>
      <c r="F27" t="b">
        <v>1</v>
      </c>
      <c r="G27">
        <v>0.05</v>
      </c>
      <c r="H27">
        <v>17</v>
      </c>
      <c r="I27">
        <v>22</v>
      </c>
      <c r="J27">
        <v>99</v>
      </c>
      <c r="K27">
        <v>24</v>
      </c>
      <c r="L27" s="45" t="s">
        <v>769</v>
      </c>
      <c r="M27" s="132" t="s">
        <v>769</v>
      </c>
      <c r="N27" s="132" t="s">
        <v>916</v>
      </c>
      <c r="O27" s="45" t="s">
        <v>769</v>
      </c>
      <c r="P27" s="132" t="s">
        <v>769</v>
      </c>
      <c r="Q27" s="132" t="s">
        <v>769</v>
      </c>
      <c r="R27" s="132" t="s">
        <v>769</v>
      </c>
      <c r="S27" s="132" t="s">
        <v>769</v>
      </c>
      <c r="T27" s="132" t="s">
        <v>769</v>
      </c>
      <c r="U27" s="132" t="s">
        <v>769</v>
      </c>
      <c r="V27" s="132" t="s">
        <v>769</v>
      </c>
      <c r="W27" s="132" t="s">
        <v>769</v>
      </c>
      <c r="X27" s="187">
        <f>Y27+ecm_occ_temp_setback!K27+Z27</f>
        <v>20121</v>
      </c>
      <c r="Y27" s="187">
        <v>0</v>
      </c>
      <c r="Z27" s="132">
        <v>0</v>
      </c>
    </row>
    <row r="28" spans="1:26">
      <c r="A28" s="45">
        <f t="array" ref="A28">IFERROR(INDEX(baseline!$A$3:$A$201,MATCH($B28&amp;$C28,baseline!$C$3:$C$201&amp;baseline!$D$3:$D$201,0)),"NA")</f>
        <v>27</v>
      </c>
      <c r="B28" t="s">
        <v>1</v>
      </c>
      <c r="C28" t="s">
        <v>881</v>
      </c>
      <c r="D28" s="131" t="s">
        <v>1019</v>
      </c>
      <c r="E28" s="131">
        <v>2.9999999999999997E-4</v>
      </c>
      <c r="F28" t="b">
        <v>1</v>
      </c>
      <c r="G28">
        <v>0.05</v>
      </c>
      <c r="H28">
        <v>17</v>
      </c>
      <c r="I28">
        <v>22</v>
      </c>
      <c r="J28">
        <v>99</v>
      </c>
      <c r="K28">
        <v>24</v>
      </c>
      <c r="L28" s="45" t="s">
        <v>769</v>
      </c>
      <c r="M28" s="132" t="s">
        <v>862</v>
      </c>
      <c r="N28" s="132" t="s">
        <v>916</v>
      </c>
      <c r="O28" s="45" t="s">
        <v>769</v>
      </c>
      <c r="P28" s="45" t="b">
        <v>1</v>
      </c>
      <c r="Q28" s="132">
        <v>82</v>
      </c>
      <c r="R28" s="132">
        <v>-25</v>
      </c>
      <c r="S28" s="132">
        <v>40</v>
      </c>
      <c r="T28" s="132">
        <v>20</v>
      </c>
      <c r="U28" s="144" t="s">
        <v>900</v>
      </c>
      <c r="V28" s="146" t="s">
        <v>901</v>
      </c>
      <c r="W28">
        <v>0.89500000000000002</v>
      </c>
      <c r="X28" s="187">
        <f>Y28+ecm_occ_temp_setback!K28+Z28</f>
        <v>73113</v>
      </c>
      <c r="Y28" s="187">
        <v>67248</v>
      </c>
      <c r="Z28" s="45">
        <v>957</v>
      </c>
    </row>
    <row r="29" spans="1:26">
      <c r="A29" s="45">
        <f t="array" ref="A29">IFERROR(INDEX(baseline!$A$3:$A$201,MATCH($B29&amp;$C29,baseline!$C$3:$C$201&amp;baseline!$D$3:$D$201,0)),"NA")</f>
        <v>28</v>
      </c>
      <c r="B29" t="s">
        <v>1</v>
      </c>
      <c r="C29" t="s">
        <v>14</v>
      </c>
      <c r="D29" s="131" t="s">
        <v>1019</v>
      </c>
      <c r="E29" s="131">
        <v>2.9999999999999997E-4</v>
      </c>
      <c r="F29" t="b">
        <v>1</v>
      </c>
      <c r="G29">
        <v>0.05</v>
      </c>
      <c r="H29">
        <v>17</v>
      </c>
      <c r="I29">
        <v>22</v>
      </c>
      <c r="J29">
        <v>99</v>
      </c>
      <c r="K29">
        <v>24</v>
      </c>
      <c r="L29" s="45" t="s">
        <v>769</v>
      </c>
      <c r="M29" s="132" t="s">
        <v>862</v>
      </c>
      <c r="N29" s="132" t="s">
        <v>916</v>
      </c>
      <c r="O29" s="45" t="s">
        <v>769</v>
      </c>
      <c r="P29" s="45" t="b">
        <v>1</v>
      </c>
      <c r="Q29" s="132">
        <v>82</v>
      </c>
      <c r="R29" s="132">
        <v>-25</v>
      </c>
      <c r="S29" s="132">
        <v>40</v>
      </c>
      <c r="T29" s="132">
        <v>20</v>
      </c>
      <c r="U29" s="144" t="s">
        <v>900</v>
      </c>
      <c r="V29" s="146" t="s">
        <v>901</v>
      </c>
      <c r="W29">
        <v>0.89500000000000002</v>
      </c>
      <c r="X29" s="187">
        <f>Y29+ecm_occ_temp_setback!K29+Z29</f>
        <v>68005</v>
      </c>
      <c r="Y29" s="187">
        <v>62140</v>
      </c>
      <c r="Z29" s="45">
        <v>957</v>
      </c>
    </row>
    <row r="30" spans="1:26">
      <c r="A30" s="45" t="str">
        <f t="array" ref="A30">IFERROR(INDEX(baseline!$A$3:$A$201,MATCH($B30&amp;$C30,baseline!$C$3:$C$201&amp;baseline!$D$3:$D$201,0)),"NA")</f>
        <v>NA</v>
      </c>
      <c r="B30" t="s">
        <v>0</v>
      </c>
      <c r="C30" t="s">
        <v>13</v>
      </c>
      <c r="D30" s="131" t="s">
        <v>1019</v>
      </c>
      <c r="E30" s="131">
        <v>2.0000000000000001E-4</v>
      </c>
      <c r="F30" t="b">
        <v>1</v>
      </c>
      <c r="G30">
        <v>0.05</v>
      </c>
      <c r="H30">
        <v>17</v>
      </c>
      <c r="I30">
        <v>22</v>
      </c>
      <c r="J30">
        <v>99</v>
      </c>
      <c r="K30">
        <v>24</v>
      </c>
      <c r="L30" s="45" t="s">
        <v>769</v>
      </c>
      <c r="M30" s="132" t="s">
        <v>862</v>
      </c>
      <c r="N30" s="132" t="s">
        <v>916</v>
      </c>
      <c r="O30" s="45" t="s">
        <v>769</v>
      </c>
      <c r="P30" s="45" t="b">
        <v>1</v>
      </c>
      <c r="Q30" s="132">
        <v>82</v>
      </c>
      <c r="R30" s="132">
        <v>-25</v>
      </c>
      <c r="S30" s="132">
        <v>40</v>
      </c>
      <c r="T30" s="132">
        <v>20</v>
      </c>
      <c r="U30" s="132" t="s">
        <v>769</v>
      </c>
      <c r="V30" s="132" t="s">
        <v>769</v>
      </c>
      <c r="W30" s="132" t="s">
        <v>769</v>
      </c>
      <c r="X30" s="187">
        <f>Y30+ecm_occ_temp_setback!K30+Z30</f>
        <v>159775</v>
      </c>
      <c r="Y30" s="187">
        <v>122012</v>
      </c>
      <c r="Z30" s="45">
        <v>957</v>
      </c>
    </row>
    <row r="31" spans="1:26">
      <c r="A31" s="45" t="str">
        <f t="array" ref="A31">IFERROR(INDEX(baseline!$A$3:$A$201,MATCH($B31&amp;$C31,baseline!$C$3:$C$201&amp;baseline!$D$3:$D$201,0)),"NA")</f>
        <v>NA</v>
      </c>
      <c r="B31" t="s">
        <v>0</v>
      </c>
      <c r="C31" t="s">
        <v>14</v>
      </c>
      <c r="D31" s="131" t="s">
        <v>1019</v>
      </c>
      <c r="E31" s="131">
        <v>2.0000000000000001E-4</v>
      </c>
      <c r="F31" t="b">
        <v>1</v>
      </c>
      <c r="G31">
        <v>0.05</v>
      </c>
      <c r="H31">
        <v>17</v>
      </c>
      <c r="I31">
        <v>22</v>
      </c>
      <c r="J31">
        <v>99</v>
      </c>
      <c r="K31">
        <v>24</v>
      </c>
      <c r="L31" s="45" t="s">
        <v>769</v>
      </c>
      <c r="M31" s="132" t="s">
        <v>862</v>
      </c>
      <c r="N31" s="132" t="s">
        <v>916</v>
      </c>
      <c r="O31" s="45" t="s">
        <v>769</v>
      </c>
      <c r="P31" s="45" t="b">
        <v>1</v>
      </c>
      <c r="Q31" s="132">
        <v>82</v>
      </c>
      <c r="R31" s="132">
        <v>-25</v>
      </c>
      <c r="S31" s="132">
        <v>40</v>
      </c>
      <c r="T31" s="132">
        <v>20</v>
      </c>
      <c r="U31" s="132" t="s">
        <v>769</v>
      </c>
      <c r="V31" s="132" t="s">
        <v>769</v>
      </c>
      <c r="W31" s="132" t="s">
        <v>769</v>
      </c>
      <c r="X31" s="187">
        <f>Y31+ecm_occ_temp_setback!K31+Z31</f>
        <v>148653</v>
      </c>
      <c r="Y31" s="187">
        <v>110890</v>
      </c>
      <c r="Z31" s="45">
        <v>957</v>
      </c>
    </row>
    <row r="32" spans="1:26">
      <c r="A32" s="45">
        <f t="array" ref="A32">IFERROR(INDEX(baseline!$A$3:$A$201,MATCH($B32&amp;$C32,baseline!$C$3:$C$201&amp;baseline!$D$3:$D$201,0)),"NA")</f>
        <v>30</v>
      </c>
      <c r="B32" t="s">
        <v>0</v>
      </c>
      <c r="C32" t="s">
        <v>546</v>
      </c>
      <c r="D32" s="131" t="s">
        <v>1019</v>
      </c>
      <c r="E32" s="131">
        <v>2.0000000000000001E-4</v>
      </c>
      <c r="F32" t="b">
        <v>1</v>
      </c>
      <c r="G32">
        <v>0.05</v>
      </c>
      <c r="H32">
        <v>17</v>
      </c>
      <c r="I32">
        <v>22</v>
      </c>
      <c r="J32">
        <v>99</v>
      </c>
      <c r="K32">
        <v>24</v>
      </c>
      <c r="L32" s="45" t="s">
        <v>769</v>
      </c>
      <c r="M32" s="132" t="s">
        <v>862</v>
      </c>
      <c r="N32" s="132" t="s">
        <v>916</v>
      </c>
      <c r="O32" s="45" t="s">
        <v>769</v>
      </c>
      <c r="P32" s="45" t="b">
        <v>1</v>
      </c>
      <c r="Q32" s="132">
        <v>82</v>
      </c>
      <c r="R32" s="132">
        <v>-25</v>
      </c>
      <c r="S32" s="132">
        <v>40</v>
      </c>
      <c r="T32" s="132">
        <v>20</v>
      </c>
      <c r="U32" s="132" t="s">
        <v>769</v>
      </c>
      <c r="V32" s="132" t="s">
        <v>769</v>
      </c>
      <c r="W32" s="132" t="s">
        <v>769</v>
      </c>
      <c r="X32" s="187">
        <f>Y32+ecm_occ_temp_setback!K32+Z32</f>
        <v>37763</v>
      </c>
      <c r="Y32" s="187">
        <v>0</v>
      </c>
      <c r="Z32" s="45">
        <v>957</v>
      </c>
    </row>
    <row r="33" spans="1:26">
      <c r="A33" s="45" t="str">
        <f t="array" ref="A33">IFERROR(INDEX(baseline!$A$3:$A$201,MATCH($B33&amp;$C33,baseline!$C$3:$C$201&amp;baseline!$D$3:$D$201,0)),"NA")</f>
        <v>NA</v>
      </c>
      <c r="B33" t="s">
        <v>78</v>
      </c>
      <c r="C33" t="s">
        <v>13</v>
      </c>
      <c r="D33" s="131" t="s">
        <v>1019</v>
      </c>
      <c r="E33" s="131">
        <v>2.9999999999999997E-4</v>
      </c>
      <c r="F33" t="b">
        <v>1</v>
      </c>
      <c r="G33">
        <v>0.05</v>
      </c>
      <c r="H33">
        <v>17</v>
      </c>
      <c r="I33">
        <v>22</v>
      </c>
      <c r="J33">
        <v>99</v>
      </c>
      <c r="K33">
        <v>24</v>
      </c>
      <c r="L33" s="45" t="s">
        <v>769</v>
      </c>
      <c r="M33" s="132" t="s">
        <v>862</v>
      </c>
      <c r="N33" s="132" t="s">
        <v>916</v>
      </c>
      <c r="O33" s="45" t="s">
        <v>769</v>
      </c>
      <c r="P33" s="45" t="b">
        <v>1</v>
      </c>
      <c r="Q33" s="132">
        <v>82</v>
      </c>
      <c r="R33" s="132">
        <v>-25</v>
      </c>
      <c r="S33" s="132">
        <v>40</v>
      </c>
      <c r="T33" s="132">
        <v>20</v>
      </c>
      <c r="U33" s="132" t="s">
        <v>769</v>
      </c>
      <c r="V33" s="132" t="s">
        <v>769</v>
      </c>
      <c r="W33" s="132" t="s">
        <v>769</v>
      </c>
      <c r="X33" s="187">
        <f>Y33+ecm_occ_temp_setback!K33+Z33</f>
        <v>73441</v>
      </c>
      <c r="Y33" s="187">
        <v>67418</v>
      </c>
      <c r="Z33" s="45">
        <v>957</v>
      </c>
    </row>
    <row r="34" spans="1:26">
      <c r="A34" s="45" t="str">
        <f t="array" ref="A34">IFERROR(INDEX(baseline!$A$3:$A$201,MATCH($B34&amp;$C34,baseline!$C$3:$C$201&amp;baseline!$D$3:$D$201,0)),"NA")</f>
        <v>NA</v>
      </c>
      <c r="B34" t="s">
        <v>78</v>
      </c>
      <c r="C34" t="s">
        <v>14</v>
      </c>
      <c r="D34" s="131" t="s">
        <v>1019</v>
      </c>
      <c r="E34" s="131">
        <v>2.9999999999999997E-4</v>
      </c>
      <c r="F34" t="b">
        <v>1</v>
      </c>
      <c r="G34">
        <v>0.05</v>
      </c>
      <c r="H34">
        <v>17</v>
      </c>
      <c r="I34">
        <v>22</v>
      </c>
      <c r="J34">
        <v>99</v>
      </c>
      <c r="K34">
        <v>24</v>
      </c>
      <c r="L34" s="45" t="s">
        <v>769</v>
      </c>
      <c r="M34" s="132" t="s">
        <v>862</v>
      </c>
      <c r="N34" s="132" t="s">
        <v>916</v>
      </c>
      <c r="O34" s="45" t="s">
        <v>769</v>
      </c>
      <c r="P34" s="45" t="b">
        <v>1</v>
      </c>
      <c r="Q34" s="132">
        <v>82</v>
      </c>
      <c r="R34" s="132">
        <v>-25</v>
      </c>
      <c r="S34" s="132">
        <v>40</v>
      </c>
      <c r="T34" s="132">
        <v>20</v>
      </c>
      <c r="U34" s="132" t="s">
        <v>769</v>
      </c>
      <c r="V34" s="132" t="s">
        <v>769</v>
      </c>
      <c r="W34" s="132" t="s">
        <v>769</v>
      </c>
      <c r="X34" s="187">
        <f>Y34+ecm_occ_temp_setback!K34+Z34</f>
        <v>68854</v>
      </c>
      <c r="Y34" s="187">
        <v>62831</v>
      </c>
      <c r="Z34" s="45">
        <v>957</v>
      </c>
    </row>
    <row r="35" spans="1:26">
      <c r="A35" s="45">
        <f t="array" ref="A35">IFERROR(INDEX(baseline!$A$3:$A$201,MATCH($B35&amp;$C35,baseline!$C$3:$C$201&amp;baseline!$D$3:$D$201,0)),"NA")</f>
        <v>31</v>
      </c>
      <c r="B35" t="s">
        <v>78</v>
      </c>
      <c r="C35" t="s">
        <v>546</v>
      </c>
      <c r="D35" s="131" t="s">
        <v>1019</v>
      </c>
      <c r="E35" s="131">
        <v>2.9999999999999997E-4</v>
      </c>
      <c r="F35" t="b">
        <v>1</v>
      </c>
      <c r="G35">
        <v>0.05</v>
      </c>
      <c r="H35">
        <v>17</v>
      </c>
      <c r="I35">
        <v>22</v>
      </c>
      <c r="J35">
        <v>99</v>
      </c>
      <c r="K35">
        <v>24</v>
      </c>
      <c r="L35" s="45" t="s">
        <v>769</v>
      </c>
      <c r="M35" s="132" t="s">
        <v>862</v>
      </c>
      <c r="N35" s="132" t="s">
        <v>916</v>
      </c>
      <c r="O35" s="45" t="s">
        <v>769</v>
      </c>
      <c r="P35" s="45" t="b">
        <v>1</v>
      </c>
      <c r="Q35" s="132">
        <v>82</v>
      </c>
      <c r="R35" s="132">
        <v>-25</v>
      </c>
      <c r="S35" s="132">
        <v>40</v>
      </c>
      <c r="T35" s="132">
        <v>20</v>
      </c>
      <c r="U35" s="132" t="s">
        <v>769</v>
      </c>
      <c r="V35" s="132" t="s">
        <v>769</v>
      </c>
      <c r="W35" s="132" t="s">
        <v>769</v>
      </c>
      <c r="X35" s="187">
        <f>Y35+ecm_occ_temp_setback!K35+Z35</f>
        <v>6023</v>
      </c>
      <c r="Y35" s="187">
        <v>0</v>
      </c>
      <c r="Z35" s="45">
        <v>957</v>
      </c>
    </row>
    <row r="36" spans="1:26">
      <c r="A36" s="45" t="str">
        <f t="array" ref="A36">IFERROR(INDEX(baseline!$A$3:$A$201,MATCH($B36&amp;$C36,baseline!$C$3:$C$201&amp;baseline!$D$3:$D$201,0)),"NA")</f>
        <v>NA</v>
      </c>
      <c r="B36" t="s">
        <v>545</v>
      </c>
      <c r="C36" t="s">
        <v>13</v>
      </c>
      <c r="D36" s="131" t="s">
        <v>1019</v>
      </c>
      <c r="E36" s="131">
        <v>2.0000000000000001E-4</v>
      </c>
      <c r="F36" t="b">
        <v>1</v>
      </c>
      <c r="G36">
        <v>0.05</v>
      </c>
      <c r="H36">
        <v>17</v>
      </c>
      <c r="I36">
        <v>22</v>
      </c>
      <c r="J36">
        <v>99</v>
      </c>
      <c r="K36">
        <v>24</v>
      </c>
      <c r="L36" s="45" t="s">
        <v>769</v>
      </c>
      <c r="M36" s="132" t="s">
        <v>862</v>
      </c>
      <c r="N36" s="132" t="s">
        <v>916</v>
      </c>
      <c r="O36" s="45" t="s">
        <v>769</v>
      </c>
      <c r="P36" s="45" t="b">
        <v>1</v>
      </c>
      <c r="Q36" s="132">
        <v>82</v>
      </c>
      <c r="R36" s="132">
        <v>-25</v>
      </c>
      <c r="S36" s="132">
        <v>40</v>
      </c>
      <c r="T36" s="132">
        <v>20</v>
      </c>
      <c r="U36" s="132" t="s">
        <v>769</v>
      </c>
      <c r="V36" s="132" t="s">
        <v>769</v>
      </c>
      <c r="W36" s="132" t="s">
        <v>769</v>
      </c>
      <c r="X36" s="187">
        <f>Y36+ecm_occ_temp_setback!K36+Z36</f>
        <v>89170</v>
      </c>
      <c r="Y36" s="187">
        <v>83796</v>
      </c>
      <c r="Z36" s="45">
        <v>957</v>
      </c>
    </row>
    <row r="37" spans="1:26">
      <c r="A37" s="45" t="str">
        <f t="array" ref="A37">IFERROR(INDEX(baseline!$A$3:$A$201,MATCH($B37&amp;$C37,baseline!$C$3:$C$201&amp;baseline!$D$3:$D$201,0)),"NA")</f>
        <v>NA</v>
      </c>
      <c r="B37" t="s">
        <v>545</v>
      </c>
      <c r="C37" t="s">
        <v>14</v>
      </c>
      <c r="D37" s="131" t="s">
        <v>1019</v>
      </c>
      <c r="E37" s="131">
        <v>2.0000000000000001E-4</v>
      </c>
      <c r="F37" t="b">
        <v>1</v>
      </c>
      <c r="G37">
        <v>0.05</v>
      </c>
      <c r="H37">
        <v>17</v>
      </c>
      <c r="I37">
        <v>22</v>
      </c>
      <c r="J37">
        <v>99</v>
      </c>
      <c r="K37">
        <v>24</v>
      </c>
      <c r="L37" s="45" t="s">
        <v>769</v>
      </c>
      <c r="M37" s="132" t="s">
        <v>862</v>
      </c>
      <c r="N37" s="132" t="s">
        <v>916</v>
      </c>
      <c r="O37" s="45" t="s">
        <v>769</v>
      </c>
      <c r="P37" s="45" t="b">
        <v>1</v>
      </c>
      <c r="Q37" s="132">
        <v>82</v>
      </c>
      <c r="R37" s="132">
        <v>-25</v>
      </c>
      <c r="S37" s="132">
        <v>40</v>
      </c>
      <c r="T37" s="132">
        <v>20</v>
      </c>
      <c r="U37" s="132" t="s">
        <v>769</v>
      </c>
      <c r="V37" s="132" t="s">
        <v>769</v>
      </c>
      <c r="W37" s="132" t="s">
        <v>769</v>
      </c>
      <c r="X37" s="187">
        <f>Y37+ecm_occ_temp_setback!K37+Z37</f>
        <v>82009</v>
      </c>
      <c r="Y37" s="187">
        <v>76635</v>
      </c>
      <c r="Z37" s="45">
        <v>957</v>
      </c>
    </row>
    <row r="38" spans="1:26">
      <c r="A38" s="45">
        <f t="array" ref="A38">IFERROR(INDEX(baseline!$A$3:$A$201,MATCH($B38&amp;$C38,baseline!$C$3:$C$201&amp;baseline!$D$3:$D$201,0)),"NA")</f>
        <v>29</v>
      </c>
      <c r="B38" t="s">
        <v>761</v>
      </c>
      <c r="C38" t="s">
        <v>546</v>
      </c>
      <c r="D38" s="131" t="s">
        <v>1019</v>
      </c>
      <c r="E38" s="131">
        <v>2.9999999999999997E-4</v>
      </c>
      <c r="F38" t="b">
        <v>1</v>
      </c>
      <c r="G38">
        <v>0.05</v>
      </c>
      <c r="H38">
        <v>17</v>
      </c>
      <c r="I38">
        <v>22</v>
      </c>
      <c r="J38">
        <v>99</v>
      </c>
      <c r="K38">
        <v>24</v>
      </c>
      <c r="L38" s="45" t="s">
        <v>769</v>
      </c>
      <c r="M38" s="132" t="s">
        <v>862</v>
      </c>
      <c r="N38" s="132" t="s">
        <v>916</v>
      </c>
      <c r="O38" s="45" t="s">
        <v>769</v>
      </c>
      <c r="P38" s="45" t="b">
        <v>1</v>
      </c>
      <c r="Q38" s="132">
        <v>82</v>
      </c>
      <c r="R38" s="132">
        <v>-25</v>
      </c>
      <c r="S38" s="132">
        <v>40</v>
      </c>
      <c r="T38" s="132">
        <v>20</v>
      </c>
      <c r="U38" s="132" t="s">
        <v>769</v>
      </c>
      <c r="V38" s="132" t="s">
        <v>769</v>
      </c>
      <c r="W38" s="132" t="s">
        <v>769</v>
      </c>
      <c r="X38" s="187">
        <f>Y38+ecm_occ_temp_setback!K38+Z38</f>
        <v>38745</v>
      </c>
      <c r="Y38" s="187">
        <v>0</v>
      </c>
      <c r="Z38" s="45">
        <v>957</v>
      </c>
    </row>
    <row r="39" spans="1:26">
      <c r="A39" s="45" t="str">
        <f t="array" ref="A39">IFERROR(INDEX(baseline!$A$3:$A$201,MATCH($B39&amp;$C39,baseline!$C$3:$C$201&amp;baseline!$D$3:$D$201,0)),"NA")</f>
        <v>NA</v>
      </c>
      <c r="B39" t="s">
        <v>697</v>
      </c>
      <c r="C39" t="s">
        <v>13</v>
      </c>
      <c r="D39" s="131" t="s">
        <v>1019</v>
      </c>
      <c r="E39" s="131">
        <v>2.9999999999999997E-4</v>
      </c>
      <c r="F39" t="b">
        <v>1</v>
      </c>
      <c r="G39">
        <v>0.05</v>
      </c>
      <c r="H39">
        <v>17</v>
      </c>
      <c r="I39">
        <v>22</v>
      </c>
      <c r="J39">
        <v>99</v>
      </c>
      <c r="K39">
        <v>24</v>
      </c>
      <c r="L39" s="45" t="s">
        <v>769</v>
      </c>
      <c r="M39" s="132" t="s">
        <v>862</v>
      </c>
      <c r="N39" s="132" t="s">
        <v>916</v>
      </c>
      <c r="O39" s="45" t="s">
        <v>769</v>
      </c>
      <c r="P39" s="45" t="b">
        <v>1</v>
      </c>
      <c r="Q39" s="132">
        <v>82</v>
      </c>
      <c r="R39" s="132">
        <v>-25</v>
      </c>
      <c r="S39" s="132">
        <v>40</v>
      </c>
      <c r="T39" s="132">
        <v>20</v>
      </c>
      <c r="U39" s="132" t="s">
        <v>769</v>
      </c>
      <c r="V39" s="132" t="s">
        <v>769</v>
      </c>
      <c r="W39" s="132" t="s">
        <v>769</v>
      </c>
      <c r="X39" s="187">
        <f>Y39+ecm_occ_temp_setback!K39+Z39</f>
        <v>80374</v>
      </c>
      <c r="Y39" s="187">
        <v>74019</v>
      </c>
      <c r="Z39" s="45">
        <v>957</v>
      </c>
    </row>
    <row r="40" spans="1:26">
      <c r="A40" s="45" t="str">
        <f t="array" ref="A40">IFERROR(INDEX(baseline!$A$3:$A$201,MATCH($B40&amp;$C40,baseline!$C$3:$C$201&amp;baseline!$D$3:$D$201,0)),"NA")</f>
        <v>NA</v>
      </c>
      <c r="B40" t="s">
        <v>697</v>
      </c>
      <c r="C40" t="s">
        <v>546</v>
      </c>
      <c r="D40" s="131" t="s">
        <v>1019</v>
      </c>
      <c r="E40" s="131">
        <v>2.9999999999999997E-4</v>
      </c>
      <c r="F40" t="b">
        <v>1</v>
      </c>
      <c r="G40">
        <v>0.05</v>
      </c>
      <c r="H40">
        <v>17</v>
      </c>
      <c r="I40">
        <v>22</v>
      </c>
      <c r="J40">
        <v>99</v>
      </c>
      <c r="K40">
        <v>24</v>
      </c>
      <c r="L40" s="45" t="s">
        <v>769</v>
      </c>
      <c r="M40" s="132" t="s">
        <v>862</v>
      </c>
      <c r="N40" s="132" t="s">
        <v>916</v>
      </c>
      <c r="O40" s="45" t="s">
        <v>769</v>
      </c>
      <c r="P40" s="45" t="b">
        <v>1</v>
      </c>
      <c r="Q40" s="132">
        <v>82</v>
      </c>
      <c r="R40" s="132">
        <v>-25</v>
      </c>
      <c r="S40" s="132">
        <v>40</v>
      </c>
      <c r="T40" s="132">
        <v>20</v>
      </c>
      <c r="U40" s="132" t="s">
        <v>769</v>
      </c>
      <c r="V40" s="132" t="s">
        <v>769</v>
      </c>
      <c r="W40" s="132" t="s">
        <v>769</v>
      </c>
      <c r="X40" s="187">
        <f>Y40+ecm_occ_temp_setback!K40+Z40</f>
        <v>6355</v>
      </c>
      <c r="Y40" s="187">
        <v>0</v>
      </c>
      <c r="Z40" s="45">
        <v>957</v>
      </c>
    </row>
    <row r="41" spans="1:26">
      <c r="A41" s="45" t="str">
        <f t="array" ref="A41">IFERROR(INDEX(baseline!$A$3:$A$201,MATCH($B41&amp;$C41,baseline!$C$3:$C$201&amp;baseline!$D$3:$D$201,0)),"NA")</f>
        <v>NA</v>
      </c>
      <c r="B41" t="s">
        <v>713</v>
      </c>
      <c r="C41" t="s">
        <v>546</v>
      </c>
      <c r="D41" s="131" t="s">
        <v>1019</v>
      </c>
      <c r="E41" s="131">
        <v>2.9999999999999997E-4</v>
      </c>
      <c r="F41" t="b">
        <v>1</v>
      </c>
      <c r="G41">
        <v>0.05</v>
      </c>
      <c r="H41">
        <v>17</v>
      </c>
      <c r="I41">
        <v>22</v>
      </c>
      <c r="J41">
        <v>99</v>
      </c>
      <c r="K41">
        <v>24</v>
      </c>
      <c r="L41" s="45" t="s">
        <v>769</v>
      </c>
      <c r="M41" s="132" t="s">
        <v>862</v>
      </c>
      <c r="N41" s="132" t="s">
        <v>916</v>
      </c>
      <c r="O41" s="45" t="s">
        <v>769</v>
      </c>
      <c r="P41" s="45" t="b">
        <v>1</v>
      </c>
      <c r="Q41" s="132">
        <v>82</v>
      </c>
      <c r="R41" s="132">
        <v>-25</v>
      </c>
      <c r="S41" s="132">
        <v>40</v>
      </c>
      <c r="T41" s="132">
        <v>20</v>
      </c>
      <c r="U41" s="132" t="s">
        <v>769</v>
      </c>
      <c r="V41" s="132" t="s">
        <v>769</v>
      </c>
      <c r="W41" s="132" t="s">
        <v>769</v>
      </c>
      <c r="X41" s="187">
        <f>Y41+ecm_occ_temp_setback!K41+Z41</f>
        <v>5374</v>
      </c>
      <c r="Y41" s="187">
        <v>0</v>
      </c>
      <c r="Z41" s="45">
        <v>957</v>
      </c>
    </row>
    <row r="42" spans="1:26">
      <c r="A42" s="45" t="str">
        <f t="array" ref="A42">IFERROR(INDEX(baseline!$A$3:$A$201,MATCH($B42&amp;$C42,baseline!$C$3:$C$201&amp;baseline!$D$3:$D$201,0)),"NA")</f>
        <v>NA</v>
      </c>
      <c r="B42" t="s">
        <v>762</v>
      </c>
      <c r="C42" t="s">
        <v>546</v>
      </c>
      <c r="D42" s="131" t="s">
        <v>1019</v>
      </c>
      <c r="E42" s="131">
        <v>2.0000000000000001E-4</v>
      </c>
      <c r="F42" t="b">
        <v>1</v>
      </c>
      <c r="G42">
        <v>0.05</v>
      </c>
      <c r="H42">
        <v>17</v>
      </c>
      <c r="I42">
        <v>22</v>
      </c>
      <c r="J42">
        <v>99</v>
      </c>
      <c r="K42">
        <v>24</v>
      </c>
      <c r="L42" s="45" t="s">
        <v>769</v>
      </c>
      <c r="M42" s="132" t="s">
        <v>862</v>
      </c>
      <c r="N42" s="132" t="s">
        <v>916</v>
      </c>
      <c r="O42" s="45" t="s">
        <v>769</v>
      </c>
      <c r="P42" s="45" t="b">
        <v>1</v>
      </c>
      <c r="Q42" s="132">
        <v>82</v>
      </c>
      <c r="R42" s="132">
        <v>-25</v>
      </c>
      <c r="S42" s="132">
        <v>40</v>
      </c>
      <c r="T42" s="132">
        <v>20</v>
      </c>
      <c r="U42" s="132" t="s">
        <v>769</v>
      </c>
      <c r="V42" s="132" t="s">
        <v>769</v>
      </c>
      <c r="W42" s="132" t="s">
        <v>769</v>
      </c>
      <c r="X42" s="187">
        <f>Y42+ecm_occ_temp_setback!K42+Z42</f>
        <v>25985</v>
      </c>
      <c r="Y42" s="187">
        <v>0</v>
      </c>
      <c r="Z42" s="45">
        <v>957</v>
      </c>
    </row>
    <row r="43" spans="1:26">
      <c r="A43" s="45" t="str">
        <f t="array" ref="A43">IFERROR(INDEX(baseline!$A$3:$A$201,MATCH($B43&amp;$C43,baseline!$C$3:$C$201&amp;baseline!$D$3:$D$201,0)),"NA")</f>
        <v>NA</v>
      </c>
      <c r="B43" s="131" t="s">
        <v>763</v>
      </c>
      <c r="C43" s="131" t="s">
        <v>881</v>
      </c>
      <c r="D43" s="131" t="s">
        <v>1019</v>
      </c>
      <c r="E43" s="131">
        <v>2.0000000000000001E-4</v>
      </c>
      <c r="F43" t="b">
        <v>1</v>
      </c>
      <c r="G43">
        <v>0.05</v>
      </c>
      <c r="H43">
        <v>17</v>
      </c>
      <c r="I43">
        <v>22</v>
      </c>
      <c r="J43">
        <v>99</v>
      </c>
      <c r="K43">
        <v>24</v>
      </c>
      <c r="L43" s="45" t="s">
        <v>769</v>
      </c>
      <c r="M43" s="132" t="s">
        <v>862</v>
      </c>
      <c r="N43" s="132" t="s">
        <v>916</v>
      </c>
      <c r="O43" s="45" t="s">
        <v>769</v>
      </c>
      <c r="P43" s="45" t="b">
        <v>1</v>
      </c>
      <c r="Q43" s="132">
        <v>82</v>
      </c>
      <c r="R43" s="132">
        <v>-25</v>
      </c>
      <c r="S43" s="132">
        <v>40</v>
      </c>
      <c r="T43" s="132">
        <v>20</v>
      </c>
      <c r="U43" s="132" t="s">
        <v>769</v>
      </c>
      <c r="V43" s="132" t="s">
        <v>769</v>
      </c>
      <c r="W43" s="132" t="s">
        <v>769</v>
      </c>
      <c r="X43" s="187">
        <f>Y43+ecm_occ_temp_setback!K43+Z43</f>
        <v>45765</v>
      </c>
      <c r="Y43" s="188">
        <v>36956</v>
      </c>
      <c r="Z43" s="45">
        <v>957</v>
      </c>
    </row>
    <row r="44" spans="1:26">
      <c r="A44" s="45" t="str">
        <f t="array" ref="A44">IFERROR(INDEX(baseline!$A$3:$A$201,MATCH($B44&amp;$C44,baseline!$C$3:$C$201&amp;baseline!$D$3:$D$201,0)),"NA")</f>
        <v>NA</v>
      </c>
      <c r="B44" t="s">
        <v>712</v>
      </c>
      <c r="C44" t="s">
        <v>881</v>
      </c>
      <c r="D44" s="131" t="s">
        <v>1019</v>
      </c>
      <c r="E44" s="131">
        <v>2.0000000000000001E-4</v>
      </c>
      <c r="F44" t="b">
        <v>1</v>
      </c>
      <c r="G44">
        <v>0.05</v>
      </c>
      <c r="H44">
        <v>17</v>
      </c>
      <c r="I44">
        <v>22</v>
      </c>
      <c r="J44">
        <v>99</v>
      </c>
      <c r="K44">
        <v>24</v>
      </c>
      <c r="L44" s="45" t="s">
        <v>769</v>
      </c>
      <c r="M44" s="132" t="s">
        <v>862</v>
      </c>
      <c r="N44" s="132" t="s">
        <v>916</v>
      </c>
      <c r="O44" s="45" t="s">
        <v>769</v>
      </c>
      <c r="P44" s="45" t="b">
        <v>1</v>
      </c>
      <c r="Q44" s="132">
        <v>82</v>
      </c>
      <c r="R44" s="132">
        <v>-25</v>
      </c>
      <c r="S44" s="132">
        <v>40</v>
      </c>
      <c r="T44" s="132">
        <v>20</v>
      </c>
      <c r="U44" s="132" t="s">
        <v>769</v>
      </c>
      <c r="V44" s="132" t="s">
        <v>769</v>
      </c>
      <c r="W44" s="132" t="s">
        <v>769</v>
      </c>
      <c r="X44" s="187">
        <f>Y44+ecm_occ_temp_setback!K44+Z44</f>
        <v>139918</v>
      </c>
      <c r="Y44" s="187">
        <v>123257</v>
      </c>
      <c r="Z44" s="45">
        <v>957</v>
      </c>
    </row>
    <row r="45" spans="1:26">
      <c r="A45" s="45" t="str">
        <f t="array" ref="A45">IFERROR(INDEX(baseline!$A$3:$A$201,MATCH($B45&amp;$C45,baseline!$C$3:$C$201&amp;baseline!$D$3:$D$201,0)),"NA")</f>
        <v>NA</v>
      </c>
      <c r="B45" t="s">
        <v>712</v>
      </c>
      <c r="C45" t="s">
        <v>13</v>
      </c>
      <c r="D45" s="131" t="s">
        <v>1019</v>
      </c>
      <c r="E45" s="131">
        <v>2.0000000000000001E-4</v>
      </c>
      <c r="F45" t="b">
        <v>1</v>
      </c>
      <c r="G45">
        <v>0.05</v>
      </c>
      <c r="H45">
        <v>17</v>
      </c>
      <c r="I45">
        <v>22</v>
      </c>
      <c r="J45">
        <v>99</v>
      </c>
      <c r="K45">
        <v>24</v>
      </c>
      <c r="L45" s="45" t="s">
        <v>769</v>
      </c>
      <c r="M45" s="132" t="s">
        <v>862</v>
      </c>
      <c r="N45" s="132" t="s">
        <v>916</v>
      </c>
      <c r="O45" s="45" t="s">
        <v>769</v>
      </c>
      <c r="P45" s="45" t="b">
        <v>1</v>
      </c>
      <c r="Q45" s="132">
        <v>82</v>
      </c>
      <c r="R45" s="132">
        <v>-25</v>
      </c>
      <c r="S45" s="132">
        <v>40</v>
      </c>
      <c r="T45" s="132">
        <v>20</v>
      </c>
      <c r="U45" s="132" t="s">
        <v>769</v>
      </c>
      <c r="V45" s="132" t="s">
        <v>769</v>
      </c>
      <c r="W45" s="132" t="s">
        <v>769</v>
      </c>
      <c r="X45" s="187">
        <f>Y45+ecm_occ_temp_setback!K45+Z45</f>
        <v>139918</v>
      </c>
      <c r="Y45" s="187">
        <v>123257</v>
      </c>
      <c r="Z45" s="45">
        <v>957</v>
      </c>
    </row>
    <row r="46" spans="1:26">
      <c r="A46" s="45" t="str">
        <f t="array" ref="A46">IFERROR(INDEX(baseline!$A$3:$A$201,MATCH($B46&amp;$C46,baseline!$C$3:$C$201&amp;baseline!$D$3:$D$201,0)),"NA")</f>
        <v>NA</v>
      </c>
      <c r="B46" t="s">
        <v>712</v>
      </c>
      <c r="C46" t="s">
        <v>546</v>
      </c>
      <c r="D46" s="131" t="s">
        <v>1019</v>
      </c>
      <c r="E46" s="131">
        <v>2.0000000000000001E-4</v>
      </c>
      <c r="F46" t="b">
        <v>1</v>
      </c>
      <c r="G46">
        <v>0.05</v>
      </c>
      <c r="H46">
        <v>17</v>
      </c>
      <c r="I46">
        <v>22</v>
      </c>
      <c r="J46">
        <v>99</v>
      </c>
      <c r="K46">
        <v>24</v>
      </c>
      <c r="L46" s="45" t="s">
        <v>769</v>
      </c>
      <c r="M46" s="132" t="s">
        <v>862</v>
      </c>
      <c r="N46" s="132" t="s">
        <v>916</v>
      </c>
      <c r="O46" s="45" t="s">
        <v>769</v>
      </c>
      <c r="P46" s="45" t="b">
        <v>1</v>
      </c>
      <c r="Q46" s="132">
        <v>82</v>
      </c>
      <c r="R46" s="132">
        <v>-25</v>
      </c>
      <c r="S46" s="132">
        <v>40</v>
      </c>
      <c r="T46" s="132">
        <v>20</v>
      </c>
      <c r="U46" s="132" t="s">
        <v>769</v>
      </c>
      <c r="V46" s="132" t="s">
        <v>769</v>
      </c>
      <c r="W46" s="132" t="s">
        <v>769</v>
      </c>
      <c r="X46" s="187">
        <f>Y46+ecm_occ_temp_setback!K46+Z46</f>
        <v>16661</v>
      </c>
      <c r="Y46" s="187">
        <v>0</v>
      </c>
      <c r="Z46" s="45">
        <v>957</v>
      </c>
    </row>
    <row r="47" spans="1:26">
      <c r="A47" s="45" t="str">
        <f t="array" ref="A47">IFERROR(INDEX(baseline!$A$3:$A$201,MATCH($B47&amp;$C47,baseline!$C$3:$C$201&amp;baseline!$D$3:$D$201,0)),"NA")</f>
        <v>NA</v>
      </c>
      <c r="B47" t="s">
        <v>547</v>
      </c>
      <c r="C47" t="s">
        <v>13</v>
      </c>
      <c r="D47" s="131" t="s">
        <v>1019</v>
      </c>
      <c r="E47" s="131">
        <v>2.0000000000000001E-4</v>
      </c>
      <c r="F47" t="b">
        <v>1</v>
      </c>
      <c r="G47">
        <v>0.05</v>
      </c>
      <c r="H47">
        <v>17</v>
      </c>
      <c r="I47">
        <v>22</v>
      </c>
      <c r="J47">
        <v>99</v>
      </c>
      <c r="K47">
        <v>24</v>
      </c>
      <c r="L47" s="45" t="s">
        <v>769</v>
      </c>
      <c r="M47" s="132" t="s">
        <v>862</v>
      </c>
      <c r="N47" s="132" t="s">
        <v>916</v>
      </c>
      <c r="O47" s="45" t="s">
        <v>769</v>
      </c>
      <c r="P47" s="45" t="b">
        <v>1</v>
      </c>
      <c r="Q47" s="132">
        <v>82</v>
      </c>
      <c r="R47" s="132">
        <v>-25</v>
      </c>
      <c r="S47" s="132">
        <v>40</v>
      </c>
      <c r="T47" s="132">
        <v>20</v>
      </c>
      <c r="U47" s="132" t="s">
        <v>769</v>
      </c>
      <c r="V47" s="132" t="s">
        <v>769</v>
      </c>
      <c r="W47" s="132" t="s">
        <v>769</v>
      </c>
      <c r="X47" s="187">
        <f>Y47+ecm_occ_temp_setback!K47+Z47</f>
        <v>137522</v>
      </c>
      <c r="Y47" s="187">
        <v>116444</v>
      </c>
      <c r="Z47" s="45">
        <v>957</v>
      </c>
    </row>
    <row r="48" spans="1:26">
      <c r="A48" s="45" t="str">
        <f t="array" ref="A48">IFERROR(INDEX(baseline!$A$3:$A$201,MATCH($B48&amp;$C48,baseline!$C$3:$C$201&amp;baseline!$D$3:$D$201,0)),"NA")</f>
        <v>NA</v>
      </c>
      <c r="B48" t="s">
        <v>1</v>
      </c>
      <c r="C48" t="s">
        <v>13</v>
      </c>
      <c r="D48" s="131" t="s">
        <v>1019</v>
      </c>
      <c r="E48" s="131">
        <v>2.9999999999999997E-4</v>
      </c>
      <c r="F48" t="b">
        <v>1</v>
      </c>
      <c r="G48">
        <v>0.05</v>
      </c>
      <c r="H48">
        <v>17</v>
      </c>
      <c r="I48">
        <v>22</v>
      </c>
      <c r="J48">
        <v>99</v>
      </c>
      <c r="K48">
        <v>24</v>
      </c>
      <c r="L48" s="45" t="s">
        <v>769</v>
      </c>
      <c r="M48" s="132" t="s">
        <v>862</v>
      </c>
      <c r="N48" s="132" t="s">
        <v>916</v>
      </c>
      <c r="O48" s="45" t="s">
        <v>769</v>
      </c>
      <c r="P48" s="45" t="b">
        <v>1</v>
      </c>
      <c r="Q48" s="132">
        <v>82</v>
      </c>
      <c r="R48" s="132">
        <v>-25</v>
      </c>
      <c r="S48" s="132">
        <v>40</v>
      </c>
      <c r="T48" s="132">
        <v>20</v>
      </c>
      <c r="U48" s="132" t="s">
        <v>769</v>
      </c>
      <c r="V48" s="132" t="s">
        <v>769</v>
      </c>
      <c r="W48" s="132" t="s">
        <v>769</v>
      </c>
      <c r="X48" s="187">
        <f>Y48+ecm_occ_temp_setback!K48+Z48</f>
        <v>73113</v>
      </c>
      <c r="Y48" s="187">
        <v>67248</v>
      </c>
      <c r="Z48" s="45">
        <v>957</v>
      </c>
    </row>
    <row r="49" spans="1:26">
      <c r="A49" s="45" t="str">
        <f t="array" ref="A49">IFERROR(INDEX(baseline!$A$3:$A$201,MATCH($B49&amp;$C49,baseline!$C$3:$C$201&amp;baseline!$D$3:$D$201,0)),"NA")</f>
        <v>NA</v>
      </c>
      <c r="B49" t="s">
        <v>1</v>
      </c>
      <c r="C49" t="s">
        <v>546</v>
      </c>
      <c r="D49" s="131" t="s">
        <v>1019</v>
      </c>
      <c r="E49" s="131">
        <v>2.9999999999999997E-4</v>
      </c>
      <c r="F49" t="b">
        <v>1</v>
      </c>
      <c r="G49">
        <v>0.05</v>
      </c>
      <c r="H49">
        <v>17</v>
      </c>
      <c r="I49">
        <v>22</v>
      </c>
      <c r="J49">
        <v>99</v>
      </c>
      <c r="K49">
        <v>24</v>
      </c>
      <c r="L49" s="45" t="s">
        <v>769</v>
      </c>
      <c r="M49" s="132" t="s">
        <v>862</v>
      </c>
      <c r="N49" s="132" t="s">
        <v>916</v>
      </c>
      <c r="O49" s="45" t="s">
        <v>769</v>
      </c>
      <c r="P49" s="45" t="b">
        <v>1</v>
      </c>
      <c r="Q49" s="132">
        <v>82</v>
      </c>
      <c r="R49" s="132">
        <v>-25</v>
      </c>
      <c r="S49" s="132">
        <v>40</v>
      </c>
      <c r="T49" s="132">
        <v>20</v>
      </c>
      <c r="U49" s="132" t="s">
        <v>769</v>
      </c>
      <c r="V49" s="132" t="s">
        <v>769</v>
      </c>
      <c r="W49" s="132" t="s">
        <v>769</v>
      </c>
      <c r="X49" s="187">
        <f>Y49+ecm_occ_temp_setback!K49+Z49</f>
        <v>5865</v>
      </c>
      <c r="Y49" s="187">
        <v>0</v>
      </c>
      <c r="Z49" s="45">
        <v>957</v>
      </c>
    </row>
    <row r="50" spans="1:26">
      <c r="L50" s="45"/>
      <c r="M50" s="132"/>
      <c r="N50" s="132"/>
      <c r="O50" s="45"/>
      <c r="P50" s="45"/>
      <c r="Q50" s="132"/>
      <c r="R50" s="132"/>
      <c r="S50" s="132"/>
      <c r="T50" s="132"/>
      <c r="U50" s="132"/>
      <c r="V50" s="132"/>
      <c r="W50" s="132"/>
      <c r="Z50" s="45"/>
    </row>
    <row r="51" spans="1:26">
      <c r="L51" s="45"/>
      <c r="M51" s="132"/>
      <c r="N51" s="132"/>
      <c r="O51" s="45"/>
      <c r="P51" s="45"/>
      <c r="Q51" s="132"/>
      <c r="R51" s="132"/>
      <c r="S51" s="132"/>
      <c r="T51" s="132"/>
      <c r="U51" s="132"/>
      <c r="V51" s="132"/>
      <c r="W51" s="132"/>
      <c r="Z51" s="45"/>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sheetPr>
    <tabColor rgb="FF00B050"/>
  </sheetPr>
  <dimension ref="A1:AV130"/>
  <sheetViews>
    <sheetView topLeftCell="AL1" workbookViewId="0">
      <selection activeCell="AM20" sqref="AM20"/>
    </sheetView>
  </sheetViews>
  <sheetFormatPr defaultRowHeight="14.4"/>
  <cols>
    <col min="2" max="2" width="27.6640625" customWidth="1"/>
    <col min="4" max="4" width="20.5546875" customWidth="1"/>
    <col min="9" max="9" width="17.33203125" style="131" customWidth="1"/>
    <col min="10" max="10" width="16.88671875" customWidth="1"/>
    <col min="11" max="11" width="13.44140625" customWidth="1"/>
    <col min="12" max="12" width="18.44140625" customWidth="1"/>
    <col min="13" max="13" width="24.33203125" style="45" customWidth="1"/>
    <col min="14" max="14" width="15.109375" customWidth="1"/>
    <col min="35" max="36" width="14" customWidth="1"/>
    <col min="38" max="38" width="17" style="144" customWidth="1"/>
    <col min="39" max="39" width="18.6640625" customWidth="1"/>
    <col min="40" max="40" width="20.109375" style="45" customWidth="1"/>
    <col min="41" max="41" width="14.5546875" style="131" customWidth="1"/>
    <col min="43" max="43" width="17" style="144" bestFit="1" customWidth="1"/>
  </cols>
  <sheetData>
    <row r="1" spans="1:48" ht="15.6">
      <c r="A1" t="s">
        <v>920</v>
      </c>
      <c r="B1" s="128" t="s">
        <v>766</v>
      </c>
      <c r="C1" s="127" t="s">
        <v>748</v>
      </c>
      <c r="D1" s="131" t="s">
        <v>774</v>
      </c>
      <c r="E1" s="131" t="s">
        <v>882</v>
      </c>
      <c r="F1" s="131" t="s">
        <v>888</v>
      </c>
      <c r="G1" s="131" t="s">
        <v>889</v>
      </c>
      <c r="H1" s="131" t="s">
        <v>890</v>
      </c>
      <c r="I1" s="160" t="s">
        <v>902</v>
      </c>
      <c r="J1" s="160" t="s">
        <v>903</v>
      </c>
      <c r="K1" s="160" t="s">
        <v>918</v>
      </c>
      <c r="L1" s="160" t="s">
        <v>919</v>
      </c>
      <c r="M1" s="45" t="s">
        <v>906</v>
      </c>
      <c r="N1" t="s">
        <v>805</v>
      </c>
      <c r="O1" s="145" t="s">
        <v>727</v>
      </c>
      <c r="P1" s="145" t="s">
        <v>858</v>
      </c>
      <c r="Q1" s="145" t="s">
        <v>840</v>
      </c>
      <c r="R1" s="158" t="s">
        <v>907</v>
      </c>
      <c r="S1" s="158" t="s">
        <v>915</v>
      </c>
      <c r="T1" s="157" t="s">
        <v>908</v>
      </c>
      <c r="U1" s="157" t="s">
        <v>909</v>
      </c>
      <c r="V1" s="157" t="s">
        <v>910</v>
      </c>
      <c r="W1" s="157" t="s">
        <v>911</v>
      </c>
      <c r="X1" s="157" t="s">
        <v>912</v>
      </c>
      <c r="Y1" t="s">
        <v>871</v>
      </c>
      <c r="Z1" t="s">
        <v>872</v>
      </c>
      <c r="AA1" t="s">
        <v>874</v>
      </c>
      <c r="AB1" t="s">
        <v>873</v>
      </c>
      <c r="AC1" t="s">
        <v>875</v>
      </c>
      <c r="AD1" t="s">
        <v>876</v>
      </c>
      <c r="AE1" s="131" t="s">
        <v>831</v>
      </c>
      <c r="AF1" t="s">
        <v>878</v>
      </c>
      <c r="AG1" t="s">
        <v>879</v>
      </c>
      <c r="AH1" t="s">
        <v>880</v>
      </c>
      <c r="AI1" s="144" t="s">
        <v>904</v>
      </c>
      <c r="AJ1" s="143" t="s">
        <v>891</v>
      </c>
      <c r="AK1" s="145" t="s">
        <v>858</v>
      </c>
      <c r="AL1" t="s">
        <v>899</v>
      </c>
      <c r="AM1" t="s">
        <v>1018</v>
      </c>
      <c r="AN1" s="45" t="s">
        <v>1017</v>
      </c>
      <c r="AO1" s="182" t="s">
        <v>1015</v>
      </c>
      <c r="AP1" t="s">
        <v>1014</v>
      </c>
      <c r="AQ1" s="144" t="s">
        <v>1016</v>
      </c>
      <c r="AR1" t="s">
        <v>1028</v>
      </c>
      <c r="AS1" t="s">
        <v>1029</v>
      </c>
      <c r="AT1" s="187" t="s">
        <v>1012</v>
      </c>
      <c r="AU1" t="s">
        <v>1031</v>
      </c>
      <c r="AV1" t="s">
        <v>1032</v>
      </c>
    </row>
    <row r="2" spans="1:48">
      <c r="A2" s="45">
        <f t="array" ref="A2">IFERROR(INDEX(baseline!$A$3:$A$201,MATCH($B2&amp;$C2,baseline!$C$3:$C$201&amp;baseline!$D$3:$D$201,0)),"NA")</f>
        <v>1</v>
      </c>
      <c r="B2" t="s">
        <v>0</v>
      </c>
      <c r="C2" t="s">
        <v>881</v>
      </c>
      <c r="D2" s="131" t="s">
        <v>1030</v>
      </c>
      <c r="E2" s="131">
        <v>0.7</v>
      </c>
      <c r="F2" s="132" t="s">
        <v>769</v>
      </c>
      <c r="G2" s="132" t="s">
        <v>769</v>
      </c>
      <c r="H2" s="132" t="s">
        <v>769</v>
      </c>
      <c r="I2" s="131">
        <v>0.9</v>
      </c>
      <c r="J2">
        <v>0.3</v>
      </c>
      <c r="K2" t="s">
        <v>769</v>
      </c>
      <c r="L2" t="s">
        <v>769</v>
      </c>
      <c r="M2" s="45" t="s">
        <v>769</v>
      </c>
      <c r="N2" t="b">
        <v>1</v>
      </c>
      <c r="O2" s="132">
        <v>0.92</v>
      </c>
      <c r="P2" s="132">
        <v>0.92</v>
      </c>
      <c r="Q2" s="132" t="b">
        <v>1</v>
      </c>
      <c r="R2" s="132" t="s">
        <v>862</v>
      </c>
      <c r="S2" s="132" t="s">
        <v>916</v>
      </c>
      <c r="T2" s="45" t="b">
        <v>1</v>
      </c>
      <c r="U2" s="132">
        <v>82</v>
      </c>
      <c r="V2" s="132">
        <v>-25</v>
      </c>
      <c r="W2" s="132">
        <v>40</v>
      </c>
      <c r="X2" s="132">
        <v>20</v>
      </c>
      <c r="Y2" t="b">
        <v>1</v>
      </c>
      <c r="Z2">
        <v>0.05</v>
      </c>
      <c r="AA2">
        <v>17</v>
      </c>
      <c r="AB2">
        <v>22</v>
      </c>
      <c r="AC2">
        <v>99</v>
      </c>
      <c r="AD2">
        <v>24</v>
      </c>
      <c r="AE2" s="131">
        <v>2.0000000000000001E-4</v>
      </c>
      <c r="AF2" t="b">
        <v>1</v>
      </c>
      <c r="AG2">
        <v>20</v>
      </c>
      <c r="AH2">
        <v>13</v>
      </c>
      <c r="AI2" t="s">
        <v>769</v>
      </c>
      <c r="AJ2" t="s">
        <v>769</v>
      </c>
      <c r="AK2" t="s">
        <v>769</v>
      </c>
      <c r="AL2" s="144">
        <f>IF(A2="NA", 0,SUM(AM2:AV2))</f>
        <v>397597</v>
      </c>
      <c r="AM2">
        <v>64275</v>
      </c>
      <c r="AN2" s="45">
        <v>4523</v>
      </c>
      <c r="AO2" s="131">
        <v>21281</v>
      </c>
      <c r="AP2">
        <v>92265</v>
      </c>
      <c r="AQ2" s="145">
        <v>10200</v>
      </c>
      <c r="AR2" s="45">
        <v>957</v>
      </c>
      <c r="AS2">
        <v>36806</v>
      </c>
      <c r="AT2" s="187">
        <f>122012+VALUE(ecm_occ_temp_setback!AL2)</f>
        <v>122012</v>
      </c>
      <c r="AU2" s="45">
        <v>10864</v>
      </c>
      <c r="AV2">
        <v>34414</v>
      </c>
    </row>
    <row r="3" spans="1:48">
      <c r="A3" s="45">
        <f t="array" ref="A3">IFERROR(INDEX(baseline!$A$3:$A$201,MATCH($B3&amp;$C3,baseline!$C$3:$C$201&amp;baseline!$D$3:$D$201,0)),"NA")</f>
        <v>2</v>
      </c>
      <c r="B3" t="s">
        <v>78</v>
      </c>
      <c r="C3" t="s">
        <v>881</v>
      </c>
      <c r="D3" s="131" t="s">
        <v>1030</v>
      </c>
      <c r="E3" s="131">
        <v>0.7</v>
      </c>
      <c r="F3" s="132" t="s">
        <v>769</v>
      </c>
      <c r="G3" s="132" t="s">
        <v>769</v>
      </c>
      <c r="H3" s="132" t="s">
        <v>769</v>
      </c>
      <c r="I3" s="131">
        <v>0.9</v>
      </c>
      <c r="J3">
        <v>0.3</v>
      </c>
      <c r="K3" t="s">
        <v>769</v>
      </c>
      <c r="L3" t="s">
        <v>769</v>
      </c>
      <c r="M3" s="45" t="s">
        <v>769</v>
      </c>
      <c r="N3" t="b">
        <v>1</v>
      </c>
      <c r="O3" s="132">
        <v>0.92</v>
      </c>
      <c r="P3" s="132">
        <v>0.92</v>
      </c>
      <c r="Q3" s="132" t="b">
        <v>1</v>
      </c>
      <c r="R3" s="132" t="s">
        <v>862</v>
      </c>
      <c r="S3" s="132" t="s">
        <v>916</v>
      </c>
      <c r="T3" s="45" t="b">
        <v>1</v>
      </c>
      <c r="U3" s="132">
        <v>82</v>
      </c>
      <c r="V3" s="132">
        <v>-25</v>
      </c>
      <c r="W3" s="132">
        <v>40</v>
      </c>
      <c r="X3" s="132">
        <v>20</v>
      </c>
      <c r="Y3" t="b">
        <v>1</v>
      </c>
      <c r="Z3">
        <v>0.05</v>
      </c>
      <c r="AA3">
        <v>17</v>
      </c>
      <c r="AB3">
        <v>22</v>
      </c>
      <c r="AC3">
        <v>99</v>
      </c>
      <c r="AD3">
        <v>24</v>
      </c>
      <c r="AE3" s="131">
        <v>2.9999999999999997E-4</v>
      </c>
      <c r="AF3" t="b">
        <v>1</v>
      </c>
      <c r="AG3">
        <v>20</v>
      </c>
      <c r="AH3">
        <v>13</v>
      </c>
      <c r="AI3" t="s">
        <v>769</v>
      </c>
      <c r="AJ3" t="s">
        <v>769</v>
      </c>
      <c r="AK3" t="s">
        <v>769</v>
      </c>
      <c r="AL3" s="144">
        <f>IF(A3="NA", 0,SUM(AM3:AV3))</f>
        <v>124528</v>
      </c>
      <c r="AM3">
        <v>8668</v>
      </c>
      <c r="AN3" s="45">
        <v>2261</v>
      </c>
      <c r="AO3" s="131">
        <v>2750</v>
      </c>
      <c r="AP3">
        <v>15765</v>
      </c>
      <c r="AQ3" s="145">
        <v>6120</v>
      </c>
      <c r="AR3" s="45">
        <v>957</v>
      </c>
      <c r="AS3">
        <v>5066</v>
      </c>
      <c r="AT3" s="187">
        <v>67418</v>
      </c>
      <c r="AU3" s="45">
        <v>3621</v>
      </c>
      <c r="AV3">
        <v>11902</v>
      </c>
    </row>
    <row r="4" spans="1:48">
      <c r="A4" s="45">
        <f t="array" ref="A4">IFERROR(INDEX(baseline!$A$3:$A$201,MATCH($B4&amp;$C4,baseline!$C$3:$C$201&amp;baseline!$D$3:$D$201,0)),"NA")</f>
        <v>3</v>
      </c>
      <c r="B4" t="s">
        <v>545</v>
      </c>
      <c r="C4" t="s">
        <v>881</v>
      </c>
      <c r="D4" s="131" t="s">
        <v>1030</v>
      </c>
      <c r="E4" s="131">
        <v>0.7</v>
      </c>
      <c r="F4" s="132" t="s">
        <v>769</v>
      </c>
      <c r="G4" s="132" t="s">
        <v>769</v>
      </c>
      <c r="H4" s="132" t="s">
        <v>769</v>
      </c>
      <c r="I4" s="131">
        <v>0.9</v>
      </c>
      <c r="J4">
        <v>0.3</v>
      </c>
      <c r="K4" t="s">
        <v>769</v>
      </c>
      <c r="L4" t="s">
        <v>769</v>
      </c>
      <c r="M4" s="45" t="b">
        <v>1</v>
      </c>
      <c r="N4" t="b">
        <v>1</v>
      </c>
      <c r="O4" s="132">
        <v>0.92</v>
      </c>
      <c r="P4" s="132">
        <v>0.92</v>
      </c>
      <c r="Q4" s="132" t="b">
        <v>1</v>
      </c>
      <c r="R4" s="132" t="s">
        <v>862</v>
      </c>
      <c r="S4" s="132" t="s">
        <v>916</v>
      </c>
      <c r="T4" s="45" t="b">
        <v>1</v>
      </c>
      <c r="U4" s="132">
        <v>82</v>
      </c>
      <c r="V4" s="132">
        <v>-25</v>
      </c>
      <c r="W4" s="132">
        <v>40</v>
      </c>
      <c r="X4" s="132">
        <v>20</v>
      </c>
      <c r="Y4" t="b">
        <v>1</v>
      </c>
      <c r="Z4">
        <v>0.05</v>
      </c>
      <c r="AA4">
        <v>17</v>
      </c>
      <c r="AB4">
        <v>22</v>
      </c>
      <c r="AC4">
        <v>99</v>
      </c>
      <c r="AD4">
        <v>24</v>
      </c>
      <c r="AE4" s="131">
        <v>2.0000000000000001E-4</v>
      </c>
      <c r="AF4" t="b">
        <v>1</v>
      </c>
      <c r="AG4">
        <v>20</v>
      </c>
      <c r="AH4">
        <v>13</v>
      </c>
      <c r="AI4" t="s">
        <v>769</v>
      </c>
      <c r="AJ4" t="s">
        <v>769</v>
      </c>
      <c r="AK4" t="s">
        <v>769</v>
      </c>
      <c r="AL4" s="144">
        <f t="shared" ref="AL4:AL49" si="0">IF(A4="NA", 0,SUM(AM4:AV4))</f>
        <v>259055</v>
      </c>
      <c r="AM4">
        <v>7713</v>
      </c>
      <c r="AN4" s="45">
        <v>6784</v>
      </c>
      <c r="AO4" s="131">
        <v>2554</v>
      </c>
      <c r="AP4">
        <v>111667</v>
      </c>
      <c r="AQ4" s="145">
        <v>10636</v>
      </c>
      <c r="AR4" s="45">
        <v>957</v>
      </c>
      <c r="AS4">
        <v>4417</v>
      </c>
      <c r="AT4" s="187">
        <v>83796</v>
      </c>
      <c r="AU4" s="45">
        <v>14485</v>
      </c>
      <c r="AV4">
        <v>16046</v>
      </c>
    </row>
    <row r="5" spans="1:48">
      <c r="A5" s="45">
        <f t="array" ref="A5">IFERROR(INDEX(baseline!$A$3:$A$201,MATCH($B5&amp;$C5,baseline!$C$3:$C$201&amp;baseline!$D$3:$D$201,0)),"NA")</f>
        <v>4</v>
      </c>
      <c r="B5" t="s">
        <v>545</v>
      </c>
      <c r="C5" t="s">
        <v>546</v>
      </c>
      <c r="D5" s="131" t="s">
        <v>1030</v>
      </c>
      <c r="E5" s="131">
        <v>0.7</v>
      </c>
      <c r="F5" s="132" t="s">
        <v>769</v>
      </c>
      <c r="G5" s="132" t="s">
        <v>769</v>
      </c>
      <c r="H5" s="132" t="s">
        <v>769</v>
      </c>
      <c r="I5" s="131">
        <v>0.9</v>
      </c>
      <c r="J5">
        <v>0.3</v>
      </c>
      <c r="K5" t="s">
        <v>769</v>
      </c>
      <c r="L5" t="s">
        <v>769</v>
      </c>
      <c r="M5" s="45" t="b">
        <v>1</v>
      </c>
      <c r="N5" t="b">
        <v>1</v>
      </c>
      <c r="O5" s="132">
        <v>0.92</v>
      </c>
      <c r="P5" s="132">
        <v>0.92</v>
      </c>
      <c r="Q5" s="132" t="b">
        <v>1</v>
      </c>
      <c r="R5" s="132" t="s">
        <v>862</v>
      </c>
      <c r="S5" s="132" t="s">
        <v>916</v>
      </c>
      <c r="T5" s="45" t="b">
        <v>1</v>
      </c>
      <c r="U5" s="132">
        <v>82</v>
      </c>
      <c r="V5" s="132">
        <v>-25</v>
      </c>
      <c r="W5" s="132">
        <v>40</v>
      </c>
      <c r="X5" s="132">
        <v>20</v>
      </c>
      <c r="Y5" t="b">
        <v>1</v>
      </c>
      <c r="Z5">
        <v>0.05</v>
      </c>
      <c r="AA5">
        <v>17</v>
      </c>
      <c r="AB5">
        <v>22</v>
      </c>
      <c r="AC5">
        <v>99</v>
      </c>
      <c r="AD5">
        <v>24</v>
      </c>
      <c r="AE5" s="131">
        <v>2.0000000000000001E-4</v>
      </c>
      <c r="AF5" t="b">
        <v>1</v>
      </c>
      <c r="AG5">
        <v>20</v>
      </c>
      <c r="AH5">
        <v>13</v>
      </c>
      <c r="AI5" t="s">
        <v>769</v>
      </c>
      <c r="AJ5" t="s">
        <v>769</v>
      </c>
      <c r="AK5" t="s">
        <v>769</v>
      </c>
      <c r="AL5" s="144">
        <f t="shared" si="0"/>
        <v>175259</v>
      </c>
      <c r="AM5">
        <v>7713</v>
      </c>
      <c r="AN5" s="45">
        <v>6784</v>
      </c>
      <c r="AO5" s="131">
        <v>2554</v>
      </c>
      <c r="AP5">
        <v>111667</v>
      </c>
      <c r="AQ5" s="145">
        <v>10636</v>
      </c>
      <c r="AR5" s="45">
        <v>957</v>
      </c>
      <c r="AS5">
        <v>4417</v>
      </c>
      <c r="AT5" s="187">
        <v>0</v>
      </c>
      <c r="AU5" s="45">
        <v>14485</v>
      </c>
      <c r="AV5">
        <v>16046</v>
      </c>
    </row>
    <row r="6" spans="1:48">
      <c r="A6" s="45">
        <f t="array" ref="A6">IFERROR(INDEX(baseline!$A$3:$A$201,MATCH($B6&amp;$C6,baseline!$C$3:$C$201&amp;baseline!$D$3:$D$201,0)),"NA")</f>
        <v>5</v>
      </c>
      <c r="B6" t="s">
        <v>761</v>
      </c>
      <c r="C6" t="s">
        <v>881</v>
      </c>
      <c r="D6" s="131" t="s">
        <v>1030</v>
      </c>
      <c r="E6" s="131">
        <v>0.7</v>
      </c>
      <c r="F6" s="132" t="s">
        <v>769</v>
      </c>
      <c r="G6" s="132" t="s">
        <v>769</v>
      </c>
      <c r="H6" s="132" t="s">
        <v>769</v>
      </c>
      <c r="I6" s="131">
        <v>0.9</v>
      </c>
      <c r="J6">
        <v>0.3</v>
      </c>
      <c r="K6" t="s">
        <v>769</v>
      </c>
      <c r="L6" t="s">
        <v>769</v>
      </c>
      <c r="M6" s="45" t="b">
        <v>1</v>
      </c>
      <c r="N6" t="b">
        <v>1</v>
      </c>
      <c r="O6" s="132">
        <v>0.92</v>
      </c>
      <c r="P6" s="132">
        <v>0.92</v>
      </c>
      <c r="Q6" s="132" t="b">
        <v>1</v>
      </c>
      <c r="R6" s="132" t="s">
        <v>862</v>
      </c>
      <c r="S6" s="132" t="s">
        <v>916</v>
      </c>
      <c r="T6" s="45" t="b">
        <v>1</v>
      </c>
      <c r="U6" s="132">
        <v>82</v>
      </c>
      <c r="V6" s="132">
        <v>-25</v>
      </c>
      <c r="W6" s="132">
        <v>40</v>
      </c>
      <c r="X6" s="132">
        <v>20</v>
      </c>
      <c r="Y6" t="b">
        <v>1</v>
      </c>
      <c r="Z6">
        <v>0.05</v>
      </c>
      <c r="AA6">
        <v>17</v>
      </c>
      <c r="AB6">
        <v>22</v>
      </c>
      <c r="AC6">
        <v>99</v>
      </c>
      <c r="AD6">
        <v>24</v>
      </c>
      <c r="AE6" s="131">
        <v>2.9999999999999997E-4</v>
      </c>
      <c r="AF6" t="b">
        <v>1</v>
      </c>
      <c r="AG6">
        <v>20</v>
      </c>
      <c r="AH6">
        <v>13</v>
      </c>
      <c r="AI6" t="s">
        <v>769</v>
      </c>
      <c r="AJ6" t="s">
        <v>769</v>
      </c>
      <c r="AK6" t="s">
        <v>769</v>
      </c>
      <c r="AL6" s="144">
        <f t="shared" si="0"/>
        <v>408060</v>
      </c>
      <c r="AM6">
        <v>65989</v>
      </c>
      <c r="AN6" s="45">
        <v>3769</v>
      </c>
      <c r="AO6" s="131">
        <v>21849</v>
      </c>
      <c r="AP6">
        <v>133713</v>
      </c>
      <c r="AQ6" s="145">
        <v>6855</v>
      </c>
      <c r="AR6" s="45">
        <v>957</v>
      </c>
      <c r="AS6">
        <v>37788</v>
      </c>
      <c r="AT6" s="187">
        <v>96777</v>
      </c>
      <c r="AU6" s="45">
        <v>7243</v>
      </c>
      <c r="AV6">
        <v>33120</v>
      </c>
    </row>
    <row r="7" spans="1:48">
      <c r="A7" s="45">
        <f t="array" ref="A7">IFERROR(INDEX(baseline!$A$3:$A$201,MATCH($B7&amp;$C7,baseline!$C$3:$C$201&amp;baseline!$D$3:$D$201,0)),"NA")</f>
        <v>6</v>
      </c>
      <c r="B7" t="s">
        <v>761</v>
      </c>
      <c r="C7" t="s">
        <v>13</v>
      </c>
      <c r="D7" s="131" t="s">
        <v>1030</v>
      </c>
      <c r="E7" s="131">
        <v>0.7</v>
      </c>
      <c r="F7" s="132" t="s">
        <v>769</v>
      </c>
      <c r="G7" s="132" t="s">
        <v>769</v>
      </c>
      <c r="H7" s="132" t="s">
        <v>769</v>
      </c>
      <c r="I7" s="131">
        <v>0.9</v>
      </c>
      <c r="J7">
        <v>0.3</v>
      </c>
      <c r="K7" t="s">
        <v>769</v>
      </c>
      <c r="L7" t="s">
        <v>769</v>
      </c>
      <c r="M7" s="45" t="b">
        <v>1</v>
      </c>
      <c r="N7" t="b">
        <v>1</v>
      </c>
      <c r="O7" s="132">
        <v>0.92</v>
      </c>
      <c r="P7" s="132">
        <v>0.92</v>
      </c>
      <c r="Q7" s="132" t="b">
        <v>1</v>
      </c>
      <c r="R7" s="132" t="s">
        <v>862</v>
      </c>
      <c r="S7" s="132" t="s">
        <v>916</v>
      </c>
      <c r="T7" s="45" t="b">
        <v>1</v>
      </c>
      <c r="U7" s="132">
        <v>82</v>
      </c>
      <c r="V7" s="132">
        <v>-25</v>
      </c>
      <c r="W7" s="132">
        <v>40</v>
      </c>
      <c r="X7" s="132">
        <v>20</v>
      </c>
      <c r="Y7" t="b">
        <v>1</v>
      </c>
      <c r="Z7">
        <v>0.05</v>
      </c>
      <c r="AA7">
        <v>17</v>
      </c>
      <c r="AB7">
        <v>22</v>
      </c>
      <c r="AC7">
        <v>99</v>
      </c>
      <c r="AD7">
        <v>24</v>
      </c>
      <c r="AE7" s="131">
        <v>2.9999999999999997E-4</v>
      </c>
      <c r="AF7" t="b">
        <v>1</v>
      </c>
      <c r="AG7">
        <v>20</v>
      </c>
      <c r="AH7">
        <v>13</v>
      </c>
      <c r="AI7" t="s">
        <v>769</v>
      </c>
      <c r="AJ7" t="s">
        <v>769</v>
      </c>
      <c r="AK7" t="s">
        <v>769</v>
      </c>
      <c r="AL7" s="144">
        <f t="shared" si="0"/>
        <v>408060</v>
      </c>
      <c r="AM7">
        <v>65989</v>
      </c>
      <c r="AN7" s="45">
        <v>3769</v>
      </c>
      <c r="AO7" s="131">
        <v>21849</v>
      </c>
      <c r="AP7">
        <v>133713</v>
      </c>
      <c r="AQ7" s="145">
        <v>6855</v>
      </c>
      <c r="AR7" s="45">
        <v>957</v>
      </c>
      <c r="AS7">
        <v>37788</v>
      </c>
      <c r="AT7" s="187">
        <v>96777</v>
      </c>
      <c r="AU7" s="45">
        <v>7243</v>
      </c>
      <c r="AV7">
        <v>33120</v>
      </c>
    </row>
    <row r="8" spans="1:48">
      <c r="A8" s="45">
        <f t="array" ref="A8">IFERROR(INDEX(baseline!$A$3:$A$201,MATCH($B8&amp;$C8,baseline!$C$3:$C$201&amp;baseline!$D$3:$D$201,0)),"NA")</f>
        <v>7</v>
      </c>
      <c r="B8" t="s">
        <v>761</v>
      </c>
      <c r="C8" t="s">
        <v>14</v>
      </c>
      <c r="D8" s="131" t="s">
        <v>1030</v>
      </c>
      <c r="E8" s="131">
        <v>0.7</v>
      </c>
      <c r="F8" s="132" t="s">
        <v>769</v>
      </c>
      <c r="G8" s="132" t="s">
        <v>769</v>
      </c>
      <c r="H8" s="132" t="s">
        <v>769</v>
      </c>
      <c r="I8" s="131">
        <v>0.9</v>
      </c>
      <c r="J8">
        <v>0.3</v>
      </c>
      <c r="K8" t="s">
        <v>769</v>
      </c>
      <c r="L8" t="s">
        <v>769</v>
      </c>
      <c r="M8" s="45" t="b">
        <v>1</v>
      </c>
      <c r="N8" t="b">
        <v>1</v>
      </c>
      <c r="O8" s="132">
        <v>0.92</v>
      </c>
      <c r="P8" s="132">
        <v>0.92</v>
      </c>
      <c r="Q8" s="132" t="b">
        <v>1</v>
      </c>
      <c r="R8" s="132" t="s">
        <v>862</v>
      </c>
      <c r="S8" s="132" t="s">
        <v>916</v>
      </c>
      <c r="T8" s="45" t="b">
        <v>1</v>
      </c>
      <c r="U8" s="132">
        <v>82</v>
      </c>
      <c r="V8" s="132">
        <v>-25</v>
      </c>
      <c r="W8" s="132">
        <v>40</v>
      </c>
      <c r="X8" s="132">
        <v>20</v>
      </c>
      <c r="Y8" t="b">
        <v>1</v>
      </c>
      <c r="Z8">
        <v>0.05</v>
      </c>
      <c r="AA8">
        <v>17</v>
      </c>
      <c r="AB8">
        <v>22</v>
      </c>
      <c r="AC8">
        <v>99</v>
      </c>
      <c r="AD8">
        <v>24</v>
      </c>
      <c r="AE8" s="131">
        <v>2.9999999999999997E-4</v>
      </c>
      <c r="AF8" t="b">
        <v>1</v>
      </c>
      <c r="AG8">
        <v>20</v>
      </c>
      <c r="AH8">
        <v>13</v>
      </c>
      <c r="AI8" t="s">
        <v>769</v>
      </c>
      <c r="AJ8" t="s">
        <v>769</v>
      </c>
      <c r="AK8" t="s">
        <v>769</v>
      </c>
      <c r="AL8" s="144">
        <f t="shared" si="0"/>
        <v>400107</v>
      </c>
      <c r="AM8">
        <v>65989</v>
      </c>
      <c r="AN8" s="45">
        <v>3769</v>
      </c>
      <c r="AO8" s="131">
        <v>21849</v>
      </c>
      <c r="AP8">
        <v>133713</v>
      </c>
      <c r="AQ8" s="145">
        <v>6855</v>
      </c>
      <c r="AR8" s="45">
        <v>957</v>
      </c>
      <c r="AS8">
        <v>37788</v>
      </c>
      <c r="AT8" s="187">
        <v>88824</v>
      </c>
      <c r="AU8" s="45">
        <v>7243</v>
      </c>
      <c r="AV8">
        <v>33120</v>
      </c>
    </row>
    <row r="9" spans="1:48">
      <c r="A9" s="45">
        <f t="array" ref="A9">IFERROR(INDEX(baseline!$A$3:$A$201,MATCH($B9&amp;$C9,baseline!$C$3:$C$201&amp;baseline!$D$3:$D$201,0)),"NA")</f>
        <v>8</v>
      </c>
      <c r="B9" t="s">
        <v>697</v>
      </c>
      <c r="C9" t="s">
        <v>881</v>
      </c>
      <c r="D9" s="131" t="s">
        <v>1030</v>
      </c>
      <c r="E9" s="131">
        <v>0.7</v>
      </c>
      <c r="F9" s="132" t="s">
        <v>769</v>
      </c>
      <c r="G9" s="132" t="s">
        <v>769</v>
      </c>
      <c r="H9" s="132" t="s">
        <v>769</v>
      </c>
      <c r="I9" s="131">
        <v>0.9</v>
      </c>
      <c r="J9">
        <v>0.3</v>
      </c>
      <c r="K9" t="s">
        <v>769</v>
      </c>
      <c r="L9" t="s">
        <v>769</v>
      </c>
      <c r="M9" s="45" t="b">
        <v>1</v>
      </c>
      <c r="N9" t="b">
        <v>1</v>
      </c>
      <c r="O9" s="132">
        <v>0.92</v>
      </c>
      <c r="P9" s="132">
        <v>0.92</v>
      </c>
      <c r="Q9" s="132" t="b">
        <v>1</v>
      </c>
      <c r="R9" s="132" t="s">
        <v>862</v>
      </c>
      <c r="S9" s="132" t="s">
        <v>916</v>
      </c>
      <c r="T9" s="45" t="b">
        <v>1</v>
      </c>
      <c r="U9" s="132">
        <v>82</v>
      </c>
      <c r="V9" s="132">
        <v>-25</v>
      </c>
      <c r="W9" s="132">
        <v>40</v>
      </c>
      <c r="X9" s="132">
        <v>20</v>
      </c>
      <c r="Y9" t="b">
        <v>1</v>
      </c>
      <c r="Z9">
        <v>0.05</v>
      </c>
      <c r="AA9">
        <v>17</v>
      </c>
      <c r="AB9">
        <v>22</v>
      </c>
      <c r="AC9">
        <v>99</v>
      </c>
      <c r="AD9">
        <v>24</v>
      </c>
      <c r="AE9" s="131">
        <v>2.9999999999999997E-4</v>
      </c>
      <c r="AF9" t="b">
        <v>1</v>
      </c>
      <c r="AG9">
        <v>20</v>
      </c>
      <c r="AH9">
        <v>13</v>
      </c>
      <c r="AI9" t="s">
        <v>769</v>
      </c>
      <c r="AJ9" t="s">
        <v>769</v>
      </c>
      <c r="AK9" t="s">
        <v>769</v>
      </c>
      <c r="AL9" s="144">
        <f t="shared" si="0"/>
        <v>160260</v>
      </c>
      <c r="AM9">
        <v>9427</v>
      </c>
      <c r="AN9" s="45">
        <v>2261</v>
      </c>
      <c r="AO9" s="131">
        <v>3121</v>
      </c>
      <c r="AP9">
        <v>45581</v>
      </c>
      <c r="AQ9" s="145">
        <v>5266</v>
      </c>
      <c r="AR9" s="45">
        <v>957</v>
      </c>
      <c r="AS9">
        <v>5398</v>
      </c>
      <c r="AT9" s="187">
        <v>74019</v>
      </c>
      <c r="AU9" s="45">
        <v>3621</v>
      </c>
      <c r="AV9">
        <v>10609</v>
      </c>
    </row>
    <row r="10" spans="1:48">
      <c r="A10" s="45">
        <f t="array" ref="A10">IFERROR(INDEX(baseline!$A$3:$A$201,MATCH($B10&amp;$C10,baseline!$C$3:$C$201&amp;baseline!$D$3:$D$201,0)),"NA")</f>
        <v>9</v>
      </c>
      <c r="B10" t="s">
        <v>697</v>
      </c>
      <c r="C10" t="s">
        <v>14</v>
      </c>
      <c r="D10" s="131" t="s">
        <v>1030</v>
      </c>
      <c r="E10" s="131">
        <v>0.7</v>
      </c>
      <c r="F10" s="132" t="s">
        <v>769</v>
      </c>
      <c r="G10" s="132" t="s">
        <v>769</v>
      </c>
      <c r="H10" s="132" t="s">
        <v>769</v>
      </c>
      <c r="I10" s="131">
        <v>0.9</v>
      </c>
      <c r="J10">
        <v>0.3</v>
      </c>
      <c r="K10" t="s">
        <v>769</v>
      </c>
      <c r="L10" t="s">
        <v>769</v>
      </c>
      <c r="M10" s="45" t="b">
        <v>1</v>
      </c>
      <c r="N10" t="b">
        <v>1</v>
      </c>
      <c r="O10" s="132">
        <v>0.92</v>
      </c>
      <c r="P10" s="132">
        <v>0.92</v>
      </c>
      <c r="Q10" s="132" t="b">
        <v>1</v>
      </c>
      <c r="R10" s="132" t="s">
        <v>862</v>
      </c>
      <c r="S10" s="132" t="s">
        <v>916</v>
      </c>
      <c r="T10" s="45" t="b">
        <v>1</v>
      </c>
      <c r="U10" s="132">
        <v>82</v>
      </c>
      <c r="V10" s="132">
        <v>-25</v>
      </c>
      <c r="W10" s="132">
        <v>40</v>
      </c>
      <c r="X10" s="132">
        <v>20</v>
      </c>
      <c r="Y10" t="b">
        <v>1</v>
      </c>
      <c r="Z10">
        <v>0.05</v>
      </c>
      <c r="AA10">
        <v>17</v>
      </c>
      <c r="AB10">
        <v>22</v>
      </c>
      <c r="AC10">
        <v>99</v>
      </c>
      <c r="AD10">
        <v>24</v>
      </c>
      <c r="AE10" s="131">
        <v>2.9999999999999997E-4</v>
      </c>
      <c r="AF10" t="b">
        <v>1</v>
      </c>
      <c r="AG10">
        <v>20</v>
      </c>
      <c r="AH10">
        <v>13</v>
      </c>
      <c r="AI10" t="s">
        <v>769</v>
      </c>
      <c r="AJ10" t="s">
        <v>769</v>
      </c>
      <c r="AK10" t="s">
        <v>769</v>
      </c>
      <c r="AL10" s="144">
        <f t="shared" si="0"/>
        <v>153381</v>
      </c>
      <c r="AM10">
        <v>9427</v>
      </c>
      <c r="AN10" s="45">
        <v>2261</v>
      </c>
      <c r="AO10" s="131">
        <v>3121</v>
      </c>
      <c r="AP10">
        <v>45581</v>
      </c>
      <c r="AQ10" s="145">
        <v>5266</v>
      </c>
      <c r="AR10" s="45">
        <v>957</v>
      </c>
      <c r="AS10">
        <v>5398</v>
      </c>
      <c r="AT10" s="187">
        <v>67140</v>
      </c>
      <c r="AU10" s="45">
        <v>3621</v>
      </c>
      <c r="AV10">
        <v>10609</v>
      </c>
    </row>
    <row r="11" spans="1:48">
      <c r="A11" s="45">
        <f t="array" ref="A11">IFERROR(INDEX(baseline!$A$3:$A$201,MATCH($B11&amp;$C11,baseline!$C$3:$C$201&amp;baseline!$D$3:$D$201,0)),"NA")</f>
        <v>10</v>
      </c>
      <c r="B11" t="s">
        <v>713</v>
      </c>
      <c r="C11" t="s">
        <v>881</v>
      </c>
      <c r="D11" s="131" t="s">
        <v>1030</v>
      </c>
      <c r="E11" s="131">
        <v>0.7</v>
      </c>
      <c r="F11" s="132" t="s">
        <v>769</v>
      </c>
      <c r="G11" s="132" t="s">
        <v>769</v>
      </c>
      <c r="H11" s="132" t="s">
        <v>769</v>
      </c>
      <c r="I11" s="131">
        <v>0.9</v>
      </c>
      <c r="J11">
        <v>0.3</v>
      </c>
      <c r="K11" t="s">
        <v>769</v>
      </c>
      <c r="L11" t="s">
        <v>769</v>
      </c>
      <c r="M11" s="45" t="b">
        <v>1</v>
      </c>
      <c r="N11" t="b">
        <v>1</v>
      </c>
      <c r="O11" s="132">
        <v>0.92</v>
      </c>
      <c r="P11" s="132">
        <v>0.92</v>
      </c>
      <c r="Q11" s="132" t="b">
        <v>1</v>
      </c>
      <c r="R11" s="132" t="s">
        <v>862</v>
      </c>
      <c r="S11" s="132" t="s">
        <v>916</v>
      </c>
      <c r="T11" s="45" t="b">
        <v>1</v>
      </c>
      <c r="U11" s="132">
        <v>82</v>
      </c>
      <c r="V11" s="132">
        <v>-25</v>
      </c>
      <c r="W11" s="132">
        <v>40</v>
      </c>
      <c r="X11" s="132">
        <v>20</v>
      </c>
      <c r="Y11" t="b">
        <v>1</v>
      </c>
      <c r="Z11">
        <v>0.05</v>
      </c>
      <c r="AA11">
        <v>17</v>
      </c>
      <c r="AB11">
        <v>22</v>
      </c>
      <c r="AC11">
        <v>99</v>
      </c>
      <c r="AD11">
        <v>24</v>
      </c>
      <c r="AE11" s="131">
        <v>2.9999999999999997E-4</v>
      </c>
      <c r="AF11" t="b">
        <v>1</v>
      </c>
      <c r="AG11">
        <v>20</v>
      </c>
      <c r="AH11">
        <v>13</v>
      </c>
      <c r="AI11" t="s">
        <v>769</v>
      </c>
      <c r="AJ11" t="s">
        <v>769</v>
      </c>
      <c r="AK11" t="s">
        <v>769</v>
      </c>
      <c r="AL11" s="144">
        <f t="shared" si="0"/>
        <v>102017</v>
      </c>
      <c r="AM11">
        <v>7713</v>
      </c>
      <c r="AN11" s="45">
        <v>754</v>
      </c>
      <c r="AO11" s="131">
        <v>2554</v>
      </c>
      <c r="AP11">
        <v>24169</v>
      </c>
      <c r="AQ11" s="145">
        <v>4516</v>
      </c>
      <c r="AR11" s="45">
        <v>957</v>
      </c>
      <c r="AS11">
        <v>4417</v>
      </c>
      <c r="AT11" s="187">
        <v>47106</v>
      </c>
      <c r="AU11" s="45">
        <v>3621</v>
      </c>
      <c r="AV11">
        <v>6210</v>
      </c>
    </row>
    <row r="12" spans="1:48">
      <c r="A12" s="45">
        <f t="array" ref="A12">IFERROR(INDEX(baseline!$A$3:$A$201,MATCH($B12&amp;$C12,baseline!$C$3:$C$201&amp;baseline!$D$3:$D$201,0)),"NA")</f>
        <v>11</v>
      </c>
      <c r="B12" t="s">
        <v>713</v>
      </c>
      <c r="C12" t="s">
        <v>13</v>
      </c>
      <c r="D12" s="131" t="s">
        <v>1030</v>
      </c>
      <c r="E12" s="131">
        <v>0.7</v>
      </c>
      <c r="F12" s="132" t="s">
        <v>769</v>
      </c>
      <c r="G12" s="132" t="s">
        <v>769</v>
      </c>
      <c r="H12" s="132" t="s">
        <v>769</v>
      </c>
      <c r="I12" s="131">
        <v>0.9</v>
      </c>
      <c r="J12">
        <v>0.3</v>
      </c>
      <c r="K12" t="s">
        <v>769</v>
      </c>
      <c r="L12" t="s">
        <v>769</v>
      </c>
      <c r="M12" s="45" t="b">
        <v>1</v>
      </c>
      <c r="N12" t="b">
        <v>1</v>
      </c>
      <c r="O12" s="132">
        <v>0.92</v>
      </c>
      <c r="P12" s="132">
        <v>0.92</v>
      </c>
      <c r="Q12" s="132" t="b">
        <v>1</v>
      </c>
      <c r="R12" s="132" t="s">
        <v>862</v>
      </c>
      <c r="S12" s="132" t="s">
        <v>916</v>
      </c>
      <c r="T12" s="45" t="b">
        <v>1</v>
      </c>
      <c r="U12" s="132">
        <v>82</v>
      </c>
      <c r="V12" s="132">
        <v>-25</v>
      </c>
      <c r="W12" s="132">
        <v>40</v>
      </c>
      <c r="X12" s="132">
        <v>20</v>
      </c>
      <c r="Y12" t="b">
        <v>1</v>
      </c>
      <c r="Z12">
        <v>0.05</v>
      </c>
      <c r="AA12">
        <v>17</v>
      </c>
      <c r="AB12">
        <v>22</v>
      </c>
      <c r="AC12">
        <v>99</v>
      </c>
      <c r="AD12">
        <v>24</v>
      </c>
      <c r="AE12" s="131">
        <v>2.9999999999999997E-4</v>
      </c>
      <c r="AF12" t="b">
        <v>1</v>
      </c>
      <c r="AG12">
        <v>20</v>
      </c>
      <c r="AH12">
        <v>13</v>
      </c>
      <c r="AI12" t="s">
        <v>769</v>
      </c>
      <c r="AJ12" t="s">
        <v>769</v>
      </c>
      <c r="AK12" t="s">
        <v>769</v>
      </c>
      <c r="AL12" s="144">
        <f t="shared" si="0"/>
        <v>102017</v>
      </c>
      <c r="AM12">
        <v>7713</v>
      </c>
      <c r="AN12" s="45">
        <v>754</v>
      </c>
      <c r="AO12" s="131">
        <v>2554</v>
      </c>
      <c r="AP12">
        <v>24169</v>
      </c>
      <c r="AQ12" s="145">
        <v>4516</v>
      </c>
      <c r="AR12" s="45">
        <v>957</v>
      </c>
      <c r="AS12">
        <v>4417</v>
      </c>
      <c r="AT12" s="187">
        <v>47106</v>
      </c>
      <c r="AU12" s="45">
        <v>3621</v>
      </c>
      <c r="AV12">
        <v>6210</v>
      </c>
    </row>
    <row r="13" spans="1:48">
      <c r="A13" s="45">
        <f t="array" ref="A13">IFERROR(INDEX(baseline!$A$3:$A$201,MATCH($B13&amp;$C13,baseline!$C$3:$C$201&amp;baseline!$D$3:$D$201,0)),"NA")</f>
        <v>12</v>
      </c>
      <c r="B13" t="s">
        <v>713</v>
      </c>
      <c r="C13" t="s">
        <v>14</v>
      </c>
      <c r="D13" s="131" t="s">
        <v>1030</v>
      </c>
      <c r="E13" s="131">
        <v>0.7</v>
      </c>
      <c r="F13" s="132" t="s">
        <v>769</v>
      </c>
      <c r="G13" s="132" t="s">
        <v>769</v>
      </c>
      <c r="H13" s="132" t="s">
        <v>769</v>
      </c>
      <c r="I13" s="131">
        <v>0.9</v>
      </c>
      <c r="J13">
        <v>0.3</v>
      </c>
      <c r="K13" t="s">
        <v>769</v>
      </c>
      <c r="L13" t="s">
        <v>769</v>
      </c>
      <c r="M13" s="45" t="b">
        <v>1</v>
      </c>
      <c r="N13" t="b">
        <v>1</v>
      </c>
      <c r="O13" s="132">
        <v>0.92</v>
      </c>
      <c r="P13" s="132">
        <v>0.92</v>
      </c>
      <c r="Q13" s="132" t="b">
        <v>1</v>
      </c>
      <c r="R13" s="132" t="s">
        <v>862</v>
      </c>
      <c r="S13" s="132" t="s">
        <v>916</v>
      </c>
      <c r="T13" s="45" t="b">
        <v>1</v>
      </c>
      <c r="U13" s="132">
        <v>82</v>
      </c>
      <c r="V13" s="132">
        <v>-25</v>
      </c>
      <c r="W13" s="132">
        <v>40</v>
      </c>
      <c r="X13" s="132">
        <v>20</v>
      </c>
      <c r="Y13" t="b">
        <v>1</v>
      </c>
      <c r="Z13">
        <v>0.05</v>
      </c>
      <c r="AA13">
        <v>17</v>
      </c>
      <c r="AB13">
        <v>22</v>
      </c>
      <c r="AC13">
        <v>99</v>
      </c>
      <c r="AD13">
        <v>24</v>
      </c>
      <c r="AE13" s="131">
        <v>2.9999999999999997E-4</v>
      </c>
      <c r="AF13" t="b">
        <v>1</v>
      </c>
      <c r="AG13">
        <v>20</v>
      </c>
      <c r="AH13">
        <v>13</v>
      </c>
      <c r="AI13" t="s">
        <v>769</v>
      </c>
      <c r="AJ13" t="s">
        <v>769</v>
      </c>
      <c r="AK13" t="s">
        <v>769</v>
      </c>
      <c r="AL13" s="144">
        <f t="shared" si="0"/>
        <v>98111</v>
      </c>
      <c r="AM13">
        <v>7713</v>
      </c>
      <c r="AN13" s="45">
        <v>754</v>
      </c>
      <c r="AO13" s="131">
        <v>2554</v>
      </c>
      <c r="AP13">
        <v>24169</v>
      </c>
      <c r="AQ13" s="145">
        <v>4516</v>
      </c>
      <c r="AR13" s="45">
        <v>957</v>
      </c>
      <c r="AS13">
        <v>4417</v>
      </c>
      <c r="AT13" s="187">
        <v>43200</v>
      </c>
      <c r="AU13" s="45">
        <v>3621</v>
      </c>
      <c r="AV13">
        <v>6210</v>
      </c>
    </row>
    <row r="14" spans="1:48">
      <c r="A14" s="45">
        <f t="array" ref="A14">IFERROR(INDEX(baseline!$A$3:$A$201,MATCH($B14&amp;$C14,baseline!$C$3:$C$201&amp;baseline!$D$3:$D$201,0)),"NA")</f>
        <v>13</v>
      </c>
      <c r="B14" t="s">
        <v>762</v>
      </c>
      <c r="C14" t="s">
        <v>881</v>
      </c>
      <c r="D14" s="131" t="s">
        <v>1030</v>
      </c>
      <c r="E14" s="131">
        <v>0.7</v>
      </c>
      <c r="F14" s="132" t="s">
        <v>769</v>
      </c>
      <c r="G14" s="132" t="s">
        <v>769</v>
      </c>
      <c r="H14" s="132" t="s">
        <v>769</v>
      </c>
      <c r="I14" s="131">
        <v>0.9</v>
      </c>
      <c r="J14">
        <v>0.3</v>
      </c>
      <c r="K14" t="s">
        <v>769</v>
      </c>
      <c r="L14" t="s">
        <v>769</v>
      </c>
      <c r="M14" s="45" t="b">
        <v>1</v>
      </c>
      <c r="N14" t="b">
        <v>1</v>
      </c>
      <c r="O14" s="132">
        <v>0.92</v>
      </c>
      <c r="P14" s="132">
        <v>0.92</v>
      </c>
      <c r="Q14" s="132" t="b">
        <v>1</v>
      </c>
      <c r="R14" s="132" t="s">
        <v>862</v>
      </c>
      <c r="S14" s="132" t="s">
        <v>916</v>
      </c>
      <c r="T14" s="45" t="b">
        <v>1</v>
      </c>
      <c r="U14" s="132">
        <v>82</v>
      </c>
      <c r="V14" s="132">
        <v>-25</v>
      </c>
      <c r="W14" s="132">
        <v>40</v>
      </c>
      <c r="X14" s="132">
        <v>20</v>
      </c>
      <c r="Y14" t="b">
        <v>1</v>
      </c>
      <c r="Z14">
        <v>0.05</v>
      </c>
      <c r="AA14">
        <v>17</v>
      </c>
      <c r="AB14">
        <v>22</v>
      </c>
      <c r="AC14">
        <v>99</v>
      </c>
      <c r="AD14">
        <v>24</v>
      </c>
      <c r="AE14" s="131">
        <v>2.0000000000000001E-4</v>
      </c>
      <c r="AF14" t="b">
        <v>1</v>
      </c>
      <c r="AG14">
        <v>20</v>
      </c>
      <c r="AH14">
        <v>13</v>
      </c>
      <c r="AI14" t="s">
        <v>769</v>
      </c>
      <c r="AJ14" t="s">
        <v>769</v>
      </c>
      <c r="AK14" t="s">
        <v>769</v>
      </c>
      <c r="AL14" s="144">
        <f t="shared" si="0"/>
        <v>282727</v>
      </c>
      <c r="AM14">
        <v>43707</v>
      </c>
      <c r="AN14" s="45">
        <v>5276</v>
      </c>
      <c r="AO14" s="131">
        <v>14471</v>
      </c>
      <c r="AP14">
        <v>83176</v>
      </c>
      <c r="AQ14" s="145">
        <v>8276</v>
      </c>
      <c r="AR14" s="45">
        <v>957</v>
      </c>
      <c r="AS14">
        <v>25028</v>
      </c>
      <c r="AT14" s="187">
        <v>54491</v>
      </c>
      <c r="AU14" s="45">
        <v>18106</v>
      </c>
      <c r="AV14">
        <v>29239</v>
      </c>
    </row>
    <row r="15" spans="1:48">
      <c r="A15" s="45">
        <f t="array" ref="A15">IFERROR(INDEX(baseline!$A$3:$A$201,MATCH($B15&amp;$C15,baseline!$C$3:$C$201&amp;baseline!$D$3:$D$201,0)),"NA")</f>
        <v>14</v>
      </c>
      <c r="B15" t="s">
        <v>762</v>
      </c>
      <c r="C15" t="s">
        <v>13</v>
      </c>
      <c r="D15" s="131" t="s">
        <v>1030</v>
      </c>
      <c r="E15" s="131">
        <v>0.7</v>
      </c>
      <c r="F15" s="132" t="s">
        <v>769</v>
      </c>
      <c r="G15" s="132" t="s">
        <v>769</v>
      </c>
      <c r="H15" s="132" t="s">
        <v>769</v>
      </c>
      <c r="I15" s="131">
        <v>0.9</v>
      </c>
      <c r="J15">
        <v>0.3</v>
      </c>
      <c r="K15" t="s">
        <v>769</v>
      </c>
      <c r="L15" t="s">
        <v>769</v>
      </c>
      <c r="M15" s="45" t="b">
        <v>1</v>
      </c>
      <c r="N15" t="b">
        <v>1</v>
      </c>
      <c r="O15" s="132">
        <v>0.92</v>
      </c>
      <c r="P15" s="132">
        <v>0.92</v>
      </c>
      <c r="Q15" s="132" t="b">
        <v>1</v>
      </c>
      <c r="R15" s="132" t="s">
        <v>862</v>
      </c>
      <c r="S15" s="132" t="s">
        <v>916</v>
      </c>
      <c r="T15" s="45" t="b">
        <v>1</v>
      </c>
      <c r="U15" s="132">
        <v>82</v>
      </c>
      <c r="V15" s="132">
        <v>-25</v>
      </c>
      <c r="W15" s="132">
        <v>40</v>
      </c>
      <c r="X15" s="132">
        <v>20</v>
      </c>
      <c r="Y15" t="b">
        <v>1</v>
      </c>
      <c r="Z15">
        <v>0.05</v>
      </c>
      <c r="AA15">
        <v>17</v>
      </c>
      <c r="AB15">
        <v>22</v>
      </c>
      <c r="AC15">
        <v>99</v>
      </c>
      <c r="AD15">
        <v>24</v>
      </c>
      <c r="AE15" s="131">
        <v>2.0000000000000001E-4</v>
      </c>
      <c r="AF15" t="b">
        <v>1</v>
      </c>
      <c r="AG15">
        <v>20</v>
      </c>
      <c r="AH15">
        <v>13</v>
      </c>
      <c r="AI15" t="s">
        <v>769</v>
      </c>
      <c r="AJ15" t="s">
        <v>769</v>
      </c>
      <c r="AK15" t="s">
        <v>769</v>
      </c>
      <c r="AL15" s="144">
        <f t="shared" si="0"/>
        <v>282727</v>
      </c>
      <c r="AM15">
        <v>43707</v>
      </c>
      <c r="AN15" s="45">
        <v>5276</v>
      </c>
      <c r="AO15" s="131">
        <v>14471</v>
      </c>
      <c r="AP15">
        <v>83176</v>
      </c>
      <c r="AQ15" s="145">
        <v>8276</v>
      </c>
      <c r="AR15" s="45">
        <v>957</v>
      </c>
      <c r="AS15">
        <v>25028</v>
      </c>
      <c r="AT15" s="187">
        <v>54491</v>
      </c>
      <c r="AU15" s="45">
        <v>18106</v>
      </c>
      <c r="AV15">
        <v>29239</v>
      </c>
    </row>
    <row r="16" spans="1:48">
      <c r="A16" s="45">
        <f t="array" ref="A16">IFERROR(INDEX(baseline!$A$3:$A$201,MATCH($B16&amp;$C16,baseline!$C$3:$C$201&amp;baseline!$D$3:$D$201,0)),"NA")</f>
        <v>15</v>
      </c>
      <c r="B16" t="s">
        <v>762</v>
      </c>
      <c r="C16" t="s">
        <v>14</v>
      </c>
      <c r="D16" s="131" t="s">
        <v>1030</v>
      </c>
      <c r="E16" s="131">
        <v>0.7</v>
      </c>
      <c r="F16" s="132" t="s">
        <v>769</v>
      </c>
      <c r="G16" s="132" t="s">
        <v>769</v>
      </c>
      <c r="H16" s="132" t="s">
        <v>769</v>
      </c>
      <c r="I16" s="131">
        <v>0.9</v>
      </c>
      <c r="J16">
        <v>0.3</v>
      </c>
      <c r="K16" t="s">
        <v>769</v>
      </c>
      <c r="L16" t="s">
        <v>769</v>
      </c>
      <c r="M16" s="45" t="b">
        <v>1</v>
      </c>
      <c r="N16" t="b">
        <v>1</v>
      </c>
      <c r="O16" s="132">
        <v>0.92</v>
      </c>
      <c r="P16" s="132">
        <v>0.92</v>
      </c>
      <c r="Q16" s="132" t="b">
        <v>1</v>
      </c>
      <c r="R16" s="132" t="s">
        <v>862</v>
      </c>
      <c r="S16" s="132" t="s">
        <v>916</v>
      </c>
      <c r="T16" s="45" t="b">
        <v>1</v>
      </c>
      <c r="U16" s="132">
        <v>82</v>
      </c>
      <c r="V16" s="132">
        <v>-25</v>
      </c>
      <c r="W16" s="132">
        <v>40</v>
      </c>
      <c r="X16" s="132">
        <v>20</v>
      </c>
      <c r="Y16" t="b">
        <v>1</v>
      </c>
      <c r="Z16">
        <v>0.05</v>
      </c>
      <c r="AA16">
        <v>17</v>
      </c>
      <c r="AB16">
        <v>22</v>
      </c>
      <c r="AC16">
        <v>99</v>
      </c>
      <c r="AD16">
        <v>24</v>
      </c>
      <c r="AE16" s="131">
        <v>2.0000000000000001E-4</v>
      </c>
      <c r="AF16" t="b">
        <v>1</v>
      </c>
      <c r="AG16">
        <v>20</v>
      </c>
      <c r="AH16">
        <v>13</v>
      </c>
      <c r="AI16" s="144" t="s">
        <v>900</v>
      </c>
      <c r="AJ16" s="146" t="s">
        <v>901</v>
      </c>
      <c r="AK16">
        <v>0.89500000000000002</v>
      </c>
      <c r="AL16" s="144">
        <f t="shared" si="0"/>
        <v>278137</v>
      </c>
      <c r="AM16">
        <v>43707</v>
      </c>
      <c r="AN16" s="45">
        <v>5276</v>
      </c>
      <c r="AO16" s="131">
        <v>14471</v>
      </c>
      <c r="AP16">
        <v>83176</v>
      </c>
      <c r="AQ16" s="145">
        <v>8276</v>
      </c>
      <c r="AR16" s="45">
        <v>957</v>
      </c>
      <c r="AS16">
        <v>25028</v>
      </c>
      <c r="AT16" s="187">
        <v>49901</v>
      </c>
      <c r="AU16" s="45">
        <v>18106</v>
      </c>
      <c r="AV16">
        <v>29239</v>
      </c>
    </row>
    <row r="17" spans="1:48">
      <c r="A17" s="45">
        <f t="array" ref="A17">IFERROR(INDEX(baseline!$A$3:$A$201,MATCH($B17&amp;$C17,baseline!$C$3:$C$201&amp;baseline!$D$3:$D$201,0)),"NA")</f>
        <v>16</v>
      </c>
      <c r="B17" t="s">
        <v>763</v>
      </c>
      <c r="C17" t="s">
        <v>13</v>
      </c>
      <c r="D17" s="131" t="s">
        <v>1030</v>
      </c>
      <c r="E17" s="131">
        <v>0.7</v>
      </c>
      <c r="F17" s="132" t="s">
        <v>769</v>
      </c>
      <c r="G17" s="132" t="s">
        <v>769</v>
      </c>
      <c r="H17" s="132" t="s">
        <v>769</v>
      </c>
      <c r="I17" s="131">
        <v>0.9</v>
      </c>
      <c r="J17">
        <v>0.3</v>
      </c>
      <c r="K17" t="s">
        <v>769</v>
      </c>
      <c r="L17" t="s">
        <v>769</v>
      </c>
      <c r="M17" s="45" t="b">
        <v>1</v>
      </c>
      <c r="N17" t="b">
        <v>1</v>
      </c>
      <c r="O17" s="132">
        <v>0.92</v>
      </c>
      <c r="P17" s="132">
        <v>0.92</v>
      </c>
      <c r="Q17" s="132" t="b">
        <v>1</v>
      </c>
      <c r="R17" s="132" t="s">
        <v>862</v>
      </c>
      <c r="S17" s="132" t="s">
        <v>916</v>
      </c>
      <c r="T17" s="45" t="b">
        <v>1</v>
      </c>
      <c r="U17" s="132">
        <v>82</v>
      </c>
      <c r="V17" s="132">
        <v>-25</v>
      </c>
      <c r="W17" s="132">
        <v>40</v>
      </c>
      <c r="X17" s="132">
        <v>20</v>
      </c>
      <c r="Y17" t="b">
        <v>1</v>
      </c>
      <c r="Z17">
        <v>0.05</v>
      </c>
      <c r="AA17">
        <v>17</v>
      </c>
      <c r="AB17">
        <v>22</v>
      </c>
      <c r="AC17">
        <v>99</v>
      </c>
      <c r="AD17">
        <v>24</v>
      </c>
      <c r="AE17" s="131">
        <v>2.0000000000000001E-4</v>
      </c>
      <c r="AF17" t="b">
        <v>1</v>
      </c>
      <c r="AG17">
        <v>20</v>
      </c>
      <c r="AH17">
        <v>13</v>
      </c>
      <c r="AI17" t="s">
        <v>769</v>
      </c>
      <c r="AJ17" t="s">
        <v>769</v>
      </c>
      <c r="AK17" t="s">
        <v>769</v>
      </c>
      <c r="AL17" s="144">
        <f t="shared" si="0"/>
        <v>114105</v>
      </c>
      <c r="AM17">
        <v>13712</v>
      </c>
      <c r="AN17" s="45">
        <v>1508</v>
      </c>
      <c r="AO17" s="131">
        <v>4540</v>
      </c>
      <c r="AP17">
        <v>20189</v>
      </c>
      <c r="AQ17" s="145">
        <v>1745</v>
      </c>
      <c r="AR17" s="45">
        <v>957</v>
      </c>
      <c r="AS17">
        <v>7852</v>
      </c>
      <c r="AT17" s="187">
        <v>36956</v>
      </c>
      <c r="AU17" s="45">
        <v>14485</v>
      </c>
      <c r="AV17">
        <v>12161</v>
      </c>
    </row>
    <row r="18" spans="1:48">
      <c r="A18" s="45">
        <f t="array" ref="A18">IFERROR(INDEX(baseline!$A$3:$A$201,MATCH($B18&amp;$C18,baseline!$C$3:$C$201&amp;baseline!$D$3:$D$201,0)),"NA")</f>
        <v>17</v>
      </c>
      <c r="B18" t="s">
        <v>763</v>
      </c>
      <c r="C18" t="s">
        <v>14</v>
      </c>
      <c r="D18" s="131" t="s">
        <v>1030</v>
      </c>
      <c r="E18" s="131">
        <v>0.7</v>
      </c>
      <c r="F18" s="132" t="s">
        <v>769</v>
      </c>
      <c r="G18" s="132" t="s">
        <v>769</v>
      </c>
      <c r="H18" s="132" t="s">
        <v>769</v>
      </c>
      <c r="I18" s="131">
        <v>0.9</v>
      </c>
      <c r="J18">
        <v>0.3</v>
      </c>
      <c r="K18" t="s">
        <v>769</v>
      </c>
      <c r="L18" t="s">
        <v>769</v>
      </c>
      <c r="M18" s="45" t="b">
        <v>1</v>
      </c>
      <c r="N18" t="b">
        <v>1</v>
      </c>
      <c r="O18" s="132">
        <v>0.92</v>
      </c>
      <c r="P18" s="132">
        <v>0.92</v>
      </c>
      <c r="Q18" s="132" t="b">
        <v>1</v>
      </c>
      <c r="R18" s="132" t="s">
        <v>862</v>
      </c>
      <c r="S18" s="132" t="s">
        <v>916</v>
      </c>
      <c r="T18" s="45" t="b">
        <v>1</v>
      </c>
      <c r="U18" s="132">
        <v>82</v>
      </c>
      <c r="V18" s="132">
        <v>-25</v>
      </c>
      <c r="W18" s="132">
        <v>40</v>
      </c>
      <c r="X18" s="132">
        <v>20</v>
      </c>
      <c r="Y18" t="b">
        <v>1</v>
      </c>
      <c r="Z18">
        <v>0.05</v>
      </c>
      <c r="AA18">
        <v>17</v>
      </c>
      <c r="AB18">
        <v>22</v>
      </c>
      <c r="AC18">
        <v>99</v>
      </c>
      <c r="AD18">
        <v>24</v>
      </c>
      <c r="AE18" s="131">
        <v>2.0000000000000001E-4</v>
      </c>
      <c r="AF18" t="b">
        <v>1</v>
      </c>
      <c r="AG18">
        <v>20</v>
      </c>
      <c r="AH18">
        <v>13</v>
      </c>
      <c r="AI18" t="s">
        <v>769</v>
      </c>
      <c r="AJ18" t="s">
        <v>769</v>
      </c>
      <c r="AK18" t="s">
        <v>769</v>
      </c>
      <c r="AL18" s="144">
        <f t="shared" si="0"/>
        <v>110701</v>
      </c>
      <c r="AM18">
        <v>13712</v>
      </c>
      <c r="AN18" s="45">
        <v>1508</v>
      </c>
      <c r="AO18" s="131">
        <v>4540</v>
      </c>
      <c r="AP18">
        <v>20189</v>
      </c>
      <c r="AQ18" s="145">
        <v>1745</v>
      </c>
      <c r="AR18" s="45">
        <v>957</v>
      </c>
      <c r="AS18">
        <v>7852</v>
      </c>
      <c r="AT18" s="187">
        <v>33552</v>
      </c>
      <c r="AU18" s="45">
        <v>14485</v>
      </c>
      <c r="AV18">
        <v>12161</v>
      </c>
    </row>
    <row r="19" spans="1:48">
      <c r="A19" s="45">
        <f t="array" ref="A19">IFERROR(INDEX(baseline!$A$3:$A$201,MATCH($B19&amp;$C19,baseline!$C$3:$C$201&amp;baseline!$D$3:$D$201,0)),"NA")</f>
        <v>18</v>
      </c>
      <c r="B19" t="s">
        <v>763</v>
      </c>
      <c r="C19" t="s">
        <v>546</v>
      </c>
      <c r="D19" s="131" t="s">
        <v>1030</v>
      </c>
      <c r="E19" s="131">
        <v>0.7</v>
      </c>
      <c r="F19" s="132" t="s">
        <v>769</v>
      </c>
      <c r="G19" s="132" t="s">
        <v>769</v>
      </c>
      <c r="H19" s="132" t="s">
        <v>769</v>
      </c>
      <c r="I19" s="131">
        <v>0.9</v>
      </c>
      <c r="J19">
        <v>0.3</v>
      </c>
      <c r="K19" t="s">
        <v>769</v>
      </c>
      <c r="L19" t="s">
        <v>769</v>
      </c>
      <c r="M19" s="45" t="b">
        <v>1</v>
      </c>
      <c r="N19" t="b">
        <v>1</v>
      </c>
      <c r="O19" s="132">
        <v>0.92</v>
      </c>
      <c r="P19" s="132">
        <v>0.92</v>
      </c>
      <c r="Q19" s="132" t="b">
        <v>1</v>
      </c>
      <c r="R19" s="132" t="s">
        <v>862</v>
      </c>
      <c r="S19" s="132" t="s">
        <v>916</v>
      </c>
      <c r="T19" s="45" t="b">
        <v>1</v>
      </c>
      <c r="U19" s="132">
        <v>82</v>
      </c>
      <c r="V19" s="132">
        <v>-25</v>
      </c>
      <c r="W19" s="132">
        <v>40</v>
      </c>
      <c r="X19" s="132">
        <v>20</v>
      </c>
      <c r="Y19" t="b">
        <v>1</v>
      </c>
      <c r="Z19">
        <v>0.05</v>
      </c>
      <c r="AA19">
        <v>17</v>
      </c>
      <c r="AB19">
        <v>22</v>
      </c>
      <c r="AC19">
        <v>99</v>
      </c>
      <c r="AD19">
        <v>24</v>
      </c>
      <c r="AE19" s="131">
        <v>2.0000000000000001E-4</v>
      </c>
      <c r="AF19" t="b">
        <v>1</v>
      </c>
      <c r="AG19">
        <v>20</v>
      </c>
      <c r="AH19">
        <v>13</v>
      </c>
      <c r="AI19" t="s">
        <v>769</v>
      </c>
      <c r="AJ19" t="s">
        <v>769</v>
      </c>
      <c r="AK19" t="s">
        <v>769</v>
      </c>
      <c r="AL19" s="144">
        <f t="shared" si="0"/>
        <v>77149</v>
      </c>
      <c r="AM19">
        <v>13712</v>
      </c>
      <c r="AN19" s="45">
        <v>1508</v>
      </c>
      <c r="AO19" s="131">
        <v>4540</v>
      </c>
      <c r="AP19">
        <v>20189</v>
      </c>
      <c r="AQ19" s="145">
        <v>1745</v>
      </c>
      <c r="AR19" s="45">
        <v>957</v>
      </c>
      <c r="AS19">
        <v>7852</v>
      </c>
      <c r="AT19" s="187">
        <v>0</v>
      </c>
      <c r="AU19" s="45">
        <v>14485</v>
      </c>
      <c r="AV19">
        <v>12161</v>
      </c>
    </row>
    <row r="20" spans="1:48">
      <c r="A20" s="45">
        <f t="array" ref="A20">IFERROR(INDEX(baseline!$A$3:$A$201,MATCH($B20&amp;$C20,baseline!$C$3:$C$201&amp;baseline!$D$3:$D$201,0)),"NA")</f>
        <v>19</v>
      </c>
      <c r="B20" t="s">
        <v>712</v>
      </c>
      <c r="C20" t="s">
        <v>14</v>
      </c>
      <c r="D20" s="131" t="s">
        <v>1030</v>
      </c>
      <c r="E20" s="131">
        <v>0.7</v>
      </c>
      <c r="F20" s="132" t="s">
        <v>769</v>
      </c>
      <c r="G20" s="132" t="s">
        <v>769</v>
      </c>
      <c r="H20" s="132" t="s">
        <v>769</v>
      </c>
      <c r="I20" s="131">
        <v>0.9</v>
      </c>
      <c r="J20">
        <v>0.3</v>
      </c>
      <c r="K20" t="s">
        <v>769</v>
      </c>
      <c r="L20" t="s">
        <v>769</v>
      </c>
      <c r="M20" s="45" t="s">
        <v>769</v>
      </c>
      <c r="N20" t="b">
        <v>1</v>
      </c>
      <c r="O20" s="132">
        <v>0.92</v>
      </c>
      <c r="P20" s="132">
        <v>0.92</v>
      </c>
      <c r="Q20" s="132" t="b">
        <v>1</v>
      </c>
      <c r="R20" s="132" t="s">
        <v>862</v>
      </c>
      <c r="S20" s="132" t="s">
        <v>916</v>
      </c>
      <c r="T20" s="45" t="b">
        <v>1</v>
      </c>
      <c r="U20" s="132">
        <v>82</v>
      </c>
      <c r="V20" s="132">
        <v>-25</v>
      </c>
      <c r="W20" s="132">
        <v>40</v>
      </c>
      <c r="X20" s="132">
        <v>20</v>
      </c>
      <c r="Y20" t="b">
        <v>1</v>
      </c>
      <c r="Z20">
        <v>0.05</v>
      </c>
      <c r="AA20">
        <v>17</v>
      </c>
      <c r="AB20">
        <v>22</v>
      </c>
      <c r="AC20">
        <v>99</v>
      </c>
      <c r="AD20">
        <v>24</v>
      </c>
      <c r="AE20" s="131">
        <v>2.0000000000000001E-4</v>
      </c>
      <c r="AF20" t="b">
        <v>1</v>
      </c>
      <c r="AG20">
        <v>20</v>
      </c>
      <c r="AH20">
        <v>13</v>
      </c>
      <c r="AI20" t="s">
        <v>769</v>
      </c>
      <c r="AJ20" t="s">
        <v>769</v>
      </c>
      <c r="AK20" t="s">
        <v>769</v>
      </c>
      <c r="AL20" s="144">
        <f t="shared" si="0"/>
        <v>501354</v>
      </c>
      <c r="AM20">
        <v>27424</v>
      </c>
      <c r="AN20" s="45">
        <v>6030</v>
      </c>
      <c r="AO20" s="131">
        <v>9080</v>
      </c>
      <c r="AP20">
        <v>232340</v>
      </c>
      <c r="AQ20" s="145">
        <v>35398</v>
      </c>
      <c r="AR20" s="45">
        <v>957</v>
      </c>
      <c r="AS20">
        <v>15704</v>
      </c>
      <c r="AT20" s="187">
        <v>112850</v>
      </c>
      <c r="AU20" s="45">
        <v>32591</v>
      </c>
      <c r="AV20">
        <v>28980</v>
      </c>
    </row>
    <row r="21" spans="1:48">
      <c r="A21" s="45">
        <f t="array" ref="A21">IFERROR(INDEX(baseline!$A$3:$A$201,MATCH($B21&amp;$C21,baseline!$C$3:$C$201&amp;baseline!$D$3:$D$201,0)),"NA")</f>
        <v>20</v>
      </c>
      <c r="B21" t="s">
        <v>2</v>
      </c>
      <c r="C21" t="s">
        <v>881</v>
      </c>
      <c r="D21" s="131" t="s">
        <v>1030</v>
      </c>
      <c r="E21" s="131">
        <v>0.7</v>
      </c>
      <c r="F21" s="132" t="s">
        <v>769</v>
      </c>
      <c r="G21" s="132" t="s">
        <v>769</v>
      </c>
      <c r="H21" s="132" t="s">
        <v>769</v>
      </c>
      <c r="I21" s="131">
        <v>0.9</v>
      </c>
      <c r="J21">
        <v>0.3</v>
      </c>
      <c r="K21" t="s">
        <v>769</v>
      </c>
      <c r="L21" t="s">
        <v>769</v>
      </c>
      <c r="M21" s="45" t="b">
        <v>1</v>
      </c>
      <c r="N21" t="b">
        <v>1</v>
      </c>
      <c r="O21" s="132">
        <v>0.92</v>
      </c>
      <c r="P21" s="132">
        <v>0.92</v>
      </c>
      <c r="Q21" s="132" t="b">
        <v>1</v>
      </c>
      <c r="R21" s="132" t="s">
        <v>862</v>
      </c>
      <c r="S21" s="132" t="s">
        <v>916</v>
      </c>
      <c r="T21" s="45" t="b">
        <v>1</v>
      </c>
      <c r="U21" s="132">
        <v>82</v>
      </c>
      <c r="V21" s="132">
        <v>-25</v>
      </c>
      <c r="W21" s="132">
        <v>40</v>
      </c>
      <c r="X21" s="132">
        <v>20</v>
      </c>
      <c r="Y21" t="b">
        <v>1</v>
      </c>
      <c r="Z21">
        <v>0.05</v>
      </c>
      <c r="AA21">
        <v>17</v>
      </c>
      <c r="AB21">
        <v>22</v>
      </c>
      <c r="AC21">
        <v>99</v>
      </c>
      <c r="AD21">
        <v>24</v>
      </c>
      <c r="AE21" s="131">
        <v>2.9999999999999997E-4</v>
      </c>
      <c r="AF21" t="b">
        <v>1</v>
      </c>
      <c r="AG21">
        <v>20</v>
      </c>
      <c r="AH21">
        <v>13</v>
      </c>
      <c r="AI21" t="s">
        <v>769</v>
      </c>
      <c r="AJ21" t="s">
        <v>769</v>
      </c>
      <c r="AK21" t="s">
        <v>769</v>
      </c>
      <c r="AL21" s="144">
        <f t="shared" si="0"/>
        <v>65397</v>
      </c>
      <c r="AM21">
        <v>857</v>
      </c>
      <c r="AN21" s="45">
        <v>754</v>
      </c>
      <c r="AO21" s="131">
        <v>284</v>
      </c>
      <c r="AP21">
        <v>24436</v>
      </c>
      <c r="AQ21" s="144">
        <v>0</v>
      </c>
      <c r="AR21" s="45">
        <v>957</v>
      </c>
      <c r="AS21">
        <v>491</v>
      </c>
      <c r="AT21" s="187">
        <v>37359</v>
      </c>
      <c r="AU21" s="45">
        <v>0</v>
      </c>
      <c r="AV21">
        <v>259</v>
      </c>
    </row>
    <row r="22" spans="1:48">
      <c r="A22" s="45">
        <f t="array" ref="A22">IFERROR(INDEX(baseline!$A$3:$A$201,MATCH($B22&amp;$C22,baseline!$C$3:$C$201&amp;baseline!$D$3:$D$201,0)),"NA")</f>
        <v>21</v>
      </c>
      <c r="B22" t="s">
        <v>2</v>
      </c>
      <c r="C22" t="s">
        <v>13</v>
      </c>
      <c r="D22" s="131" t="s">
        <v>1030</v>
      </c>
      <c r="E22" s="131">
        <v>0.7</v>
      </c>
      <c r="F22" s="132" t="s">
        <v>769</v>
      </c>
      <c r="G22" s="132" t="s">
        <v>769</v>
      </c>
      <c r="H22" s="132" t="s">
        <v>769</v>
      </c>
      <c r="I22" s="131">
        <v>0.9</v>
      </c>
      <c r="J22">
        <v>0.3</v>
      </c>
      <c r="K22" t="s">
        <v>769</v>
      </c>
      <c r="L22" t="s">
        <v>769</v>
      </c>
      <c r="M22" s="45" t="b">
        <v>1</v>
      </c>
      <c r="N22" t="b">
        <v>1</v>
      </c>
      <c r="O22" s="132">
        <v>0.92</v>
      </c>
      <c r="P22" s="132">
        <v>0.92</v>
      </c>
      <c r="Q22" s="132" t="b">
        <v>1</v>
      </c>
      <c r="R22" s="132" t="s">
        <v>862</v>
      </c>
      <c r="S22" s="132" t="s">
        <v>916</v>
      </c>
      <c r="T22" s="45" t="b">
        <v>1</v>
      </c>
      <c r="U22" s="132">
        <v>82</v>
      </c>
      <c r="V22" s="132">
        <v>-25</v>
      </c>
      <c r="W22" s="132">
        <v>40</v>
      </c>
      <c r="X22" s="132">
        <v>20</v>
      </c>
      <c r="Y22" t="b">
        <v>1</v>
      </c>
      <c r="Z22">
        <v>0.05</v>
      </c>
      <c r="AA22">
        <v>17</v>
      </c>
      <c r="AB22">
        <v>22</v>
      </c>
      <c r="AC22">
        <v>99</v>
      </c>
      <c r="AD22">
        <v>24</v>
      </c>
      <c r="AE22" s="131">
        <v>2.9999999999999997E-4</v>
      </c>
      <c r="AF22" t="b">
        <v>1</v>
      </c>
      <c r="AG22">
        <v>20</v>
      </c>
      <c r="AH22">
        <v>13</v>
      </c>
      <c r="AI22" t="s">
        <v>769</v>
      </c>
      <c r="AJ22" t="s">
        <v>769</v>
      </c>
      <c r="AK22" t="s">
        <v>769</v>
      </c>
      <c r="AL22" s="144">
        <f t="shared" si="0"/>
        <v>65397</v>
      </c>
      <c r="AM22">
        <v>857</v>
      </c>
      <c r="AN22" s="45">
        <v>754</v>
      </c>
      <c r="AO22" s="131">
        <v>284</v>
      </c>
      <c r="AP22">
        <v>24436</v>
      </c>
      <c r="AQ22" s="144">
        <v>0</v>
      </c>
      <c r="AR22" s="45">
        <v>957</v>
      </c>
      <c r="AS22">
        <v>491</v>
      </c>
      <c r="AT22" s="187">
        <v>37359</v>
      </c>
      <c r="AU22" s="45">
        <v>0</v>
      </c>
      <c r="AV22">
        <v>259</v>
      </c>
    </row>
    <row r="23" spans="1:48">
      <c r="A23" s="45">
        <f t="array" ref="A23">IFERROR(INDEX(baseline!$A$3:$A$201,MATCH($B23&amp;$C23,baseline!$C$3:$C$201&amp;baseline!$D$3:$D$201,0)),"NA")</f>
        <v>22</v>
      </c>
      <c r="B23" t="s">
        <v>2</v>
      </c>
      <c r="C23" t="s">
        <v>14</v>
      </c>
      <c r="D23" s="131" t="s">
        <v>1030</v>
      </c>
      <c r="E23" s="131">
        <v>0.7</v>
      </c>
      <c r="F23" s="132" t="s">
        <v>769</v>
      </c>
      <c r="G23" s="132" t="s">
        <v>769</v>
      </c>
      <c r="H23" s="132" t="s">
        <v>769</v>
      </c>
      <c r="I23" s="131">
        <v>0.9</v>
      </c>
      <c r="J23">
        <v>0.3</v>
      </c>
      <c r="K23" t="s">
        <v>769</v>
      </c>
      <c r="L23" t="s">
        <v>769</v>
      </c>
      <c r="M23" s="45" t="b">
        <v>1</v>
      </c>
      <c r="N23" t="b">
        <v>1</v>
      </c>
      <c r="O23" s="132">
        <v>0.92</v>
      </c>
      <c r="P23" s="132">
        <v>0.92</v>
      </c>
      <c r="Q23" s="132" t="b">
        <v>1</v>
      </c>
      <c r="R23" s="132" t="s">
        <v>862</v>
      </c>
      <c r="S23" s="132" t="s">
        <v>916</v>
      </c>
      <c r="T23" s="45" t="b">
        <v>1</v>
      </c>
      <c r="U23" s="132">
        <v>82</v>
      </c>
      <c r="V23" s="132">
        <v>-25</v>
      </c>
      <c r="W23" s="132">
        <v>40</v>
      </c>
      <c r="X23" s="132">
        <v>20</v>
      </c>
      <c r="Y23" t="b">
        <v>1</v>
      </c>
      <c r="Z23">
        <v>0.05</v>
      </c>
      <c r="AA23">
        <v>17</v>
      </c>
      <c r="AB23">
        <v>22</v>
      </c>
      <c r="AC23">
        <v>99</v>
      </c>
      <c r="AD23">
        <v>24</v>
      </c>
      <c r="AE23" s="131">
        <v>2.9999999999999997E-4</v>
      </c>
      <c r="AF23" t="b">
        <v>1</v>
      </c>
      <c r="AG23">
        <v>20</v>
      </c>
      <c r="AH23">
        <v>13</v>
      </c>
      <c r="AI23" t="s">
        <v>769</v>
      </c>
      <c r="AJ23" t="s">
        <v>769</v>
      </c>
      <c r="AK23" t="s">
        <v>769</v>
      </c>
      <c r="AL23" s="144">
        <f t="shared" si="0"/>
        <v>61563</v>
      </c>
      <c r="AM23">
        <v>857</v>
      </c>
      <c r="AN23" s="45">
        <v>754</v>
      </c>
      <c r="AO23" s="131">
        <v>284</v>
      </c>
      <c r="AP23">
        <v>24436</v>
      </c>
      <c r="AQ23" s="144">
        <v>0</v>
      </c>
      <c r="AR23" s="45">
        <v>957</v>
      </c>
      <c r="AS23">
        <v>491</v>
      </c>
      <c r="AT23" s="187">
        <v>33525</v>
      </c>
      <c r="AU23" s="45">
        <v>0</v>
      </c>
      <c r="AV23">
        <v>259</v>
      </c>
    </row>
    <row r="24" spans="1:48">
      <c r="A24" s="45">
        <f t="array" ref="A24">IFERROR(INDEX(baseline!$A$3:$A$201,MATCH($B24&amp;$C24,baseline!$C$3:$C$201&amp;baseline!$D$3:$D$201,0)),"NA")</f>
        <v>23</v>
      </c>
      <c r="B24" t="s">
        <v>2</v>
      </c>
      <c r="C24" t="s">
        <v>546</v>
      </c>
      <c r="D24" s="131" t="s">
        <v>1030</v>
      </c>
      <c r="E24" s="131">
        <v>0.7</v>
      </c>
      <c r="F24" s="132" t="s">
        <v>769</v>
      </c>
      <c r="G24" s="132" t="s">
        <v>769</v>
      </c>
      <c r="H24" s="132" t="s">
        <v>769</v>
      </c>
      <c r="I24" s="131">
        <v>0.9</v>
      </c>
      <c r="J24">
        <v>0.3</v>
      </c>
      <c r="K24" t="s">
        <v>769</v>
      </c>
      <c r="L24" t="s">
        <v>769</v>
      </c>
      <c r="M24" s="45" t="b">
        <v>1</v>
      </c>
      <c r="N24" t="b">
        <v>1</v>
      </c>
      <c r="O24" s="132">
        <v>0.92</v>
      </c>
      <c r="P24" s="132">
        <v>0.92</v>
      </c>
      <c r="Q24" s="132" t="b">
        <v>1</v>
      </c>
      <c r="R24" s="132" t="s">
        <v>862</v>
      </c>
      <c r="S24" s="132" t="s">
        <v>916</v>
      </c>
      <c r="T24" s="45" t="b">
        <v>1</v>
      </c>
      <c r="U24" s="132">
        <v>82</v>
      </c>
      <c r="V24" s="132">
        <v>-25</v>
      </c>
      <c r="W24" s="132">
        <v>40</v>
      </c>
      <c r="X24" s="132">
        <v>20</v>
      </c>
      <c r="Y24" t="b">
        <v>1</v>
      </c>
      <c r="Z24">
        <v>0.05</v>
      </c>
      <c r="AA24">
        <v>17</v>
      </c>
      <c r="AB24">
        <v>22</v>
      </c>
      <c r="AC24">
        <v>99</v>
      </c>
      <c r="AD24">
        <v>24</v>
      </c>
      <c r="AE24" s="131">
        <v>2.9999999999999997E-4</v>
      </c>
      <c r="AF24" t="b">
        <v>1</v>
      </c>
      <c r="AG24">
        <v>20</v>
      </c>
      <c r="AH24">
        <v>13</v>
      </c>
      <c r="AI24" t="s">
        <v>769</v>
      </c>
      <c r="AJ24" t="s">
        <v>769</v>
      </c>
      <c r="AK24" t="s">
        <v>769</v>
      </c>
      <c r="AL24" s="144">
        <f t="shared" si="0"/>
        <v>28038</v>
      </c>
      <c r="AM24">
        <v>857</v>
      </c>
      <c r="AN24" s="45">
        <v>754</v>
      </c>
      <c r="AO24" s="131">
        <v>284</v>
      </c>
      <c r="AP24">
        <v>24436</v>
      </c>
      <c r="AQ24" s="144">
        <v>0</v>
      </c>
      <c r="AR24" s="45">
        <v>957</v>
      </c>
      <c r="AS24">
        <v>491</v>
      </c>
      <c r="AT24" s="187">
        <v>0</v>
      </c>
      <c r="AU24" s="45">
        <v>0</v>
      </c>
      <c r="AV24">
        <v>259</v>
      </c>
    </row>
    <row r="25" spans="1:48">
      <c r="A25" s="45">
        <f t="array" ref="A25">IFERROR(INDEX(baseline!$A$3:$A$201,MATCH($B25&amp;$C25,baseline!$C$3:$C$201&amp;baseline!$D$3:$D$201,0)),"NA")</f>
        <v>24</v>
      </c>
      <c r="B25" t="s">
        <v>547</v>
      </c>
      <c r="C25" t="s">
        <v>881</v>
      </c>
      <c r="D25" s="131" t="s">
        <v>1030</v>
      </c>
      <c r="E25" s="131">
        <v>0.7</v>
      </c>
      <c r="F25" s="132" t="s">
        <v>769</v>
      </c>
      <c r="G25" s="132" t="s">
        <v>769</v>
      </c>
      <c r="H25" s="132" t="s">
        <v>769</v>
      </c>
      <c r="I25" s="131">
        <v>0.9</v>
      </c>
      <c r="J25">
        <v>0.3</v>
      </c>
      <c r="K25" t="s">
        <v>769</v>
      </c>
      <c r="L25" t="s">
        <v>769</v>
      </c>
      <c r="M25" s="45" t="b">
        <v>1</v>
      </c>
      <c r="N25" t="b">
        <v>1</v>
      </c>
      <c r="O25" s="132">
        <v>0.92</v>
      </c>
      <c r="P25" s="132">
        <v>0.92</v>
      </c>
      <c r="Q25" s="132" t="b">
        <v>1</v>
      </c>
      <c r="R25" s="132" t="s">
        <v>862</v>
      </c>
      <c r="S25" s="132" t="s">
        <v>916</v>
      </c>
      <c r="T25" s="45" t="b">
        <v>1</v>
      </c>
      <c r="U25" s="132">
        <v>82</v>
      </c>
      <c r="V25" s="132">
        <v>-25</v>
      </c>
      <c r="W25" s="132">
        <v>40</v>
      </c>
      <c r="X25" s="132">
        <v>20</v>
      </c>
      <c r="Y25" t="b">
        <v>1</v>
      </c>
      <c r="Z25">
        <v>0.05</v>
      </c>
      <c r="AA25">
        <v>17</v>
      </c>
      <c r="AB25">
        <v>22</v>
      </c>
      <c r="AC25">
        <v>99</v>
      </c>
      <c r="AD25">
        <v>24</v>
      </c>
      <c r="AE25" s="131">
        <v>2.0000000000000001E-4</v>
      </c>
      <c r="AF25" t="b">
        <v>1</v>
      </c>
      <c r="AG25">
        <v>20</v>
      </c>
      <c r="AH25">
        <v>13</v>
      </c>
      <c r="AI25" t="s">
        <v>769</v>
      </c>
      <c r="AJ25" t="s">
        <v>769</v>
      </c>
      <c r="AK25" t="s">
        <v>769</v>
      </c>
      <c r="AL25" s="144">
        <f t="shared" si="0"/>
        <v>400032</v>
      </c>
      <c r="AM25">
        <v>35137</v>
      </c>
      <c r="AN25" s="45">
        <v>1508</v>
      </c>
      <c r="AO25" s="131">
        <v>11634</v>
      </c>
      <c r="AP25">
        <v>160307</v>
      </c>
      <c r="AQ25" s="145">
        <v>20033</v>
      </c>
      <c r="AR25" s="45">
        <v>957</v>
      </c>
      <c r="AS25">
        <v>20121</v>
      </c>
      <c r="AT25" s="187">
        <v>116444</v>
      </c>
      <c r="AU25" s="45">
        <v>14485</v>
      </c>
      <c r="AV25">
        <v>19406</v>
      </c>
    </row>
    <row r="26" spans="1:48">
      <c r="A26" s="45">
        <f t="array" ref="A26">IFERROR(INDEX(baseline!$A$3:$A$201,MATCH($B26&amp;$C26,baseline!$C$3:$C$201&amp;baseline!$D$3:$D$201,0)),"NA")</f>
        <v>25</v>
      </c>
      <c r="B26" t="s">
        <v>547</v>
      </c>
      <c r="C26" t="s">
        <v>14</v>
      </c>
      <c r="D26" s="131" t="s">
        <v>1030</v>
      </c>
      <c r="E26" s="131">
        <v>0.7</v>
      </c>
      <c r="F26" s="132" t="s">
        <v>769</v>
      </c>
      <c r="G26" s="132" t="s">
        <v>769</v>
      </c>
      <c r="H26" s="132" t="s">
        <v>769</v>
      </c>
      <c r="I26" s="131">
        <v>0.9</v>
      </c>
      <c r="J26">
        <v>0.3</v>
      </c>
      <c r="K26" t="s">
        <v>769</v>
      </c>
      <c r="L26" t="s">
        <v>769</v>
      </c>
      <c r="M26" s="45" t="b">
        <v>1</v>
      </c>
      <c r="N26" t="b">
        <v>1</v>
      </c>
      <c r="O26" s="132">
        <v>0.92</v>
      </c>
      <c r="P26" s="132">
        <v>0.92</v>
      </c>
      <c r="Q26" s="132" t="b">
        <v>1</v>
      </c>
      <c r="R26" s="132" t="s">
        <v>862</v>
      </c>
      <c r="S26" s="132" t="s">
        <v>916</v>
      </c>
      <c r="T26" s="45" t="b">
        <v>1</v>
      </c>
      <c r="U26" s="132">
        <v>82</v>
      </c>
      <c r="V26" s="132">
        <v>-25</v>
      </c>
      <c r="W26" s="132">
        <v>40</v>
      </c>
      <c r="X26" s="132">
        <v>20</v>
      </c>
      <c r="Y26" t="b">
        <v>1</v>
      </c>
      <c r="Z26">
        <v>0.05</v>
      </c>
      <c r="AA26">
        <v>17</v>
      </c>
      <c r="AB26">
        <v>22</v>
      </c>
      <c r="AC26">
        <v>99</v>
      </c>
      <c r="AD26">
        <v>24</v>
      </c>
      <c r="AE26" s="131">
        <v>2.0000000000000001E-4</v>
      </c>
      <c r="AF26" t="b">
        <v>1</v>
      </c>
      <c r="AG26">
        <v>20</v>
      </c>
      <c r="AH26">
        <v>13</v>
      </c>
      <c r="AI26" t="s">
        <v>769</v>
      </c>
      <c r="AJ26" t="s">
        <v>769</v>
      </c>
      <c r="AK26" t="s">
        <v>769</v>
      </c>
      <c r="AL26" s="144">
        <f t="shared" si="0"/>
        <v>387391</v>
      </c>
      <c r="AM26">
        <v>35137</v>
      </c>
      <c r="AN26" s="45">
        <v>1508</v>
      </c>
      <c r="AO26" s="131">
        <v>11634</v>
      </c>
      <c r="AP26">
        <v>160307</v>
      </c>
      <c r="AQ26" s="145">
        <v>20033</v>
      </c>
      <c r="AR26" s="45">
        <v>957</v>
      </c>
      <c r="AS26">
        <v>20121</v>
      </c>
      <c r="AT26" s="187">
        <v>103803</v>
      </c>
      <c r="AU26" s="45">
        <v>14485</v>
      </c>
      <c r="AV26">
        <v>19406</v>
      </c>
    </row>
    <row r="27" spans="1:48">
      <c r="A27" s="45">
        <f t="array" ref="A27">IFERROR(INDEX(baseline!$A$3:$A$201,MATCH($B27&amp;$C27,baseline!$C$3:$C$201&amp;baseline!$D$3:$D$201,0)),"NA")</f>
        <v>26</v>
      </c>
      <c r="B27" t="s">
        <v>547</v>
      </c>
      <c r="C27" t="s">
        <v>546</v>
      </c>
      <c r="D27" s="131" t="s">
        <v>1030</v>
      </c>
      <c r="E27" s="131">
        <v>0.7</v>
      </c>
      <c r="F27" s="132" t="s">
        <v>769</v>
      </c>
      <c r="G27" s="132" t="s">
        <v>769</v>
      </c>
      <c r="H27" s="132" t="s">
        <v>769</v>
      </c>
      <c r="I27" s="131">
        <v>0.9</v>
      </c>
      <c r="J27">
        <v>0.3</v>
      </c>
      <c r="K27" t="s">
        <v>769</v>
      </c>
      <c r="L27" t="s">
        <v>769</v>
      </c>
      <c r="M27" s="45" t="b">
        <v>1</v>
      </c>
      <c r="N27" t="b">
        <v>1</v>
      </c>
      <c r="O27" s="132">
        <v>0.92</v>
      </c>
      <c r="P27" s="132">
        <v>0.92</v>
      </c>
      <c r="Q27" s="132" t="b">
        <v>1</v>
      </c>
      <c r="R27" s="132" t="s">
        <v>862</v>
      </c>
      <c r="S27" s="132" t="s">
        <v>916</v>
      </c>
      <c r="T27" s="45" t="b">
        <v>1</v>
      </c>
      <c r="U27" s="132">
        <v>82</v>
      </c>
      <c r="V27" s="132">
        <v>-25</v>
      </c>
      <c r="W27" s="132">
        <v>40</v>
      </c>
      <c r="X27" s="132">
        <v>20</v>
      </c>
      <c r="Y27" t="b">
        <v>1</v>
      </c>
      <c r="Z27">
        <v>0.05</v>
      </c>
      <c r="AA27">
        <v>17</v>
      </c>
      <c r="AB27">
        <v>22</v>
      </c>
      <c r="AC27">
        <v>99</v>
      </c>
      <c r="AD27">
        <v>24</v>
      </c>
      <c r="AE27" s="131">
        <v>2.0000000000000001E-4</v>
      </c>
      <c r="AF27" t="b">
        <v>1</v>
      </c>
      <c r="AG27">
        <v>20</v>
      </c>
      <c r="AH27">
        <v>13</v>
      </c>
      <c r="AI27" t="s">
        <v>769</v>
      </c>
      <c r="AJ27" t="s">
        <v>769</v>
      </c>
      <c r="AK27" t="s">
        <v>769</v>
      </c>
      <c r="AL27" s="144">
        <f t="shared" si="0"/>
        <v>283588</v>
      </c>
      <c r="AM27">
        <v>35137</v>
      </c>
      <c r="AN27" s="45">
        <v>1508</v>
      </c>
      <c r="AO27" s="131">
        <v>11634</v>
      </c>
      <c r="AP27">
        <v>160307</v>
      </c>
      <c r="AQ27" s="145">
        <v>20033</v>
      </c>
      <c r="AR27" s="45">
        <v>957</v>
      </c>
      <c r="AS27">
        <v>20121</v>
      </c>
      <c r="AT27" s="187">
        <v>0</v>
      </c>
      <c r="AU27" s="45">
        <v>14485</v>
      </c>
      <c r="AV27">
        <v>19406</v>
      </c>
    </row>
    <row r="28" spans="1:48">
      <c r="A28" s="45">
        <f t="array" ref="A28">IFERROR(INDEX(baseline!$A$3:$A$201,MATCH($B28&amp;$C28,baseline!$C$3:$C$201&amp;baseline!$D$3:$D$201,0)),"NA")</f>
        <v>27</v>
      </c>
      <c r="B28" t="s">
        <v>1</v>
      </c>
      <c r="C28" t="s">
        <v>881</v>
      </c>
      <c r="D28" s="131" t="s">
        <v>1030</v>
      </c>
      <c r="E28" s="131">
        <v>0.7</v>
      </c>
      <c r="F28" s="132" t="s">
        <v>769</v>
      </c>
      <c r="G28" s="132" t="s">
        <v>769</v>
      </c>
      <c r="H28" s="132" t="s">
        <v>769</v>
      </c>
      <c r="I28" s="131">
        <v>0.9</v>
      </c>
      <c r="J28">
        <v>0.3</v>
      </c>
      <c r="K28" t="s">
        <v>769</v>
      </c>
      <c r="L28" t="s">
        <v>769</v>
      </c>
      <c r="M28" s="45" t="b">
        <v>1</v>
      </c>
      <c r="N28" t="b">
        <v>1</v>
      </c>
      <c r="O28" s="132">
        <v>0.92</v>
      </c>
      <c r="P28" s="132">
        <v>0.92</v>
      </c>
      <c r="Q28" s="132" t="b">
        <v>1</v>
      </c>
      <c r="R28" s="132" t="s">
        <v>862</v>
      </c>
      <c r="S28" s="132" t="s">
        <v>916</v>
      </c>
      <c r="T28" s="45" t="b">
        <v>1</v>
      </c>
      <c r="U28" s="132">
        <v>82</v>
      </c>
      <c r="V28" s="132">
        <v>-25</v>
      </c>
      <c r="W28" s="132">
        <v>40</v>
      </c>
      <c r="X28" s="132">
        <v>20</v>
      </c>
      <c r="Y28" t="b">
        <v>1</v>
      </c>
      <c r="Z28">
        <v>0.05</v>
      </c>
      <c r="AA28">
        <v>17</v>
      </c>
      <c r="AB28">
        <v>22</v>
      </c>
      <c r="AC28">
        <v>99</v>
      </c>
      <c r="AD28">
        <v>24</v>
      </c>
      <c r="AE28" s="131">
        <v>2.9999999999999997E-4</v>
      </c>
      <c r="AF28" t="b">
        <v>1</v>
      </c>
      <c r="AG28">
        <v>20</v>
      </c>
      <c r="AH28">
        <v>13</v>
      </c>
      <c r="AI28" t="s">
        <v>769</v>
      </c>
      <c r="AJ28" t="s">
        <v>769</v>
      </c>
      <c r="AK28" t="s">
        <v>769</v>
      </c>
      <c r="AL28" s="144">
        <f t="shared" si="0"/>
        <v>134111</v>
      </c>
      <c r="AM28">
        <v>8750</v>
      </c>
      <c r="AN28" s="45">
        <v>754</v>
      </c>
      <c r="AO28" s="131">
        <v>2838</v>
      </c>
      <c r="AP28">
        <v>26160</v>
      </c>
      <c r="AQ28" s="145">
        <v>3349</v>
      </c>
      <c r="AR28" s="45">
        <v>957</v>
      </c>
      <c r="AS28">
        <v>4908</v>
      </c>
      <c r="AT28" s="187">
        <v>67248</v>
      </c>
      <c r="AU28" s="45">
        <v>9315</v>
      </c>
      <c r="AV28">
        <v>9832</v>
      </c>
    </row>
    <row r="29" spans="1:48">
      <c r="A29" s="45">
        <f t="array" ref="A29">IFERROR(INDEX(baseline!$A$3:$A$201,MATCH($B29&amp;$C29,baseline!$C$3:$C$201&amp;baseline!$D$3:$D$201,0)),"NA")</f>
        <v>28</v>
      </c>
      <c r="B29" t="s">
        <v>1</v>
      </c>
      <c r="C29" t="s">
        <v>14</v>
      </c>
      <c r="D29" s="131" t="s">
        <v>1030</v>
      </c>
      <c r="E29" s="131">
        <v>0.7</v>
      </c>
      <c r="F29" s="132" t="s">
        <v>769</v>
      </c>
      <c r="G29" s="132" t="s">
        <v>769</v>
      </c>
      <c r="H29" s="132" t="s">
        <v>769</v>
      </c>
      <c r="I29" s="131">
        <v>0.9</v>
      </c>
      <c r="J29">
        <v>0.3</v>
      </c>
      <c r="K29" t="s">
        <v>769</v>
      </c>
      <c r="L29" t="s">
        <v>769</v>
      </c>
      <c r="M29" s="45" t="b">
        <v>1</v>
      </c>
      <c r="N29" t="b">
        <v>1</v>
      </c>
      <c r="O29" s="132">
        <v>0.92</v>
      </c>
      <c r="P29" s="132">
        <v>0.92</v>
      </c>
      <c r="Q29" s="132" t="b">
        <v>1</v>
      </c>
      <c r="R29" s="132" t="s">
        <v>862</v>
      </c>
      <c r="S29" s="132" t="s">
        <v>916</v>
      </c>
      <c r="T29" s="45" t="b">
        <v>1</v>
      </c>
      <c r="U29" s="132">
        <v>82</v>
      </c>
      <c r="V29" s="132">
        <v>-25</v>
      </c>
      <c r="W29" s="132">
        <v>40</v>
      </c>
      <c r="X29" s="132">
        <v>20</v>
      </c>
      <c r="Y29" t="b">
        <v>1</v>
      </c>
      <c r="Z29">
        <v>0.05</v>
      </c>
      <c r="AA29">
        <v>17</v>
      </c>
      <c r="AB29">
        <v>22</v>
      </c>
      <c r="AC29">
        <v>99</v>
      </c>
      <c r="AD29">
        <v>24</v>
      </c>
      <c r="AE29" s="131">
        <v>2.9999999999999997E-4</v>
      </c>
      <c r="AF29" t="b">
        <v>1</v>
      </c>
      <c r="AG29">
        <v>20</v>
      </c>
      <c r="AH29">
        <v>13</v>
      </c>
      <c r="AI29" t="s">
        <v>769</v>
      </c>
      <c r="AJ29" t="s">
        <v>769</v>
      </c>
      <c r="AK29" t="s">
        <v>769</v>
      </c>
      <c r="AL29" s="144">
        <f t="shared" si="0"/>
        <v>129003</v>
      </c>
      <c r="AM29">
        <v>8750</v>
      </c>
      <c r="AN29" s="45">
        <v>754</v>
      </c>
      <c r="AO29" s="131">
        <v>2838</v>
      </c>
      <c r="AP29">
        <v>26160</v>
      </c>
      <c r="AQ29" s="145">
        <v>3349</v>
      </c>
      <c r="AR29" s="45">
        <v>957</v>
      </c>
      <c r="AS29">
        <v>4908</v>
      </c>
      <c r="AT29" s="187">
        <v>62140</v>
      </c>
      <c r="AU29" s="45">
        <v>9315</v>
      </c>
      <c r="AV29">
        <v>9832</v>
      </c>
    </row>
    <row r="30" spans="1:48">
      <c r="A30" s="45" t="str">
        <f t="array" ref="A30">IFERROR(INDEX(baseline!$A$3:$A$201,MATCH($B30&amp;$C30,baseline!$C$3:$C$201&amp;baseline!$D$3:$D$201,0)),"NA")</f>
        <v>NA</v>
      </c>
      <c r="B30" t="s">
        <v>0</v>
      </c>
      <c r="C30" t="s">
        <v>13</v>
      </c>
      <c r="D30" s="131" t="s">
        <v>1030</v>
      </c>
      <c r="E30" s="131">
        <v>0.7</v>
      </c>
      <c r="F30" s="132" t="s">
        <v>769</v>
      </c>
      <c r="G30" s="132" t="s">
        <v>769</v>
      </c>
      <c r="H30" s="132" t="s">
        <v>769</v>
      </c>
      <c r="I30" s="131">
        <v>0.9</v>
      </c>
      <c r="J30">
        <v>0.3</v>
      </c>
      <c r="K30" t="s">
        <v>769</v>
      </c>
      <c r="L30" t="s">
        <v>769</v>
      </c>
      <c r="M30" s="45" t="s">
        <v>769</v>
      </c>
      <c r="N30" t="b">
        <v>1</v>
      </c>
      <c r="O30" s="132">
        <v>0.92</v>
      </c>
      <c r="P30" s="132">
        <v>0.92</v>
      </c>
      <c r="Q30" s="132" t="b">
        <v>1</v>
      </c>
      <c r="R30" s="132" t="s">
        <v>862</v>
      </c>
      <c r="S30" s="132" t="s">
        <v>916</v>
      </c>
      <c r="T30" s="45" t="b">
        <v>1</v>
      </c>
      <c r="U30" s="132">
        <v>82</v>
      </c>
      <c r="V30" s="132">
        <v>-25</v>
      </c>
      <c r="W30" s="132">
        <v>40</v>
      </c>
      <c r="X30" s="132">
        <v>20</v>
      </c>
      <c r="Y30" t="b">
        <v>1</v>
      </c>
      <c r="Z30">
        <v>0.05</v>
      </c>
      <c r="AA30">
        <v>17</v>
      </c>
      <c r="AB30">
        <v>22</v>
      </c>
      <c r="AC30">
        <v>99</v>
      </c>
      <c r="AD30">
        <v>24</v>
      </c>
      <c r="AE30" s="131">
        <v>2.0000000000000001E-4</v>
      </c>
      <c r="AF30" t="b">
        <v>1</v>
      </c>
      <c r="AG30">
        <v>20</v>
      </c>
      <c r="AH30">
        <v>13</v>
      </c>
      <c r="AI30" t="s">
        <v>769</v>
      </c>
      <c r="AJ30" t="s">
        <v>769</v>
      </c>
      <c r="AK30" t="s">
        <v>769</v>
      </c>
      <c r="AL30" s="144">
        <f t="shared" si="0"/>
        <v>0</v>
      </c>
      <c r="AM30">
        <v>64275</v>
      </c>
      <c r="AN30" s="45">
        <v>4523</v>
      </c>
      <c r="AO30" s="131">
        <v>21281</v>
      </c>
      <c r="AP30">
        <v>92265</v>
      </c>
      <c r="AQ30" s="145">
        <v>10200</v>
      </c>
      <c r="AR30" s="45">
        <v>957</v>
      </c>
      <c r="AS30">
        <v>36806</v>
      </c>
      <c r="AT30" s="187">
        <v>122012</v>
      </c>
      <c r="AU30" s="45">
        <v>10864</v>
      </c>
      <c r="AV30">
        <v>34414</v>
      </c>
    </row>
    <row r="31" spans="1:48">
      <c r="A31" s="45" t="str">
        <f t="array" ref="A31">IFERROR(INDEX(baseline!$A$3:$A$201,MATCH($B31&amp;$C31,baseline!$C$3:$C$201&amp;baseline!$D$3:$D$201,0)),"NA")</f>
        <v>NA</v>
      </c>
      <c r="B31" t="s">
        <v>0</v>
      </c>
      <c r="C31" t="s">
        <v>14</v>
      </c>
      <c r="D31" s="131" t="s">
        <v>1030</v>
      </c>
      <c r="E31" s="131">
        <v>0.7</v>
      </c>
      <c r="F31" s="132" t="s">
        <v>769</v>
      </c>
      <c r="G31" s="132" t="s">
        <v>769</v>
      </c>
      <c r="H31" s="132" t="s">
        <v>769</v>
      </c>
      <c r="I31" s="131">
        <v>0.9</v>
      </c>
      <c r="J31">
        <v>0.3</v>
      </c>
      <c r="K31" t="s">
        <v>769</v>
      </c>
      <c r="L31" t="s">
        <v>769</v>
      </c>
      <c r="M31" s="45" t="s">
        <v>769</v>
      </c>
      <c r="N31" t="b">
        <v>1</v>
      </c>
      <c r="O31" s="132">
        <v>0.92</v>
      </c>
      <c r="P31" s="132">
        <v>0.92</v>
      </c>
      <c r="Q31" s="132" t="b">
        <v>1</v>
      </c>
      <c r="R31" s="132" t="s">
        <v>862</v>
      </c>
      <c r="S31" s="132" t="s">
        <v>916</v>
      </c>
      <c r="T31" s="45" t="b">
        <v>1</v>
      </c>
      <c r="U31" s="132">
        <v>82</v>
      </c>
      <c r="V31" s="132">
        <v>-25</v>
      </c>
      <c r="W31" s="132">
        <v>40</v>
      </c>
      <c r="X31" s="132">
        <v>20</v>
      </c>
      <c r="Y31" t="b">
        <v>1</v>
      </c>
      <c r="Z31">
        <v>0.05</v>
      </c>
      <c r="AA31">
        <v>17</v>
      </c>
      <c r="AB31">
        <v>22</v>
      </c>
      <c r="AC31">
        <v>99</v>
      </c>
      <c r="AD31">
        <v>24</v>
      </c>
      <c r="AE31" s="131">
        <v>2.0000000000000001E-4</v>
      </c>
      <c r="AF31" t="b">
        <v>1</v>
      </c>
      <c r="AG31">
        <v>20</v>
      </c>
      <c r="AH31">
        <v>13</v>
      </c>
      <c r="AI31" t="s">
        <v>769</v>
      </c>
      <c r="AJ31" t="s">
        <v>769</v>
      </c>
      <c r="AK31" t="s">
        <v>769</v>
      </c>
      <c r="AL31" s="144">
        <f t="shared" si="0"/>
        <v>0</v>
      </c>
      <c r="AM31">
        <v>64275</v>
      </c>
      <c r="AN31" s="45">
        <v>4523</v>
      </c>
      <c r="AO31" s="131">
        <v>21281</v>
      </c>
      <c r="AP31">
        <v>92265</v>
      </c>
      <c r="AQ31" s="145">
        <v>10200</v>
      </c>
      <c r="AR31" s="45">
        <v>957</v>
      </c>
      <c r="AS31">
        <v>36806</v>
      </c>
      <c r="AT31" s="187">
        <v>110890</v>
      </c>
      <c r="AU31" s="45">
        <v>10864</v>
      </c>
      <c r="AV31">
        <v>34414</v>
      </c>
    </row>
    <row r="32" spans="1:48">
      <c r="A32" s="45">
        <f t="array" ref="A32">IFERROR(INDEX(baseline!$A$3:$A$201,MATCH($B32&amp;$C32,baseline!$C$3:$C$201&amp;baseline!$D$3:$D$201,0)),"NA")</f>
        <v>30</v>
      </c>
      <c r="B32" t="s">
        <v>0</v>
      </c>
      <c r="C32" t="s">
        <v>546</v>
      </c>
      <c r="D32" s="131" t="s">
        <v>1030</v>
      </c>
      <c r="E32" s="131">
        <v>0.7</v>
      </c>
      <c r="F32" s="132" t="s">
        <v>769</v>
      </c>
      <c r="G32" s="132" t="s">
        <v>769</v>
      </c>
      <c r="H32" s="132" t="s">
        <v>769</v>
      </c>
      <c r="I32" s="131">
        <v>0.9</v>
      </c>
      <c r="J32">
        <v>0.3</v>
      </c>
      <c r="K32" t="s">
        <v>769</v>
      </c>
      <c r="L32" t="s">
        <v>769</v>
      </c>
      <c r="M32" s="45" t="s">
        <v>769</v>
      </c>
      <c r="N32" t="b">
        <v>1</v>
      </c>
      <c r="O32" s="132">
        <v>0.92</v>
      </c>
      <c r="P32" s="132">
        <v>0.92</v>
      </c>
      <c r="Q32" s="132" t="b">
        <v>1</v>
      </c>
      <c r="R32" s="132" t="s">
        <v>862</v>
      </c>
      <c r="S32" s="132" t="s">
        <v>916</v>
      </c>
      <c r="T32" s="45" t="b">
        <v>1</v>
      </c>
      <c r="U32" s="132">
        <v>82</v>
      </c>
      <c r="V32" s="132">
        <v>-25</v>
      </c>
      <c r="W32" s="132">
        <v>40</v>
      </c>
      <c r="X32" s="132">
        <v>20</v>
      </c>
      <c r="Y32" t="b">
        <v>1</v>
      </c>
      <c r="Z32">
        <v>0.05</v>
      </c>
      <c r="AA32">
        <v>17</v>
      </c>
      <c r="AB32">
        <v>22</v>
      </c>
      <c r="AC32">
        <v>99</v>
      </c>
      <c r="AD32">
        <v>24</v>
      </c>
      <c r="AE32" s="131">
        <v>2.0000000000000001E-4</v>
      </c>
      <c r="AF32" t="b">
        <v>1</v>
      </c>
      <c r="AG32">
        <v>20</v>
      </c>
      <c r="AH32">
        <v>13</v>
      </c>
      <c r="AI32" t="s">
        <v>769</v>
      </c>
      <c r="AJ32" t="s">
        <v>769</v>
      </c>
      <c r="AK32" t="s">
        <v>769</v>
      </c>
      <c r="AL32" s="144">
        <f t="shared" si="0"/>
        <v>275585</v>
      </c>
      <c r="AM32">
        <v>64275</v>
      </c>
      <c r="AN32" s="45">
        <v>4523</v>
      </c>
      <c r="AO32" s="131">
        <v>21281</v>
      </c>
      <c r="AP32">
        <v>92265</v>
      </c>
      <c r="AQ32" s="145">
        <v>10200</v>
      </c>
      <c r="AR32" s="45">
        <v>957</v>
      </c>
      <c r="AS32">
        <v>36806</v>
      </c>
      <c r="AT32" s="187">
        <v>0</v>
      </c>
      <c r="AU32" s="45">
        <v>10864</v>
      </c>
      <c r="AV32">
        <v>34414</v>
      </c>
    </row>
    <row r="33" spans="1:48">
      <c r="A33" s="45" t="str">
        <f t="array" ref="A33">IFERROR(INDEX(baseline!$A$3:$A$201,MATCH($B33&amp;$C33,baseline!$C$3:$C$201&amp;baseline!$D$3:$D$201,0)),"NA")</f>
        <v>NA</v>
      </c>
      <c r="B33" t="s">
        <v>78</v>
      </c>
      <c r="C33" t="s">
        <v>13</v>
      </c>
      <c r="D33" s="131" t="s">
        <v>1030</v>
      </c>
      <c r="E33" s="131">
        <v>0.7</v>
      </c>
      <c r="F33" s="132" t="s">
        <v>769</v>
      </c>
      <c r="G33" s="132" t="s">
        <v>769</v>
      </c>
      <c r="H33" s="132" t="s">
        <v>769</v>
      </c>
      <c r="I33" s="131">
        <v>0.9</v>
      </c>
      <c r="J33">
        <v>0.3</v>
      </c>
      <c r="K33" t="s">
        <v>769</v>
      </c>
      <c r="L33" t="s">
        <v>769</v>
      </c>
      <c r="M33" s="45" t="s">
        <v>769</v>
      </c>
      <c r="N33" t="b">
        <v>1</v>
      </c>
      <c r="O33" s="132">
        <v>0.92</v>
      </c>
      <c r="P33" s="132">
        <v>0.92</v>
      </c>
      <c r="Q33" s="132" t="b">
        <v>1</v>
      </c>
      <c r="R33" s="132" t="s">
        <v>862</v>
      </c>
      <c r="S33" s="132" t="s">
        <v>916</v>
      </c>
      <c r="T33" s="45" t="b">
        <v>1</v>
      </c>
      <c r="U33" s="132">
        <v>82</v>
      </c>
      <c r="V33" s="132">
        <v>-25</v>
      </c>
      <c r="W33" s="132">
        <v>40</v>
      </c>
      <c r="X33" s="132">
        <v>20</v>
      </c>
      <c r="Y33" t="b">
        <v>1</v>
      </c>
      <c r="Z33">
        <v>0.05</v>
      </c>
      <c r="AA33">
        <v>17</v>
      </c>
      <c r="AB33">
        <v>22</v>
      </c>
      <c r="AC33">
        <v>99</v>
      </c>
      <c r="AD33">
        <v>24</v>
      </c>
      <c r="AE33" s="131">
        <v>2.9999999999999997E-4</v>
      </c>
      <c r="AF33" t="b">
        <v>1</v>
      </c>
      <c r="AG33">
        <v>20</v>
      </c>
      <c r="AH33">
        <v>13</v>
      </c>
      <c r="AI33" t="s">
        <v>769</v>
      </c>
      <c r="AJ33" t="s">
        <v>769</v>
      </c>
      <c r="AK33" t="s">
        <v>769</v>
      </c>
      <c r="AL33" s="144">
        <f t="shared" si="0"/>
        <v>0</v>
      </c>
      <c r="AM33">
        <v>8668</v>
      </c>
      <c r="AN33" s="45">
        <v>2261</v>
      </c>
      <c r="AO33" s="131">
        <v>2750</v>
      </c>
      <c r="AP33">
        <v>15765</v>
      </c>
      <c r="AQ33" s="145">
        <v>6120</v>
      </c>
      <c r="AR33" s="45">
        <v>957</v>
      </c>
      <c r="AS33">
        <v>5066</v>
      </c>
      <c r="AT33" s="187">
        <v>67418</v>
      </c>
      <c r="AU33" s="45">
        <v>3621</v>
      </c>
      <c r="AV33">
        <v>11902</v>
      </c>
    </row>
    <row r="34" spans="1:48">
      <c r="A34" s="45" t="str">
        <f t="array" ref="A34">IFERROR(INDEX(baseline!$A$3:$A$201,MATCH($B34&amp;$C34,baseline!$C$3:$C$201&amp;baseline!$D$3:$D$201,0)),"NA")</f>
        <v>NA</v>
      </c>
      <c r="B34" t="s">
        <v>78</v>
      </c>
      <c r="C34" t="s">
        <v>14</v>
      </c>
      <c r="D34" s="131" t="s">
        <v>1030</v>
      </c>
      <c r="E34" s="131">
        <v>0.7</v>
      </c>
      <c r="F34" s="132" t="s">
        <v>769</v>
      </c>
      <c r="G34" s="132" t="s">
        <v>769</v>
      </c>
      <c r="H34" s="132" t="s">
        <v>769</v>
      </c>
      <c r="I34" s="131">
        <v>0.9</v>
      </c>
      <c r="J34">
        <v>0.3</v>
      </c>
      <c r="K34" t="s">
        <v>769</v>
      </c>
      <c r="L34" t="s">
        <v>769</v>
      </c>
      <c r="M34" s="45" t="s">
        <v>769</v>
      </c>
      <c r="N34" t="b">
        <v>1</v>
      </c>
      <c r="O34" s="132">
        <v>0.92</v>
      </c>
      <c r="P34" s="132">
        <v>0.92</v>
      </c>
      <c r="Q34" s="132" t="b">
        <v>1</v>
      </c>
      <c r="R34" s="132" t="s">
        <v>862</v>
      </c>
      <c r="S34" s="132" t="s">
        <v>916</v>
      </c>
      <c r="T34" s="45" t="b">
        <v>1</v>
      </c>
      <c r="U34" s="132">
        <v>82</v>
      </c>
      <c r="V34" s="132">
        <v>-25</v>
      </c>
      <c r="W34" s="132">
        <v>40</v>
      </c>
      <c r="X34" s="132">
        <v>20</v>
      </c>
      <c r="Y34" t="b">
        <v>1</v>
      </c>
      <c r="Z34">
        <v>0.05</v>
      </c>
      <c r="AA34">
        <v>17</v>
      </c>
      <c r="AB34">
        <v>22</v>
      </c>
      <c r="AC34">
        <v>99</v>
      </c>
      <c r="AD34">
        <v>24</v>
      </c>
      <c r="AE34" s="131">
        <v>2.9999999999999997E-4</v>
      </c>
      <c r="AF34" t="b">
        <v>1</v>
      </c>
      <c r="AG34">
        <v>20</v>
      </c>
      <c r="AH34">
        <v>13</v>
      </c>
      <c r="AI34" t="s">
        <v>769</v>
      </c>
      <c r="AJ34" t="s">
        <v>769</v>
      </c>
      <c r="AK34" t="s">
        <v>769</v>
      </c>
      <c r="AL34" s="144">
        <f t="shared" si="0"/>
        <v>0</v>
      </c>
      <c r="AM34">
        <v>8668</v>
      </c>
      <c r="AN34" s="45">
        <v>2261</v>
      </c>
      <c r="AO34" s="131">
        <v>2750</v>
      </c>
      <c r="AP34">
        <v>15765</v>
      </c>
      <c r="AQ34" s="145">
        <v>6120</v>
      </c>
      <c r="AR34" s="45">
        <v>957</v>
      </c>
      <c r="AS34">
        <v>5066</v>
      </c>
      <c r="AT34" s="187">
        <v>62831</v>
      </c>
      <c r="AU34" s="45">
        <v>3621</v>
      </c>
      <c r="AV34">
        <v>11902</v>
      </c>
    </row>
    <row r="35" spans="1:48">
      <c r="A35" s="45">
        <f t="array" ref="A35">IFERROR(INDEX(baseline!$A$3:$A$201,MATCH($B35&amp;$C35,baseline!$C$3:$C$201&amp;baseline!$D$3:$D$201,0)),"NA")</f>
        <v>31</v>
      </c>
      <c r="B35" t="s">
        <v>78</v>
      </c>
      <c r="C35" t="s">
        <v>546</v>
      </c>
      <c r="D35" s="131" t="s">
        <v>1030</v>
      </c>
      <c r="E35" s="131">
        <v>0.7</v>
      </c>
      <c r="F35" s="132" t="s">
        <v>769</v>
      </c>
      <c r="G35" s="132" t="s">
        <v>769</v>
      </c>
      <c r="H35" s="132" t="s">
        <v>769</v>
      </c>
      <c r="I35" s="131">
        <v>0.9</v>
      </c>
      <c r="J35">
        <v>0.3</v>
      </c>
      <c r="K35" t="s">
        <v>769</v>
      </c>
      <c r="L35" t="s">
        <v>769</v>
      </c>
      <c r="M35" s="45" t="s">
        <v>769</v>
      </c>
      <c r="N35" t="b">
        <v>1</v>
      </c>
      <c r="O35" s="132">
        <v>0.92</v>
      </c>
      <c r="P35" s="132">
        <v>0.92</v>
      </c>
      <c r="Q35" s="132" t="b">
        <v>1</v>
      </c>
      <c r="R35" s="132" t="s">
        <v>862</v>
      </c>
      <c r="S35" s="132" t="s">
        <v>916</v>
      </c>
      <c r="T35" s="45" t="b">
        <v>1</v>
      </c>
      <c r="U35" s="132">
        <v>82</v>
      </c>
      <c r="V35" s="132">
        <v>-25</v>
      </c>
      <c r="W35" s="132">
        <v>40</v>
      </c>
      <c r="X35" s="132">
        <v>20</v>
      </c>
      <c r="Y35" t="b">
        <v>1</v>
      </c>
      <c r="Z35">
        <v>0.05</v>
      </c>
      <c r="AA35">
        <v>17</v>
      </c>
      <c r="AB35">
        <v>22</v>
      </c>
      <c r="AC35">
        <v>99</v>
      </c>
      <c r="AD35">
        <v>24</v>
      </c>
      <c r="AE35" s="131">
        <v>2.9999999999999997E-4</v>
      </c>
      <c r="AF35" t="b">
        <v>1</v>
      </c>
      <c r="AG35">
        <v>20</v>
      </c>
      <c r="AH35">
        <v>13</v>
      </c>
      <c r="AI35" t="s">
        <v>769</v>
      </c>
      <c r="AJ35" t="s">
        <v>769</v>
      </c>
      <c r="AK35" t="s">
        <v>769</v>
      </c>
      <c r="AL35" s="144">
        <f t="shared" si="0"/>
        <v>57110</v>
      </c>
      <c r="AM35">
        <v>8668</v>
      </c>
      <c r="AN35" s="45">
        <v>2261</v>
      </c>
      <c r="AO35" s="131">
        <v>2750</v>
      </c>
      <c r="AP35">
        <v>15765</v>
      </c>
      <c r="AQ35" s="145">
        <v>6120</v>
      </c>
      <c r="AR35" s="45">
        <v>957</v>
      </c>
      <c r="AS35">
        <v>5066</v>
      </c>
      <c r="AT35" s="187">
        <v>0</v>
      </c>
      <c r="AU35" s="45">
        <v>3621</v>
      </c>
      <c r="AV35">
        <v>11902</v>
      </c>
    </row>
    <row r="36" spans="1:48">
      <c r="A36" s="45" t="str">
        <f t="array" ref="A36">IFERROR(INDEX(baseline!$A$3:$A$201,MATCH($B36&amp;$C36,baseline!$C$3:$C$201&amp;baseline!$D$3:$D$201,0)),"NA")</f>
        <v>NA</v>
      </c>
      <c r="B36" t="s">
        <v>545</v>
      </c>
      <c r="C36" t="s">
        <v>13</v>
      </c>
      <c r="D36" s="131" t="s">
        <v>1030</v>
      </c>
      <c r="E36" s="131">
        <v>0.7</v>
      </c>
      <c r="F36" s="132" t="s">
        <v>769</v>
      </c>
      <c r="G36" s="132" t="s">
        <v>769</v>
      </c>
      <c r="H36" s="132" t="s">
        <v>769</v>
      </c>
      <c r="I36" s="131">
        <v>0.9</v>
      </c>
      <c r="J36">
        <v>0.3</v>
      </c>
      <c r="K36" t="s">
        <v>769</v>
      </c>
      <c r="L36" t="s">
        <v>769</v>
      </c>
      <c r="M36" s="45" t="b">
        <v>1</v>
      </c>
      <c r="N36" t="b">
        <v>1</v>
      </c>
      <c r="O36" s="132">
        <v>0.92</v>
      </c>
      <c r="P36" s="132">
        <v>0.92</v>
      </c>
      <c r="Q36" s="132" t="b">
        <v>1</v>
      </c>
      <c r="R36" s="132" t="s">
        <v>862</v>
      </c>
      <c r="S36" s="132" t="s">
        <v>916</v>
      </c>
      <c r="T36" s="45" t="b">
        <v>1</v>
      </c>
      <c r="U36" s="132">
        <v>82</v>
      </c>
      <c r="V36" s="132">
        <v>-25</v>
      </c>
      <c r="W36" s="132">
        <v>40</v>
      </c>
      <c r="X36" s="132">
        <v>20</v>
      </c>
      <c r="Y36" t="b">
        <v>1</v>
      </c>
      <c r="Z36">
        <v>0.05</v>
      </c>
      <c r="AA36">
        <v>17</v>
      </c>
      <c r="AB36">
        <v>22</v>
      </c>
      <c r="AC36">
        <v>99</v>
      </c>
      <c r="AD36">
        <v>24</v>
      </c>
      <c r="AE36" s="131">
        <v>2.0000000000000001E-4</v>
      </c>
      <c r="AF36" t="b">
        <v>1</v>
      </c>
      <c r="AG36">
        <v>20</v>
      </c>
      <c r="AH36">
        <v>13</v>
      </c>
      <c r="AI36" t="s">
        <v>769</v>
      </c>
      <c r="AJ36" t="s">
        <v>769</v>
      </c>
      <c r="AK36" t="s">
        <v>769</v>
      </c>
      <c r="AL36" s="144">
        <f t="shared" si="0"/>
        <v>0</v>
      </c>
      <c r="AM36">
        <v>7713</v>
      </c>
      <c r="AN36" s="45">
        <v>6784</v>
      </c>
      <c r="AO36" s="131">
        <v>2554</v>
      </c>
      <c r="AP36">
        <v>111667</v>
      </c>
      <c r="AQ36" s="145">
        <v>10636</v>
      </c>
      <c r="AR36" s="45">
        <v>957</v>
      </c>
      <c r="AS36">
        <v>4417</v>
      </c>
      <c r="AT36" s="187">
        <v>83796</v>
      </c>
      <c r="AU36" s="45">
        <v>14485</v>
      </c>
      <c r="AV36">
        <v>16046</v>
      </c>
    </row>
    <row r="37" spans="1:48">
      <c r="A37" s="45" t="str">
        <f t="array" ref="A37">IFERROR(INDEX(baseline!$A$3:$A$201,MATCH($B37&amp;$C37,baseline!$C$3:$C$201&amp;baseline!$D$3:$D$201,0)),"NA")</f>
        <v>NA</v>
      </c>
      <c r="B37" t="s">
        <v>545</v>
      </c>
      <c r="C37" t="s">
        <v>14</v>
      </c>
      <c r="D37" s="131" t="s">
        <v>1030</v>
      </c>
      <c r="E37" s="131">
        <v>0.7</v>
      </c>
      <c r="F37" s="132" t="s">
        <v>769</v>
      </c>
      <c r="G37" s="132" t="s">
        <v>769</v>
      </c>
      <c r="H37" s="132" t="s">
        <v>769</v>
      </c>
      <c r="I37" s="131">
        <v>0.9</v>
      </c>
      <c r="J37">
        <v>0.3</v>
      </c>
      <c r="K37" t="s">
        <v>769</v>
      </c>
      <c r="L37" t="s">
        <v>769</v>
      </c>
      <c r="M37" s="45" t="b">
        <v>1</v>
      </c>
      <c r="N37" t="b">
        <v>1</v>
      </c>
      <c r="O37" s="132">
        <v>0.92</v>
      </c>
      <c r="P37" s="132">
        <v>0.92</v>
      </c>
      <c r="Q37" s="132" t="b">
        <v>1</v>
      </c>
      <c r="R37" s="132" t="s">
        <v>862</v>
      </c>
      <c r="S37" s="132" t="s">
        <v>916</v>
      </c>
      <c r="T37" s="45" t="b">
        <v>1</v>
      </c>
      <c r="U37" s="132">
        <v>82</v>
      </c>
      <c r="V37" s="132">
        <v>-25</v>
      </c>
      <c r="W37" s="132">
        <v>40</v>
      </c>
      <c r="X37" s="132">
        <v>20</v>
      </c>
      <c r="Y37" t="b">
        <v>1</v>
      </c>
      <c r="Z37">
        <v>0.05</v>
      </c>
      <c r="AA37">
        <v>17</v>
      </c>
      <c r="AB37">
        <v>22</v>
      </c>
      <c r="AC37">
        <v>99</v>
      </c>
      <c r="AD37">
        <v>24</v>
      </c>
      <c r="AE37" s="131">
        <v>2.0000000000000001E-4</v>
      </c>
      <c r="AF37" t="b">
        <v>1</v>
      </c>
      <c r="AG37">
        <v>20</v>
      </c>
      <c r="AH37">
        <v>13</v>
      </c>
      <c r="AI37" t="s">
        <v>769</v>
      </c>
      <c r="AJ37" t="s">
        <v>769</v>
      </c>
      <c r="AK37" t="s">
        <v>769</v>
      </c>
      <c r="AL37" s="144">
        <f t="shared" si="0"/>
        <v>0</v>
      </c>
      <c r="AM37">
        <v>7713</v>
      </c>
      <c r="AN37" s="45">
        <v>6784</v>
      </c>
      <c r="AO37" s="131">
        <v>2554</v>
      </c>
      <c r="AP37">
        <v>111667</v>
      </c>
      <c r="AQ37" s="145">
        <v>10636</v>
      </c>
      <c r="AR37" s="45">
        <v>957</v>
      </c>
      <c r="AS37">
        <v>4417</v>
      </c>
      <c r="AT37" s="187">
        <v>76635</v>
      </c>
      <c r="AU37" s="45">
        <v>14485</v>
      </c>
      <c r="AV37">
        <v>16046</v>
      </c>
    </row>
    <row r="38" spans="1:48">
      <c r="A38" s="45">
        <f t="array" ref="A38">IFERROR(INDEX(baseline!$A$3:$A$201,MATCH($B38&amp;$C38,baseline!$C$3:$C$201&amp;baseline!$D$3:$D$201,0)),"NA")</f>
        <v>29</v>
      </c>
      <c r="B38" t="s">
        <v>761</v>
      </c>
      <c r="C38" t="s">
        <v>546</v>
      </c>
      <c r="D38" s="131" t="s">
        <v>1030</v>
      </c>
      <c r="E38" s="131">
        <v>0.7</v>
      </c>
      <c r="F38" s="132" t="s">
        <v>769</v>
      </c>
      <c r="G38" s="132" t="s">
        <v>769</v>
      </c>
      <c r="H38" s="132" t="s">
        <v>769</v>
      </c>
      <c r="I38" s="131">
        <v>0.9</v>
      </c>
      <c r="J38">
        <v>0.3</v>
      </c>
      <c r="K38" t="s">
        <v>769</v>
      </c>
      <c r="L38" t="s">
        <v>769</v>
      </c>
      <c r="M38" s="45" t="b">
        <v>1</v>
      </c>
      <c r="N38" t="b">
        <v>1</v>
      </c>
      <c r="O38" s="132">
        <v>0.92</v>
      </c>
      <c r="P38" s="132">
        <v>0.92</v>
      </c>
      <c r="Q38" s="132" t="b">
        <v>1</v>
      </c>
      <c r="R38" s="132" t="s">
        <v>862</v>
      </c>
      <c r="S38" s="132" t="s">
        <v>916</v>
      </c>
      <c r="T38" s="45" t="b">
        <v>1</v>
      </c>
      <c r="U38" s="132">
        <v>82</v>
      </c>
      <c r="V38" s="132">
        <v>-25</v>
      </c>
      <c r="W38" s="132">
        <v>40</v>
      </c>
      <c r="X38" s="132">
        <v>20</v>
      </c>
      <c r="Y38" t="b">
        <v>1</v>
      </c>
      <c r="Z38">
        <v>0.05</v>
      </c>
      <c r="AA38">
        <v>17</v>
      </c>
      <c r="AB38">
        <v>22</v>
      </c>
      <c r="AC38">
        <v>99</v>
      </c>
      <c r="AD38">
        <v>24</v>
      </c>
      <c r="AE38" s="131">
        <v>2.9999999999999997E-4</v>
      </c>
      <c r="AF38" t="b">
        <v>1</v>
      </c>
      <c r="AG38">
        <v>20</v>
      </c>
      <c r="AH38">
        <v>13</v>
      </c>
      <c r="AI38" t="s">
        <v>769</v>
      </c>
      <c r="AJ38" t="s">
        <v>769</v>
      </c>
      <c r="AK38" t="s">
        <v>769</v>
      </c>
      <c r="AL38" s="144">
        <f t="shared" si="0"/>
        <v>311283</v>
      </c>
      <c r="AM38">
        <v>65989</v>
      </c>
      <c r="AN38" s="45">
        <v>3769</v>
      </c>
      <c r="AO38" s="131">
        <v>21849</v>
      </c>
      <c r="AP38">
        <v>133713</v>
      </c>
      <c r="AQ38" s="145">
        <v>6855</v>
      </c>
      <c r="AR38" s="45">
        <v>957</v>
      </c>
      <c r="AS38">
        <v>37788</v>
      </c>
      <c r="AT38" s="187">
        <v>0</v>
      </c>
      <c r="AU38" s="45">
        <v>7243</v>
      </c>
      <c r="AV38">
        <v>33120</v>
      </c>
    </row>
    <row r="39" spans="1:48">
      <c r="A39" s="45" t="str">
        <f t="array" ref="A39">IFERROR(INDEX(baseline!$A$3:$A$201,MATCH($B39&amp;$C39,baseline!$C$3:$C$201&amp;baseline!$D$3:$D$201,0)),"NA")</f>
        <v>NA</v>
      </c>
      <c r="B39" t="s">
        <v>697</v>
      </c>
      <c r="C39" t="s">
        <v>13</v>
      </c>
      <c r="D39" s="131" t="s">
        <v>1030</v>
      </c>
      <c r="E39" s="131">
        <v>0.7</v>
      </c>
      <c r="F39" s="132" t="s">
        <v>769</v>
      </c>
      <c r="G39" s="132" t="s">
        <v>769</v>
      </c>
      <c r="H39" s="132" t="s">
        <v>769</v>
      </c>
      <c r="I39" s="131">
        <v>0.9</v>
      </c>
      <c r="J39">
        <v>0.3</v>
      </c>
      <c r="K39" t="s">
        <v>769</v>
      </c>
      <c r="L39" t="s">
        <v>769</v>
      </c>
      <c r="M39" s="45" t="b">
        <v>1</v>
      </c>
      <c r="N39" t="b">
        <v>1</v>
      </c>
      <c r="O39" s="132">
        <v>0.92</v>
      </c>
      <c r="P39" s="132">
        <v>0.92</v>
      </c>
      <c r="Q39" s="132" t="b">
        <v>1</v>
      </c>
      <c r="R39" s="132" t="s">
        <v>862</v>
      </c>
      <c r="S39" s="132" t="s">
        <v>916</v>
      </c>
      <c r="T39" s="45" t="b">
        <v>1</v>
      </c>
      <c r="U39" s="132">
        <v>82</v>
      </c>
      <c r="V39" s="132">
        <v>-25</v>
      </c>
      <c r="W39" s="132">
        <v>40</v>
      </c>
      <c r="X39" s="132">
        <v>20</v>
      </c>
      <c r="Y39" t="b">
        <v>1</v>
      </c>
      <c r="Z39">
        <v>0.05</v>
      </c>
      <c r="AA39">
        <v>17</v>
      </c>
      <c r="AB39">
        <v>22</v>
      </c>
      <c r="AC39">
        <v>99</v>
      </c>
      <c r="AD39">
        <v>24</v>
      </c>
      <c r="AE39" s="131">
        <v>2.9999999999999997E-4</v>
      </c>
      <c r="AF39" t="b">
        <v>1</v>
      </c>
      <c r="AG39">
        <v>20</v>
      </c>
      <c r="AH39">
        <v>13</v>
      </c>
      <c r="AI39" t="s">
        <v>769</v>
      </c>
      <c r="AJ39" t="s">
        <v>769</v>
      </c>
      <c r="AK39" t="s">
        <v>769</v>
      </c>
      <c r="AL39" s="144">
        <f t="shared" si="0"/>
        <v>0</v>
      </c>
      <c r="AM39">
        <v>9427</v>
      </c>
      <c r="AN39" s="45">
        <v>2261</v>
      </c>
      <c r="AO39" s="131">
        <v>3121</v>
      </c>
      <c r="AP39">
        <v>45581</v>
      </c>
      <c r="AQ39" s="145">
        <v>5266</v>
      </c>
      <c r="AR39" s="45">
        <v>957</v>
      </c>
      <c r="AS39">
        <v>5398</v>
      </c>
      <c r="AT39" s="187">
        <v>74019</v>
      </c>
      <c r="AU39" s="45">
        <v>3621</v>
      </c>
      <c r="AV39">
        <v>10609</v>
      </c>
    </row>
    <row r="40" spans="1:48">
      <c r="A40" s="45" t="str">
        <f t="array" ref="A40">IFERROR(INDEX(baseline!$A$3:$A$201,MATCH($B40&amp;$C40,baseline!$C$3:$C$201&amp;baseline!$D$3:$D$201,0)),"NA")</f>
        <v>NA</v>
      </c>
      <c r="B40" t="s">
        <v>697</v>
      </c>
      <c r="C40" t="s">
        <v>546</v>
      </c>
      <c r="D40" s="131" t="s">
        <v>1030</v>
      </c>
      <c r="E40" s="131">
        <v>0.7</v>
      </c>
      <c r="F40" s="132" t="s">
        <v>769</v>
      </c>
      <c r="G40" s="132" t="s">
        <v>769</v>
      </c>
      <c r="H40" s="132" t="s">
        <v>769</v>
      </c>
      <c r="I40" s="131">
        <v>0.9</v>
      </c>
      <c r="J40">
        <v>0.3</v>
      </c>
      <c r="K40" t="s">
        <v>769</v>
      </c>
      <c r="L40" t="s">
        <v>769</v>
      </c>
      <c r="M40" s="45" t="b">
        <v>1</v>
      </c>
      <c r="N40" t="b">
        <v>1</v>
      </c>
      <c r="O40" s="132">
        <v>0.92</v>
      </c>
      <c r="P40" s="132">
        <v>0.92</v>
      </c>
      <c r="Q40" s="132" t="b">
        <v>1</v>
      </c>
      <c r="R40" s="132" t="s">
        <v>862</v>
      </c>
      <c r="S40" s="132" t="s">
        <v>916</v>
      </c>
      <c r="T40" s="45" t="b">
        <v>1</v>
      </c>
      <c r="U40" s="132">
        <v>82</v>
      </c>
      <c r="V40" s="132">
        <v>-25</v>
      </c>
      <c r="W40" s="132">
        <v>40</v>
      </c>
      <c r="X40" s="132">
        <v>20</v>
      </c>
      <c r="Y40" t="b">
        <v>1</v>
      </c>
      <c r="Z40">
        <v>0.05</v>
      </c>
      <c r="AA40">
        <v>17</v>
      </c>
      <c r="AB40">
        <v>22</v>
      </c>
      <c r="AC40">
        <v>99</v>
      </c>
      <c r="AD40">
        <v>24</v>
      </c>
      <c r="AE40" s="131">
        <v>2.9999999999999997E-4</v>
      </c>
      <c r="AF40" t="b">
        <v>1</v>
      </c>
      <c r="AG40">
        <v>20</v>
      </c>
      <c r="AH40">
        <v>13</v>
      </c>
      <c r="AI40" t="s">
        <v>769</v>
      </c>
      <c r="AJ40" t="s">
        <v>769</v>
      </c>
      <c r="AK40" t="s">
        <v>769</v>
      </c>
      <c r="AL40" s="144">
        <f t="shared" si="0"/>
        <v>0</v>
      </c>
      <c r="AM40">
        <v>9427</v>
      </c>
      <c r="AN40" s="45">
        <v>2261</v>
      </c>
      <c r="AO40" s="131">
        <v>3121</v>
      </c>
      <c r="AP40">
        <v>45581</v>
      </c>
      <c r="AQ40" s="145">
        <v>5266</v>
      </c>
      <c r="AR40" s="45">
        <v>957</v>
      </c>
      <c r="AS40">
        <v>5398</v>
      </c>
      <c r="AT40" s="187">
        <v>0</v>
      </c>
      <c r="AU40" s="45">
        <v>3621</v>
      </c>
      <c r="AV40">
        <v>10609</v>
      </c>
    </row>
    <row r="41" spans="1:48">
      <c r="A41" s="45" t="str">
        <f t="array" ref="A41">IFERROR(INDEX(baseline!$A$3:$A$201,MATCH($B41&amp;$C41,baseline!$C$3:$C$201&amp;baseline!$D$3:$D$201,0)),"NA")</f>
        <v>NA</v>
      </c>
      <c r="B41" t="s">
        <v>713</v>
      </c>
      <c r="C41" t="s">
        <v>546</v>
      </c>
      <c r="D41" s="131" t="s">
        <v>1030</v>
      </c>
      <c r="E41" s="131">
        <v>0.7</v>
      </c>
      <c r="F41" s="132" t="s">
        <v>769</v>
      </c>
      <c r="G41" s="132" t="s">
        <v>769</v>
      </c>
      <c r="H41" s="132" t="s">
        <v>769</v>
      </c>
      <c r="I41" s="131">
        <v>0.9</v>
      </c>
      <c r="J41">
        <v>0.3</v>
      </c>
      <c r="K41" t="s">
        <v>769</v>
      </c>
      <c r="L41" t="s">
        <v>769</v>
      </c>
      <c r="M41" s="45" t="b">
        <v>1</v>
      </c>
      <c r="N41" t="b">
        <v>1</v>
      </c>
      <c r="O41" s="132">
        <v>0.92</v>
      </c>
      <c r="P41" s="132">
        <v>0.92</v>
      </c>
      <c r="Q41" s="132" t="b">
        <v>1</v>
      </c>
      <c r="R41" s="132" t="s">
        <v>862</v>
      </c>
      <c r="S41" s="132" t="s">
        <v>916</v>
      </c>
      <c r="T41" s="45" t="b">
        <v>1</v>
      </c>
      <c r="U41" s="132">
        <v>82</v>
      </c>
      <c r="V41" s="132">
        <v>-25</v>
      </c>
      <c r="W41" s="132">
        <v>40</v>
      </c>
      <c r="X41" s="132">
        <v>20</v>
      </c>
      <c r="Y41" t="b">
        <v>1</v>
      </c>
      <c r="Z41">
        <v>0.05</v>
      </c>
      <c r="AA41">
        <v>17</v>
      </c>
      <c r="AB41">
        <v>22</v>
      </c>
      <c r="AC41">
        <v>99</v>
      </c>
      <c r="AD41">
        <v>24</v>
      </c>
      <c r="AE41" s="131">
        <v>2.9999999999999997E-4</v>
      </c>
      <c r="AF41" t="b">
        <v>1</v>
      </c>
      <c r="AG41">
        <v>20</v>
      </c>
      <c r="AH41">
        <v>13</v>
      </c>
      <c r="AI41" t="s">
        <v>769</v>
      </c>
      <c r="AJ41" t="s">
        <v>769</v>
      </c>
      <c r="AK41" t="s">
        <v>769</v>
      </c>
      <c r="AL41" s="144">
        <f t="shared" si="0"/>
        <v>0</v>
      </c>
      <c r="AM41">
        <v>7713</v>
      </c>
      <c r="AN41" s="45">
        <v>754</v>
      </c>
      <c r="AO41" s="131">
        <v>2554</v>
      </c>
      <c r="AP41">
        <v>24169</v>
      </c>
      <c r="AQ41" s="145">
        <v>4516</v>
      </c>
      <c r="AR41" s="45">
        <v>957</v>
      </c>
      <c r="AS41">
        <v>4417</v>
      </c>
      <c r="AT41" s="187">
        <v>0</v>
      </c>
      <c r="AU41" s="45">
        <v>3621</v>
      </c>
      <c r="AV41">
        <v>6210</v>
      </c>
    </row>
    <row r="42" spans="1:48">
      <c r="A42" s="45" t="str">
        <f t="array" ref="A42">IFERROR(INDEX(baseline!$A$3:$A$201,MATCH($B42&amp;$C42,baseline!$C$3:$C$201&amp;baseline!$D$3:$D$201,0)),"NA")</f>
        <v>NA</v>
      </c>
      <c r="B42" t="s">
        <v>762</v>
      </c>
      <c r="C42" t="s">
        <v>546</v>
      </c>
      <c r="D42" s="131" t="s">
        <v>1030</v>
      </c>
      <c r="E42" s="131">
        <v>0.7</v>
      </c>
      <c r="F42" s="132" t="s">
        <v>769</v>
      </c>
      <c r="G42" s="132" t="s">
        <v>769</v>
      </c>
      <c r="H42" s="132" t="s">
        <v>769</v>
      </c>
      <c r="I42" s="131">
        <v>0.9</v>
      </c>
      <c r="J42">
        <v>0.3</v>
      </c>
      <c r="K42" t="s">
        <v>769</v>
      </c>
      <c r="L42" t="s">
        <v>769</v>
      </c>
      <c r="M42" s="45" t="b">
        <v>1</v>
      </c>
      <c r="N42" t="b">
        <v>1</v>
      </c>
      <c r="O42" s="132">
        <v>0.92</v>
      </c>
      <c r="P42" s="132">
        <v>0.92</v>
      </c>
      <c r="Q42" s="132" t="b">
        <v>1</v>
      </c>
      <c r="R42" s="132" t="s">
        <v>862</v>
      </c>
      <c r="S42" s="132" t="s">
        <v>916</v>
      </c>
      <c r="T42" s="45" t="b">
        <v>1</v>
      </c>
      <c r="U42" s="132">
        <v>82</v>
      </c>
      <c r="V42" s="132">
        <v>-25</v>
      </c>
      <c r="W42" s="132">
        <v>40</v>
      </c>
      <c r="X42" s="132">
        <v>20</v>
      </c>
      <c r="Y42" t="b">
        <v>1</v>
      </c>
      <c r="Z42">
        <v>0.05</v>
      </c>
      <c r="AA42">
        <v>17</v>
      </c>
      <c r="AB42">
        <v>22</v>
      </c>
      <c r="AC42">
        <v>99</v>
      </c>
      <c r="AD42">
        <v>24</v>
      </c>
      <c r="AE42" s="131">
        <v>2.0000000000000001E-4</v>
      </c>
      <c r="AF42" t="b">
        <v>1</v>
      </c>
      <c r="AG42">
        <v>20</v>
      </c>
      <c r="AH42">
        <v>13</v>
      </c>
      <c r="AI42" t="s">
        <v>769</v>
      </c>
      <c r="AJ42" t="s">
        <v>769</v>
      </c>
      <c r="AK42" t="s">
        <v>769</v>
      </c>
      <c r="AL42" s="144">
        <f t="shared" si="0"/>
        <v>0</v>
      </c>
      <c r="AM42">
        <v>43707</v>
      </c>
      <c r="AN42" s="45">
        <v>5276</v>
      </c>
      <c r="AO42" s="131">
        <v>14471</v>
      </c>
      <c r="AP42">
        <v>83176</v>
      </c>
      <c r="AQ42" s="145">
        <v>8276</v>
      </c>
      <c r="AR42" s="45">
        <v>957</v>
      </c>
      <c r="AS42">
        <v>25028</v>
      </c>
      <c r="AT42" s="187">
        <v>0</v>
      </c>
      <c r="AU42" s="45">
        <v>18106</v>
      </c>
      <c r="AV42">
        <v>29239</v>
      </c>
    </row>
    <row r="43" spans="1:48">
      <c r="A43" s="45" t="str">
        <f t="array" ref="A43">IFERROR(INDEX(baseline!$A$3:$A$201,MATCH($B43&amp;$C43,baseline!$C$3:$C$201&amp;baseline!$D$3:$D$201,0)),"NA")</f>
        <v>NA</v>
      </c>
      <c r="B43" t="s">
        <v>763</v>
      </c>
      <c r="C43" t="s">
        <v>881</v>
      </c>
      <c r="D43" s="131" t="s">
        <v>1030</v>
      </c>
      <c r="E43" s="131">
        <v>0.7</v>
      </c>
      <c r="F43" s="132" t="s">
        <v>769</v>
      </c>
      <c r="G43" s="132" t="s">
        <v>769</v>
      </c>
      <c r="H43" s="132" t="s">
        <v>769</v>
      </c>
      <c r="I43" s="131">
        <v>0.9</v>
      </c>
      <c r="J43">
        <v>0.3</v>
      </c>
      <c r="K43" t="s">
        <v>769</v>
      </c>
      <c r="L43" t="s">
        <v>769</v>
      </c>
      <c r="M43" s="45" t="b">
        <v>1</v>
      </c>
      <c r="N43" t="b">
        <v>1</v>
      </c>
      <c r="O43" s="132">
        <v>0.92</v>
      </c>
      <c r="P43" s="132">
        <v>0.92</v>
      </c>
      <c r="Q43" s="132" t="b">
        <v>1</v>
      </c>
      <c r="R43" s="132" t="s">
        <v>862</v>
      </c>
      <c r="S43" s="132" t="s">
        <v>916</v>
      </c>
      <c r="T43" s="45" t="b">
        <v>1</v>
      </c>
      <c r="U43" s="132">
        <v>82</v>
      </c>
      <c r="V43" s="132">
        <v>-25</v>
      </c>
      <c r="W43" s="132">
        <v>40</v>
      </c>
      <c r="X43" s="132">
        <v>20</v>
      </c>
      <c r="Y43" t="b">
        <v>1</v>
      </c>
      <c r="Z43">
        <v>0.05</v>
      </c>
      <c r="AA43">
        <v>17</v>
      </c>
      <c r="AB43">
        <v>22</v>
      </c>
      <c r="AC43">
        <v>99</v>
      </c>
      <c r="AD43">
        <v>24</v>
      </c>
      <c r="AE43" s="131">
        <v>2.0000000000000001E-4</v>
      </c>
      <c r="AF43" t="b">
        <v>1</v>
      </c>
      <c r="AG43">
        <v>20</v>
      </c>
      <c r="AH43">
        <v>13</v>
      </c>
      <c r="AI43" t="s">
        <v>769</v>
      </c>
      <c r="AJ43" t="s">
        <v>769</v>
      </c>
      <c r="AK43" t="s">
        <v>769</v>
      </c>
      <c r="AL43" s="144">
        <f t="shared" si="0"/>
        <v>0</v>
      </c>
      <c r="AM43">
        <v>13712</v>
      </c>
      <c r="AN43" s="45">
        <v>1508</v>
      </c>
      <c r="AO43" s="131">
        <v>4540</v>
      </c>
      <c r="AP43">
        <v>20189</v>
      </c>
      <c r="AQ43" s="145">
        <v>1745</v>
      </c>
      <c r="AR43" s="45">
        <v>957</v>
      </c>
      <c r="AS43">
        <v>7852</v>
      </c>
      <c r="AT43" s="188">
        <v>36956</v>
      </c>
      <c r="AU43" s="45">
        <v>14485</v>
      </c>
      <c r="AV43">
        <v>12161</v>
      </c>
    </row>
    <row r="44" spans="1:48">
      <c r="A44" s="45" t="str">
        <f t="array" ref="A44">IFERROR(INDEX(baseline!$A$3:$A$201,MATCH($B44&amp;$C44,baseline!$C$3:$C$201&amp;baseline!$D$3:$D$201,0)),"NA")</f>
        <v>NA</v>
      </c>
      <c r="B44" t="s">
        <v>712</v>
      </c>
      <c r="C44" t="s">
        <v>881</v>
      </c>
      <c r="D44" s="131" t="s">
        <v>1030</v>
      </c>
      <c r="E44" s="131">
        <v>0.7</v>
      </c>
      <c r="F44" s="132" t="s">
        <v>769</v>
      </c>
      <c r="G44" s="132" t="s">
        <v>769</v>
      </c>
      <c r="H44" s="132" t="s">
        <v>769</v>
      </c>
      <c r="I44" s="131">
        <v>0.9</v>
      </c>
      <c r="J44">
        <v>0.3</v>
      </c>
      <c r="K44" t="s">
        <v>769</v>
      </c>
      <c r="L44" t="s">
        <v>769</v>
      </c>
      <c r="M44" s="45" t="s">
        <v>769</v>
      </c>
      <c r="N44" t="b">
        <v>1</v>
      </c>
      <c r="O44" s="132">
        <v>0.92</v>
      </c>
      <c r="P44" s="132">
        <v>0.92</v>
      </c>
      <c r="Q44" s="132" t="b">
        <v>1</v>
      </c>
      <c r="R44" s="132" t="s">
        <v>862</v>
      </c>
      <c r="S44" s="132" t="s">
        <v>916</v>
      </c>
      <c r="T44" s="45" t="b">
        <v>1</v>
      </c>
      <c r="U44" s="132">
        <v>82</v>
      </c>
      <c r="V44" s="132">
        <v>-25</v>
      </c>
      <c r="W44" s="132">
        <v>40</v>
      </c>
      <c r="X44" s="132">
        <v>20</v>
      </c>
      <c r="Y44" t="b">
        <v>1</v>
      </c>
      <c r="Z44">
        <v>0.05</v>
      </c>
      <c r="AA44">
        <v>17</v>
      </c>
      <c r="AB44">
        <v>22</v>
      </c>
      <c r="AC44">
        <v>99</v>
      </c>
      <c r="AD44">
        <v>24</v>
      </c>
      <c r="AE44" s="131">
        <v>2.0000000000000001E-4</v>
      </c>
      <c r="AF44" t="b">
        <v>1</v>
      </c>
      <c r="AG44">
        <v>20</v>
      </c>
      <c r="AH44">
        <v>13</v>
      </c>
      <c r="AI44" t="s">
        <v>769</v>
      </c>
      <c r="AJ44" t="s">
        <v>769</v>
      </c>
      <c r="AK44" t="s">
        <v>769</v>
      </c>
      <c r="AL44" s="144">
        <f t="shared" si="0"/>
        <v>0</v>
      </c>
      <c r="AM44">
        <v>27424</v>
      </c>
      <c r="AN44" s="45">
        <v>6030</v>
      </c>
      <c r="AO44" s="131">
        <v>9080</v>
      </c>
      <c r="AP44">
        <v>232340</v>
      </c>
      <c r="AQ44" s="145">
        <v>35398</v>
      </c>
      <c r="AR44" s="45">
        <v>957</v>
      </c>
      <c r="AS44">
        <v>15704</v>
      </c>
      <c r="AT44" s="187">
        <v>123257</v>
      </c>
      <c r="AU44" s="45">
        <v>32591</v>
      </c>
      <c r="AV44">
        <v>28980</v>
      </c>
    </row>
    <row r="45" spans="1:48">
      <c r="A45" s="45" t="str">
        <f t="array" ref="A45">IFERROR(INDEX(baseline!$A$3:$A$201,MATCH($B45&amp;$C45,baseline!$C$3:$C$201&amp;baseline!$D$3:$D$201,0)),"NA")</f>
        <v>NA</v>
      </c>
      <c r="B45" t="s">
        <v>712</v>
      </c>
      <c r="C45" t="s">
        <v>13</v>
      </c>
      <c r="D45" s="131" t="s">
        <v>1030</v>
      </c>
      <c r="E45" s="131">
        <v>0.7</v>
      </c>
      <c r="F45" s="132" t="s">
        <v>769</v>
      </c>
      <c r="G45" s="132" t="s">
        <v>769</v>
      </c>
      <c r="H45" s="132" t="s">
        <v>769</v>
      </c>
      <c r="I45" s="131">
        <v>0.9</v>
      </c>
      <c r="J45">
        <v>0.3</v>
      </c>
      <c r="K45" t="s">
        <v>769</v>
      </c>
      <c r="L45" t="s">
        <v>769</v>
      </c>
      <c r="M45" s="45" t="s">
        <v>769</v>
      </c>
      <c r="N45" t="b">
        <v>1</v>
      </c>
      <c r="O45" s="132">
        <v>0.92</v>
      </c>
      <c r="P45" s="132">
        <v>0.92</v>
      </c>
      <c r="Q45" s="132" t="b">
        <v>1</v>
      </c>
      <c r="R45" s="132" t="s">
        <v>862</v>
      </c>
      <c r="S45" s="132" t="s">
        <v>916</v>
      </c>
      <c r="T45" s="45" t="b">
        <v>1</v>
      </c>
      <c r="U45" s="132">
        <v>82</v>
      </c>
      <c r="V45" s="132">
        <v>-25</v>
      </c>
      <c r="W45" s="132">
        <v>40</v>
      </c>
      <c r="X45" s="132">
        <v>20</v>
      </c>
      <c r="Y45" t="b">
        <v>1</v>
      </c>
      <c r="Z45">
        <v>0.05</v>
      </c>
      <c r="AA45">
        <v>17</v>
      </c>
      <c r="AB45">
        <v>22</v>
      </c>
      <c r="AC45">
        <v>99</v>
      </c>
      <c r="AD45">
        <v>24</v>
      </c>
      <c r="AE45" s="131">
        <v>2.0000000000000001E-4</v>
      </c>
      <c r="AF45" t="b">
        <v>1</v>
      </c>
      <c r="AG45">
        <v>20</v>
      </c>
      <c r="AH45">
        <v>13</v>
      </c>
      <c r="AI45" t="s">
        <v>769</v>
      </c>
      <c r="AJ45" t="s">
        <v>769</v>
      </c>
      <c r="AK45" t="s">
        <v>769</v>
      </c>
      <c r="AL45" s="144">
        <f t="shared" si="0"/>
        <v>0</v>
      </c>
      <c r="AM45">
        <v>27424</v>
      </c>
      <c r="AN45" s="45">
        <v>6030</v>
      </c>
      <c r="AO45" s="131">
        <v>9080</v>
      </c>
      <c r="AP45">
        <v>232340</v>
      </c>
      <c r="AQ45" s="145">
        <v>35398</v>
      </c>
      <c r="AR45" s="45">
        <v>957</v>
      </c>
      <c r="AS45">
        <v>15704</v>
      </c>
      <c r="AT45" s="187">
        <v>123257</v>
      </c>
      <c r="AU45" s="45">
        <v>32591</v>
      </c>
      <c r="AV45">
        <v>28980</v>
      </c>
    </row>
    <row r="46" spans="1:48">
      <c r="A46" s="45" t="str">
        <f t="array" ref="A46">IFERROR(INDEX(baseline!$A$3:$A$201,MATCH($B46&amp;$C46,baseline!$C$3:$C$201&amp;baseline!$D$3:$D$201,0)),"NA")</f>
        <v>NA</v>
      </c>
      <c r="B46" t="s">
        <v>712</v>
      </c>
      <c r="C46" t="s">
        <v>546</v>
      </c>
      <c r="D46" s="131" t="s">
        <v>1030</v>
      </c>
      <c r="E46" s="131">
        <v>0.7</v>
      </c>
      <c r="F46" s="132" t="s">
        <v>769</v>
      </c>
      <c r="G46" s="132" t="s">
        <v>769</v>
      </c>
      <c r="H46" s="132" t="s">
        <v>769</v>
      </c>
      <c r="I46" s="131">
        <v>0.9</v>
      </c>
      <c r="J46">
        <v>0.3</v>
      </c>
      <c r="K46" t="s">
        <v>769</v>
      </c>
      <c r="L46" t="s">
        <v>769</v>
      </c>
      <c r="M46" s="45" t="s">
        <v>769</v>
      </c>
      <c r="N46" t="b">
        <v>1</v>
      </c>
      <c r="O46" s="132">
        <v>0.92</v>
      </c>
      <c r="P46" s="132">
        <v>0.92</v>
      </c>
      <c r="Q46" s="132" t="b">
        <v>1</v>
      </c>
      <c r="R46" s="132" t="s">
        <v>862</v>
      </c>
      <c r="S46" s="132" t="s">
        <v>916</v>
      </c>
      <c r="T46" s="45" t="b">
        <v>1</v>
      </c>
      <c r="U46" s="132">
        <v>82</v>
      </c>
      <c r="V46" s="132">
        <v>-25</v>
      </c>
      <c r="W46" s="132">
        <v>40</v>
      </c>
      <c r="X46" s="132">
        <v>20</v>
      </c>
      <c r="Y46" t="b">
        <v>1</v>
      </c>
      <c r="Z46">
        <v>0.05</v>
      </c>
      <c r="AA46">
        <v>17</v>
      </c>
      <c r="AB46">
        <v>22</v>
      </c>
      <c r="AC46">
        <v>99</v>
      </c>
      <c r="AD46">
        <v>24</v>
      </c>
      <c r="AE46" s="131">
        <v>2.0000000000000001E-4</v>
      </c>
      <c r="AF46" t="b">
        <v>1</v>
      </c>
      <c r="AG46">
        <v>20</v>
      </c>
      <c r="AH46">
        <v>13</v>
      </c>
      <c r="AI46" t="s">
        <v>769</v>
      </c>
      <c r="AJ46" t="s">
        <v>769</v>
      </c>
      <c r="AK46" t="s">
        <v>769</v>
      </c>
      <c r="AL46" s="144">
        <f t="shared" si="0"/>
        <v>0</v>
      </c>
      <c r="AM46">
        <v>27424</v>
      </c>
      <c r="AN46" s="45">
        <v>6030</v>
      </c>
      <c r="AO46" s="131">
        <v>9080</v>
      </c>
      <c r="AP46">
        <v>232340</v>
      </c>
      <c r="AQ46" s="145">
        <v>35398</v>
      </c>
      <c r="AR46" s="45">
        <v>957</v>
      </c>
      <c r="AS46">
        <v>15704</v>
      </c>
      <c r="AT46" s="187">
        <v>0</v>
      </c>
      <c r="AU46" s="45">
        <v>32591</v>
      </c>
      <c r="AV46">
        <v>28980</v>
      </c>
    </row>
    <row r="47" spans="1:48">
      <c r="A47" s="45" t="str">
        <f t="array" ref="A47">IFERROR(INDEX(baseline!$A$3:$A$201,MATCH($B47&amp;$C47,baseline!$C$3:$C$201&amp;baseline!$D$3:$D$201,0)),"NA")</f>
        <v>NA</v>
      </c>
      <c r="B47" t="s">
        <v>547</v>
      </c>
      <c r="C47" t="s">
        <v>13</v>
      </c>
      <c r="D47" s="131" t="s">
        <v>1030</v>
      </c>
      <c r="E47" s="131">
        <v>0.7</v>
      </c>
      <c r="F47" s="132" t="s">
        <v>769</v>
      </c>
      <c r="G47" s="132" t="s">
        <v>769</v>
      </c>
      <c r="H47" s="132" t="s">
        <v>769</v>
      </c>
      <c r="I47" s="131">
        <v>0.9</v>
      </c>
      <c r="J47">
        <v>0.3</v>
      </c>
      <c r="K47" t="s">
        <v>769</v>
      </c>
      <c r="L47" t="s">
        <v>769</v>
      </c>
      <c r="M47" s="45" t="b">
        <v>1</v>
      </c>
      <c r="N47" t="b">
        <v>1</v>
      </c>
      <c r="O47" s="132">
        <v>0.92</v>
      </c>
      <c r="P47" s="132">
        <v>0.92</v>
      </c>
      <c r="Q47" s="132" t="b">
        <v>1</v>
      </c>
      <c r="R47" s="132" t="s">
        <v>862</v>
      </c>
      <c r="S47" s="132" t="s">
        <v>916</v>
      </c>
      <c r="T47" s="45" t="b">
        <v>1</v>
      </c>
      <c r="U47" s="132">
        <v>82</v>
      </c>
      <c r="V47" s="132">
        <v>-25</v>
      </c>
      <c r="W47" s="132">
        <v>40</v>
      </c>
      <c r="X47" s="132">
        <v>20</v>
      </c>
      <c r="Y47" t="b">
        <v>1</v>
      </c>
      <c r="Z47">
        <v>0.05</v>
      </c>
      <c r="AA47">
        <v>17</v>
      </c>
      <c r="AB47">
        <v>22</v>
      </c>
      <c r="AC47">
        <v>99</v>
      </c>
      <c r="AD47">
        <v>24</v>
      </c>
      <c r="AE47" s="131">
        <v>2.0000000000000001E-4</v>
      </c>
      <c r="AF47" t="b">
        <v>1</v>
      </c>
      <c r="AG47">
        <v>20</v>
      </c>
      <c r="AH47">
        <v>13</v>
      </c>
      <c r="AI47" t="s">
        <v>769</v>
      </c>
      <c r="AJ47" t="s">
        <v>769</v>
      </c>
      <c r="AK47" t="s">
        <v>769</v>
      </c>
      <c r="AL47" s="144">
        <f t="shared" si="0"/>
        <v>0</v>
      </c>
      <c r="AM47">
        <v>35137</v>
      </c>
      <c r="AN47" s="45">
        <v>1508</v>
      </c>
      <c r="AO47" s="131">
        <v>11634</v>
      </c>
      <c r="AP47">
        <v>160307</v>
      </c>
      <c r="AQ47" s="145">
        <v>20033</v>
      </c>
      <c r="AR47" s="45">
        <v>957</v>
      </c>
      <c r="AS47">
        <v>20121</v>
      </c>
      <c r="AT47" s="187">
        <v>116444</v>
      </c>
      <c r="AU47" s="45">
        <v>14485</v>
      </c>
      <c r="AV47">
        <v>19406</v>
      </c>
    </row>
    <row r="48" spans="1:48">
      <c r="A48" s="45" t="str">
        <f t="array" ref="A48">IFERROR(INDEX(baseline!$A$3:$A$201,MATCH($B48&amp;$C48,baseline!$C$3:$C$201&amp;baseline!$D$3:$D$201,0)),"NA")</f>
        <v>NA</v>
      </c>
      <c r="B48" t="s">
        <v>1</v>
      </c>
      <c r="C48" t="s">
        <v>13</v>
      </c>
      <c r="D48" s="131" t="s">
        <v>1030</v>
      </c>
      <c r="E48" s="131">
        <v>0.7</v>
      </c>
      <c r="F48" s="132" t="s">
        <v>769</v>
      </c>
      <c r="G48" s="132" t="s">
        <v>769</v>
      </c>
      <c r="H48" s="132" t="s">
        <v>769</v>
      </c>
      <c r="I48" s="131">
        <v>0.9</v>
      </c>
      <c r="J48">
        <v>0.3</v>
      </c>
      <c r="K48" t="s">
        <v>769</v>
      </c>
      <c r="L48" t="s">
        <v>769</v>
      </c>
      <c r="M48" s="45" t="b">
        <v>1</v>
      </c>
      <c r="N48" t="b">
        <v>1</v>
      </c>
      <c r="O48" s="132">
        <v>0.92</v>
      </c>
      <c r="P48" s="132">
        <v>0.92</v>
      </c>
      <c r="Q48" s="132" t="b">
        <v>1</v>
      </c>
      <c r="R48" s="132" t="s">
        <v>862</v>
      </c>
      <c r="S48" s="132" t="s">
        <v>916</v>
      </c>
      <c r="T48" s="45" t="b">
        <v>1</v>
      </c>
      <c r="U48" s="132">
        <v>82</v>
      </c>
      <c r="V48" s="132">
        <v>-25</v>
      </c>
      <c r="W48" s="132">
        <v>40</v>
      </c>
      <c r="X48" s="132">
        <v>20</v>
      </c>
      <c r="Y48" t="b">
        <v>1</v>
      </c>
      <c r="Z48">
        <v>0.05</v>
      </c>
      <c r="AA48">
        <v>17</v>
      </c>
      <c r="AB48">
        <v>22</v>
      </c>
      <c r="AC48">
        <v>99</v>
      </c>
      <c r="AD48">
        <v>24</v>
      </c>
      <c r="AE48" s="131">
        <v>2.9999999999999997E-4</v>
      </c>
      <c r="AF48" t="b">
        <v>1</v>
      </c>
      <c r="AG48">
        <v>20</v>
      </c>
      <c r="AH48">
        <v>13</v>
      </c>
      <c r="AI48" t="s">
        <v>769</v>
      </c>
      <c r="AJ48" t="s">
        <v>769</v>
      </c>
      <c r="AK48" t="s">
        <v>769</v>
      </c>
      <c r="AL48" s="144">
        <f t="shared" si="0"/>
        <v>0</v>
      </c>
      <c r="AM48">
        <v>8750</v>
      </c>
      <c r="AN48" s="45">
        <v>754</v>
      </c>
      <c r="AO48" s="131">
        <v>2838</v>
      </c>
      <c r="AP48">
        <v>26160</v>
      </c>
      <c r="AQ48" s="145">
        <v>3349</v>
      </c>
      <c r="AR48" s="45">
        <v>957</v>
      </c>
      <c r="AS48">
        <v>4908</v>
      </c>
      <c r="AT48" s="187">
        <v>67248</v>
      </c>
      <c r="AU48" s="45">
        <v>9315</v>
      </c>
      <c r="AV48">
        <v>9832</v>
      </c>
    </row>
    <row r="49" spans="1:48">
      <c r="A49" s="45" t="str">
        <f t="array" ref="A49">IFERROR(INDEX(baseline!$A$3:$A$201,MATCH($B49&amp;$C49,baseline!$C$3:$C$201&amp;baseline!$D$3:$D$201,0)),"NA")</f>
        <v>NA</v>
      </c>
      <c r="B49" t="s">
        <v>1</v>
      </c>
      <c r="C49" t="s">
        <v>546</v>
      </c>
      <c r="D49" s="131" t="s">
        <v>1030</v>
      </c>
      <c r="E49" s="131">
        <v>0.7</v>
      </c>
      <c r="F49" s="132" t="s">
        <v>769</v>
      </c>
      <c r="G49" s="132" t="s">
        <v>769</v>
      </c>
      <c r="H49" s="132" t="s">
        <v>769</v>
      </c>
      <c r="I49" s="131">
        <v>0.9</v>
      </c>
      <c r="J49">
        <v>0.3</v>
      </c>
      <c r="K49" t="s">
        <v>769</v>
      </c>
      <c r="L49" t="s">
        <v>769</v>
      </c>
      <c r="M49" s="45" t="b">
        <v>1</v>
      </c>
      <c r="N49" t="b">
        <v>1</v>
      </c>
      <c r="O49" s="132">
        <v>0.92</v>
      </c>
      <c r="P49" s="132">
        <v>0.92</v>
      </c>
      <c r="Q49" s="132" t="b">
        <v>1</v>
      </c>
      <c r="R49" s="132" t="s">
        <v>862</v>
      </c>
      <c r="S49" s="132" t="s">
        <v>916</v>
      </c>
      <c r="T49" s="45" t="b">
        <v>1</v>
      </c>
      <c r="U49" s="132">
        <v>82</v>
      </c>
      <c r="V49" s="132">
        <v>-25</v>
      </c>
      <c r="W49" s="132">
        <v>40</v>
      </c>
      <c r="X49" s="132">
        <v>20</v>
      </c>
      <c r="Y49" t="b">
        <v>1</v>
      </c>
      <c r="Z49">
        <v>0.05</v>
      </c>
      <c r="AA49">
        <v>17</v>
      </c>
      <c r="AB49">
        <v>22</v>
      </c>
      <c r="AC49">
        <v>99</v>
      </c>
      <c r="AD49">
        <v>24</v>
      </c>
      <c r="AE49" s="131">
        <v>2.9999999999999997E-4</v>
      </c>
      <c r="AF49" t="b">
        <v>1</v>
      </c>
      <c r="AG49">
        <v>20</v>
      </c>
      <c r="AH49">
        <v>13</v>
      </c>
      <c r="AI49" t="s">
        <v>769</v>
      </c>
      <c r="AJ49" t="s">
        <v>769</v>
      </c>
      <c r="AK49" t="s">
        <v>769</v>
      </c>
      <c r="AL49" s="144">
        <f t="shared" si="0"/>
        <v>0</v>
      </c>
      <c r="AM49">
        <v>8750</v>
      </c>
      <c r="AN49" s="45">
        <v>754</v>
      </c>
      <c r="AO49" s="131">
        <v>2838</v>
      </c>
      <c r="AP49">
        <v>26160</v>
      </c>
      <c r="AQ49" s="145">
        <v>3349</v>
      </c>
      <c r="AR49" s="45">
        <v>957</v>
      </c>
      <c r="AS49">
        <v>4908</v>
      </c>
      <c r="AT49" s="187">
        <v>0</v>
      </c>
      <c r="AU49" s="45">
        <v>9315</v>
      </c>
      <c r="AV49">
        <v>9832</v>
      </c>
    </row>
    <row r="57" spans="1:48">
      <c r="AL57" s="145"/>
      <c r="AQ57" s="145"/>
    </row>
    <row r="58" spans="1:48">
      <c r="AL58" s="145"/>
      <c r="AQ58" s="145"/>
    </row>
    <row r="59" spans="1:48">
      <c r="AL59" s="145"/>
      <c r="AQ59" s="145"/>
    </row>
    <row r="60" spans="1:48">
      <c r="AL60" s="145"/>
      <c r="AQ60" s="145"/>
    </row>
    <row r="61" spans="1:48">
      <c r="AL61" s="145"/>
      <c r="AQ61" s="145"/>
    </row>
    <row r="62" spans="1:48">
      <c r="AL62" s="145"/>
      <c r="AQ62" s="145"/>
    </row>
    <row r="63" spans="1:48">
      <c r="AL63" s="145"/>
      <c r="AQ63" s="145"/>
    </row>
    <row r="64" spans="1:48">
      <c r="AL64" s="145"/>
      <c r="AQ64" s="145"/>
    </row>
    <row r="65" spans="38:43">
      <c r="AL65" s="145"/>
      <c r="AQ65" s="145"/>
    </row>
    <row r="66" spans="38:43">
      <c r="AL66" s="145"/>
      <c r="AQ66" s="145"/>
    </row>
    <row r="67" spans="38:43">
      <c r="AL67" s="145"/>
      <c r="AQ67" s="145"/>
    </row>
    <row r="68" spans="38:43">
      <c r="AL68" s="145"/>
      <c r="AQ68" s="145"/>
    </row>
    <row r="69" spans="38:43">
      <c r="AL69" s="145"/>
      <c r="AQ69" s="145"/>
    </row>
    <row r="70" spans="38:43">
      <c r="AL70" s="145"/>
      <c r="AQ70" s="145"/>
    </row>
    <row r="71" spans="38:43">
      <c r="AL71" s="145"/>
      <c r="AQ71" s="145"/>
    </row>
    <row r="72" spans="38:43">
      <c r="AL72" s="145"/>
      <c r="AQ72" s="145"/>
    </row>
    <row r="73" spans="38:43">
      <c r="AL73" s="145"/>
      <c r="AQ73" s="145"/>
    </row>
    <row r="74" spans="38:43">
      <c r="AL74" s="145"/>
      <c r="AQ74" s="145"/>
    </row>
    <row r="75" spans="38:43">
      <c r="AL75" s="145"/>
      <c r="AQ75" s="145"/>
    </row>
    <row r="76" spans="38:43">
      <c r="AL76" s="145"/>
      <c r="AQ76" s="145"/>
    </row>
    <row r="77" spans="38:43">
      <c r="AL77" s="145"/>
      <c r="AQ77" s="145"/>
    </row>
    <row r="78" spans="38:43">
      <c r="AL78" s="145"/>
      <c r="AQ78" s="145"/>
    </row>
    <row r="79" spans="38:43">
      <c r="AL79" s="145"/>
      <c r="AQ79" s="145"/>
    </row>
    <row r="80" spans="38:43">
      <c r="AL80" s="145"/>
      <c r="AQ80" s="145"/>
    </row>
    <row r="81" spans="38:43">
      <c r="AL81" s="145"/>
      <c r="AQ81" s="145"/>
    </row>
    <row r="82" spans="38:43">
      <c r="AL82" s="145"/>
      <c r="AQ82" s="145"/>
    </row>
    <row r="83" spans="38:43">
      <c r="AL83" s="145"/>
      <c r="AQ83" s="145"/>
    </row>
    <row r="84" spans="38:43">
      <c r="AL84" s="145"/>
      <c r="AQ84" s="145"/>
    </row>
    <row r="87" spans="38:43">
      <c r="AL87" s="145"/>
      <c r="AQ87" s="145"/>
    </row>
    <row r="88" spans="38:43">
      <c r="AL88" s="145"/>
      <c r="AQ88" s="145"/>
    </row>
    <row r="89" spans="38:43">
      <c r="AL89" s="145"/>
      <c r="AQ89" s="145"/>
    </row>
    <row r="90" spans="38:43">
      <c r="AL90" s="145"/>
      <c r="AQ90" s="145"/>
    </row>
    <row r="91" spans="38:43">
      <c r="AL91" s="145"/>
      <c r="AQ91" s="145"/>
    </row>
    <row r="92" spans="38:43">
      <c r="AL92" s="145"/>
      <c r="AQ92" s="145"/>
    </row>
    <row r="93" spans="38:43">
      <c r="AL93" s="145"/>
      <c r="AQ93" s="145"/>
    </row>
    <row r="94" spans="38:43">
      <c r="AL94" s="145"/>
      <c r="AQ94" s="145"/>
    </row>
    <row r="95" spans="38:43">
      <c r="AL95" s="145"/>
      <c r="AQ95" s="145"/>
    </row>
    <row r="96" spans="38:43">
      <c r="AL96" s="145"/>
      <c r="AQ96" s="145"/>
    </row>
    <row r="97" spans="38:43">
      <c r="AL97" s="145"/>
      <c r="AQ97" s="145"/>
    </row>
    <row r="98" spans="38:43">
      <c r="AL98" s="145"/>
      <c r="AQ98" s="145"/>
    </row>
    <row r="99" spans="38:43">
      <c r="AL99" s="145"/>
      <c r="AQ99" s="145"/>
    </row>
    <row r="100" spans="38:43">
      <c r="AL100" s="145"/>
      <c r="AQ100" s="145"/>
    </row>
    <row r="101" spans="38:43">
      <c r="AL101" s="145"/>
      <c r="AQ101" s="145"/>
    </row>
    <row r="102" spans="38:43">
      <c r="AL102" s="145"/>
      <c r="AQ102" s="145"/>
    </row>
    <row r="103" spans="38:43">
      <c r="AL103" s="145"/>
      <c r="AQ103" s="145"/>
    </row>
    <row r="104" spans="38:43">
      <c r="AL104" s="145"/>
      <c r="AQ104" s="145"/>
    </row>
    <row r="105" spans="38:43">
      <c r="AL105" s="145"/>
      <c r="AQ105" s="145"/>
    </row>
    <row r="106" spans="38:43">
      <c r="AL106" s="145"/>
      <c r="AQ106" s="145"/>
    </row>
    <row r="107" spans="38:43">
      <c r="AL107" s="145"/>
      <c r="AQ107" s="145"/>
    </row>
    <row r="108" spans="38:43">
      <c r="AL108" s="145"/>
      <c r="AQ108" s="145"/>
    </row>
    <row r="109" spans="38:43">
      <c r="AL109" s="145"/>
      <c r="AQ109" s="145"/>
    </row>
    <row r="110" spans="38:43">
      <c r="AL110" s="145"/>
      <c r="AQ110" s="145"/>
    </row>
    <row r="111" spans="38:43">
      <c r="AL111" s="145"/>
      <c r="AQ111" s="145"/>
    </row>
    <row r="112" spans="38:43">
      <c r="AL112" s="145"/>
      <c r="AQ112" s="145"/>
    </row>
    <row r="113" spans="38:43">
      <c r="AL113" s="145"/>
      <c r="AQ113" s="145"/>
    </row>
    <row r="114" spans="38:43">
      <c r="AL114" s="145"/>
      <c r="AQ114" s="145"/>
    </row>
    <row r="115" spans="38:43">
      <c r="AL115" s="145"/>
      <c r="AQ115" s="145"/>
    </row>
    <row r="116" spans="38:43">
      <c r="AL116" s="145"/>
      <c r="AQ116" s="145"/>
    </row>
    <row r="117" spans="38:43">
      <c r="AL117" s="145"/>
      <c r="AQ117" s="145"/>
    </row>
    <row r="118" spans="38:43">
      <c r="AL118" s="145"/>
      <c r="AQ118" s="145"/>
    </row>
    <row r="119" spans="38:43">
      <c r="AL119" s="145"/>
      <c r="AQ119" s="145"/>
    </row>
    <row r="120" spans="38:43">
      <c r="AL120" s="145"/>
      <c r="AQ120" s="145"/>
    </row>
    <row r="121" spans="38:43">
      <c r="AL121" s="145"/>
      <c r="AQ121" s="145"/>
    </row>
    <row r="122" spans="38:43">
      <c r="AL122" s="145"/>
      <c r="AQ122" s="145"/>
    </row>
    <row r="123" spans="38:43">
      <c r="AL123" s="145"/>
      <c r="AQ123" s="145"/>
    </row>
    <row r="124" spans="38:43">
      <c r="AL124" s="145"/>
      <c r="AQ124" s="145"/>
    </row>
    <row r="125" spans="38:43">
      <c r="AL125" s="145"/>
      <c r="AQ125" s="145"/>
    </row>
    <row r="126" spans="38:43">
      <c r="AL126" s="145"/>
      <c r="AQ126" s="145"/>
    </row>
    <row r="127" spans="38:43">
      <c r="AL127" s="145"/>
      <c r="AQ127" s="145"/>
    </row>
    <row r="128" spans="38:43">
      <c r="AL128" s="145"/>
      <c r="AQ128" s="145"/>
    </row>
    <row r="129" spans="38:43">
      <c r="AL129" s="145"/>
      <c r="AQ129" s="145"/>
    </row>
    <row r="130" spans="38:43">
      <c r="AL130" s="145"/>
      <c r="AQ130" s="145"/>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sheetPr>
    <tabColor rgb="FF7030A0"/>
  </sheetPr>
  <dimension ref="A1:R2"/>
  <sheetViews>
    <sheetView topLeftCell="L1" workbookViewId="0">
      <selection activeCell="R3" sqref="R3"/>
    </sheetView>
  </sheetViews>
  <sheetFormatPr defaultColWidth="9.109375" defaultRowHeight="14.4"/>
  <cols>
    <col min="1" max="1" width="15.5546875" style="45" customWidth="1"/>
    <col min="2" max="2" width="25" style="45" bestFit="1" customWidth="1"/>
    <col min="3" max="3" width="28.88671875" style="45" bestFit="1" customWidth="1"/>
    <col min="4" max="4" width="19.33203125" style="45" bestFit="1" customWidth="1"/>
    <col min="5" max="5" width="23.6640625" style="45" bestFit="1" customWidth="1"/>
    <col min="6" max="6" width="23.88671875" style="45" customWidth="1"/>
    <col min="7" max="7" width="22" style="45" customWidth="1"/>
    <col min="8" max="8" width="38.109375" style="45" bestFit="1" customWidth="1"/>
    <col min="9" max="10" width="35.88671875" style="45" bestFit="1" customWidth="1"/>
    <col min="11" max="11" width="41.88671875" style="45" bestFit="1" customWidth="1"/>
    <col min="12" max="12" width="25.109375" style="45" bestFit="1" customWidth="1"/>
    <col min="13" max="13" width="29" style="45" bestFit="1" customWidth="1"/>
    <col min="14" max="14" width="21.44140625" style="45" bestFit="1" customWidth="1"/>
    <col min="15" max="15" width="20.88671875" style="45" bestFit="1" customWidth="1"/>
    <col min="16" max="16" width="12" style="45" bestFit="1" customWidth="1"/>
    <col min="17" max="17" width="28.88671875" style="45" bestFit="1" customWidth="1"/>
    <col min="18" max="18" width="28" style="45" bestFit="1" customWidth="1"/>
    <col min="19" max="16384" width="9.109375" style="45"/>
  </cols>
  <sheetData>
    <row r="1" spans="1:18">
      <c r="A1" s="45" t="s">
        <v>981</v>
      </c>
      <c r="B1" s="178" t="s">
        <v>964</v>
      </c>
      <c r="C1" s="178" t="s">
        <v>965</v>
      </c>
      <c r="D1" s="178" t="s">
        <v>966</v>
      </c>
      <c r="E1" s="178" t="s">
        <v>967</v>
      </c>
      <c r="F1" s="178" t="s">
        <v>968</v>
      </c>
      <c r="G1" s="178" t="s">
        <v>969</v>
      </c>
      <c r="H1" s="178" t="s">
        <v>970</v>
      </c>
      <c r="I1" s="178" t="s">
        <v>971</v>
      </c>
      <c r="J1" s="178" t="s">
        <v>972</v>
      </c>
      <c r="K1" s="178" t="s">
        <v>973</v>
      </c>
      <c r="L1" s="178" t="s">
        <v>974</v>
      </c>
      <c r="M1" s="178" t="s">
        <v>975</v>
      </c>
      <c r="N1" s="178" t="s">
        <v>976</v>
      </c>
      <c r="O1" s="178" t="s">
        <v>977</v>
      </c>
      <c r="P1" s="178" t="s">
        <v>978</v>
      </c>
      <c r="Q1" s="178" t="s">
        <v>979</v>
      </c>
      <c r="R1" s="178" t="s">
        <v>980</v>
      </c>
    </row>
    <row r="2" spans="1:18">
      <c r="A2" s="45">
        <v>1</v>
      </c>
      <c r="B2" s="179">
        <v>0.6</v>
      </c>
      <c r="C2" s="179">
        <v>0.8</v>
      </c>
      <c r="D2" s="179">
        <v>0.55000000000000004</v>
      </c>
      <c r="E2" s="179">
        <v>5</v>
      </c>
      <c r="F2" s="179">
        <v>179</v>
      </c>
      <c r="G2" s="179">
        <v>870</v>
      </c>
      <c r="H2" s="179">
        <v>0.35</v>
      </c>
      <c r="I2" s="179">
        <v>0.35</v>
      </c>
      <c r="J2" s="179">
        <v>0.15</v>
      </c>
      <c r="K2" s="179">
        <v>0.15</v>
      </c>
      <c r="L2" s="179">
        <v>1</v>
      </c>
      <c r="M2" s="179">
        <v>1</v>
      </c>
      <c r="N2" s="180">
        <v>0.113</v>
      </c>
      <c r="O2" s="180">
        <v>1.6199999999999999E-2</v>
      </c>
      <c r="P2" s="179">
        <v>0.02</v>
      </c>
      <c r="Q2" s="179">
        <v>0.04</v>
      </c>
      <c r="R2" s="179">
        <v>0.02</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sheetPr>
    <tabColor rgb="FF7030A0"/>
  </sheetPr>
  <dimension ref="A1:S611"/>
  <sheetViews>
    <sheetView workbookViewId="0">
      <selection activeCell="F2" sqref="F2"/>
    </sheetView>
  </sheetViews>
  <sheetFormatPr defaultRowHeight="14.4"/>
  <cols>
    <col min="1" max="1" width="24.33203125" customWidth="1"/>
    <col min="2" max="2" width="11.33203125" bestFit="1" customWidth="1"/>
    <col min="3" max="3" width="23.44140625" bestFit="1" customWidth="1"/>
    <col min="4" max="4" width="14.109375" bestFit="1" customWidth="1"/>
    <col min="5" max="5" width="28" bestFit="1" customWidth="1"/>
    <col min="6" max="6" width="29.33203125" bestFit="1" customWidth="1"/>
    <col min="7" max="7" width="18.44140625" bestFit="1" customWidth="1"/>
    <col min="8" max="8" width="25.109375" bestFit="1" customWidth="1"/>
    <col min="9" max="9" width="22.33203125" bestFit="1" customWidth="1"/>
    <col min="10" max="10" width="23.6640625" bestFit="1" customWidth="1"/>
    <col min="11" max="11" width="22.109375" bestFit="1" customWidth="1"/>
    <col min="12" max="12" width="28.6640625" bestFit="1" customWidth="1"/>
    <col min="13" max="13" width="30.33203125" bestFit="1" customWidth="1"/>
    <col min="14" max="14" width="29.88671875" bestFit="1" customWidth="1"/>
    <col min="15" max="15" width="32.5546875" bestFit="1" customWidth="1"/>
    <col min="16" max="16" width="37.5546875" bestFit="1" customWidth="1"/>
    <col min="17" max="17" width="19.33203125" bestFit="1" customWidth="1"/>
    <col min="18" max="18" width="21.44140625" bestFit="1" customWidth="1"/>
    <col min="19" max="20" width="28.33203125" bestFit="1" customWidth="1"/>
  </cols>
  <sheetData>
    <row r="1" spans="1:19">
      <c r="A1" t="s">
        <v>984</v>
      </c>
      <c r="B1" t="s">
        <v>938</v>
      </c>
      <c r="C1" t="s">
        <v>922</v>
      </c>
      <c r="D1" t="s">
        <v>923</v>
      </c>
      <c r="E1" t="s">
        <v>924</v>
      </c>
      <c r="F1" t="s">
        <v>931</v>
      </c>
      <c r="G1" t="s">
        <v>929</v>
      </c>
      <c r="H1" t="s">
        <v>930</v>
      </c>
      <c r="I1" t="s">
        <v>926</v>
      </c>
      <c r="J1" t="s">
        <v>925</v>
      </c>
      <c r="K1" t="s">
        <v>932</v>
      </c>
      <c r="L1" t="s">
        <v>927</v>
      </c>
      <c r="M1" t="s">
        <v>928</v>
      </c>
      <c r="N1" t="s">
        <v>933</v>
      </c>
      <c r="O1" t="s">
        <v>934</v>
      </c>
      <c r="P1" t="s">
        <v>963</v>
      </c>
      <c r="Q1" t="s">
        <v>935</v>
      </c>
      <c r="R1" t="s">
        <v>936</v>
      </c>
      <c r="S1" t="s">
        <v>937</v>
      </c>
    </row>
    <row r="2" spans="1:19">
      <c r="A2">
        <v>1</v>
      </c>
      <c r="B2" s="45">
        <f t="array" ref="B2">IFERROR(INDEX(baseline!$A$3:$A$201,MATCH($C2&amp;$D2,baseline!$C$3:$C$201&amp;baseline!$D$3:$D$201,0)),"NA")</f>
        <v>1</v>
      </c>
      <c r="C2" t="s">
        <v>0</v>
      </c>
      <c r="D2" t="s">
        <v>881</v>
      </c>
      <c r="E2" t="s">
        <v>832</v>
      </c>
      <c r="F2">
        <v>10547.57</v>
      </c>
      <c r="G2">
        <v>5495.7245916000002</v>
      </c>
      <c r="H2">
        <v>3894.8</v>
      </c>
      <c r="I2">
        <v>0</v>
      </c>
      <c r="J2">
        <v>692733.88751999999</v>
      </c>
      <c r="K2">
        <v>19336.12658</v>
      </c>
      <c r="L2">
        <v>0</v>
      </c>
      <c r="M2">
        <v>168544.57928000001</v>
      </c>
      <c r="N2">
        <v>78836.174180000002</v>
      </c>
      <c r="O2">
        <v>21772.23964</v>
      </c>
      <c r="P2">
        <v>0</v>
      </c>
      <c r="Q2">
        <v>44933.369279999999</v>
      </c>
      <c r="R2">
        <v>33155.58208</v>
      </c>
      <c r="S2">
        <v>0</v>
      </c>
    </row>
    <row r="3" spans="1:19">
      <c r="A3">
        <v>2</v>
      </c>
      <c r="B3" s="45">
        <f t="array" ref="B3">IFERROR(INDEX(baseline!$A$3:$A$201,MATCH($C3&amp;$D3,baseline!$C$3:$C$201&amp;baseline!$D$3:$D$201,0)),"NA")</f>
        <v>1</v>
      </c>
      <c r="C3" t="s">
        <v>0</v>
      </c>
      <c r="D3" t="s">
        <v>881</v>
      </c>
      <c r="E3" t="s">
        <v>869</v>
      </c>
      <c r="F3">
        <v>0</v>
      </c>
      <c r="G3">
        <v>5495.7245916000002</v>
      </c>
      <c r="H3">
        <v>3894.8</v>
      </c>
      <c r="I3">
        <v>0</v>
      </c>
      <c r="J3">
        <v>660878.30648000003</v>
      </c>
      <c r="K3">
        <v>6675.0053399999997</v>
      </c>
      <c r="L3">
        <v>0</v>
      </c>
      <c r="M3">
        <v>168547.35706000001</v>
      </c>
      <c r="N3">
        <v>78836.174180000002</v>
      </c>
      <c r="O3">
        <v>21772.23964</v>
      </c>
      <c r="P3">
        <v>0</v>
      </c>
      <c r="Q3">
        <v>43827.812839999999</v>
      </c>
      <c r="R3">
        <v>29830.579419999998</v>
      </c>
      <c r="S3">
        <v>0</v>
      </c>
    </row>
    <row r="4" spans="1:19">
      <c r="A4">
        <v>3</v>
      </c>
      <c r="B4" s="45">
        <f t="array" ref="B4">IFERROR(INDEX(baseline!$A$3:$A$201,MATCH($C4&amp;$D4,baseline!$C$3:$C$201&amp;baseline!$D$3:$D$201,0)),"NA")</f>
        <v>1</v>
      </c>
      <c r="C4" t="s">
        <v>0</v>
      </c>
      <c r="D4" t="s">
        <v>881</v>
      </c>
      <c r="E4" t="s">
        <v>896</v>
      </c>
      <c r="F4">
        <v>65332.04</v>
      </c>
      <c r="G4">
        <v>5495.7245916000002</v>
      </c>
      <c r="H4">
        <v>3894.8</v>
      </c>
      <c r="I4">
        <v>0</v>
      </c>
      <c r="J4">
        <v>650750.52060000005</v>
      </c>
      <c r="K4">
        <v>8158.33986</v>
      </c>
      <c r="L4">
        <v>0</v>
      </c>
      <c r="M4">
        <v>168547.35706000001</v>
      </c>
      <c r="N4">
        <v>78836.174180000002</v>
      </c>
      <c r="O4">
        <v>21772.23964</v>
      </c>
      <c r="P4">
        <v>0</v>
      </c>
      <c r="Q4">
        <v>44933.369279999999</v>
      </c>
      <c r="R4">
        <v>30508.357739999999</v>
      </c>
      <c r="S4">
        <v>0</v>
      </c>
    </row>
    <row r="5" spans="1:19">
      <c r="A5">
        <v>4</v>
      </c>
      <c r="B5" s="45">
        <f t="array" ref="B5">IFERROR(INDEX(baseline!$A$3:$A$201,MATCH($C5&amp;$D5,baseline!$C$3:$C$201&amp;baseline!$D$3:$D$201,0)),"NA")</f>
        <v>1</v>
      </c>
      <c r="C5" t="s">
        <v>0</v>
      </c>
      <c r="D5" t="s">
        <v>881</v>
      </c>
      <c r="E5" t="s">
        <v>840</v>
      </c>
      <c r="F5">
        <v>929.13</v>
      </c>
      <c r="G5">
        <v>5495.7245916000002</v>
      </c>
      <c r="H5">
        <v>3894.8</v>
      </c>
      <c r="I5">
        <v>0</v>
      </c>
      <c r="J5">
        <v>432303.12362000003</v>
      </c>
      <c r="K5">
        <v>8158.33986</v>
      </c>
      <c r="L5">
        <v>0</v>
      </c>
      <c r="M5">
        <v>168547.35706000001</v>
      </c>
      <c r="N5">
        <v>78836.174180000002</v>
      </c>
      <c r="O5">
        <v>21772.23964</v>
      </c>
      <c r="P5">
        <v>0</v>
      </c>
      <c r="Q5">
        <v>44933.369279999999</v>
      </c>
      <c r="R5">
        <v>775.00062000000003</v>
      </c>
      <c r="S5">
        <v>0</v>
      </c>
    </row>
    <row r="6" spans="1:19">
      <c r="A6">
        <v>5</v>
      </c>
      <c r="B6" s="45">
        <f t="array" ref="B6">IFERROR(INDEX(baseline!$A$3:$A$201,MATCH($C6&amp;$D6,baseline!$C$3:$C$201&amp;baseline!$D$3:$D$201,0)),"NA")</f>
        <v>1</v>
      </c>
      <c r="C6" t="s">
        <v>0</v>
      </c>
      <c r="D6" t="s">
        <v>881</v>
      </c>
      <c r="E6" t="s">
        <v>839</v>
      </c>
      <c r="F6">
        <v>14818.45</v>
      </c>
      <c r="G6">
        <v>5495.7245916000002</v>
      </c>
      <c r="H6">
        <v>3894.8</v>
      </c>
      <c r="I6">
        <v>0</v>
      </c>
      <c r="J6">
        <v>650750.52060000005</v>
      </c>
      <c r="K6">
        <v>5827.78244</v>
      </c>
      <c r="L6">
        <v>0</v>
      </c>
      <c r="M6">
        <v>168547.35706000001</v>
      </c>
      <c r="N6">
        <v>78836.174180000002</v>
      </c>
      <c r="O6">
        <v>21772.23964</v>
      </c>
      <c r="P6">
        <v>0</v>
      </c>
      <c r="Q6">
        <v>44933.369279999999</v>
      </c>
      <c r="R6">
        <v>30508.357739999999</v>
      </c>
      <c r="S6">
        <v>0</v>
      </c>
    </row>
    <row r="7" spans="1:19">
      <c r="A7">
        <v>6</v>
      </c>
      <c r="B7" s="45">
        <f t="array" ref="B7">IFERROR(INDEX(baseline!$A$3:$A$201,MATCH($C7&amp;$D7,baseline!$C$3:$C$201&amp;baseline!$D$3:$D$201,0)),"NA")</f>
        <v>1</v>
      </c>
      <c r="C7" t="s">
        <v>0</v>
      </c>
      <c r="D7" t="s">
        <v>881</v>
      </c>
      <c r="E7" t="s">
        <v>805</v>
      </c>
      <c r="F7">
        <v>62402.91</v>
      </c>
      <c r="G7">
        <v>5495.7245916000002</v>
      </c>
      <c r="H7">
        <v>3894.8</v>
      </c>
      <c r="I7">
        <v>0</v>
      </c>
      <c r="J7">
        <v>628542.16949999996</v>
      </c>
      <c r="K7">
        <v>9147.2295400000003</v>
      </c>
      <c r="L7">
        <v>0</v>
      </c>
      <c r="M7">
        <v>168547.35706000001</v>
      </c>
      <c r="N7">
        <v>78836.174180000002</v>
      </c>
      <c r="O7">
        <v>21772.23964</v>
      </c>
      <c r="P7">
        <v>0</v>
      </c>
      <c r="Q7">
        <v>44933.369279999999</v>
      </c>
      <c r="R7">
        <v>30230.579740000001</v>
      </c>
      <c r="S7">
        <v>0</v>
      </c>
    </row>
    <row r="8" spans="1:19">
      <c r="A8">
        <v>7</v>
      </c>
      <c r="B8" s="45">
        <f t="array" ref="B8">IFERROR(INDEX(baseline!$A$3:$A$201,MATCH($C8&amp;$D8,baseline!$C$3:$C$201&amp;baseline!$D$3:$D$201,0)),"NA")</f>
        <v>1</v>
      </c>
      <c r="C8" t="s">
        <v>0</v>
      </c>
      <c r="D8" t="s">
        <v>881</v>
      </c>
      <c r="E8" t="s">
        <v>877</v>
      </c>
      <c r="F8">
        <v>10547.57</v>
      </c>
      <c r="G8">
        <v>5495.7245916000002</v>
      </c>
      <c r="H8">
        <v>3894.8</v>
      </c>
      <c r="I8">
        <v>0</v>
      </c>
      <c r="J8">
        <v>649131.07486000005</v>
      </c>
      <c r="K8">
        <v>16533.346560000002</v>
      </c>
      <c r="L8">
        <v>0</v>
      </c>
      <c r="M8">
        <v>168541.8015</v>
      </c>
      <c r="N8">
        <v>78836.174180000002</v>
      </c>
      <c r="O8">
        <v>21772.23964</v>
      </c>
      <c r="P8">
        <v>0</v>
      </c>
      <c r="Q8">
        <v>44933.369279999999</v>
      </c>
      <c r="R8">
        <v>31044.469280000001</v>
      </c>
      <c r="S8">
        <v>0</v>
      </c>
    </row>
    <row r="9" spans="1:19">
      <c r="A9">
        <v>8</v>
      </c>
      <c r="B9" s="45">
        <f t="array" ref="B9">IFERROR(INDEX(baseline!$A$3:$A$201,MATCH($C9&amp;$D9,baseline!$C$3:$C$201&amp;baseline!$D$3:$D$201,0)),"NA")</f>
        <v>1</v>
      </c>
      <c r="C9" t="s">
        <v>0</v>
      </c>
      <c r="D9" t="s">
        <v>881</v>
      </c>
      <c r="E9" t="s">
        <v>838</v>
      </c>
      <c r="F9">
        <v>4121.3599999999997</v>
      </c>
      <c r="G9">
        <v>5495.7245916000002</v>
      </c>
      <c r="H9">
        <v>3894.8</v>
      </c>
      <c r="I9">
        <v>0</v>
      </c>
      <c r="J9">
        <v>650686.63165999996</v>
      </c>
      <c r="K9">
        <v>6297.2272599999997</v>
      </c>
      <c r="L9">
        <v>0</v>
      </c>
      <c r="M9">
        <v>168547.35706000001</v>
      </c>
      <c r="N9">
        <v>78836.174180000002</v>
      </c>
      <c r="O9">
        <v>21772.23964</v>
      </c>
      <c r="P9">
        <v>0</v>
      </c>
      <c r="Q9">
        <v>44933.369279999999</v>
      </c>
      <c r="R9">
        <v>30430.579900000001</v>
      </c>
      <c r="S9">
        <v>0</v>
      </c>
    </row>
    <row r="10" spans="1:19">
      <c r="A10">
        <v>9</v>
      </c>
      <c r="B10" s="45">
        <f t="array" ref="B10">IFERROR(INDEX(baseline!$A$3:$A$201,MATCH($C10&amp;$D10,baseline!$C$3:$C$201&amp;baseline!$D$3:$D$201,0)),"NA")</f>
        <v>1</v>
      </c>
      <c r="C10" t="s">
        <v>0</v>
      </c>
      <c r="D10" t="s">
        <v>881</v>
      </c>
      <c r="E10" t="s">
        <v>1013</v>
      </c>
      <c r="F10">
        <v>186935.92</v>
      </c>
      <c r="G10">
        <v>5495.7245916000002</v>
      </c>
      <c r="H10">
        <v>3894.8</v>
      </c>
      <c r="I10">
        <v>0</v>
      </c>
      <c r="J10">
        <v>658981.08273999998</v>
      </c>
      <c r="K10">
        <v>6866.6721600000001</v>
      </c>
      <c r="L10">
        <v>0</v>
      </c>
      <c r="M10">
        <v>168547.35706000001</v>
      </c>
      <c r="N10">
        <v>55183.377480000003</v>
      </c>
      <c r="O10">
        <v>21772.23964</v>
      </c>
      <c r="P10">
        <v>0</v>
      </c>
      <c r="Q10">
        <v>43994.479639999998</v>
      </c>
      <c r="R10">
        <v>23702.796740000002</v>
      </c>
      <c r="S10">
        <v>0</v>
      </c>
    </row>
    <row r="11" spans="1:19">
      <c r="A11">
        <v>10</v>
      </c>
      <c r="B11" s="45">
        <f t="array" ref="B11">IFERROR(INDEX(baseline!$A$3:$A$201,MATCH($C11&amp;$D11,baseline!$C$3:$C$201&amp;baseline!$D$3:$D$201,0)),"NA")</f>
        <v>1</v>
      </c>
      <c r="C11" t="s">
        <v>0</v>
      </c>
      <c r="D11" t="s">
        <v>881</v>
      </c>
      <c r="E11" t="s">
        <v>893</v>
      </c>
      <c r="F11">
        <v>225514.56</v>
      </c>
      <c r="G11">
        <v>5495.7245916000002</v>
      </c>
      <c r="H11">
        <v>3894.8</v>
      </c>
      <c r="I11">
        <v>0</v>
      </c>
      <c r="J11">
        <v>647361.62899999996</v>
      </c>
      <c r="K11">
        <v>8127.7842799999999</v>
      </c>
      <c r="L11">
        <v>0</v>
      </c>
      <c r="M11">
        <v>168547.35706000001</v>
      </c>
      <c r="N11">
        <v>78836.174180000002</v>
      </c>
      <c r="O11">
        <v>21772.23964</v>
      </c>
      <c r="P11">
        <v>0</v>
      </c>
      <c r="Q11">
        <v>44802.813620000001</v>
      </c>
      <c r="R11">
        <v>30361.135399999999</v>
      </c>
      <c r="S11">
        <v>0</v>
      </c>
    </row>
    <row r="12" spans="1:19">
      <c r="A12">
        <v>11</v>
      </c>
      <c r="B12" s="45">
        <f t="array" ref="B12">IFERROR(INDEX(baseline!$A$3:$A$201,MATCH($C12&amp;$D12,baseline!$C$3:$C$201&amp;baseline!$D$3:$D$201,0)),"NA")</f>
        <v>1</v>
      </c>
      <c r="C12" t="s">
        <v>0</v>
      </c>
      <c r="D12" t="s">
        <v>881</v>
      </c>
      <c r="E12" t="s">
        <v>892</v>
      </c>
      <c r="F12">
        <v>497905.83</v>
      </c>
      <c r="G12">
        <v>5495.7245916000002</v>
      </c>
      <c r="H12">
        <v>3894.8</v>
      </c>
      <c r="I12">
        <v>0</v>
      </c>
      <c r="J12">
        <v>617806.04980000004</v>
      </c>
      <c r="K12">
        <v>8238.8954799999992</v>
      </c>
      <c r="L12">
        <v>0</v>
      </c>
      <c r="M12">
        <v>168547.35706000001</v>
      </c>
      <c r="N12">
        <v>78836.174180000002</v>
      </c>
      <c r="O12">
        <v>21772.23964</v>
      </c>
      <c r="P12">
        <v>0</v>
      </c>
      <c r="Q12">
        <v>44083.368600000002</v>
      </c>
      <c r="R12">
        <v>29366.690159999998</v>
      </c>
      <c r="S12">
        <v>0</v>
      </c>
    </row>
    <row r="13" spans="1:19">
      <c r="A13">
        <v>12</v>
      </c>
      <c r="B13" s="45">
        <f t="array" ref="B13">IFERROR(INDEX(baseline!$A$3:$A$201,MATCH($C13&amp;$D13,baseline!$C$3:$C$201&amp;baseline!$D$3:$D$201,0)),"NA")</f>
        <v>1</v>
      </c>
      <c r="C13" t="s">
        <v>0</v>
      </c>
      <c r="D13" t="s">
        <v>881</v>
      </c>
      <c r="E13" t="s">
        <v>894</v>
      </c>
      <c r="F13">
        <v>367166.99</v>
      </c>
      <c r="G13">
        <v>5495.7245916000002</v>
      </c>
      <c r="H13">
        <v>3894.8</v>
      </c>
      <c r="I13">
        <v>0</v>
      </c>
      <c r="J13">
        <v>588850.47108000005</v>
      </c>
      <c r="K13">
        <v>8930.5627000000004</v>
      </c>
      <c r="L13">
        <v>0</v>
      </c>
      <c r="M13">
        <v>168547.35706000001</v>
      </c>
      <c r="N13">
        <v>78836.174180000002</v>
      </c>
      <c r="O13">
        <v>21772.23964</v>
      </c>
      <c r="P13">
        <v>0</v>
      </c>
      <c r="Q13">
        <v>43397.256939999999</v>
      </c>
      <c r="R13">
        <v>28463.911660000002</v>
      </c>
      <c r="S13">
        <v>0</v>
      </c>
    </row>
    <row r="14" spans="1:19">
      <c r="A14">
        <v>13</v>
      </c>
      <c r="B14" s="45">
        <f t="array" ref="B14">IFERROR(INDEX(baseline!$A$3:$A$201,MATCH($C14&amp;$D14,baseline!$C$3:$C$201&amp;baseline!$D$3:$D$201,0)),"NA")</f>
        <v>1</v>
      </c>
      <c r="C14" t="s">
        <v>0</v>
      </c>
      <c r="D14" t="s">
        <v>881</v>
      </c>
      <c r="E14" t="s">
        <v>833</v>
      </c>
      <c r="F14">
        <v>3029.13</v>
      </c>
      <c r="G14">
        <v>5495.7245916000002</v>
      </c>
      <c r="H14">
        <v>3894.8</v>
      </c>
      <c r="I14">
        <v>0</v>
      </c>
      <c r="J14">
        <v>651189.40983999998</v>
      </c>
      <c r="K14">
        <v>8127.7842799999999</v>
      </c>
      <c r="L14">
        <v>0</v>
      </c>
      <c r="M14">
        <v>168547.35706000001</v>
      </c>
      <c r="N14">
        <v>78836.174180000002</v>
      </c>
      <c r="O14">
        <v>21772.23964</v>
      </c>
      <c r="P14">
        <v>0</v>
      </c>
      <c r="Q14">
        <v>44580.591220000002</v>
      </c>
      <c r="R14">
        <v>30513.9133</v>
      </c>
      <c r="S14">
        <v>0</v>
      </c>
    </row>
    <row r="15" spans="1:19">
      <c r="A15">
        <v>14</v>
      </c>
      <c r="B15" s="45">
        <f t="array" ref="B15">IFERROR(INDEX(baseline!$A$3:$A$201,MATCH($C15&amp;$D15,baseline!$C$3:$C$201&amp;baseline!$D$3:$D$201,0)),"NA")</f>
        <v>1</v>
      </c>
      <c r="C15" t="s">
        <v>0</v>
      </c>
      <c r="D15" t="s">
        <v>881</v>
      </c>
      <c r="E15" t="s">
        <v>835</v>
      </c>
      <c r="F15">
        <v>263559.21999999997</v>
      </c>
      <c r="G15">
        <v>5495.7245916000002</v>
      </c>
      <c r="H15">
        <v>3894.8</v>
      </c>
      <c r="I15">
        <v>0</v>
      </c>
      <c r="J15">
        <v>601394.92556</v>
      </c>
      <c r="K15">
        <v>9186.1184599999997</v>
      </c>
      <c r="L15">
        <v>0</v>
      </c>
      <c r="M15">
        <v>168547.35706000001</v>
      </c>
      <c r="N15">
        <v>78836.174180000002</v>
      </c>
      <c r="O15">
        <v>21772.23964</v>
      </c>
      <c r="P15">
        <v>0</v>
      </c>
      <c r="Q15">
        <v>44933.369279999999</v>
      </c>
      <c r="R15">
        <v>30208.357499999998</v>
      </c>
      <c r="S15">
        <v>13138.8994</v>
      </c>
    </row>
    <row r="16" spans="1:19">
      <c r="A16">
        <v>15</v>
      </c>
      <c r="B16" s="45">
        <f t="array" ref="B16">IFERROR(INDEX(baseline!$A$3:$A$201,MATCH($C16&amp;$D16,baseline!$C$3:$C$201&amp;baseline!$D$3:$D$201,0)),"NA")</f>
        <v>1</v>
      </c>
      <c r="C16" t="s">
        <v>0</v>
      </c>
      <c r="D16" t="s">
        <v>881</v>
      </c>
      <c r="E16" t="s">
        <v>863</v>
      </c>
      <c r="F16">
        <v>118458.25</v>
      </c>
      <c r="G16">
        <v>5495.7245916000002</v>
      </c>
      <c r="H16">
        <v>3894.8</v>
      </c>
      <c r="I16">
        <v>0</v>
      </c>
      <c r="J16">
        <v>309661.35884</v>
      </c>
      <c r="K16">
        <v>13633.34424</v>
      </c>
      <c r="L16">
        <v>0</v>
      </c>
      <c r="M16">
        <v>168544.57928000001</v>
      </c>
      <c r="N16">
        <v>78836.174180000002</v>
      </c>
      <c r="O16">
        <v>21772.23964</v>
      </c>
      <c r="P16">
        <v>0</v>
      </c>
      <c r="Q16">
        <v>40450.032359999997</v>
      </c>
      <c r="R16">
        <v>19622.23792</v>
      </c>
      <c r="S16">
        <v>0</v>
      </c>
    </row>
    <row r="17" spans="1:19">
      <c r="A17">
        <v>16</v>
      </c>
      <c r="B17" s="45">
        <f t="array" ref="B17">IFERROR(INDEX(baseline!$A$3:$A$201,MATCH($C17&amp;$D17,baseline!$C$3:$C$201&amp;baseline!$D$3:$D$201,0)),"NA")</f>
        <v>1</v>
      </c>
      <c r="C17" t="s">
        <v>0</v>
      </c>
      <c r="D17" t="s">
        <v>881</v>
      </c>
      <c r="E17" t="s">
        <v>1011</v>
      </c>
      <c r="F17">
        <v>189926.21</v>
      </c>
      <c r="G17">
        <v>5495.7245916000002</v>
      </c>
      <c r="H17">
        <v>3894.8</v>
      </c>
      <c r="I17">
        <v>0</v>
      </c>
      <c r="J17">
        <v>346969.72201999999</v>
      </c>
      <c r="K17">
        <v>12811.121359999999</v>
      </c>
      <c r="L17">
        <v>0</v>
      </c>
      <c r="M17">
        <v>168544.57928000001</v>
      </c>
      <c r="N17">
        <v>78836.174180000002</v>
      </c>
      <c r="O17">
        <v>21772.23964</v>
      </c>
      <c r="P17">
        <v>0</v>
      </c>
      <c r="Q17">
        <v>25730.576140000001</v>
      </c>
      <c r="R17">
        <v>12483.34332</v>
      </c>
      <c r="S17">
        <v>0</v>
      </c>
    </row>
    <row r="18" spans="1:19">
      <c r="A18">
        <v>17</v>
      </c>
      <c r="B18" s="45">
        <f t="array" ref="B18">IFERROR(INDEX(baseline!$A$3:$A$201,MATCH($C18&amp;$D18,baseline!$C$3:$C$201&amp;baseline!$D$3:$D$201,0)),"NA")</f>
        <v>1</v>
      </c>
      <c r="C18" t="s">
        <v>0</v>
      </c>
      <c r="D18" t="s">
        <v>881</v>
      </c>
      <c r="E18" t="s">
        <v>860</v>
      </c>
      <c r="F18">
        <v>89577.67</v>
      </c>
      <c r="G18">
        <v>5495.7245916000002</v>
      </c>
      <c r="H18">
        <v>3894.8</v>
      </c>
      <c r="I18">
        <v>0</v>
      </c>
      <c r="J18">
        <v>680856.10024000006</v>
      </c>
      <c r="K18">
        <v>6200.0049600000002</v>
      </c>
      <c r="L18">
        <v>0</v>
      </c>
      <c r="M18">
        <v>168547.35706000001</v>
      </c>
      <c r="N18">
        <v>55183.377480000003</v>
      </c>
      <c r="O18">
        <v>21772.23964</v>
      </c>
      <c r="P18">
        <v>0</v>
      </c>
      <c r="Q18">
        <v>43975.035179999999</v>
      </c>
      <c r="R18">
        <v>30575.024460000001</v>
      </c>
      <c r="S18">
        <v>0</v>
      </c>
    </row>
    <row r="19" spans="1:19">
      <c r="A19">
        <v>18</v>
      </c>
      <c r="B19" s="45">
        <f t="array" ref="B19">IFERROR(INDEX(baseline!$A$3:$A$201,MATCH($C19&amp;$D19,baseline!$C$3:$C$201&amp;baseline!$D$3:$D$201,0)),"NA")</f>
        <v>1</v>
      </c>
      <c r="C19" t="s">
        <v>0</v>
      </c>
      <c r="D19" t="s">
        <v>881</v>
      </c>
      <c r="E19" t="s">
        <v>1019</v>
      </c>
      <c r="F19">
        <v>190855.34</v>
      </c>
      <c r="G19">
        <v>5495.7245916000002</v>
      </c>
      <c r="H19">
        <v>3894.8</v>
      </c>
      <c r="I19">
        <v>0</v>
      </c>
      <c r="J19">
        <v>246394.64155999999</v>
      </c>
      <c r="K19">
        <v>12811.121359999999</v>
      </c>
      <c r="L19">
        <v>0</v>
      </c>
      <c r="M19">
        <v>168544.57928000001</v>
      </c>
      <c r="N19">
        <v>78836.174180000002</v>
      </c>
      <c r="O19">
        <v>21772.23964</v>
      </c>
      <c r="P19">
        <v>0</v>
      </c>
      <c r="Q19">
        <v>25730.576140000001</v>
      </c>
      <c r="R19">
        <v>691.66722000000004</v>
      </c>
      <c r="S19">
        <v>0</v>
      </c>
    </row>
    <row r="20" spans="1:19">
      <c r="A20">
        <v>19</v>
      </c>
      <c r="B20" s="45">
        <f t="array" ref="B20">IFERROR(INDEX(baseline!$A$3:$A$201,MATCH($C20&amp;$D20,baseline!$C$3:$C$201&amp;baseline!$D$3:$D$201,0)),"NA")</f>
        <v>1</v>
      </c>
      <c r="C20" t="s">
        <v>0</v>
      </c>
      <c r="D20" t="s">
        <v>881</v>
      </c>
      <c r="E20" t="s">
        <v>836</v>
      </c>
      <c r="F20">
        <v>35733.980000000003</v>
      </c>
      <c r="G20">
        <v>5495.7245916000002</v>
      </c>
      <c r="H20">
        <v>3894.8</v>
      </c>
      <c r="I20">
        <v>0</v>
      </c>
      <c r="J20">
        <v>697303.33562000003</v>
      </c>
      <c r="K20">
        <v>8808.3403799999996</v>
      </c>
      <c r="L20">
        <v>0</v>
      </c>
      <c r="M20">
        <v>168547.35706000001</v>
      </c>
      <c r="N20">
        <v>78836.174180000002</v>
      </c>
      <c r="O20">
        <v>21772.23964</v>
      </c>
      <c r="P20">
        <v>0</v>
      </c>
      <c r="Q20">
        <v>37466.696640000002</v>
      </c>
      <c r="R20">
        <v>26033.354159999999</v>
      </c>
      <c r="S20">
        <v>0</v>
      </c>
    </row>
    <row r="21" spans="1:19">
      <c r="A21">
        <v>20</v>
      </c>
      <c r="B21" s="45">
        <f t="array" ref="B21">IFERROR(INDEX(baseline!$A$3:$A$201,MATCH($C21&amp;$D21,baseline!$C$3:$C$201&amp;baseline!$D$3:$D$201,0)),"NA")</f>
        <v>1</v>
      </c>
      <c r="C21" t="s">
        <v>0</v>
      </c>
      <c r="D21" t="s">
        <v>881</v>
      </c>
      <c r="E21" t="s">
        <v>1030</v>
      </c>
      <c r="F21">
        <v>386016.5</v>
      </c>
      <c r="G21">
        <v>5495.7245916000002</v>
      </c>
      <c r="H21">
        <v>3894.8</v>
      </c>
      <c r="I21">
        <v>0</v>
      </c>
      <c r="J21">
        <v>257975.20637999999</v>
      </c>
      <c r="K21">
        <v>16988.902480000001</v>
      </c>
      <c r="L21">
        <v>0</v>
      </c>
      <c r="M21">
        <v>168541.8015</v>
      </c>
      <c r="N21">
        <v>55183.377480000003</v>
      </c>
      <c r="O21">
        <v>21772.23964</v>
      </c>
      <c r="P21">
        <v>0</v>
      </c>
      <c r="Q21">
        <v>25858.354019999999</v>
      </c>
      <c r="R21">
        <v>611.11159999999995</v>
      </c>
      <c r="S21">
        <v>0</v>
      </c>
    </row>
    <row r="22" spans="1:19">
      <c r="A22">
        <v>21</v>
      </c>
      <c r="B22" s="45">
        <f t="array" ref="B22">IFERROR(INDEX(baseline!$A$3:$A$201,MATCH($C22&amp;$D22,baseline!$C$3:$C$201&amp;baseline!$D$3:$D$201,0)),"NA")</f>
        <v>1</v>
      </c>
      <c r="C22" t="s">
        <v>0</v>
      </c>
      <c r="D22" t="s">
        <v>881</v>
      </c>
      <c r="E22" t="s">
        <v>859</v>
      </c>
      <c r="F22">
        <v>20661.169999999998</v>
      </c>
      <c r="G22">
        <v>5495.7245916000002</v>
      </c>
      <c r="H22">
        <v>3894.8</v>
      </c>
      <c r="I22">
        <v>0</v>
      </c>
      <c r="J22">
        <v>651650.52132000006</v>
      </c>
      <c r="K22">
        <v>8033.3397599999998</v>
      </c>
      <c r="L22">
        <v>0</v>
      </c>
      <c r="M22">
        <v>168547.35706000001</v>
      </c>
      <c r="N22">
        <v>78836.174180000002</v>
      </c>
      <c r="O22">
        <v>21772.23964</v>
      </c>
      <c r="P22">
        <v>0</v>
      </c>
      <c r="Q22">
        <v>44938.92484</v>
      </c>
      <c r="R22">
        <v>30536.135539999999</v>
      </c>
      <c r="S22">
        <v>0</v>
      </c>
    </row>
    <row r="23" spans="1:19">
      <c r="A23">
        <v>22</v>
      </c>
      <c r="B23" s="45">
        <f t="array" ref="B23">IFERROR(INDEX(baseline!$A$3:$A$201,MATCH($C23&amp;$D23,baseline!$C$3:$C$201&amp;baseline!$D$3:$D$201,0)),"NA")</f>
        <v>1</v>
      </c>
      <c r="C23" t="s">
        <v>0</v>
      </c>
      <c r="D23" t="s">
        <v>881</v>
      </c>
      <c r="E23" t="s">
        <v>865</v>
      </c>
      <c r="F23">
        <v>9902.91</v>
      </c>
      <c r="G23">
        <v>5495.7245916000002</v>
      </c>
      <c r="H23">
        <v>3894.8</v>
      </c>
      <c r="I23">
        <v>0</v>
      </c>
      <c r="J23">
        <v>650750.52060000005</v>
      </c>
      <c r="K23">
        <v>8158.33986</v>
      </c>
      <c r="L23">
        <v>0</v>
      </c>
      <c r="M23">
        <v>168547.35706000001</v>
      </c>
      <c r="N23">
        <v>78836.174180000002</v>
      </c>
      <c r="O23">
        <v>21772.23964</v>
      </c>
      <c r="P23">
        <v>0</v>
      </c>
      <c r="Q23">
        <v>44933.369279999999</v>
      </c>
      <c r="R23">
        <v>23861.1302</v>
      </c>
      <c r="S23">
        <v>0</v>
      </c>
    </row>
    <row r="24" spans="1:19">
      <c r="A24">
        <v>23</v>
      </c>
      <c r="B24" s="45">
        <f t="array" ref="B24">IFERROR(INDEX(baseline!$A$3:$A$201,MATCH($C24&amp;$D24,baseline!$C$3:$C$201&amp;baseline!$D$3:$D$201,0)),"NA")</f>
        <v>2</v>
      </c>
      <c r="C24" t="s">
        <v>78</v>
      </c>
      <c r="D24" t="s">
        <v>881</v>
      </c>
      <c r="E24" t="s">
        <v>832</v>
      </c>
      <c r="F24">
        <v>2679.61</v>
      </c>
      <c r="G24">
        <v>911.73353307153502</v>
      </c>
      <c r="H24">
        <v>911.73400000000004</v>
      </c>
      <c r="I24">
        <v>0</v>
      </c>
      <c r="J24">
        <v>474355.93504000001</v>
      </c>
      <c r="K24">
        <v>6308.3383800000001</v>
      </c>
      <c r="L24">
        <v>21566.683919999999</v>
      </c>
      <c r="M24">
        <v>0</v>
      </c>
      <c r="N24">
        <v>84050.067240000004</v>
      </c>
      <c r="O24">
        <v>24133.352640000001</v>
      </c>
      <c r="P24">
        <v>0</v>
      </c>
      <c r="Q24">
        <v>36722.251599999901</v>
      </c>
      <c r="R24">
        <v>12633.343440000001</v>
      </c>
      <c r="S24">
        <v>0</v>
      </c>
    </row>
    <row r="25" spans="1:19">
      <c r="A25">
        <v>24</v>
      </c>
      <c r="B25" s="45">
        <f t="array" ref="B25">IFERROR(INDEX(baseline!$A$3:$A$201,MATCH($C25&amp;$D25,baseline!$C$3:$C$201&amp;baseline!$D$3:$D$201,0)),"NA")</f>
        <v>2</v>
      </c>
      <c r="C25" t="s">
        <v>78</v>
      </c>
      <c r="D25" t="s">
        <v>881</v>
      </c>
      <c r="E25" t="s">
        <v>869</v>
      </c>
      <c r="F25">
        <v>0</v>
      </c>
      <c r="G25">
        <v>911.73353307153502</v>
      </c>
      <c r="H25">
        <v>911.73400000000004</v>
      </c>
      <c r="I25">
        <v>0</v>
      </c>
      <c r="J25">
        <v>489444.83600000001</v>
      </c>
      <c r="K25">
        <v>1347.2233000000001</v>
      </c>
      <c r="L25">
        <v>21566.683919999999</v>
      </c>
      <c r="M25">
        <v>0</v>
      </c>
      <c r="N25">
        <v>84050.067240000004</v>
      </c>
      <c r="O25">
        <v>24133.352640000001</v>
      </c>
      <c r="P25">
        <v>0</v>
      </c>
      <c r="Q25">
        <v>36811.14056</v>
      </c>
      <c r="R25">
        <v>14077.78904</v>
      </c>
      <c r="S25">
        <v>0</v>
      </c>
    </row>
    <row r="26" spans="1:19">
      <c r="A26">
        <v>25</v>
      </c>
      <c r="B26" s="45">
        <f t="array" ref="B26">IFERROR(INDEX(baseline!$A$3:$A$201,MATCH($C26&amp;$D26,baseline!$C$3:$C$201&amp;baseline!$D$3:$D$201,0)),"NA")</f>
        <v>2</v>
      </c>
      <c r="C26" t="s">
        <v>78</v>
      </c>
      <c r="D26" t="s">
        <v>881</v>
      </c>
      <c r="E26" t="s">
        <v>896</v>
      </c>
      <c r="F26">
        <v>32923.300000000003</v>
      </c>
      <c r="G26">
        <v>911.73353307153502</v>
      </c>
      <c r="H26">
        <v>911.73400000000004</v>
      </c>
      <c r="I26">
        <v>0</v>
      </c>
      <c r="J26">
        <v>483664.27581999998</v>
      </c>
      <c r="K26">
        <v>1400.0011199999999</v>
      </c>
      <c r="L26">
        <v>21566.683919999999</v>
      </c>
      <c r="M26">
        <v>0</v>
      </c>
      <c r="N26">
        <v>84050.067240000004</v>
      </c>
      <c r="O26">
        <v>24133.352640000001</v>
      </c>
      <c r="P26">
        <v>0</v>
      </c>
      <c r="Q26">
        <v>36697.251579999996</v>
      </c>
      <c r="R26">
        <v>14016.677879999999</v>
      </c>
      <c r="S26">
        <v>0</v>
      </c>
    </row>
    <row r="27" spans="1:19">
      <c r="A27">
        <v>26</v>
      </c>
      <c r="B27" s="45">
        <f t="array" ref="B27">IFERROR(INDEX(baseline!$A$3:$A$201,MATCH($C27&amp;$D27,baseline!$C$3:$C$201&amp;baseline!$D$3:$D$201,0)),"NA")</f>
        <v>2</v>
      </c>
      <c r="C27" t="s">
        <v>78</v>
      </c>
      <c r="D27" t="s">
        <v>881</v>
      </c>
      <c r="E27" t="s">
        <v>840</v>
      </c>
      <c r="F27">
        <v>929.13</v>
      </c>
      <c r="G27">
        <v>911.73353307153502</v>
      </c>
      <c r="H27">
        <v>911.73400000000004</v>
      </c>
      <c r="I27">
        <v>0</v>
      </c>
      <c r="J27">
        <v>354739.17268000002</v>
      </c>
      <c r="K27">
        <v>1400.0011199999999</v>
      </c>
      <c r="L27">
        <v>21566.683919999999</v>
      </c>
      <c r="M27">
        <v>0</v>
      </c>
      <c r="N27">
        <v>84050.067240000004</v>
      </c>
      <c r="O27">
        <v>24133.352640000001</v>
      </c>
      <c r="P27">
        <v>0</v>
      </c>
      <c r="Q27">
        <v>36697.251579999996</v>
      </c>
      <c r="R27">
        <v>14016.677879999999</v>
      </c>
      <c r="S27">
        <v>0</v>
      </c>
    </row>
    <row r="28" spans="1:19">
      <c r="A28">
        <v>27</v>
      </c>
      <c r="B28" s="45">
        <f t="array" ref="B28">IFERROR(INDEX(baseline!$A$3:$A$201,MATCH($C28&amp;$D28,baseline!$C$3:$C$201&amp;baseline!$D$3:$D$201,0)),"NA")</f>
        <v>2</v>
      </c>
      <c r="C28" t="s">
        <v>78</v>
      </c>
      <c r="D28" t="s">
        <v>881</v>
      </c>
      <c r="E28" t="s">
        <v>839</v>
      </c>
      <c r="F28">
        <v>9825.24</v>
      </c>
      <c r="G28">
        <v>911.73353307153502</v>
      </c>
      <c r="H28">
        <v>911.73400000000004</v>
      </c>
      <c r="I28">
        <v>0</v>
      </c>
      <c r="J28">
        <v>483664.27581999998</v>
      </c>
      <c r="K28">
        <v>1000.0008</v>
      </c>
      <c r="L28">
        <v>21566.683919999999</v>
      </c>
      <c r="M28">
        <v>0</v>
      </c>
      <c r="N28">
        <v>84050.067240000004</v>
      </c>
      <c r="O28">
        <v>24133.352640000001</v>
      </c>
      <c r="P28">
        <v>0</v>
      </c>
      <c r="Q28">
        <v>36697.251579999996</v>
      </c>
      <c r="R28">
        <v>14016.677879999999</v>
      </c>
      <c r="S28">
        <v>0</v>
      </c>
    </row>
    <row r="29" spans="1:19">
      <c r="A29">
        <v>28</v>
      </c>
      <c r="B29" s="45">
        <f t="array" ref="B29">IFERROR(INDEX(baseline!$A$3:$A$201,MATCH($C29&amp;$D29,baseline!$C$3:$C$201&amp;baseline!$D$3:$D$201,0)),"NA")</f>
        <v>2</v>
      </c>
      <c r="C29" t="s">
        <v>78</v>
      </c>
      <c r="D29" t="s">
        <v>881</v>
      </c>
      <c r="E29" t="s">
        <v>805</v>
      </c>
      <c r="F29">
        <v>8415.5300000000007</v>
      </c>
      <c r="G29">
        <v>911.73353307153502</v>
      </c>
      <c r="H29">
        <v>911.73400000000004</v>
      </c>
      <c r="I29">
        <v>0</v>
      </c>
      <c r="J29">
        <v>483664.27581999998</v>
      </c>
      <c r="K29">
        <v>1400.0011199999999</v>
      </c>
      <c r="L29">
        <v>21566.683919999999</v>
      </c>
      <c r="M29">
        <v>0</v>
      </c>
      <c r="N29">
        <v>84050.067240000004</v>
      </c>
      <c r="O29">
        <v>24133.352640000001</v>
      </c>
      <c r="P29">
        <v>0</v>
      </c>
      <c r="Q29">
        <v>36697.251579999996</v>
      </c>
      <c r="R29">
        <v>14016.677879999999</v>
      </c>
      <c r="S29">
        <v>0</v>
      </c>
    </row>
    <row r="30" spans="1:19">
      <c r="A30">
        <v>29</v>
      </c>
      <c r="B30" s="45">
        <f t="array" ref="B30">IFERROR(INDEX(baseline!$A$3:$A$201,MATCH($C30&amp;$D30,baseline!$C$3:$C$201&amp;baseline!$D$3:$D$201,0)),"NA")</f>
        <v>2</v>
      </c>
      <c r="C30" t="s">
        <v>78</v>
      </c>
      <c r="D30" t="s">
        <v>881</v>
      </c>
      <c r="E30" t="s">
        <v>877</v>
      </c>
      <c r="F30">
        <v>3515.53</v>
      </c>
      <c r="G30">
        <v>911.73353307153502</v>
      </c>
      <c r="H30">
        <v>911.73400000000004</v>
      </c>
      <c r="I30">
        <v>0</v>
      </c>
      <c r="J30">
        <v>430644.78895999998</v>
      </c>
      <c r="K30">
        <v>4144.44776</v>
      </c>
      <c r="L30">
        <v>21566.683919999999</v>
      </c>
      <c r="M30">
        <v>0</v>
      </c>
      <c r="N30">
        <v>84050.067240000004</v>
      </c>
      <c r="O30">
        <v>24133.352640000001</v>
      </c>
      <c r="P30">
        <v>0</v>
      </c>
      <c r="Q30">
        <v>36722.251599999901</v>
      </c>
      <c r="R30">
        <v>12355.56544</v>
      </c>
      <c r="S30">
        <v>0</v>
      </c>
    </row>
    <row r="31" spans="1:19">
      <c r="A31">
        <v>30</v>
      </c>
      <c r="B31" s="45">
        <f t="array" ref="B31">IFERROR(INDEX(baseline!$A$3:$A$201,MATCH($C31&amp;$D31,baseline!$C$3:$C$201&amp;baseline!$D$3:$D$201,0)),"NA")</f>
        <v>2</v>
      </c>
      <c r="C31" t="s">
        <v>78</v>
      </c>
      <c r="D31" t="s">
        <v>881</v>
      </c>
      <c r="E31" t="s">
        <v>838</v>
      </c>
      <c r="F31">
        <v>1071.8399999999999</v>
      </c>
      <c r="G31">
        <v>911.73353307153502</v>
      </c>
      <c r="H31">
        <v>911.73400000000004</v>
      </c>
      <c r="I31">
        <v>0</v>
      </c>
      <c r="J31">
        <v>484342.05414000002</v>
      </c>
      <c r="K31">
        <v>1338.88996</v>
      </c>
      <c r="L31">
        <v>21566.683919999999</v>
      </c>
      <c r="M31">
        <v>0</v>
      </c>
      <c r="N31">
        <v>84050.067240000004</v>
      </c>
      <c r="O31">
        <v>24133.352640000001</v>
      </c>
      <c r="P31">
        <v>0</v>
      </c>
      <c r="Q31">
        <v>36697.251579999996</v>
      </c>
      <c r="R31">
        <v>13405.566279999999</v>
      </c>
      <c r="S31">
        <v>0</v>
      </c>
    </row>
    <row r="32" spans="1:19">
      <c r="A32">
        <v>31</v>
      </c>
      <c r="B32" s="45">
        <f t="array" ref="B32">IFERROR(INDEX(baseline!$A$3:$A$201,MATCH($C32&amp;$D32,baseline!$C$3:$C$201&amp;baseline!$D$3:$D$201,0)),"NA")</f>
        <v>2</v>
      </c>
      <c r="C32" t="s">
        <v>78</v>
      </c>
      <c r="D32" t="s">
        <v>881</v>
      </c>
      <c r="E32" t="s">
        <v>1013</v>
      </c>
      <c r="F32">
        <v>34528.160000000003</v>
      </c>
      <c r="G32">
        <v>911.73353307153502</v>
      </c>
      <c r="H32">
        <v>911.73400000000004</v>
      </c>
      <c r="I32">
        <v>0</v>
      </c>
      <c r="J32">
        <v>513030.96597999998</v>
      </c>
      <c r="K32">
        <v>941.66741999999999</v>
      </c>
      <c r="L32">
        <v>21566.683919999999</v>
      </c>
      <c r="M32">
        <v>0</v>
      </c>
      <c r="N32">
        <v>58833.380400000002</v>
      </c>
      <c r="O32">
        <v>24133.352640000001</v>
      </c>
      <c r="P32">
        <v>0</v>
      </c>
      <c r="Q32">
        <v>37077.807439999997</v>
      </c>
      <c r="R32">
        <v>11177.78672</v>
      </c>
      <c r="S32">
        <v>0</v>
      </c>
    </row>
    <row r="33" spans="1:19">
      <c r="A33">
        <v>32</v>
      </c>
      <c r="B33" s="45">
        <f t="array" ref="B33">IFERROR(INDEX(baseline!$A$3:$A$201,MATCH($C33&amp;$D33,baseline!$C$3:$C$201&amp;baseline!$D$3:$D$201,0)),"NA")</f>
        <v>2</v>
      </c>
      <c r="C33" t="s">
        <v>78</v>
      </c>
      <c r="D33" t="s">
        <v>881</v>
      </c>
      <c r="E33" t="s">
        <v>893</v>
      </c>
      <c r="F33">
        <v>173732.04</v>
      </c>
      <c r="G33">
        <v>911.73353307153502</v>
      </c>
      <c r="H33">
        <v>911.73400000000004</v>
      </c>
      <c r="I33">
        <v>0</v>
      </c>
      <c r="J33">
        <v>476569.82569999999</v>
      </c>
      <c r="K33">
        <v>1361.1122</v>
      </c>
      <c r="L33">
        <v>21566.683919999999</v>
      </c>
      <c r="M33">
        <v>0</v>
      </c>
      <c r="N33">
        <v>84050.067240000004</v>
      </c>
      <c r="O33">
        <v>24133.352640000001</v>
      </c>
      <c r="P33">
        <v>0</v>
      </c>
      <c r="Q33">
        <v>36416.695800000001</v>
      </c>
      <c r="R33">
        <v>13844.45552</v>
      </c>
      <c r="S33">
        <v>0</v>
      </c>
    </row>
    <row r="34" spans="1:19">
      <c r="A34">
        <v>33</v>
      </c>
      <c r="B34" s="45">
        <f t="array" ref="B34">IFERROR(INDEX(baseline!$A$3:$A$201,MATCH($C34&amp;$D34,baseline!$C$3:$C$201&amp;baseline!$D$3:$D$201,0)),"NA")</f>
        <v>2</v>
      </c>
      <c r="C34" t="s">
        <v>78</v>
      </c>
      <c r="D34" t="s">
        <v>881</v>
      </c>
      <c r="E34" t="s">
        <v>892</v>
      </c>
      <c r="F34">
        <v>271844.65999999997</v>
      </c>
      <c r="G34">
        <v>911.73353307153502</v>
      </c>
      <c r="H34">
        <v>911.73400000000004</v>
      </c>
      <c r="I34">
        <v>0</v>
      </c>
      <c r="J34">
        <v>471578.15503999998</v>
      </c>
      <c r="K34">
        <v>1402.7789</v>
      </c>
      <c r="L34">
        <v>21566.683919999999</v>
      </c>
      <c r="M34">
        <v>0</v>
      </c>
      <c r="N34">
        <v>84050.067240000004</v>
      </c>
      <c r="O34">
        <v>24133.352640000001</v>
      </c>
      <c r="P34">
        <v>0</v>
      </c>
      <c r="Q34">
        <v>36191.695619999999</v>
      </c>
      <c r="R34">
        <v>13663.899820000001</v>
      </c>
      <c r="S34">
        <v>0</v>
      </c>
    </row>
    <row r="35" spans="1:19">
      <c r="A35">
        <v>34</v>
      </c>
      <c r="B35" s="45">
        <f t="array" ref="B35">IFERROR(INDEX(baseline!$A$3:$A$201,MATCH($C35&amp;$D35,baseline!$C$3:$C$201&amp;baseline!$D$3:$D$201,0)),"NA")</f>
        <v>2</v>
      </c>
      <c r="C35" t="s">
        <v>78</v>
      </c>
      <c r="D35" t="s">
        <v>881</v>
      </c>
      <c r="E35" t="s">
        <v>894</v>
      </c>
      <c r="F35">
        <v>59461.17</v>
      </c>
      <c r="G35">
        <v>911.73353307153502</v>
      </c>
      <c r="H35">
        <v>911.73400000000004</v>
      </c>
      <c r="I35">
        <v>0</v>
      </c>
      <c r="J35">
        <v>474286.49054000003</v>
      </c>
      <c r="K35">
        <v>1427.77892</v>
      </c>
      <c r="L35">
        <v>21566.683919999999</v>
      </c>
      <c r="M35">
        <v>0</v>
      </c>
      <c r="N35">
        <v>84050.067240000004</v>
      </c>
      <c r="O35">
        <v>24133.352640000001</v>
      </c>
      <c r="P35">
        <v>0</v>
      </c>
      <c r="Q35">
        <v>36322.251279999997</v>
      </c>
      <c r="R35">
        <v>13713.89986</v>
      </c>
      <c r="S35">
        <v>0</v>
      </c>
    </row>
    <row r="36" spans="1:19">
      <c r="A36">
        <v>35</v>
      </c>
      <c r="B36" s="45">
        <f t="array" ref="B36">IFERROR(INDEX(baseline!$A$3:$A$201,MATCH($C36&amp;$D36,baseline!$C$3:$C$201&amp;baseline!$D$3:$D$201,0)),"NA")</f>
        <v>2</v>
      </c>
      <c r="C36" t="s">
        <v>78</v>
      </c>
      <c r="D36" t="s">
        <v>881</v>
      </c>
      <c r="E36" t="s">
        <v>833</v>
      </c>
      <c r="F36">
        <v>1056.31</v>
      </c>
      <c r="G36">
        <v>911.73353307153502</v>
      </c>
      <c r="H36">
        <v>911.73400000000004</v>
      </c>
      <c r="I36">
        <v>0</v>
      </c>
      <c r="J36">
        <v>483794.83147999999</v>
      </c>
      <c r="K36">
        <v>1394.4455599999999</v>
      </c>
      <c r="L36">
        <v>21566.683919999999</v>
      </c>
      <c r="M36">
        <v>0</v>
      </c>
      <c r="N36">
        <v>84050.067240000004</v>
      </c>
      <c r="O36">
        <v>24133.352640000001</v>
      </c>
      <c r="P36">
        <v>0</v>
      </c>
      <c r="Q36">
        <v>36586.140379999997</v>
      </c>
      <c r="R36">
        <v>14019.45566</v>
      </c>
      <c r="S36">
        <v>0</v>
      </c>
    </row>
    <row r="37" spans="1:19">
      <c r="A37">
        <v>36</v>
      </c>
      <c r="B37" s="45">
        <f t="array" ref="B37">IFERROR(INDEX(baseline!$A$3:$A$201,MATCH($C37&amp;$D37,baseline!$C$3:$C$201&amp;baseline!$D$3:$D$201,0)),"NA")</f>
        <v>2</v>
      </c>
      <c r="C37" t="s">
        <v>78</v>
      </c>
      <c r="D37" t="s">
        <v>881</v>
      </c>
      <c r="E37" t="s">
        <v>835</v>
      </c>
      <c r="F37">
        <v>70786.41</v>
      </c>
      <c r="G37">
        <v>911.73353307153502</v>
      </c>
      <c r="H37">
        <v>911.73400000000004</v>
      </c>
      <c r="I37">
        <v>0</v>
      </c>
      <c r="J37">
        <v>420011.44712000003</v>
      </c>
      <c r="K37">
        <v>2388.8908000000001</v>
      </c>
      <c r="L37">
        <v>21566.683919999999</v>
      </c>
      <c r="M37">
        <v>0</v>
      </c>
      <c r="N37">
        <v>84050.067240000004</v>
      </c>
      <c r="O37">
        <v>24133.352640000001</v>
      </c>
      <c r="P37">
        <v>0</v>
      </c>
      <c r="Q37">
        <v>36683.362679999998</v>
      </c>
      <c r="R37">
        <v>13366.67736</v>
      </c>
      <c r="S37">
        <v>4380.5590599999996</v>
      </c>
    </row>
    <row r="38" spans="1:19">
      <c r="A38">
        <v>37</v>
      </c>
      <c r="B38" s="45">
        <f t="array" ref="B38">IFERROR(INDEX(baseline!$A$3:$A$201,MATCH($C38&amp;$D38,baseline!$C$3:$C$201&amp;baseline!$D$3:$D$201,0)),"NA")</f>
        <v>2</v>
      </c>
      <c r="C38" t="s">
        <v>78</v>
      </c>
      <c r="D38" t="s">
        <v>881</v>
      </c>
      <c r="E38" t="s">
        <v>863</v>
      </c>
      <c r="F38">
        <v>65454.37</v>
      </c>
      <c r="G38">
        <v>911.73353307153502</v>
      </c>
      <c r="H38">
        <v>911.73400000000004</v>
      </c>
      <c r="I38">
        <v>0</v>
      </c>
      <c r="J38">
        <v>219483.50891999999</v>
      </c>
      <c r="K38">
        <v>2461.1130800000001</v>
      </c>
      <c r="L38">
        <v>21566.683919999999</v>
      </c>
      <c r="M38">
        <v>0</v>
      </c>
      <c r="N38">
        <v>84050.067240000004</v>
      </c>
      <c r="O38">
        <v>24133.352640000001</v>
      </c>
      <c r="P38">
        <v>0</v>
      </c>
      <c r="Q38">
        <v>26547.243460000002</v>
      </c>
      <c r="R38">
        <v>7250.0057999999999</v>
      </c>
      <c r="S38">
        <v>0</v>
      </c>
    </row>
    <row r="39" spans="1:19">
      <c r="A39">
        <v>38</v>
      </c>
      <c r="B39" s="45">
        <f t="array" ref="B39">IFERROR(INDEX(baseline!$A$3:$A$201,MATCH($C39&amp;$D39,baseline!$C$3:$C$201&amp;baseline!$D$3:$D$201,0)),"NA")</f>
        <v>2</v>
      </c>
      <c r="C39" t="s">
        <v>78</v>
      </c>
      <c r="D39" t="s">
        <v>881</v>
      </c>
      <c r="E39" t="s">
        <v>1011</v>
      </c>
      <c r="F39">
        <v>70372.820000000007</v>
      </c>
      <c r="G39">
        <v>911.73353307153502</v>
      </c>
      <c r="H39">
        <v>911.73400000000004</v>
      </c>
      <c r="I39">
        <v>0</v>
      </c>
      <c r="J39">
        <v>260089.09696</v>
      </c>
      <c r="K39">
        <v>2569.4465</v>
      </c>
      <c r="L39">
        <v>21566.683919999999</v>
      </c>
      <c r="M39">
        <v>0</v>
      </c>
      <c r="N39">
        <v>84050.067240000004</v>
      </c>
      <c r="O39">
        <v>24133.352640000001</v>
      </c>
      <c r="P39">
        <v>0</v>
      </c>
      <c r="Q39">
        <v>28100.02248</v>
      </c>
      <c r="R39">
        <v>7780.56178</v>
      </c>
      <c r="S39">
        <v>0</v>
      </c>
    </row>
    <row r="40" spans="1:19">
      <c r="A40">
        <v>39</v>
      </c>
      <c r="B40" s="45">
        <f t="array" ref="B40">IFERROR(INDEX(baseline!$A$3:$A$201,MATCH($C40&amp;$D40,baseline!$C$3:$C$201&amp;baseline!$D$3:$D$201,0)),"NA")</f>
        <v>2</v>
      </c>
      <c r="C40" t="s">
        <v>78</v>
      </c>
      <c r="D40" t="s">
        <v>881</v>
      </c>
      <c r="E40" t="s">
        <v>860</v>
      </c>
      <c r="F40">
        <v>15305.83</v>
      </c>
      <c r="G40">
        <v>911.73353307153502</v>
      </c>
      <c r="H40">
        <v>911.73400000000004</v>
      </c>
      <c r="I40">
        <v>0</v>
      </c>
      <c r="J40">
        <v>512717.07683999999</v>
      </c>
      <c r="K40">
        <v>930.55629999999996</v>
      </c>
      <c r="L40">
        <v>21566.683919999999</v>
      </c>
      <c r="M40">
        <v>0</v>
      </c>
      <c r="N40">
        <v>58833.380400000002</v>
      </c>
      <c r="O40">
        <v>24133.352640000001</v>
      </c>
      <c r="P40">
        <v>0</v>
      </c>
      <c r="Q40">
        <v>37058.362979999998</v>
      </c>
      <c r="R40">
        <v>14291.678099999999</v>
      </c>
      <c r="S40">
        <v>0</v>
      </c>
    </row>
    <row r="41" spans="1:19">
      <c r="A41">
        <v>40</v>
      </c>
      <c r="B41" s="45">
        <f t="array" ref="B41">IFERROR(INDEX(baseline!$A$3:$A$201,MATCH($C41&amp;$D41,baseline!$C$3:$C$201&amp;baseline!$D$3:$D$201,0)),"NA")</f>
        <v>2</v>
      </c>
      <c r="C41" t="s">
        <v>78</v>
      </c>
      <c r="D41" t="s">
        <v>881</v>
      </c>
      <c r="E41" t="s">
        <v>1019</v>
      </c>
      <c r="F41">
        <v>71301.94</v>
      </c>
      <c r="G41">
        <v>911.73353307153502</v>
      </c>
      <c r="H41">
        <v>911.73400000000004</v>
      </c>
      <c r="I41">
        <v>0</v>
      </c>
      <c r="J41">
        <v>188861.2622</v>
      </c>
      <c r="K41">
        <v>2569.4465</v>
      </c>
      <c r="L41">
        <v>21566.683919999999</v>
      </c>
      <c r="M41">
        <v>0</v>
      </c>
      <c r="N41">
        <v>84050.067240000004</v>
      </c>
      <c r="O41">
        <v>24133.352640000001</v>
      </c>
      <c r="P41">
        <v>0</v>
      </c>
      <c r="Q41">
        <v>28100.02248</v>
      </c>
      <c r="R41">
        <v>7780.56178</v>
      </c>
      <c r="S41">
        <v>0</v>
      </c>
    </row>
    <row r="42" spans="1:19">
      <c r="A42">
        <v>41</v>
      </c>
      <c r="B42" s="45">
        <f t="array" ref="B42">IFERROR(INDEX(baseline!$A$3:$A$201,MATCH($C42&amp;$D42,baseline!$C$3:$C$201&amp;baseline!$D$3:$D$201,0)),"NA")</f>
        <v>2</v>
      </c>
      <c r="C42" t="s">
        <v>78</v>
      </c>
      <c r="D42" t="s">
        <v>881</v>
      </c>
      <c r="E42" t="s">
        <v>836</v>
      </c>
      <c r="F42">
        <v>4918.45</v>
      </c>
      <c r="G42">
        <v>911.73353307153502</v>
      </c>
      <c r="H42">
        <v>911.73400000000004</v>
      </c>
      <c r="I42">
        <v>0</v>
      </c>
      <c r="J42">
        <v>563394.89515999996</v>
      </c>
      <c r="K42">
        <v>1725.0013799999999</v>
      </c>
      <c r="L42">
        <v>21566.683919999999</v>
      </c>
      <c r="M42">
        <v>0</v>
      </c>
      <c r="N42">
        <v>84050.067240000004</v>
      </c>
      <c r="O42">
        <v>24133.352640000001</v>
      </c>
      <c r="P42">
        <v>0</v>
      </c>
      <c r="Q42">
        <v>40458.365700000002</v>
      </c>
      <c r="R42">
        <v>15338.901159999999</v>
      </c>
      <c r="S42">
        <v>0</v>
      </c>
    </row>
    <row r="43" spans="1:19">
      <c r="A43">
        <v>42</v>
      </c>
      <c r="B43" s="45">
        <f t="array" ref="B43">IFERROR(INDEX(baseline!$A$3:$A$201,MATCH($C43&amp;$D43,baseline!$C$3:$C$201&amp;baseline!$D$3:$D$201,0)),"NA")</f>
        <v>2</v>
      </c>
      <c r="C43" t="s">
        <v>78</v>
      </c>
      <c r="D43" t="s">
        <v>881</v>
      </c>
      <c r="E43" t="s">
        <v>1030</v>
      </c>
      <c r="F43">
        <v>120900.97</v>
      </c>
      <c r="G43">
        <v>911.73353307153502</v>
      </c>
      <c r="H43">
        <v>911.73400000000004</v>
      </c>
      <c r="I43">
        <v>0</v>
      </c>
      <c r="J43">
        <v>168547.35706000001</v>
      </c>
      <c r="K43">
        <v>2911.1134400000001</v>
      </c>
      <c r="L43">
        <v>21566.683919999999</v>
      </c>
      <c r="M43">
        <v>0</v>
      </c>
      <c r="N43">
        <v>58833.380400000002</v>
      </c>
      <c r="O43">
        <v>24133.352640000001</v>
      </c>
      <c r="P43">
        <v>0</v>
      </c>
      <c r="Q43">
        <v>28569.4673</v>
      </c>
      <c r="R43">
        <v>5525.0044200000002</v>
      </c>
      <c r="S43">
        <v>0</v>
      </c>
    </row>
    <row r="44" spans="1:19">
      <c r="A44">
        <v>43</v>
      </c>
      <c r="B44" s="45">
        <f t="array" ref="B44">IFERROR(INDEX(baseline!$A$3:$A$201,MATCH($C44&amp;$D44,baseline!$C$3:$C$201&amp;baseline!$D$3:$D$201,0)),"NA")</f>
        <v>2</v>
      </c>
      <c r="C44" t="s">
        <v>78</v>
      </c>
      <c r="D44" t="s">
        <v>881</v>
      </c>
      <c r="E44" t="s">
        <v>859</v>
      </c>
      <c r="F44">
        <v>2669.9</v>
      </c>
      <c r="G44">
        <v>911.73353307153502</v>
      </c>
      <c r="H44">
        <v>911.73400000000004</v>
      </c>
      <c r="I44">
        <v>0</v>
      </c>
      <c r="J44">
        <v>483978.16496000002</v>
      </c>
      <c r="K44">
        <v>1413.89002</v>
      </c>
      <c r="L44">
        <v>21566.683919999999</v>
      </c>
      <c r="M44">
        <v>0</v>
      </c>
      <c r="N44">
        <v>84050.067240000004</v>
      </c>
      <c r="O44">
        <v>24133.352640000001</v>
      </c>
      <c r="P44">
        <v>0</v>
      </c>
      <c r="Q44">
        <v>36713.918259999999</v>
      </c>
      <c r="R44">
        <v>14016.677879999999</v>
      </c>
      <c r="S44">
        <v>0</v>
      </c>
    </row>
    <row r="45" spans="1:19">
      <c r="A45">
        <v>44</v>
      </c>
      <c r="B45" s="45">
        <f t="array" ref="B45">IFERROR(INDEX(baseline!$A$3:$A$201,MATCH($C45&amp;$D45,baseline!$C$3:$C$201&amp;baseline!$D$3:$D$201,0)),"NA")</f>
        <v>2</v>
      </c>
      <c r="C45" t="s">
        <v>78</v>
      </c>
      <c r="D45" t="s">
        <v>881</v>
      </c>
      <c r="E45" t="s">
        <v>865</v>
      </c>
      <c r="F45">
        <v>5941.75</v>
      </c>
      <c r="G45">
        <v>911.73353307153502</v>
      </c>
      <c r="H45">
        <v>911.73400000000004</v>
      </c>
      <c r="I45">
        <v>0</v>
      </c>
      <c r="J45">
        <v>483664.27581999998</v>
      </c>
      <c r="K45">
        <v>1400.0011199999999</v>
      </c>
      <c r="L45">
        <v>21566.683919999999</v>
      </c>
      <c r="M45">
        <v>0</v>
      </c>
      <c r="N45">
        <v>84050.067240000004</v>
      </c>
      <c r="O45">
        <v>24133.352640000001</v>
      </c>
      <c r="P45">
        <v>0</v>
      </c>
      <c r="Q45">
        <v>36697.251579999996</v>
      </c>
      <c r="R45">
        <v>10963.897660000001</v>
      </c>
      <c r="S45">
        <v>0</v>
      </c>
    </row>
    <row r="46" spans="1:19">
      <c r="A46">
        <v>45</v>
      </c>
      <c r="B46" s="45">
        <f t="array" ref="B46">IFERROR(INDEX(baseline!$A$3:$A$201,MATCH($C46&amp;$D46,baseline!$C$3:$C$201&amp;baseline!$D$3:$D$201,0)),"NA")</f>
        <v>3</v>
      </c>
      <c r="C46" t="s">
        <v>545</v>
      </c>
      <c r="D46" t="s">
        <v>881</v>
      </c>
      <c r="E46" t="s">
        <v>832</v>
      </c>
      <c r="F46">
        <v>14063.11</v>
      </c>
      <c r="G46">
        <v>2693.60503738445</v>
      </c>
      <c r="H46">
        <v>2210.0700000000002</v>
      </c>
      <c r="I46">
        <v>0</v>
      </c>
      <c r="J46">
        <v>1760948.6309799999</v>
      </c>
      <c r="K46">
        <v>27791.688900000001</v>
      </c>
      <c r="L46">
        <v>146555.6728</v>
      </c>
      <c r="M46">
        <v>0</v>
      </c>
      <c r="N46">
        <v>217955.72992000001</v>
      </c>
      <c r="O46">
        <v>33694.471400000002</v>
      </c>
      <c r="P46">
        <v>0</v>
      </c>
      <c r="Q46">
        <v>95752.854380000004</v>
      </c>
      <c r="R46">
        <v>39475.031580000003</v>
      </c>
      <c r="S46">
        <v>0</v>
      </c>
    </row>
    <row r="47" spans="1:19">
      <c r="A47">
        <v>46</v>
      </c>
      <c r="B47" s="45">
        <f t="array" ref="B47">IFERROR(INDEX(baseline!$A$3:$A$201,MATCH($C47&amp;$D47,baseline!$C$3:$C$201&amp;baseline!$D$3:$D$201,0)),"NA")</f>
        <v>3</v>
      </c>
      <c r="C47" t="s">
        <v>545</v>
      </c>
      <c r="D47" t="s">
        <v>881</v>
      </c>
      <c r="E47" t="s">
        <v>869</v>
      </c>
      <c r="F47">
        <v>0</v>
      </c>
      <c r="G47">
        <v>2693.60503738445</v>
      </c>
      <c r="H47">
        <v>2210.0700000000002</v>
      </c>
      <c r="I47">
        <v>0</v>
      </c>
      <c r="J47">
        <v>1677520.7864600001</v>
      </c>
      <c r="K47">
        <v>8136.11762</v>
      </c>
      <c r="L47">
        <v>146561.22836000001</v>
      </c>
      <c r="M47">
        <v>0</v>
      </c>
      <c r="N47">
        <v>217955.72992000001</v>
      </c>
      <c r="O47">
        <v>33694.471400000002</v>
      </c>
      <c r="P47">
        <v>0</v>
      </c>
      <c r="Q47">
        <v>95433.409679999997</v>
      </c>
      <c r="R47">
        <v>38436.141860000003</v>
      </c>
      <c r="S47">
        <v>0</v>
      </c>
    </row>
    <row r="48" spans="1:19">
      <c r="A48">
        <v>47</v>
      </c>
      <c r="B48" s="45">
        <f t="array" ref="B48">IFERROR(INDEX(baseline!$A$3:$A$201,MATCH($C48&amp;$D48,baseline!$C$3:$C$201&amp;baseline!$D$3:$D$201,0)),"NA")</f>
        <v>3</v>
      </c>
      <c r="C48" t="s">
        <v>545</v>
      </c>
      <c r="D48" t="s">
        <v>881</v>
      </c>
      <c r="E48" t="s">
        <v>896</v>
      </c>
      <c r="F48">
        <v>65332.04</v>
      </c>
      <c r="G48">
        <v>2693.60503738445</v>
      </c>
      <c r="H48">
        <v>2210.0700000000002</v>
      </c>
      <c r="I48">
        <v>0</v>
      </c>
      <c r="J48">
        <v>1653040.21132</v>
      </c>
      <c r="K48">
        <v>11319.4535</v>
      </c>
      <c r="L48">
        <v>146558.45058</v>
      </c>
      <c r="M48">
        <v>0</v>
      </c>
      <c r="N48">
        <v>217955.72992000001</v>
      </c>
      <c r="O48">
        <v>33694.471400000002</v>
      </c>
      <c r="P48">
        <v>0</v>
      </c>
      <c r="Q48">
        <v>95819.521099999998</v>
      </c>
      <c r="R48">
        <v>39030.586779999998</v>
      </c>
      <c r="S48">
        <v>0</v>
      </c>
    </row>
    <row r="49" spans="1:19">
      <c r="A49">
        <v>48</v>
      </c>
      <c r="B49" s="45">
        <f t="array" ref="B49">IFERROR(INDEX(baseline!$A$3:$A$201,MATCH($C49&amp;$D49,baseline!$C$3:$C$201&amp;baseline!$D$3:$D$201,0)),"NA")</f>
        <v>3</v>
      </c>
      <c r="C49" t="s">
        <v>545</v>
      </c>
      <c r="D49" t="s">
        <v>881</v>
      </c>
      <c r="E49" t="s">
        <v>840</v>
      </c>
      <c r="F49">
        <v>929.13</v>
      </c>
      <c r="G49">
        <v>2693.60503738445</v>
      </c>
      <c r="H49">
        <v>2210.0700000000002</v>
      </c>
      <c r="I49">
        <v>0</v>
      </c>
      <c r="J49">
        <v>1327234.39512</v>
      </c>
      <c r="K49">
        <v>11319.4535</v>
      </c>
      <c r="L49">
        <v>146558.45058</v>
      </c>
      <c r="M49">
        <v>0</v>
      </c>
      <c r="N49">
        <v>217955.72992000001</v>
      </c>
      <c r="O49">
        <v>33694.471400000002</v>
      </c>
      <c r="P49">
        <v>0</v>
      </c>
      <c r="Q49">
        <v>95819.521099999998</v>
      </c>
      <c r="R49">
        <v>2083.335</v>
      </c>
      <c r="S49">
        <v>0</v>
      </c>
    </row>
    <row r="50" spans="1:19">
      <c r="A50">
        <v>49</v>
      </c>
      <c r="B50" s="45">
        <f t="array" ref="B50">IFERROR(INDEX(baseline!$A$3:$A$201,MATCH($C50&amp;$D50,baseline!$C$3:$C$201&amp;baseline!$D$3:$D$201,0)),"NA")</f>
        <v>3</v>
      </c>
      <c r="C50" t="s">
        <v>545</v>
      </c>
      <c r="D50" t="s">
        <v>881</v>
      </c>
      <c r="E50" t="s">
        <v>839</v>
      </c>
      <c r="F50">
        <v>19757.28</v>
      </c>
      <c r="G50">
        <v>2693.60503738445</v>
      </c>
      <c r="H50">
        <v>2210.0700000000002</v>
      </c>
      <c r="I50">
        <v>0</v>
      </c>
      <c r="J50">
        <v>1653040.21132</v>
      </c>
      <c r="K50">
        <v>8086.1175800000001</v>
      </c>
      <c r="L50">
        <v>146558.45058</v>
      </c>
      <c r="M50">
        <v>0</v>
      </c>
      <c r="N50">
        <v>217955.72992000001</v>
      </c>
      <c r="O50">
        <v>33694.471400000002</v>
      </c>
      <c r="P50">
        <v>0</v>
      </c>
      <c r="Q50">
        <v>95819.521099999998</v>
      </c>
      <c r="R50">
        <v>39030.586779999998</v>
      </c>
      <c r="S50">
        <v>0</v>
      </c>
    </row>
    <row r="51" spans="1:19">
      <c r="A51">
        <v>50</v>
      </c>
      <c r="B51" s="45">
        <f t="array" ref="B51">IFERROR(INDEX(baseline!$A$3:$A$201,MATCH($C51&amp;$D51,baseline!$C$3:$C$201&amp;baseline!$D$3:$D$201,0)),"NA")</f>
        <v>3</v>
      </c>
      <c r="C51" t="s">
        <v>545</v>
      </c>
      <c r="D51" t="s">
        <v>881</v>
      </c>
      <c r="E51" t="s">
        <v>805</v>
      </c>
      <c r="F51">
        <v>7488.35</v>
      </c>
      <c r="G51">
        <v>2693.60503738445</v>
      </c>
      <c r="H51">
        <v>2210.0700000000002</v>
      </c>
      <c r="I51">
        <v>0</v>
      </c>
      <c r="J51">
        <v>1154262.03452</v>
      </c>
      <c r="K51">
        <v>16955.56912</v>
      </c>
      <c r="L51">
        <v>146558.45058</v>
      </c>
      <c r="M51">
        <v>0</v>
      </c>
      <c r="N51">
        <v>217955.72992000001</v>
      </c>
      <c r="O51">
        <v>33694.471400000002</v>
      </c>
      <c r="P51">
        <v>0</v>
      </c>
      <c r="Q51">
        <v>95827.854439999996</v>
      </c>
      <c r="R51">
        <v>38194.474999999999</v>
      </c>
      <c r="S51">
        <v>0</v>
      </c>
    </row>
    <row r="52" spans="1:19">
      <c r="A52">
        <v>51</v>
      </c>
      <c r="B52" s="45">
        <f t="array" ref="B52">IFERROR(INDEX(baseline!$A$3:$A$201,MATCH($C52&amp;$D52,baseline!$C$3:$C$201&amp;baseline!$D$3:$D$201,0)),"NA")</f>
        <v>3</v>
      </c>
      <c r="C52" t="s">
        <v>545</v>
      </c>
      <c r="D52" t="s">
        <v>881</v>
      </c>
      <c r="E52" t="s">
        <v>877</v>
      </c>
      <c r="F52">
        <v>14063.11</v>
      </c>
      <c r="G52">
        <v>2693.60503738445</v>
      </c>
      <c r="H52">
        <v>2210.0700000000002</v>
      </c>
      <c r="I52">
        <v>0</v>
      </c>
      <c r="J52">
        <v>1597920.72278</v>
      </c>
      <c r="K52">
        <v>15061.123159999999</v>
      </c>
      <c r="L52">
        <v>146552.89502</v>
      </c>
      <c r="M52">
        <v>0</v>
      </c>
      <c r="N52">
        <v>217955.72992000001</v>
      </c>
      <c r="O52">
        <v>33694.471400000002</v>
      </c>
      <c r="P52">
        <v>0</v>
      </c>
      <c r="Q52">
        <v>96058.410180000006</v>
      </c>
      <c r="R52">
        <v>38655.586479999998</v>
      </c>
      <c r="S52">
        <v>0</v>
      </c>
    </row>
    <row r="53" spans="1:19">
      <c r="A53">
        <v>52</v>
      </c>
      <c r="B53" s="45">
        <f t="array" ref="B53">IFERROR(INDEX(baseline!$A$3:$A$201,MATCH($C53&amp;$D53,baseline!$C$3:$C$201&amp;baseline!$D$3:$D$201,0)),"NA")</f>
        <v>3</v>
      </c>
      <c r="C53" t="s">
        <v>545</v>
      </c>
      <c r="D53" t="s">
        <v>881</v>
      </c>
      <c r="E53" t="s">
        <v>838</v>
      </c>
      <c r="F53">
        <v>4689.32</v>
      </c>
      <c r="G53">
        <v>2693.60503738445</v>
      </c>
      <c r="H53">
        <v>2210.0700000000002</v>
      </c>
      <c r="I53">
        <v>0</v>
      </c>
      <c r="J53">
        <v>1653045.76688</v>
      </c>
      <c r="K53">
        <v>10280.56378</v>
      </c>
      <c r="L53">
        <v>146558.45058</v>
      </c>
      <c r="M53">
        <v>0</v>
      </c>
      <c r="N53">
        <v>217955.72992000001</v>
      </c>
      <c r="O53">
        <v>33694.471400000002</v>
      </c>
      <c r="P53">
        <v>0</v>
      </c>
      <c r="Q53">
        <v>95819.521099999998</v>
      </c>
      <c r="R53">
        <v>38983.364520000003</v>
      </c>
      <c r="S53">
        <v>0</v>
      </c>
    </row>
    <row r="54" spans="1:19">
      <c r="A54">
        <v>53</v>
      </c>
      <c r="B54" s="45">
        <f t="array" ref="B54">IFERROR(INDEX(baseline!$A$3:$A$201,MATCH($C54&amp;$D54,baseline!$C$3:$C$201&amp;baseline!$D$3:$D$201,0)),"NA")</f>
        <v>3</v>
      </c>
      <c r="C54" t="s">
        <v>545</v>
      </c>
      <c r="D54" t="s">
        <v>881</v>
      </c>
      <c r="E54" t="s">
        <v>1013</v>
      </c>
      <c r="F54">
        <v>135295.15</v>
      </c>
      <c r="G54">
        <v>2693.60503738445</v>
      </c>
      <c r="H54">
        <v>2210.0700000000002</v>
      </c>
      <c r="I54">
        <v>0</v>
      </c>
      <c r="J54">
        <v>1231556.5408000001</v>
      </c>
      <c r="K54">
        <v>10919.45318</v>
      </c>
      <c r="L54">
        <v>146561.22836000001</v>
      </c>
      <c r="M54">
        <v>0</v>
      </c>
      <c r="N54">
        <v>152569.56649999999</v>
      </c>
      <c r="O54">
        <v>33694.471400000002</v>
      </c>
      <c r="P54">
        <v>0</v>
      </c>
      <c r="Q54">
        <v>63572.273079999999</v>
      </c>
      <c r="R54">
        <v>30116.690760000001</v>
      </c>
      <c r="S54">
        <v>0</v>
      </c>
    </row>
    <row r="55" spans="1:19">
      <c r="A55">
        <v>54</v>
      </c>
      <c r="B55" s="45">
        <f t="array" ref="B55">IFERROR(INDEX(baseline!$A$3:$A$201,MATCH($C55&amp;$D55,baseline!$C$3:$C$201&amp;baseline!$D$3:$D$201,0)),"NA")</f>
        <v>3</v>
      </c>
      <c r="C55" t="s">
        <v>545</v>
      </c>
      <c r="D55" t="s">
        <v>881</v>
      </c>
      <c r="E55" t="s">
        <v>893</v>
      </c>
      <c r="F55">
        <v>445117.48</v>
      </c>
      <c r="G55">
        <v>2693.60503738445</v>
      </c>
      <c r="H55">
        <v>2210.0700000000002</v>
      </c>
      <c r="I55">
        <v>0</v>
      </c>
      <c r="J55">
        <v>1593265.1635</v>
      </c>
      <c r="K55">
        <v>11077.78664</v>
      </c>
      <c r="L55">
        <v>146558.45058</v>
      </c>
      <c r="M55">
        <v>0</v>
      </c>
      <c r="N55">
        <v>217955.72992000001</v>
      </c>
      <c r="O55">
        <v>33694.471400000002</v>
      </c>
      <c r="P55">
        <v>0</v>
      </c>
      <c r="Q55">
        <v>93672.297160000002</v>
      </c>
      <c r="R55">
        <v>37369.474340000001</v>
      </c>
      <c r="S55">
        <v>0</v>
      </c>
    </row>
    <row r="56" spans="1:19">
      <c r="A56">
        <v>55</v>
      </c>
      <c r="B56" s="45">
        <f t="array" ref="B56">IFERROR(INDEX(baseline!$A$3:$A$201,MATCH($C56&amp;$D56,baseline!$C$3:$C$201&amp;baseline!$D$3:$D$201,0)),"NA")</f>
        <v>3</v>
      </c>
      <c r="C56" t="s">
        <v>545</v>
      </c>
      <c r="D56" t="s">
        <v>881</v>
      </c>
      <c r="E56" t="s">
        <v>892</v>
      </c>
      <c r="F56">
        <v>407709.71</v>
      </c>
      <c r="G56">
        <v>2693.60503738445</v>
      </c>
      <c r="H56">
        <v>2210.0700000000002</v>
      </c>
      <c r="I56">
        <v>0</v>
      </c>
      <c r="J56">
        <v>1628451.3027600001</v>
      </c>
      <c r="K56">
        <v>11361.120199999999</v>
      </c>
      <c r="L56">
        <v>146558.45058</v>
      </c>
      <c r="M56">
        <v>0</v>
      </c>
      <c r="N56">
        <v>217955.72992000001</v>
      </c>
      <c r="O56">
        <v>33694.471400000002</v>
      </c>
      <c r="P56">
        <v>0</v>
      </c>
      <c r="Q56">
        <v>94847.2981</v>
      </c>
      <c r="R56">
        <v>38213.919459999997</v>
      </c>
      <c r="S56">
        <v>0</v>
      </c>
    </row>
    <row r="57" spans="1:19">
      <c r="A57">
        <v>56</v>
      </c>
      <c r="B57" s="45">
        <f t="array" ref="B57">IFERROR(INDEX(baseline!$A$3:$A$201,MATCH($C57&amp;$D57,baseline!$C$3:$C$201&amp;baseline!$D$3:$D$201,0)),"NA")</f>
        <v>3</v>
      </c>
      <c r="C57" t="s">
        <v>545</v>
      </c>
      <c r="D57" t="s">
        <v>881</v>
      </c>
      <c r="E57" t="s">
        <v>894</v>
      </c>
      <c r="F57">
        <v>269689.32</v>
      </c>
      <c r="G57">
        <v>2693.60503738445</v>
      </c>
      <c r="H57">
        <v>2210.0700000000002</v>
      </c>
      <c r="I57">
        <v>0</v>
      </c>
      <c r="J57">
        <v>1593704.05274</v>
      </c>
      <c r="K57">
        <v>11416.675800000001</v>
      </c>
      <c r="L57">
        <v>146558.45058</v>
      </c>
      <c r="M57">
        <v>0</v>
      </c>
      <c r="N57">
        <v>217955.72992000001</v>
      </c>
      <c r="O57">
        <v>33694.471400000002</v>
      </c>
      <c r="P57">
        <v>0</v>
      </c>
      <c r="Q57">
        <v>93869.519539999994</v>
      </c>
      <c r="R57">
        <v>37558.363380000003</v>
      </c>
      <c r="S57">
        <v>0</v>
      </c>
    </row>
    <row r="58" spans="1:19">
      <c r="A58">
        <v>57</v>
      </c>
      <c r="B58" s="45">
        <f t="array" ref="B58">IFERROR(INDEX(baseline!$A$3:$A$201,MATCH($C58&amp;$D58,baseline!$C$3:$C$201&amp;baseline!$D$3:$D$201,0)),"NA")</f>
        <v>3</v>
      </c>
      <c r="C58" t="s">
        <v>545</v>
      </c>
      <c r="D58" t="s">
        <v>881</v>
      </c>
      <c r="E58" t="s">
        <v>837</v>
      </c>
      <c r="F58">
        <v>6586.41</v>
      </c>
      <c r="G58">
        <v>2693.60503738445</v>
      </c>
      <c r="H58">
        <v>2210.0700000000002</v>
      </c>
      <c r="I58">
        <v>0</v>
      </c>
      <c r="J58">
        <v>1653034.65576</v>
      </c>
      <c r="K58">
        <v>11319.4535</v>
      </c>
      <c r="L58">
        <v>146558.45058</v>
      </c>
      <c r="M58">
        <v>0</v>
      </c>
      <c r="N58">
        <v>217955.72992000001</v>
      </c>
      <c r="O58">
        <v>33694.471400000002</v>
      </c>
      <c r="P58">
        <v>0</v>
      </c>
      <c r="Q58">
        <v>63300.050640000001</v>
      </c>
      <c r="R58">
        <v>39025.031219999997</v>
      </c>
      <c r="S58">
        <v>0</v>
      </c>
    </row>
    <row r="59" spans="1:19">
      <c r="A59">
        <v>58</v>
      </c>
      <c r="B59" s="45">
        <f t="array" ref="B59">IFERROR(INDEX(baseline!$A$3:$A$201,MATCH($C59&amp;$D59,baseline!$C$3:$C$201&amp;baseline!$D$3:$D$201,0)),"NA")</f>
        <v>3</v>
      </c>
      <c r="C59" t="s">
        <v>545</v>
      </c>
      <c r="D59" t="s">
        <v>881</v>
      </c>
      <c r="E59" t="s">
        <v>833</v>
      </c>
      <c r="F59">
        <v>4038.83</v>
      </c>
      <c r="G59">
        <v>2693.60503738445</v>
      </c>
      <c r="H59">
        <v>2210.0700000000002</v>
      </c>
      <c r="I59">
        <v>0</v>
      </c>
      <c r="J59">
        <v>1653715.2118599999</v>
      </c>
      <c r="K59">
        <v>11294.45348</v>
      </c>
      <c r="L59">
        <v>146558.45058</v>
      </c>
      <c r="M59">
        <v>0</v>
      </c>
      <c r="N59">
        <v>217955.72992000001</v>
      </c>
      <c r="O59">
        <v>33694.471400000002</v>
      </c>
      <c r="P59">
        <v>0</v>
      </c>
      <c r="Q59">
        <v>95300.076239999995</v>
      </c>
      <c r="R59">
        <v>39030.586779999998</v>
      </c>
      <c r="S59">
        <v>0</v>
      </c>
    </row>
    <row r="60" spans="1:19">
      <c r="A60">
        <v>59</v>
      </c>
      <c r="B60" s="45">
        <f t="array" ref="B60">IFERROR(INDEX(baseline!$A$3:$A$201,MATCH($C60&amp;$D60,baseline!$C$3:$C$201&amp;baseline!$D$3:$D$201,0)),"NA")</f>
        <v>3</v>
      </c>
      <c r="C60" t="s">
        <v>545</v>
      </c>
      <c r="D60" t="s">
        <v>881</v>
      </c>
      <c r="E60" t="s">
        <v>835</v>
      </c>
      <c r="F60">
        <v>287379.61</v>
      </c>
      <c r="G60">
        <v>2693.60503738445</v>
      </c>
      <c r="H60">
        <v>2210.0700000000002</v>
      </c>
      <c r="I60">
        <v>0</v>
      </c>
      <c r="J60">
        <v>1037595.27452</v>
      </c>
      <c r="K60">
        <v>17136.124820000001</v>
      </c>
      <c r="L60">
        <v>146558.45058</v>
      </c>
      <c r="M60">
        <v>0</v>
      </c>
      <c r="N60">
        <v>217955.72992000001</v>
      </c>
      <c r="O60">
        <v>33694.471400000002</v>
      </c>
      <c r="P60">
        <v>0</v>
      </c>
      <c r="Q60">
        <v>95813.965540000005</v>
      </c>
      <c r="R60">
        <v>37580.585619999998</v>
      </c>
      <c r="S60">
        <v>17519.458460000002</v>
      </c>
    </row>
    <row r="61" spans="1:19">
      <c r="A61">
        <v>60</v>
      </c>
      <c r="B61" s="45">
        <f t="array" ref="B61">IFERROR(INDEX(baseline!$A$3:$A$201,MATCH($C61&amp;$D61,baseline!$C$3:$C$201&amp;baseline!$D$3:$D$201,0)),"NA")</f>
        <v>3</v>
      </c>
      <c r="C61" t="s">
        <v>545</v>
      </c>
      <c r="D61" t="s">
        <v>881</v>
      </c>
      <c r="E61" t="s">
        <v>863</v>
      </c>
      <c r="F61">
        <v>81355.34</v>
      </c>
      <c r="G61">
        <v>2693.60503738445</v>
      </c>
      <c r="H61">
        <v>2210.0700000000002</v>
      </c>
      <c r="I61">
        <v>0</v>
      </c>
      <c r="J61">
        <v>923961.85028000001</v>
      </c>
      <c r="K61">
        <v>14519.45606</v>
      </c>
      <c r="L61">
        <v>146555.6728</v>
      </c>
      <c r="M61">
        <v>0</v>
      </c>
      <c r="N61">
        <v>217955.72992000001</v>
      </c>
      <c r="O61">
        <v>33694.471400000002</v>
      </c>
      <c r="P61">
        <v>0</v>
      </c>
      <c r="Q61">
        <v>78836.174180000002</v>
      </c>
      <c r="R61">
        <v>22944.462800000001</v>
      </c>
      <c r="S61">
        <v>0</v>
      </c>
    </row>
    <row r="62" spans="1:19">
      <c r="A62">
        <v>61</v>
      </c>
      <c r="B62" s="45">
        <f t="array" ref="B62">IFERROR(INDEX(baseline!$A$3:$A$201,MATCH($C62&amp;$D62,baseline!$C$3:$C$201&amp;baseline!$D$3:$D$201,0)),"NA")</f>
        <v>3</v>
      </c>
      <c r="C62" t="s">
        <v>545</v>
      </c>
      <c r="D62" t="s">
        <v>881</v>
      </c>
      <c r="E62" t="s">
        <v>1011</v>
      </c>
      <c r="F62">
        <v>85643.69</v>
      </c>
      <c r="G62">
        <v>2693.60503738445</v>
      </c>
      <c r="H62">
        <v>2210.0700000000002</v>
      </c>
      <c r="I62">
        <v>0</v>
      </c>
      <c r="J62">
        <v>841017.33947999997</v>
      </c>
      <c r="K62">
        <v>6800.0054399999999</v>
      </c>
      <c r="L62">
        <v>146555.6728</v>
      </c>
      <c r="M62">
        <v>0</v>
      </c>
      <c r="N62">
        <v>217955.72992000001</v>
      </c>
      <c r="O62">
        <v>33694.471400000002</v>
      </c>
      <c r="P62">
        <v>0</v>
      </c>
      <c r="Q62">
        <v>79361.174599999998</v>
      </c>
      <c r="R62">
        <v>22438.90684</v>
      </c>
      <c r="S62">
        <v>0</v>
      </c>
    </row>
    <row r="63" spans="1:19">
      <c r="A63">
        <v>62</v>
      </c>
      <c r="B63" s="45">
        <f t="array" ref="B63">IFERROR(INDEX(baseline!$A$3:$A$201,MATCH($C63&amp;$D63,baseline!$C$3:$C$201&amp;baseline!$D$3:$D$201,0)),"NA")</f>
        <v>3</v>
      </c>
      <c r="C63" t="s">
        <v>545</v>
      </c>
      <c r="D63" t="s">
        <v>881</v>
      </c>
      <c r="E63" t="s">
        <v>860</v>
      </c>
      <c r="F63">
        <v>108414.56</v>
      </c>
      <c r="G63">
        <v>2693.60503738445</v>
      </c>
      <c r="H63">
        <v>2210.0700000000002</v>
      </c>
      <c r="I63">
        <v>0</v>
      </c>
      <c r="J63">
        <v>1734084.7205999999</v>
      </c>
      <c r="K63">
        <v>7588.8949599999996</v>
      </c>
      <c r="L63">
        <v>146561.22836000001</v>
      </c>
      <c r="M63">
        <v>0</v>
      </c>
      <c r="N63">
        <v>152569.56649999999</v>
      </c>
      <c r="O63">
        <v>33694.471400000002</v>
      </c>
      <c r="P63">
        <v>0</v>
      </c>
      <c r="Q63">
        <v>96050.076839999994</v>
      </c>
      <c r="R63">
        <v>39438.920440000002</v>
      </c>
      <c r="S63">
        <v>0</v>
      </c>
    </row>
    <row r="64" spans="1:19">
      <c r="A64">
        <v>63</v>
      </c>
      <c r="B64" s="45">
        <f t="array" ref="B64">IFERROR(INDEX(baseline!$A$3:$A$201,MATCH($C64&amp;$D64,baseline!$C$3:$C$201&amp;baseline!$D$3:$D$201,0)),"NA")</f>
        <v>3</v>
      </c>
      <c r="C64" t="s">
        <v>545</v>
      </c>
      <c r="D64" t="s">
        <v>881</v>
      </c>
      <c r="E64" t="s">
        <v>1019</v>
      </c>
      <c r="F64">
        <v>86572.82</v>
      </c>
      <c r="G64">
        <v>2693.60503738445</v>
      </c>
      <c r="H64">
        <v>2210.0700000000002</v>
      </c>
      <c r="I64">
        <v>0</v>
      </c>
      <c r="J64">
        <v>661692.19602000003</v>
      </c>
      <c r="K64">
        <v>6800.0054399999999</v>
      </c>
      <c r="L64">
        <v>146555.6728</v>
      </c>
      <c r="M64">
        <v>0</v>
      </c>
      <c r="N64">
        <v>217955.72992000001</v>
      </c>
      <c r="O64">
        <v>33694.471400000002</v>
      </c>
      <c r="P64">
        <v>0</v>
      </c>
      <c r="Q64">
        <v>79361.174599999998</v>
      </c>
      <c r="R64">
        <v>1213.88986</v>
      </c>
      <c r="S64">
        <v>0</v>
      </c>
    </row>
    <row r="65" spans="1:19">
      <c r="A65">
        <v>64</v>
      </c>
      <c r="B65" s="45">
        <f t="array" ref="B65">IFERROR(INDEX(baseline!$A$3:$A$201,MATCH($C65&amp;$D65,baseline!$C$3:$C$201&amp;baseline!$D$3:$D$201,0)),"NA")</f>
        <v>3</v>
      </c>
      <c r="C65" t="s">
        <v>545</v>
      </c>
      <c r="D65" t="s">
        <v>881</v>
      </c>
      <c r="E65" t="s">
        <v>836</v>
      </c>
      <c r="F65">
        <v>4288.3500000000004</v>
      </c>
      <c r="G65">
        <v>2693.60503738445</v>
      </c>
      <c r="H65">
        <v>2210.0700000000002</v>
      </c>
      <c r="I65">
        <v>0</v>
      </c>
      <c r="J65">
        <v>1547387.3490200001</v>
      </c>
      <c r="K65">
        <v>4888.8927999999996</v>
      </c>
      <c r="L65">
        <v>146558.45058</v>
      </c>
      <c r="M65">
        <v>0</v>
      </c>
      <c r="N65">
        <v>217955.72992000001</v>
      </c>
      <c r="O65">
        <v>33694.471400000002</v>
      </c>
      <c r="P65">
        <v>0</v>
      </c>
      <c r="Q65">
        <v>104436.19465999999</v>
      </c>
      <c r="R65">
        <v>41438.922039999998</v>
      </c>
      <c r="S65">
        <v>0</v>
      </c>
    </row>
    <row r="66" spans="1:19">
      <c r="A66">
        <v>65</v>
      </c>
      <c r="B66" s="45">
        <f t="array" ref="B66">IFERROR(INDEX(baseline!$A$3:$A$201,MATCH($C66&amp;$D66,baseline!$C$3:$C$201&amp;baseline!$D$3:$D$201,0)),"NA")</f>
        <v>3</v>
      </c>
      <c r="C66" t="s">
        <v>545</v>
      </c>
      <c r="D66" t="s">
        <v>881</v>
      </c>
      <c r="E66" t="s">
        <v>1030</v>
      </c>
      <c r="F66">
        <v>251509.71</v>
      </c>
      <c r="G66">
        <v>2693.60503738445</v>
      </c>
      <c r="H66">
        <v>2210.0700000000002</v>
      </c>
      <c r="I66">
        <v>0</v>
      </c>
      <c r="J66">
        <v>406655.88088000001</v>
      </c>
      <c r="K66">
        <v>20263.9051</v>
      </c>
      <c r="L66">
        <v>146552.89502</v>
      </c>
      <c r="M66">
        <v>0</v>
      </c>
      <c r="N66">
        <v>152569.56649999999</v>
      </c>
      <c r="O66">
        <v>33694.471400000002</v>
      </c>
      <c r="P66">
        <v>0</v>
      </c>
      <c r="Q66">
        <v>41863.922380000004</v>
      </c>
      <c r="R66">
        <v>491.66705999999999</v>
      </c>
      <c r="S66">
        <v>0</v>
      </c>
    </row>
    <row r="67" spans="1:19">
      <c r="A67">
        <v>66</v>
      </c>
      <c r="B67" s="45">
        <f t="array" ref="B67">IFERROR(INDEX(baseline!$A$3:$A$201,MATCH($C67&amp;$D67,baseline!$C$3:$C$201&amp;baseline!$D$3:$D$201,0)),"NA")</f>
        <v>3</v>
      </c>
      <c r="C67" t="s">
        <v>545</v>
      </c>
      <c r="D67" t="s">
        <v>881</v>
      </c>
      <c r="E67" t="s">
        <v>859</v>
      </c>
      <c r="F67">
        <v>2479.61</v>
      </c>
      <c r="G67">
        <v>2693.60503738445</v>
      </c>
      <c r="H67">
        <v>2210.0700000000002</v>
      </c>
      <c r="I67">
        <v>0</v>
      </c>
      <c r="J67">
        <v>1654851.32388</v>
      </c>
      <c r="K67">
        <v>11122.23112</v>
      </c>
      <c r="L67">
        <v>146558.45058</v>
      </c>
      <c r="M67">
        <v>0</v>
      </c>
      <c r="N67">
        <v>217955.72992000001</v>
      </c>
      <c r="O67">
        <v>33694.471400000002</v>
      </c>
      <c r="P67">
        <v>0</v>
      </c>
      <c r="Q67">
        <v>95847.298899999994</v>
      </c>
      <c r="R67">
        <v>38933.364479999997</v>
      </c>
      <c r="S67">
        <v>0</v>
      </c>
    </row>
    <row r="68" spans="1:19">
      <c r="A68">
        <v>67</v>
      </c>
      <c r="B68" s="45">
        <f t="array" ref="B68">IFERROR(INDEX(baseline!$A$3:$A$201,MATCH($C68&amp;$D68,baseline!$C$3:$C$201&amp;baseline!$D$3:$D$201,0)),"NA")</f>
        <v>3</v>
      </c>
      <c r="C68" t="s">
        <v>545</v>
      </c>
      <c r="D68" t="s">
        <v>881</v>
      </c>
      <c r="E68" t="s">
        <v>865</v>
      </c>
      <c r="F68">
        <v>10326.209999999999</v>
      </c>
      <c r="G68">
        <v>2693.60503738445</v>
      </c>
      <c r="H68">
        <v>2210.0700000000002</v>
      </c>
      <c r="I68">
        <v>0</v>
      </c>
      <c r="J68">
        <v>1653040.21132</v>
      </c>
      <c r="K68">
        <v>11319.4535</v>
      </c>
      <c r="L68">
        <v>146558.45058</v>
      </c>
      <c r="M68">
        <v>0</v>
      </c>
      <c r="N68">
        <v>217955.72992000001</v>
      </c>
      <c r="O68">
        <v>33694.471400000002</v>
      </c>
      <c r="P68">
        <v>0</v>
      </c>
      <c r="Q68">
        <v>95819.521099999998</v>
      </c>
      <c r="R68">
        <v>30525.024420000002</v>
      </c>
      <c r="S68">
        <v>0</v>
      </c>
    </row>
    <row r="69" spans="1:19">
      <c r="A69">
        <v>68</v>
      </c>
      <c r="B69" s="45">
        <f t="array" ref="B69">IFERROR(INDEX(baseline!$A$3:$A$201,MATCH($C69&amp;$D69,baseline!$C$3:$C$201&amp;baseline!$D$3:$D$201,0)),"NA")</f>
        <v>4</v>
      </c>
      <c r="C69" t="s">
        <v>545</v>
      </c>
      <c r="D69" t="s">
        <v>546</v>
      </c>
      <c r="E69" t="s">
        <v>832</v>
      </c>
      <c r="F69">
        <v>14063.11</v>
      </c>
      <c r="G69">
        <v>2693.60503738445</v>
      </c>
      <c r="H69">
        <v>2210.0700000000002</v>
      </c>
      <c r="I69">
        <v>0</v>
      </c>
      <c r="J69">
        <v>1108434.2200800001</v>
      </c>
      <c r="K69">
        <v>14727.789559999999</v>
      </c>
      <c r="L69">
        <v>146552.89502</v>
      </c>
      <c r="M69">
        <v>0</v>
      </c>
      <c r="N69">
        <v>217955.72992000001</v>
      </c>
      <c r="O69">
        <v>33694.471400000002</v>
      </c>
      <c r="P69">
        <v>0</v>
      </c>
      <c r="Q69">
        <v>76180.616500000004</v>
      </c>
      <c r="R69">
        <v>24583.352999999999</v>
      </c>
      <c r="S69">
        <v>0</v>
      </c>
    </row>
    <row r="70" spans="1:19">
      <c r="A70">
        <v>69</v>
      </c>
      <c r="B70" s="45">
        <f t="array" ref="B70">IFERROR(INDEX(baseline!$A$3:$A$201,MATCH($C70&amp;$D70,baseline!$C$3:$C$201&amp;baseline!$D$3:$D$201,0)),"NA")</f>
        <v>4</v>
      </c>
      <c r="C70" t="s">
        <v>545</v>
      </c>
      <c r="D70" t="s">
        <v>546</v>
      </c>
      <c r="E70" t="s">
        <v>869</v>
      </c>
      <c r="F70">
        <v>0</v>
      </c>
      <c r="G70">
        <v>2693.60503738445</v>
      </c>
      <c r="H70">
        <v>2210.0700000000002</v>
      </c>
      <c r="I70">
        <v>0</v>
      </c>
      <c r="J70">
        <v>884311.81856000004</v>
      </c>
      <c r="K70">
        <v>5825.0046599999996</v>
      </c>
      <c r="L70">
        <v>146555.6728</v>
      </c>
      <c r="M70">
        <v>0</v>
      </c>
      <c r="N70">
        <v>217955.72992000001</v>
      </c>
      <c r="O70">
        <v>33694.471400000002</v>
      </c>
      <c r="P70">
        <v>0</v>
      </c>
      <c r="Q70">
        <v>69336.166580000005</v>
      </c>
      <c r="R70">
        <v>18133.347839999999</v>
      </c>
      <c r="S70">
        <v>0</v>
      </c>
    </row>
    <row r="71" spans="1:19">
      <c r="A71">
        <v>70</v>
      </c>
      <c r="B71" s="45">
        <f t="array" ref="B71">IFERROR(INDEX(baseline!$A$3:$A$201,MATCH($C71&amp;$D71,baseline!$C$3:$C$201&amp;baseline!$D$3:$D$201,0)),"NA")</f>
        <v>4</v>
      </c>
      <c r="C71" t="s">
        <v>545</v>
      </c>
      <c r="D71" t="s">
        <v>546</v>
      </c>
      <c r="E71" t="s">
        <v>896</v>
      </c>
      <c r="F71">
        <v>32923.300000000003</v>
      </c>
      <c r="G71">
        <v>2693.60503738445</v>
      </c>
      <c r="H71">
        <v>2210.0700000000002</v>
      </c>
      <c r="I71">
        <v>0</v>
      </c>
      <c r="J71">
        <v>892445.15839999996</v>
      </c>
      <c r="K71">
        <v>10363.89718</v>
      </c>
      <c r="L71">
        <v>146555.6728</v>
      </c>
      <c r="M71">
        <v>0</v>
      </c>
      <c r="N71">
        <v>217955.72992000001</v>
      </c>
      <c r="O71">
        <v>33694.471400000002</v>
      </c>
      <c r="P71">
        <v>0</v>
      </c>
      <c r="Q71">
        <v>76313.949940000006</v>
      </c>
      <c r="R71">
        <v>22208.3511</v>
      </c>
      <c r="S71">
        <v>0</v>
      </c>
    </row>
    <row r="72" spans="1:19">
      <c r="A72">
        <v>71</v>
      </c>
      <c r="B72" s="45">
        <f t="array" ref="B72">IFERROR(INDEX(baseline!$A$3:$A$201,MATCH($C72&amp;$D72,baseline!$C$3:$C$201&amp;baseline!$D$3:$D$201,0)),"NA")</f>
        <v>4</v>
      </c>
      <c r="C72" t="s">
        <v>545</v>
      </c>
      <c r="D72" t="s">
        <v>546</v>
      </c>
      <c r="E72" t="s">
        <v>840</v>
      </c>
      <c r="F72">
        <v>929.13</v>
      </c>
      <c r="G72">
        <v>2693.60503738445</v>
      </c>
      <c r="H72">
        <v>2210.0700000000002</v>
      </c>
      <c r="I72">
        <v>0</v>
      </c>
      <c r="J72">
        <v>698803.33681999997</v>
      </c>
      <c r="K72">
        <v>10363.89718</v>
      </c>
      <c r="L72">
        <v>146555.6728</v>
      </c>
      <c r="M72">
        <v>0</v>
      </c>
      <c r="N72">
        <v>217955.72992000001</v>
      </c>
      <c r="O72">
        <v>33694.471400000002</v>
      </c>
      <c r="P72">
        <v>0</v>
      </c>
      <c r="Q72">
        <v>76313.949940000006</v>
      </c>
      <c r="R72">
        <v>1308.33438</v>
      </c>
      <c r="S72">
        <v>0</v>
      </c>
    </row>
    <row r="73" spans="1:19">
      <c r="A73">
        <v>72</v>
      </c>
      <c r="B73" s="45">
        <f t="array" ref="B73">IFERROR(INDEX(baseline!$A$3:$A$201,MATCH($C73&amp;$D73,baseline!$C$3:$C$201&amp;baseline!$D$3:$D$201,0)),"NA")</f>
        <v>4</v>
      </c>
      <c r="C73" t="s">
        <v>545</v>
      </c>
      <c r="D73" t="s">
        <v>546</v>
      </c>
      <c r="E73" t="s">
        <v>839</v>
      </c>
      <c r="F73">
        <v>19757.28</v>
      </c>
      <c r="G73">
        <v>2693.60503738445</v>
      </c>
      <c r="H73">
        <v>2210.0700000000002</v>
      </c>
      <c r="I73">
        <v>0</v>
      </c>
      <c r="J73">
        <v>892445.15839999996</v>
      </c>
      <c r="K73">
        <v>10363.89718</v>
      </c>
      <c r="L73">
        <v>146555.6728</v>
      </c>
      <c r="M73">
        <v>0</v>
      </c>
      <c r="N73">
        <v>217955.72992000001</v>
      </c>
      <c r="O73">
        <v>33694.471400000002</v>
      </c>
      <c r="P73">
        <v>0</v>
      </c>
      <c r="Q73">
        <v>76313.949940000006</v>
      </c>
      <c r="R73">
        <v>22208.3511</v>
      </c>
      <c r="S73">
        <v>0</v>
      </c>
    </row>
    <row r="74" spans="1:19">
      <c r="A74">
        <v>73</v>
      </c>
      <c r="B74" s="45">
        <f t="array" ref="B74">IFERROR(INDEX(baseline!$A$3:$A$201,MATCH($C74&amp;$D74,baseline!$C$3:$C$201&amp;baseline!$D$3:$D$201,0)),"NA")</f>
        <v>4</v>
      </c>
      <c r="C74" t="s">
        <v>545</v>
      </c>
      <c r="D74" t="s">
        <v>546</v>
      </c>
      <c r="E74" t="s">
        <v>805</v>
      </c>
      <c r="F74">
        <v>7488.35</v>
      </c>
      <c r="G74">
        <v>2693.60503738445</v>
      </c>
      <c r="H74">
        <v>2210.0700000000002</v>
      </c>
      <c r="I74">
        <v>0</v>
      </c>
      <c r="J74">
        <v>419939.22483999998</v>
      </c>
      <c r="K74">
        <v>18902.7929</v>
      </c>
      <c r="L74">
        <v>146555.6728</v>
      </c>
      <c r="M74">
        <v>0</v>
      </c>
      <c r="N74">
        <v>217955.72992000001</v>
      </c>
      <c r="O74">
        <v>33694.471400000002</v>
      </c>
      <c r="P74">
        <v>0</v>
      </c>
      <c r="Q74">
        <v>76319.505499999999</v>
      </c>
      <c r="R74">
        <v>19575.015660000001</v>
      </c>
      <c r="S74">
        <v>0</v>
      </c>
    </row>
    <row r="75" spans="1:19">
      <c r="A75">
        <v>74</v>
      </c>
      <c r="B75" s="45">
        <f t="array" ref="B75">IFERROR(INDEX(baseline!$A$3:$A$201,MATCH($C75&amp;$D75,baseline!$C$3:$C$201&amp;baseline!$D$3:$D$201,0)),"NA")</f>
        <v>4</v>
      </c>
      <c r="C75" t="s">
        <v>545</v>
      </c>
      <c r="D75" t="s">
        <v>546</v>
      </c>
      <c r="E75" t="s">
        <v>877</v>
      </c>
      <c r="F75">
        <v>14063.11</v>
      </c>
      <c r="G75">
        <v>2693.60503738445</v>
      </c>
      <c r="H75">
        <v>2210.0700000000002</v>
      </c>
      <c r="I75">
        <v>0</v>
      </c>
      <c r="J75">
        <v>877709.0355</v>
      </c>
      <c r="K75">
        <v>11036.11994</v>
      </c>
      <c r="L75">
        <v>146552.89502</v>
      </c>
      <c r="M75">
        <v>0</v>
      </c>
      <c r="N75">
        <v>217955.72992000001</v>
      </c>
      <c r="O75">
        <v>33694.471400000002</v>
      </c>
      <c r="P75">
        <v>0</v>
      </c>
      <c r="Q75">
        <v>76338.949959999998</v>
      </c>
      <c r="R75">
        <v>22352.79566</v>
      </c>
      <c r="S75">
        <v>0</v>
      </c>
    </row>
    <row r="76" spans="1:19">
      <c r="A76">
        <v>75</v>
      </c>
      <c r="B76" s="45">
        <f t="array" ref="B76">IFERROR(INDEX(baseline!$A$3:$A$201,MATCH($C76&amp;$D76,baseline!$C$3:$C$201&amp;baseline!$D$3:$D$201,0)),"NA")</f>
        <v>4</v>
      </c>
      <c r="C76" t="s">
        <v>545</v>
      </c>
      <c r="D76" t="s">
        <v>546</v>
      </c>
      <c r="E76" t="s">
        <v>838</v>
      </c>
      <c r="F76">
        <v>4689.32</v>
      </c>
      <c r="G76">
        <v>2693.60503738445</v>
      </c>
      <c r="H76">
        <v>2210.0700000000002</v>
      </c>
      <c r="I76">
        <v>0</v>
      </c>
      <c r="J76">
        <v>892461.82507999998</v>
      </c>
      <c r="K76">
        <v>8755.5625600000003</v>
      </c>
      <c r="L76">
        <v>146555.6728</v>
      </c>
      <c r="M76">
        <v>0</v>
      </c>
      <c r="N76">
        <v>217955.72992000001</v>
      </c>
      <c r="O76">
        <v>33694.471400000002</v>
      </c>
      <c r="P76">
        <v>0</v>
      </c>
      <c r="Q76">
        <v>76313.949940000006</v>
      </c>
      <c r="R76">
        <v>22177.79552</v>
      </c>
      <c r="S76">
        <v>0</v>
      </c>
    </row>
    <row r="77" spans="1:19">
      <c r="A77">
        <v>76</v>
      </c>
      <c r="B77" s="45">
        <f t="array" ref="B77">IFERROR(INDEX(baseline!$A$3:$A$201,MATCH($C77&amp;$D77,baseline!$C$3:$C$201&amp;baseline!$D$3:$D$201,0)),"NA")</f>
        <v>4</v>
      </c>
      <c r="C77" t="s">
        <v>545</v>
      </c>
      <c r="D77" t="s">
        <v>546</v>
      </c>
      <c r="E77" t="s">
        <v>1013</v>
      </c>
      <c r="F77">
        <v>135295.15</v>
      </c>
      <c r="G77">
        <v>2693.60503738445</v>
      </c>
      <c r="H77">
        <v>2210.0700000000002</v>
      </c>
      <c r="I77">
        <v>0</v>
      </c>
      <c r="J77">
        <v>448155.91408000002</v>
      </c>
      <c r="K77">
        <v>12361.120999999999</v>
      </c>
      <c r="L77">
        <v>146555.6728</v>
      </c>
      <c r="M77">
        <v>0</v>
      </c>
      <c r="N77">
        <v>152569.56649999999</v>
      </c>
      <c r="O77">
        <v>33694.471400000002</v>
      </c>
      <c r="P77">
        <v>0</v>
      </c>
      <c r="Q77">
        <v>38030.585980000003</v>
      </c>
      <c r="R77">
        <v>14102.789059999999</v>
      </c>
      <c r="S77">
        <v>0</v>
      </c>
    </row>
    <row r="78" spans="1:19">
      <c r="A78">
        <v>77</v>
      </c>
      <c r="B78" s="45">
        <f t="array" ref="B78">IFERROR(INDEX(baseline!$A$3:$A$201,MATCH($C78&amp;$D78,baseline!$C$3:$C$201&amp;baseline!$D$3:$D$201,0)),"NA")</f>
        <v>4</v>
      </c>
      <c r="C78" t="s">
        <v>545</v>
      </c>
      <c r="D78" t="s">
        <v>546</v>
      </c>
      <c r="E78" t="s">
        <v>893</v>
      </c>
      <c r="F78">
        <v>0</v>
      </c>
      <c r="G78">
        <v>2693.60503738445</v>
      </c>
      <c r="H78">
        <v>2210.0700000000002</v>
      </c>
      <c r="I78">
        <v>0</v>
      </c>
      <c r="J78">
        <v>853025.68241999997</v>
      </c>
      <c r="K78">
        <v>10358.341619999999</v>
      </c>
      <c r="L78">
        <v>146555.6728</v>
      </c>
      <c r="M78">
        <v>0</v>
      </c>
      <c r="N78">
        <v>217955.72992000001</v>
      </c>
      <c r="O78">
        <v>33694.471400000002</v>
      </c>
      <c r="P78">
        <v>0</v>
      </c>
      <c r="Q78">
        <v>75466.727039999998</v>
      </c>
      <c r="R78">
        <v>21216.683639999999</v>
      </c>
      <c r="S78">
        <v>0</v>
      </c>
    </row>
    <row r="79" spans="1:19">
      <c r="A79">
        <v>78</v>
      </c>
      <c r="B79" s="45">
        <f t="array" ref="B79">IFERROR(INDEX(baseline!$A$3:$A$201,MATCH($C79&amp;$D79,baseline!$C$3:$C$201&amp;baseline!$D$3:$D$201,0)),"NA")</f>
        <v>4</v>
      </c>
      <c r="C79" t="s">
        <v>545</v>
      </c>
      <c r="D79" t="s">
        <v>546</v>
      </c>
      <c r="E79" t="s">
        <v>892</v>
      </c>
      <c r="F79">
        <v>0</v>
      </c>
      <c r="G79">
        <v>2693.60503738445</v>
      </c>
      <c r="H79">
        <v>2210.0700000000002</v>
      </c>
      <c r="I79">
        <v>0</v>
      </c>
      <c r="J79">
        <v>884161.81843999994</v>
      </c>
      <c r="K79">
        <v>10391.67498</v>
      </c>
      <c r="L79">
        <v>146555.6728</v>
      </c>
      <c r="M79">
        <v>0</v>
      </c>
      <c r="N79">
        <v>217955.72992000001</v>
      </c>
      <c r="O79">
        <v>33694.471400000002</v>
      </c>
      <c r="P79">
        <v>0</v>
      </c>
      <c r="Q79">
        <v>76294.505480000007</v>
      </c>
      <c r="R79">
        <v>22011.128720000001</v>
      </c>
      <c r="S79">
        <v>0</v>
      </c>
    </row>
    <row r="80" spans="1:19">
      <c r="A80">
        <v>79</v>
      </c>
      <c r="B80" s="45">
        <f t="array" ref="B80">IFERROR(INDEX(baseline!$A$3:$A$201,MATCH($C80&amp;$D80,baseline!$C$3:$C$201&amp;baseline!$D$3:$D$201,0)),"NA")</f>
        <v>4</v>
      </c>
      <c r="C80" t="s">
        <v>545</v>
      </c>
      <c r="D80" t="s">
        <v>546</v>
      </c>
      <c r="E80" t="s">
        <v>894</v>
      </c>
      <c r="F80">
        <v>269689.32</v>
      </c>
      <c r="G80">
        <v>2693.60503738445</v>
      </c>
      <c r="H80">
        <v>2210.0700000000002</v>
      </c>
      <c r="I80">
        <v>0</v>
      </c>
      <c r="J80">
        <v>864628.46947999997</v>
      </c>
      <c r="K80">
        <v>10666.6752</v>
      </c>
      <c r="L80">
        <v>146555.6728</v>
      </c>
      <c r="M80">
        <v>0</v>
      </c>
      <c r="N80">
        <v>217955.72992000001</v>
      </c>
      <c r="O80">
        <v>33694.471400000002</v>
      </c>
      <c r="P80">
        <v>0</v>
      </c>
      <c r="Q80">
        <v>76352.838860000003</v>
      </c>
      <c r="R80">
        <v>21811.128560000001</v>
      </c>
      <c r="S80">
        <v>0</v>
      </c>
    </row>
    <row r="81" spans="1:19">
      <c r="A81">
        <v>80</v>
      </c>
      <c r="B81" s="45">
        <f t="array" ref="B81">IFERROR(INDEX(baseline!$A$3:$A$201,MATCH($C81&amp;$D81,baseline!$C$3:$C$201&amp;baseline!$D$3:$D$201,0)),"NA")</f>
        <v>4</v>
      </c>
      <c r="C81" t="s">
        <v>545</v>
      </c>
      <c r="D81" t="s">
        <v>546</v>
      </c>
      <c r="E81" t="s">
        <v>837</v>
      </c>
      <c r="F81">
        <v>6586.41</v>
      </c>
      <c r="G81">
        <v>2693.60503738445</v>
      </c>
      <c r="H81">
        <v>2210.0700000000002</v>
      </c>
      <c r="I81">
        <v>0</v>
      </c>
      <c r="J81">
        <v>892442.38061999995</v>
      </c>
      <c r="K81">
        <v>10363.89718</v>
      </c>
      <c r="L81">
        <v>146555.6728</v>
      </c>
      <c r="M81">
        <v>0</v>
      </c>
      <c r="N81">
        <v>217955.72992000001</v>
      </c>
      <c r="O81">
        <v>33694.471400000002</v>
      </c>
      <c r="P81">
        <v>0</v>
      </c>
      <c r="Q81">
        <v>43794.479480000002</v>
      </c>
      <c r="R81">
        <v>22208.3511</v>
      </c>
      <c r="S81">
        <v>0</v>
      </c>
    </row>
    <row r="82" spans="1:19">
      <c r="A82">
        <v>81</v>
      </c>
      <c r="B82" s="45">
        <f t="array" ref="B82">IFERROR(INDEX(baseline!$A$3:$A$201,MATCH($C82&amp;$D82,baseline!$C$3:$C$201&amp;baseline!$D$3:$D$201,0)),"NA")</f>
        <v>4</v>
      </c>
      <c r="C82" t="s">
        <v>545</v>
      </c>
      <c r="D82" t="s">
        <v>546</v>
      </c>
      <c r="E82" t="s">
        <v>833</v>
      </c>
      <c r="F82">
        <v>4038.83</v>
      </c>
      <c r="G82">
        <v>2693.60503738445</v>
      </c>
      <c r="H82">
        <v>2210.0700000000002</v>
      </c>
      <c r="I82">
        <v>0</v>
      </c>
      <c r="J82">
        <v>892845.15871999995</v>
      </c>
      <c r="K82">
        <v>10350.00828</v>
      </c>
      <c r="L82">
        <v>146555.6728</v>
      </c>
      <c r="M82">
        <v>0</v>
      </c>
      <c r="N82">
        <v>217955.72992000001</v>
      </c>
      <c r="O82">
        <v>33694.471400000002</v>
      </c>
      <c r="P82">
        <v>0</v>
      </c>
      <c r="Q82">
        <v>75986.171900000001</v>
      </c>
      <c r="R82">
        <v>22211.12888</v>
      </c>
      <c r="S82">
        <v>0</v>
      </c>
    </row>
    <row r="83" spans="1:19">
      <c r="A83">
        <v>82</v>
      </c>
      <c r="B83" s="45">
        <f t="array" ref="B83">IFERROR(INDEX(baseline!$A$3:$A$201,MATCH($C83&amp;$D83,baseline!$C$3:$C$201&amp;baseline!$D$3:$D$201,0)),"NA")</f>
        <v>4</v>
      </c>
      <c r="C83" t="s">
        <v>545</v>
      </c>
      <c r="D83" t="s">
        <v>546</v>
      </c>
      <c r="E83" t="s">
        <v>835</v>
      </c>
      <c r="F83">
        <v>287379.61</v>
      </c>
      <c r="G83">
        <v>2693.60503738445</v>
      </c>
      <c r="H83">
        <v>2210.0700000000002</v>
      </c>
      <c r="I83">
        <v>0</v>
      </c>
      <c r="J83">
        <v>298155.79408000002</v>
      </c>
      <c r="K83">
        <v>20247.238420000001</v>
      </c>
      <c r="L83">
        <v>146555.6728</v>
      </c>
      <c r="M83">
        <v>0</v>
      </c>
      <c r="N83">
        <v>217955.72992000001</v>
      </c>
      <c r="O83">
        <v>33694.471400000002</v>
      </c>
      <c r="P83">
        <v>0</v>
      </c>
      <c r="Q83">
        <v>76300.061040000001</v>
      </c>
      <c r="R83">
        <v>19222.2376</v>
      </c>
      <c r="S83">
        <v>17516.680680000001</v>
      </c>
    </row>
    <row r="84" spans="1:19">
      <c r="A84">
        <v>83</v>
      </c>
      <c r="B84" s="45">
        <f t="array" ref="B84">IFERROR(INDEX(baseline!$A$3:$A$201,MATCH($C84&amp;$D84,baseline!$C$3:$C$201&amp;baseline!$D$3:$D$201,0)),"NA")</f>
        <v>4</v>
      </c>
      <c r="C84" t="s">
        <v>545</v>
      </c>
      <c r="D84" t="s">
        <v>546</v>
      </c>
      <c r="E84" t="s">
        <v>860</v>
      </c>
      <c r="F84">
        <v>108414.56</v>
      </c>
      <c r="G84">
        <v>2693.60503738445</v>
      </c>
      <c r="H84">
        <v>2210.0700000000002</v>
      </c>
      <c r="I84">
        <v>0</v>
      </c>
      <c r="J84">
        <v>916467.39983999997</v>
      </c>
      <c r="K84">
        <v>6541.6719000000003</v>
      </c>
      <c r="L84">
        <v>146555.6728</v>
      </c>
      <c r="M84">
        <v>0</v>
      </c>
      <c r="N84">
        <v>152569.56649999999</v>
      </c>
      <c r="O84">
        <v>33694.471400000002</v>
      </c>
      <c r="P84">
        <v>0</v>
      </c>
      <c r="Q84">
        <v>70522.278640000004</v>
      </c>
      <c r="R84">
        <v>19819.460299999999</v>
      </c>
      <c r="S84">
        <v>0</v>
      </c>
    </row>
    <row r="85" spans="1:19">
      <c r="A85">
        <v>84</v>
      </c>
      <c r="B85" s="45">
        <f t="array" ref="B85">IFERROR(INDEX(baseline!$A$3:$A$201,MATCH($C85&amp;$D85,baseline!$C$3:$C$201&amp;baseline!$D$3:$D$201,0)),"NA")</f>
        <v>4</v>
      </c>
      <c r="C85" t="s">
        <v>545</v>
      </c>
      <c r="D85" t="s">
        <v>546</v>
      </c>
      <c r="E85" t="s">
        <v>1019</v>
      </c>
      <c r="F85">
        <v>5217.4799999999996</v>
      </c>
      <c r="G85">
        <v>2693.60503738445</v>
      </c>
      <c r="H85">
        <v>2210.0700000000002</v>
      </c>
      <c r="I85">
        <v>0</v>
      </c>
      <c r="J85">
        <v>625750.50060000003</v>
      </c>
      <c r="K85">
        <v>4897.2261399999998</v>
      </c>
      <c r="L85">
        <v>146555.6728</v>
      </c>
      <c r="M85">
        <v>0</v>
      </c>
      <c r="N85">
        <v>217955.72992000001</v>
      </c>
      <c r="O85">
        <v>33694.471400000002</v>
      </c>
      <c r="P85">
        <v>0</v>
      </c>
      <c r="Q85">
        <v>76380.61666</v>
      </c>
      <c r="R85">
        <v>1175.0009399999999</v>
      </c>
      <c r="S85">
        <v>0</v>
      </c>
    </row>
    <row r="86" spans="1:19">
      <c r="A86">
        <v>85</v>
      </c>
      <c r="B86" s="45">
        <f t="array" ref="B86">IFERROR(INDEX(baseline!$A$3:$A$201,MATCH($C86&amp;$D86,baseline!$C$3:$C$201&amp;baseline!$D$3:$D$201,0)),"NA")</f>
        <v>4</v>
      </c>
      <c r="C86" t="s">
        <v>545</v>
      </c>
      <c r="D86" t="s">
        <v>546</v>
      </c>
      <c r="E86" t="s">
        <v>836</v>
      </c>
      <c r="F86">
        <v>4288.3500000000004</v>
      </c>
      <c r="G86">
        <v>2693.60503738445</v>
      </c>
      <c r="H86">
        <v>2210.0700000000002</v>
      </c>
      <c r="I86">
        <v>0</v>
      </c>
      <c r="J86">
        <v>799420.08398</v>
      </c>
      <c r="K86">
        <v>4897.2261399999998</v>
      </c>
      <c r="L86">
        <v>146555.6728</v>
      </c>
      <c r="M86">
        <v>0</v>
      </c>
      <c r="N86">
        <v>217955.72992000001</v>
      </c>
      <c r="O86">
        <v>33694.471400000002</v>
      </c>
      <c r="P86">
        <v>0</v>
      </c>
      <c r="Q86">
        <v>76380.61666</v>
      </c>
      <c r="R86">
        <v>21825.017459999999</v>
      </c>
      <c r="S86">
        <v>0</v>
      </c>
    </row>
    <row r="87" spans="1:19">
      <c r="A87">
        <v>86</v>
      </c>
      <c r="B87" s="45">
        <f t="array" ref="B87">IFERROR(INDEX(baseline!$A$3:$A$201,MATCH($C87&amp;$D87,baseline!$C$3:$C$201&amp;baseline!$D$3:$D$201,0)),"NA")</f>
        <v>4</v>
      </c>
      <c r="C87" t="s">
        <v>545</v>
      </c>
      <c r="D87" t="s">
        <v>546</v>
      </c>
      <c r="E87" t="s">
        <v>1030</v>
      </c>
      <c r="F87">
        <v>170154.37</v>
      </c>
      <c r="G87">
        <v>2693.60503738445</v>
      </c>
      <c r="H87">
        <v>2210.0700000000002</v>
      </c>
      <c r="I87">
        <v>0</v>
      </c>
      <c r="J87">
        <v>372208.6311</v>
      </c>
      <c r="K87">
        <v>14491.678260000001</v>
      </c>
      <c r="L87">
        <v>146552.89502</v>
      </c>
      <c r="M87">
        <v>0</v>
      </c>
      <c r="N87">
        <v>152569.56649999999</v>
      </c>
      <c r="O87">
        <v>33694.471400000002</v>
      </c>
      <c r="P87">
        <v>0</v>
      </c>
      <c r="Q87">
        <v>39080.586819999997</v>
      </c>
      <c r="R87">
        <v>475.00038000000001</v>
      </c>
      <c r="S87">
        <v>0</v>
      </c>
    </row>
    <row r="88" spans="1:19">
      <c r="A88">
        <v>87</v>
      </c>
      <c r="B88" s="45">
        <f t="array" ref="B88">IFERROR(INDEX(baseline!$A$3:$A$201,MATCH($C88&amp;$D88,baseline!$C$3:$C$201&amp;baseline!$D$3:$D$201,0)),"NA")</f>
        <v>4</v>
      </c>
      <c r="C88" t="s">
        <v>545</v>
      </c>
      <c r="D88" t="s">
        <v>546</v>
      </c>
      <c r="E88" t="s">
        <v>859</v>
      </c>
      <c r="F88">
        <v>2479.61</v>
      </c>
      <c r="G88">
        <v>2693.60503738445</v>
      </c>
      <c r="H88">
        <v>2210.0700000000002</v>
      </c>
      <c r="I88">
        <v>0</v>
      </c>
      <c r="J88">
        <v>892034.04695999995</v>
      </c>
      <c r="K88">
        <v>10141.674779999999</v>
      </c>
      <c r="L88">
        <v>146555.6728</v>
      </c>
      <c r="M88">
        <v>0</v>
      </c>
      <c r="N88">
        <v>217955.72992000001</v>
      </c>
      <c r="O88">
        <v>33694.471400000002</v>
      </c>
      <c r="P88">
        <v>0</v>
      </c>
      <c r="Q88">
        <v>76294.505480000007</v>
      </c>
      <c r="R88">
        <v>22191.684420000001</v>
      </c>
      <c r="S88">
        <v>0</v>
      </c>
    </row>
    <row r="89" spans="1:19">
      <c r="A89">
        <v>88</v>
      </c>
      <c r="B89" s="45">
        <f t="array" ref="B89">IFERROR(INDEX(baseline!$A$3:$A$201,MATCH($C89&amp;$D89,baseline!$C$3:$C$201&amp;baseline!$D$3:$D$201,0)),"NA")</f>
        <v>4</v>
      </c>
      <c r="C89" t="s">
        <v>545</v>
      </c>
      <c r="D89" t="s">
        <v>546</v>
      </c>
      <c r="E89" t="s">
        <v>865</v>
      </c>
      <c r="F89">
        <v>10326.209999999999</v>
      </c>
      <c r="G89">
        <v>2693.60503738445</v>
      </c>
      <c r="H89">
        <v>2210.0700000000002</v>
      </c>
      <c r="I89">
        <v>0</v>
      </c>
      <c r="J89">
        <v>892445.15839999996</v>
      </c>
      <c r="K89">
        <v>10363.89718</v>
      </c>
      <c r="L89">
        <v>146555.6728</v>
      </c>
      <c r="M89">
        <v>0</v>
      </c>
      <c r="N89">
        <v>217955.72992000001</v>
      </c>
      <c r="O89">
        <v>33694.471400000002</v>
      </c>
      <c r="P89">
        <v>0</v>
      </c>
      <c r="Q89">
        <v>76313.949940000006</v>
      </c>
      <c r="R89">
        <v>17369.458340000001</v>
      </c>
      <c r="S89">
        <v>0</v>
      </c>
    </row>
    <row r="90" spans="1:19">
      <c r="A90">
        <v>89</v>
      </c>
      <c r="B90" s="45">
        <f t="array" ref="B90">IFERROR(INDEX(baseline!$A$3:$A$201,MATCH($C90&amp;$D90,baseline!$C$3:$C$201&amp;baseline!$D$3:$D$201,0)),"NA")</f>
        <v>5</v>
      </c>
      <c r="C90" t="s">
        <v>761</v>
      </c>
      <c r="D90" t="s">
        <v>881</v>
      </c>
      <c r="E90" t="s">
        <v>832</v>
      </c>
      <c r="F90">
        <v>7032.04</v>
      </c>
      <c r="G90">
        <v>6276.5798484957804</v>
      </c>
      <c r="H90">
        <v>6146.53</v>
      </c>
      <c r="I90">
        <v>0</v>
      </c>
      <c r="J90">
        <v>2810866.1375799999</v>
      </c>
      <c r="K90">
        <v>29638.9126</v>
      </c>
      <c r="L90">
        <v>0</v>
      </c>
      <c r="M90">
        <v>35836.139779999998</v>
      </c>
      <c r="N90">
        <v>350853.05845999997</v>
      </c>
      <c r="O90">
        <v>39044.475680000003</v>
      </c>
      <c r="P90">
        <v>0</v>
      </c>
      <c r="Q90">
        <v>65186.163260000001</v>
      </c>
      <c r="R90">
        <v>63533.384160000001</v>
      </c>
      <c r="S90">
        <v>0</v>
      </c>
    </row>
    <row r="91" spans="1:19">
      <c r="A91">
        <v>90</v>
      </c>
      <c r="B91" s="45">
        <f t="array" ref="B91">IFERROR(INDEX(baseline!$A$3:$A$201,MATCH($C91&amp;$D91,baseline!$C$3:$C$201&amp;baseline!$D$3:$D$201,0)),"NA")</f>
        <v>5</v>
      </c>
      <c r="C91" t="s">
        <v>761</v>
      </c>
      <c r="D91" t="s">
        <v>881</v>
      </c>
      <c r="E91" t="s">
        <v>869</v>
      </c>
      <c r="F91">
        <v>0</v>
      </c>
      <c r="G91">
        <v>6276.5798484957804</v>
      </c>
      <c r="H91">
        <v>6146.53</v>
      </c>
      <c r="I91">
        <v>0</v>
      </c>
      <c r="J91">
        <v>2787785.5635600002</v>
      </c>
      <c r="K91">
        <v>2172.2239599999998</v>
      </c>
      <c r="L91">
        <v>0</v>
      </c>
      <c r="M91">
        <v>35836.139779999998</v>
      </c>
      <c r="N91">
        <v>350853.05845999997</v>
      </c>
      <c r="O91">
        <v>39044.475680000003</v>
      </c>
      <c r="P91">
        <v>0</v>
      </c>
      <c r="Q91">
        <v>64925.051939999998</v>
      </c>
      <c r="R91">
        <v>55930.600299999998</v>
      </c>
      <c r="S91">
        <v>0</v>
      </c>
    </row>
    <row r="92" spans="1:19">
      <c r="A92">
        <v>91</v>
      </c>
      <c r="B92" s="45">
        <f t="array" ref="B92">IFERROR(INDEX(baseline!$A$3:$A$201,MATCH($C92&amp;$D92,baseline!$C$3:$C$201&amp;baseline!$D$3:$D$201,0)),"NA")</f>
        <v>5</v>
      </c>
      <c r="C92" t="s">
        <v>761</v>
      </c>
      <c r="D92" t="s">
        <v>881</v>
      </c>
      <c r="E92" t="s">
        <v>896</v>
      </c>
      <c r="F92">
        <v>169937.86</v>
      </c>
      <c r="G92">
        <v>6276.5798484957804</v>
      </c>
      <c r="H92">
        <v>6146.53</v>
      </c>
      <c r="I92">
        <v>0</v>
      </c>
      <c r="J92">
        <v>2765213.3232800001</v>
      </c>
      <c r="K92">
        <v>2700.00216</v>
      </c>
      <c r="L92">
        <v>0</v>
      </c>
      <c r="M92">
        <v>35836.139779999998</v>
      </c>
      <c r="N92">
        <v>350853.05845999997</v>
      </c>
      <c r="O92">
        <v>39044.475680000003</v>
      </c>
      <c r="P92">
        <v>0</v>
      </c>
      <c r="Q92">
        <v>65186.163260000001</v>
      </c>
      <c r="R92">
        <v>55916.7114</v>
      </c>
      <c r="S92">
        <v>0</v>
      </c>
    </row>
    <row r="93" spans="1:19">
      <c r="A93">
        <v>92</v>
      </c>
      <c r="B93" s="45">
        <f t="array" ref="B93">IFERROR(INDEX(baseline!$A$3:$A$201,MATCH($C93&amp;$D93,baseline!$C$3:$C$201&amp;baseline!$D$3:$D$201,0)),"NA")</f>
        <v>5</v>
      </c>
      <c r="C93" t="s">
        <v>761</v>
      </c>
      <c r="D93" t="s">
        <v>881</v>
      </c>
      <c r="E93" t="s">
        <v>840</v>
      </c>
      <c r="F93">
        <v>929.13</v>
      </c>
      <c r="G93">
        <v>6276.5798484957804</v>
      </c>
      <c r="H93">
        <v>6146.53</v>
      </c>
      <c r="I93">
        <v>0</v>
      </c>
      <c r="J93">
        <v>2280968.49144</v>
      </c>
      <c r="K93">
        <v>2700.00216</v>
      </c>
      <c r="L93">
        <v>0</v>
      </c>
      <c r="M93">
        <v>35836.139779999998</v>
      </c>
      <c r="N93">
        <v>350853.05845999997</v>
      </c>
      <c r="O93">
        <v>39044.475680000003</v>
      </c>
      <c r="P93">
        <v>0</v>
      </c>
      <c r="Q93">
        <v>65186.163260000001</v>
      </c>
      <c r="R93">
        <v>2386.1130199999998</v>
      </c>
      <c r="S93">
        <v>0</v>
      </c>
    </row>
    <row r="94" spans="1:19">
      <c r="A94">
        <v>93</v>
      </c>
      <c r="B94" s="45">
        <f t="array" ref="B94">IFERROR(INDEX(baseline!$A$3:$A$201,MATCH($C94&amp;$D94,baseline!$C$3:$C$201&amp;baseline!$D$3:$D$201,0)),"NA")</f>
        <v>5</v>
      </c>
      <c r="C94" t="s">
        <v>761</v>
      </c>
      <c r="D94" t="s">
        <v>881</v>
      </c>
      <c r="E94" t="s">
        <v>839</v>
      </c>
      <c r="F94">
        <v>16104.85</v>
      </c>
      <c r="G94">
        <v>6276.5798484957804</v>
      </c>
      <c r="H94">
        <v>6146.53</v>
      </c>
      <c r="I94">
        <v>0</v>
      </c>
      <c r="J94">
        <v>2765213.3232800001</v>
      </c>
      <c r="K94">
        <v>1927.7793200000001</v>
      </c>
      <c r="L94">
        <v>0</v>
      </c>
      <c r="M94">
        <v>35836.139779999998</v>
      </c>
      <c r="N94">
        <v>350853.05845999997</v>
      </c>
      <c r="O94">
        <v>39044.475680000003</v>
      </c>
      <c r="P94">
        <v>0</v>
      </c>
      <c r="Q94">
        <v>65186.163260000001</v>
      </c>
      <c r="R94">
        <v>55916.7114</v>
      </c>
      <c r="S94">
        <v>0</v>
      </c>
    </row>
    <row r="95" spans="1:19">
      <c r="A95">
        <v>94</v>
      </c>
      <c r="B95" s="45">
        <f t="array" ref="B95">IFERROR(INDEX(baseline!$A$3:$A$201,MATCH($C95&amp;$D95,baseline!$C$3:$C$201&amp;baseline!$D$3:$D$201,0)),"NA")</f>
        <v>5</v>
      </c>
      <c r="C95" t="s">
        <v>761</v>
      </c>
      <c r="D95" t="s">
        <v>881</v>
      </c>
      <c r="E95" t="s">
        <v>805</v>
      </c>
      <c r="F95">
        <v>64066.99</v>
      </c>
      <c r="G95">
        <v>6276.5798484957804</v>
      </c>
      <c r="H95">
        <v>6146.53</v>
      </c>
      <c r="I95">
        <v>0</v>
      </c>
      <c r="J95">
        <v>2374085.2326000002</v>
      </c>
      <c r="K95">
        <v>3327.78044</v>
      </c>
      <c r="L95">
        <v>0</v>
      </c>
      <c r="M95">
        <v>35836.139779999998</v>
      </c>
      <c r="N95">
        <v>350853.05845999997</v>
      </c>
      <c r="O95">
        <v>39044.475680000003</v>
      </c>
      <c r="P95">
        <v>0</v>
      </c>
      <c r="Q95">
        <v>65186.163260000001</v>
      </c>
      <c r="R95">
        <v>54458.376900000003</v>
      </c>
      <c r="S95">
        <v>0</v>
      </c>
    </row>
    <row r="96" spans="1:19">
      <c r="A96">
        <v>95</v>
      </c>
      <c r="B96" s="45">
        <f t="array" ref="B96">IFERROR(INDEX(baseline!$A$3:$A$201,MATCH($C96&amp;$D96,baseline!$C$3:$C$201&amp;baseline!$D$3:$D$201,0)),"NA")</f>
        <v>5</v>
      </c>
      <c r="C96" t="s">
        <v>761</v>
      </c>
      <c r="D96" t="s">
        <v>881</v>
      </c>
      <c r="E96" t="s">
        <v>877</v>
      </c>
      <c r="F96">
        <v>7032.04</v>
      </c>
      <c r="G96">
        <v>6276.5798484957804</v>
      </c>
      <c r="H96">
        <v>6146.53</v>
      </c>
      <c r="I96">
        <v>0</v>
      </c>
      <c r="J96">
        <v>2719763.2869199999</v>
      </c>
      <c r="K96">
        <v>14191.678019999999</v>
      </c>
      <c r="L96">
        <v>0</v>
      </c>
      <c r="M96">
        <v>35836.139779999998</v>
      </c>
      <c r="N96">
        <v>350853.05845999997</v>
      </c>
      <c r="O96">
        <v>39044.475680000003</v>
      </c>
      <c r="P96">
        <v>0</v>
      </c>
      <c r="Q96">
        <v>65186.163260000001</v>
      </c>
      <c r="R96">
        <v>55797.266860000003</v>
      </c>
      <c r="S96">
        <v>0</v>
      </c>
    </row>
    <row r="97" spans="1:19">
      <c r="A97">
        <v>96</v>
      </c>
      <c r="B97" s="45">
        <f t="array" ref="B97">IFERROR(INDEX(baseline!$A$3:$A$201,MATCH($C97&amp;$D97,baseline!$C$3:$C$201&amp;baseline!$D$3:$D$201,0)),"NA")</f>
        <v>5</v>
      </c>
      <c r="C97" t="s">
        <v>761</v>
      </c>
      <c r="D97" t="s">
        <v>881</v>
      </c>
      <c r="E97" t="s">
        <v>838</v>
      </c>
      <c r="F97">
        <v>2747.57</v>
      </c>
      <c r="G97">
        <v>6276.5798484957804</v>
      </c>
      <c r="H97">
        <v>6146.53</v>
      </c>
      <c r="I97">
        <v>0</v>
      </c>
      <c r="J97">
        <v>2765263.32332</v>
      </c>
      <c r="K97">
        <v>2619.4465399999999</v>
      </c>
      <c r="L97">
        <v>0</v>
      </c>
      <c r="M97">
        <v>35836.139779999998</v>
      </c>
      <c r="N97">
        <v>350853.05845999997</v>
      </c>
      <c r="O97">
        <v>39044.475680000003</v>
      </c>
      <c r="P97">
        <v>0</v>
      </c>
      <c r="Q97">
        <v>65186.163260000001</v>
      </c>
      <c r="R97">
        <v>55902.822500000002</v>
      </c>
      <c r="S97">
        <v>0</v>
      </c>
    </row>
    <row r="98" spans="1:19">
      <c r="A98">
        <v>97</v>
      </c>
      <c r="B98" s="45">
        <f t="array" ref="B98">IFERROR(INDEX(baseline!$A$3:$A$201,MATCH($C98&amp;$D98,baseline!$C$3:$C$201&amp;baseline!$D$3:$D$201,0)),"NA")</f>
        <v>5</v>
      </c>
      <c r="C98" t="s">
        <v>761</v>
      </c>
      <c r="D98" t="s">
        <v>881</v>
      </c>
      <c r="E98" t="s">
        <v>1013</v>
      </c>
      <c r="F98">
        <v>225412.62</v>
      </c>
      <c r="G98">
        <v>6276.5798484957804</v>
      </c>
      <c r="H98">
        <v>6146.53</v>
      </c>
      <c r="I98">
        <v>0</v>
      </c>
      <c r="J98">
        <v>2478210.3158999998</v>
      </c>
      <c r="K98">
        <v>2147.2239399999999</v>
      </c>
      <c r="L98">
        <v>0</v>
      </c>
      <c r="M98">
        <v>35836.139779999998</v>
      </c>
      <c r="N98">
        <v>245597.41870000001</v>
      </c>
      <c r="O98">
        <v>39044.475680000003</v>
      </c>
      <c r="P98">
        <v>0</v>
      </c>
      <c r="Q98">
        <v>60030.603580000003</v>
      </c>
      <c r="R98">
        <v>43475.034780000002</v>
      </c>
      <c r="S98">
        <v>0</v>
      </c>
    </row>
    <row r="99" spans="1:19">
      <c r="A99">
        <v>98</v>
      </c>
      <c r="B99" s="45">
        <f t="array" ref="B99">IFERROR(INDEX(baseline!$A$3:$A$201,MATCH($C99&amp;$D99,baseline!$C$3:$C$201&amp;baseline!$D$3:$D$201,0)),"NA")</f>
        <v>5</v>
      </c>
      <c r="C99" t="s">
        <v>761</v>
      </c>
      <c r="D99" t="s">
        <v>881</v>
      </c>
      <c r="E99" t="s">
        <v>893</v>
      </c>
      <c r="F99">
        <v>1116538.83</v>
      </c>
      <c r="G99">
        <v>6276.5798484957804</v>
      </c>
      <c r="H99">
        <v>6146.53</v>
      </c>
      <c r="I99">
        <v>0</v>
      </c>
      <c r="J99">
        <v>2569113.1664</v>
      </c>
      <c r="K99">
        <v>2425.0019400000001</v>
      </c>
      <c r="L99">
        <v>0</v>
      </c>
      <c r="M99">
        <v>35836.139779999998</v>
      </c>
      <c r="N99">
        <v>350853.05845999997</v>
      </c>
      <c r="O99">
        <v>39044.475680000003</v>
      </c>
      <c r="P99">
        <v>0</v>
      </c>
      <c r="Q99">
        <v>61880.605060000002</v>
      </c>
      <c r="R99">
        <v>52466.708639999997</v>
      </c>
      <c r="S99">
        <v>0</v>
      </c>
    </row>
    <row r="100" spans="1:19">
      <c r="A100">
        <v>99</v>
      </c>
      <c r="B100" s="45">
        <f t="array" ref="B100">IFERROR(INDEX(baseline!$A$3:$A$201,MATCH($C100&amp;$D100,baseline!$C$3:$C$201&amp;baseline!$D$3:$D$201,0)),"NA")</f>
        <v>5</v>
      </c>
      <c r="C100" t="s">
        <v>761</v>
      </c>
      <c r="D100" t="s">
        <v>881</v>
      </c>
      <c r="E100" t="s">
        <v>892</v>
      </c>
      <c r="F100">
        <v>895777.67</v>
      </c>
      <c r="G100">
        <v>6276.5798484957804</v>
      </c>
      <c r="H100">
        <v>6146.53</v>
      </c>
      <c r="I100">
        <v>0</v>
      </c>
      <c r="J100">
        <v>2654668.7903999998</v>
      </c>
      <c r="K100">
        <v>2541.6687000000002</v>
      </c>
      <c r="L100">
        <v>0</v>
      </c>
      <c r="M100">
        <v>35836.139779999998</v>
      </c>
      <c r="N100">
        <v>350853.05845999997</v>
      </c>
      <c r="O100">
        <v>39044.475680000003</v>
      </c>
      <c r="P100">
        <v>0</v>
      </c>
      <c r="Q100">
        <v>60925.048739999998</v>
      </c>
      <c r="R100">
        <v>51569.485699999997</v>
      </c>
      <c r="S100">
        <v>0</v>
      </c>
    </row>
    <row r="101" spans="1:19">
      <c r="A101">
        <v>100</v>
      </c>
      <c r="B101" s="45">
        <f t="array" ref="B101">IFERROR(INDEX(baseline!$A$3:$A$201,MATCH($C101&amp;$D101,baseline!$C$3:$C$201&amp;baseline!$D$3:$D$201,0)),"NA")</f>
        <v>5</v>
      </c>
      <c r="C101" t="s">
        <v>761</v>
      </c>
      <c r="D101" t="s">
        <v>881</v>
      </c>
      <c r="E101" t="s">
        <v>894</v>
      </c>
      <c r="F101">
        <v>187541.75</v>
      </c>
      <c r="G101">
        <v>6276.5798484957804</v>
      </c>
      <c r="H101">
        <v>6146.53</v>
      </c>
      <c r="I101">
        <v>0</v>
      </c>
      <c r="J101">
        <v>2734493.8542599999</v>
      </c>
      <c r="K101">
        <v>2644.4465599999999</v>
      </c>
      <c r="L101">
        <v>0</v>
      </c>
      <c r="M101">
        <v>35836.139779999998</v>
      </c>
      <c r="N101">
        <v>350853.05845999997</v>
      </c>
      <c r="O101">
        <v>39044.475680000003</v>
      </c>
      <c r="P101">
        <v>0</v>
      </c>
      <c r="Q101">
        <v>63944.495600000002</v>
      </c>
      <c r="R101">
        <v>54552.82142</v>
      </c>
      <c r="S101">
        <v>0</v>
      </c>
    </row>
    <row r="102" spans="1:19">
      <c r="A102">
        <v>101</v>
      </c>
      <c r="B102" s="45">
        <f t="array" ref="B102">IFERROR(INDEX(baseline!$A$3:$A$201,MATCH($C102&amp;$D102,baseline!$C$3:$C$201&amp;baseline!$D$3:$D$201,0)),"NA")</f>
        <v>5</v>
      </c>
      <c r="C102" t="s">
        <v>761</v>
      </c>
      <c r="D102" t="s">
        <v>881</v>
      </c>
      <c r="E102" t="s">
        <v>837</v>
      </c>
      <c r="F102">
        <v>3659.22</v>
      </c>
      <c r="G102">
        <v>6276.5798484957804</v>
      </c>
      <c r="H102">
        <v>6146.53</v>
      </c>
      <c r="I102">
        <v>0</v>
      </c>
      <c r="J102">
        <v>2765202.2121600001</v>
      </c>
      <c r="K102">
        <v>2708.3355000000001</v>
      </c>
      <c r="L102">
        <v>0</v>
      </c>
      <c r="M102">
        <v>35836.139779999998</v>
      </c>
      <c r="N102">
        <v>350853.05845999997</v>
      </c>
      <c r="O102">
        <v>39044.475680000003</v>
      </c>
      <c r="P102">
        <v>0</v>
      </c>
      <c r="Q102">
        <v>59875.047899999998</v>
      </c>
      <c r="R102">
        <v>55916.7114</v>
      </c>
      <c r="S102">
        <v>0</v>
      </c>
    </row>
    <row r="103" spans="1:19">
      <c r="A103">
        <v>102</v>
      </c>
      <c r="B103" s="45">
        <f t="array" ref="B103">IFERROR(INDEX(baseline!$A$3:$A$201,MATCH($C103&amp;$D103,baseline!$C$3:$C$201&amp;baseline!$D$3:$D$201,0)),"NA")</f>
        <v>5</v>
      </c>
      <c r="C103" t="s">
        <v>761</v>
      </c>
      <c r="D103" t="s">
        <v>881</v>
      </c>
      <c r="E103" t="s">
        <v>833</v>
      </c>
      <c r="F103">
        <v>2189.3200000000002</v>
      </c>
      <c r="G103">
        <v>6276.5798484957804</v>
      </c>
      <c r="H103">
        <v>6146.53</v>
      </c>
      <c r="I103">
        <v>0</v>
      </c>
      <c r="J103">
        <v>2766113.324</v>
      </c>
      <c r="K103">
        <v>2686.1132600000001</v>
      </c>
      <c r="L103">
        <v>0</v>
      </c>
      <c r="M103">
        <v>35836.139779999998</v>
      </c>
      <c r="N103">
        <v>350853.05845999997</v>
      </c>
      <c r="O103">
        <v>39044.475680000003</v>
      </c>
      <c r="P103">
        <v>0</v>
      </c>
      <c r="Q103">
        <v>64597.2739</v>
      </c>
      <c r="R103">
        <v>55919.489179999997</v>
      </c>
      <c r="S103">
        <v>0</v>
      </c>
    </row>
    <row r="104" spans="1:19">
      <c r="A104">
        <v>103</v>
      </c>
      <c r="B104" s="45">
        <f t="array" ref="B104">IFERROR(INDEX(baseline!$A$3:$A$201,MATCH($C104&amp;$D104,baseline!$C$3:$C$201&amp;baseline!$D$3:$D$201,0)),"NA")</f>
        <v>5</v>
      </c>
      <c r="C104" t="s">
        <v>761</v>
      </c>
      <c r="D104" t="s">
        <v>881</v>
      </c>
      <c r="E104" t="s">
        <v>835</v>
      </c>
      <c r="F104">
        <v>181615.53</v>
      </c>
      <c r="G104">
        <v>6276.5798484957804</v>
      </c>
      <c r="H104">
        <v>6146.53</v>
      </c>
      <c r="I104">
        <v>0</v>
      </c>
      <c r="J104">
        <v>2441946.398</v>
      </c>
      <c r="K104">
        <v>3805.5585999999998</v>
      </c>
      <c r="L104">
        <v>0</v>
      </c>
      <c r="M104">
        <v>35836.139779999998</v>
      </c>
      <c r="N104">
        <v>350853.05845999997</v>
      </c>
      <c r="O104">
        <v>39044.475680000003</v>
      </c>
      <c r="P104">
        <v>0</v>
      </c>
      <c r="Q104">
        <v>65186.163260000001</v>
      </c>
      <c r="R104">
        <v>54419.487979999998</v>
      </c>
      <c r="S104">
        <v>8761.1181199999992</v>
      </c>
    </row>
    <row r="105" spans="1:19">
      <c r="A105">
        <v>104</v>
      </c>
      <c r="B105" s="45">
        <f t="array" ref="B105">IFERROR(INDEX(baseline!$A$3:$A$201,MATCH($C105&amp;$D105,baseline!$C$3:$C$201&amp;baseline!$D$3:$D$201,0)),"NA")</f>
        <v>5</v>
      </c>
      <c r="C105" t="s">
        <v>761</v>
      </c>
      <c r="D105" t="s">
        <v>881</v>
      </c>
      <c r="E105" t="s">
        <v>863</v>
      </c>
      <c r="F105">
        <v>93958.25</v>
      </c>
      <c r="G105">
        <v>6276.5798484957804</v>
      </c>
      <c r="H105">
        <v>6146.53</v>
      </c>
      <c r="I105">
        <v>0</v>
      </c>
      <c r="J105">
        <v>1596437.3882599999</v>
      </c>
      <c r="K105">
        <v>2900.0023200000001</v>
      </c>
      <c r="L105">
        <v>0</v>
      </c>
      <c r="M105">
        <v>35836.139779999998</v>
      </c>
      <c r="N105">
        <v>350853.05845999997</v>
      </c>
      <c r="O105">
        <v>39044.475680000003</v>
      </c>
      <c r="P105">
        <v>0</v>
      </c>
      <c r="Q105">
        <v>44075.035259999997</v>
      </c>
      <c r="R105">
        <v>33336.137779999997</v>
      </c>
      <c r="S105">
        <v>0</v>
      </c>
    </row>
    <row r="106" spans="1:19">
      <c r="A106">
        <v>105</v>
      </c>
      <c r="B106" s="45">
        <f t="array" ref="B106">IFERROR(INDEX(baseline!$A$3:$A$201,MATCH($C106&amp;$D106,baseline!$C$3:$C$201&amp;baseline!$D$3:$D$201,0)),"NA")</f>
        <v>5</v>
      </c>
      <c r="C106" t="s">
        <v>761</v>
      </c>
      <c r="D106" t="s">
        <v>881</v>
      </c>
      <c r="E106" t="s">
        <v>1011</v>
      </c>
      <c r="F106">
        <v>130645.63</v>
      </c>
      <c r="G106">
        <v>6276.5798484957804</v>
      </c>
      <c r="H106">
        <v>6146.53</v>
      </c>
      <c r="I106">
        <v>0</v>
      </c>
      <c r="J106">
        <v>1380506.6599600001</v>
      </c>
      <c r="K106">
        <v>1786.1125400000001</v>
      </c>
      <c r="L106">
        <v>0</v>
      </c>
      <c r="M106">
        <v>35836.139779999998</v>
      </c>
      <c r="N106">
        <v>350853.05845999997</v>
      </c>
      <c r="O106">
        <v>39044.475680000003</v>
      </c>
      <c r="P106">
        <v>0</v>
      </c>
      <c r="Q106">
        <v>37830.58582</v>
      </c>
      <c r="R106">
        <v>26397.243340000001</v>
      </c>
      <c r="S106">
        <v>0</v>
      </c>
    </row>
    <row r="107" spans="1:19">
      <c r="A107">
        <v>106</v>
      </c>
      <c r="B107" s="45">
        <f t="array" ref="B107">IFERROR(INDEX(baseline!$A$3:$A$201,MATCH($C107&amp;$D107,baseline!$C$3:$C$201&amp;baseline!$D$3:$D$201,0)),"NA")</f>
        <v>5</v>
      </c>
      <c r="C107" t="s">
        <v>761</v>
      </c>
      <c r="D107" t="s">
        <v>881</v>
      </c>
      <c r="E107" t="s">
        <v>860</v>
      </c>
      <c r="F107">
        <v>129818.45</v>
      </c>
      <c r="G107">
        <v>6276.5798484957804</v>
      </c>
      <c r="H107">
        <v>6146.53</v>
      </c>
      <c r="I107">
        <v>0</v>
      </c>
      <c r="J107">
        <v>2868477.2947800001</v>
      </c>
      <c r="K107">
        <v>1761.1125199999999</v>
      </c>
      <c r="L107">
        <v>0</v>
      </c>
      <c r="M107">
        <v>35836.139779999998</v>
      </c>
      <c r="N107">
        <v>245597.41870000001</v>
      </c>
      <c r="O107">
        <v>39044.475680000003</v>
      </c>
      <c r="P107">
        <v>0</v>
      </c>
      <c r="Q107">
        <v>65311.163359999999</v>
      </c>
      <c r="R107">
        <v>56852.823259999997</v>
      </c>
      <c r="S107">
        <v>0</v>
      </c>
    </row>
    <row r="108" spans="1:19">
      <c r="A108">
        <v>107</v>
      </c>
      <c r="B108" s="45">
        <f t="array" ref="B108">IFERROR(INDEX(baseline!$A$3:$A$201,MATCH($C108&amp;$D108,baseline!$C$3:$C$201&amp;baseline!$D$3:$D$201,0)),"NA")</f>
        <v>5</v>
      </c>
      <c r="C108" t="s">
        <v>761</v>
      </c>
      <c r="D108" t="s">
        <v>881</v>
      </c>
      <c r="E108" t="s">
        <v>1019</v>
      </c>
      <c r="F108">
        <v>131574.76</v>
      </c>
      <c r="G108">
        <v>6276.5798484957804</v>
      </c>
      <c r="H108">
        <v>6146.53</v>
      </c>
      <c r="I108">
        <v>0</v>
      </c>
      <c r="J108">
        <v>1121112.0079999999</v>
      </c>
      <c r="K108">
        <v>1786.1125400000001</v>
      </c>
      <c r="L108">
        <v>0</v>
      </c>
      <c r="M108">
        <v>35836.139779999998</v>
      </c>
      <c r="N108">
        <v>350853.05845999997</v>
      </c>
      <c r="O108">
        <v>39044.475680000003</v>
      </c>
      <c r="P108">
        <v>0</v>
      </c>
      <c r="Q108">
        <v>37830.58582</v>
      </c>
      <c r="R108">
        <v>1783.33476</v>
      </c>
      <c r="S108">
        <v>0</v>
      </c>
    </row>
    <row r="109" spans="1:19">
      <c r="A109">
        <v>108</v>
      </c>
      <c r="B109" s="45">
        <f t="array" ref="B109">IFERROR(INDEX(baseline!$A$3:$A$201,MATCH($C109&amp;$D109,baseline!$C$3:$C$201&amp;baseline!$D$3:$D$201,0)),"NA")</f>
        <v>5</v>
      </c>
      <c r="C109" t="s">
        <v>761</v>
      </c>
      <c r="D109" t="s">
        <v>881</v>
      </c>
      <c r="E109" t="s">
        <v>836</v>
      </c>
      <c r="F109">
        <v>36687.379999999997</v>
      </c>
      <c r="G109">
        <v>6276.5798484957804</v>
      </c>
      <c r="H109">
        <v>6146.53</v>
      </c>
      <c r="I109">
        <v>0</v>
      </c>
      <c r="J109">
        <v>2445082.51162</v>
      </c>
      <c r="K109">
        <v>1466.6678400000001</v>
      </c>
      <c r="L109">
        <v>0</v>
      </c>
      <c r="M109">
        <v>35836.139779999998</v>
      </c>
      <c r="N109">
        <v>350853.05845999997</v>
      </c>
      <c r="O109">
        <v>39044.475680000003</v>
      </c>
      <c r="P109">
        <v>0</v>
      </c>
      <c r="Q109">
        <v>55150.044119999999</v>
      </c>
      <c r="R109">
        <v>45500.036399999997</v>
      </c>
      <c r="S109">
        <v>0</v>
      </c>
    </row>
    <row r="110" spans="1:19">
      <c r="A110">
        <v>109</v>
      </c>
      <c r="B110" s="45">
        <f t="array" ref="B110">IFERROR(INDEX(baseline!$A$3:$A$201,MATCH($C110&amp;$D110,baseline!$C$3:$C$201&amp;baseline!$D$3:$D$201,0)),"NA")</f>
        <v>5</v>
      </c>
      <c r="C110" t="s">
        <v>761</v>
      </c>
      <c r="D110" t="s">
        <v>881</v>
      </c>
      <c r="E110" t="s">
        <v>1030</v>
      </c>
      <c r="F110">
        <v>396174.76</v>
      </c>
      <c r="G110">
        <v>6276.5798484957804</v>
      </c>
      <c r="H110">
        <v>6146.53</v>
      </c>
      <c r="I110">
        <v>0</v>
      </c>
      <c r="J110">
        <v>947200.75775999995</v>
      </c>
      <c r="K110">
        <v>11636.120419999999</v>
      </c>
      <c r="L110">
        <v>0</v>
      </c>
      <c r="M110">
        <v>35836.139779999998</v>
      </c>
      <c r="N110">
        <v>245597.41870000001</v>
      </c>
      <c r="O110">
        <v>39044.475680000003</v>
      </c>
      <c r="P110">
        <v>0</v>
      </c>
      <c r="Q110">
        <v>32669.470580000001</v>
      </c>
      <c r="R110">
        <v>680.55610000000001</v>
      </c>
      <c r="S110">
        <v>0</v>
      </c>
    </row>
    <row r="111" spans="1:19">
      <c r="A111">
        <v>110</v>
      </c>
      <c r="B111" s="45">
        <f t="array" ref="B111">IFERROR(INDEX(baseline!$A$3:$A$201,MATCH($C111&amp;$D111,baseline!$C$3:$C$201&amp;baseline!$D$3:$D$201,0)),"NA")</f>
        <v>5</v>
      </c>
      <c r="C111" t="s">
        <v>761</v>
      </c>
      <c r="D111" t="s">
        <v>881</v>
      </c>
      <c r="E111" t="s">
        <v>859</v>
      </c>
      <c r="F111">
        <v>21212.62</v>
      </c>
      <c r="G111">
        <v>6276.5798484957804</v>
      </c>
      <c r="H111">
        <v>6146.53</v>
      </c>
      <c r="I111">
        <v>0</v>
      </c>
      <c r="J111">
        <v>2766066.1017399998</v>
      </c>
      <c r="K111">
        <v>2638.8910000000001</v>
      </c>
      <c r="L111">
        <v>0</v>
      </c>
      <c r="M111">
        <v>35836.139779999998</v>
      </c>
      <c r="N111">
        <v>350853.05845999997</v>
      </c>
      <c r="O111">
        <v>39044.475680000003</v>
      </c>
      <c r="P111">
        <v>0</v>
      </c>
      <c r="Q111">
        <v>65219.496619999998</v>
      </c>
      <c r="R111">
        <v>55952.822540000001</v>
      </c>
      <c r="S111">
        <v>0</v>
      </c>
    </row>
    <row r="112" spans="1:19">
      <c r="A112">
        <v>111</v>
      </c>
      <c r="B112" s="45">
        <f t="array" ref="B112">IFERROR(INDEX(baseline!$A$3:$A$201,MATCH($C112&amp;$D112,baseline!$C$3:$C$201&amp;baseline!$D$3:$D$201,0)),"NA")</f>
        <v>5</v>
      </c>
      <c r="C112" t="s">
        <v>761</v>
      </c>
      <c r="D112" t="s">
        <v>881</v>
      </c>
      <c r="E112" t="s">
        <v>834</v>
      </c>
      <c r="F112">
        <v>3425.24</v>
      </c>
      <c r="G112">
        <v>6276.5798484957804</v>
      </c>
      <c r="H112">
        <v>6146.53</v>
      </c>
      <c r="I112">
        <v>0</v>
      </c>
      <c r="J112">
        <v>2765213.3232800001</v>
      </c>
      <c r="K112">
        <v>2700.00216</v>
      </c>
      <c r="L112">
        <v>0</v>
      </c>
      <c r="M112">
        <v>35936.139860000003</v>
      </c>
      <c r="N112">
        <v>350853.05845999997</v>
      </c>
      <c r="O112">
        <v>39044.475680000003</v>
      </c>
      <c r="P112">
        <v>0</v>
      </c>
      <c r="Q112">
        <v>65186.163260000001</v>
      </c>
      <c r="R112">
        <v>55816.711320000002</v>
      </c>
      <c r="S112">
        <v>0</v>
      </c>
    </row>
    <row r="113" spans="1:19">
      <c r="A113">
        <v>112</v>
      </c>
      <c r="B113" s="45">
        <f t="array" ref="B113">IFERROR(INDEX(baseline!$A$3:$A$201,MATCH($C113&amp;$D113,baseline!$C$3:$C$201&amp;baseline!$D$3:$D$201,0)),"NA")</f>
        <v>5</v>
      </c>
      <c r="C113" t="s">
        <v>761</v>
      </c>
      <c r="D113" t="s">
        <v>881</v>
      </c>
      <c r="E113" t="s">
        <v>865</v>
      </c>
      <c r="F113">
        <v>6655.34</v>
      </c>
      <c r="G113">
        <v>6276.5798484957804</v>
      </c>
      <c r="H113">
        <v>6146.53</v>
      </c>
      <c r="I113">
        <v>0</v>
      </c>
      <c r="J113">
        <v>2765213.3232800001</v>
      </c>
      <c r="K113">
        <v>2700.00216</v>
      </c>
      <c r="L113">
        <v>0</v>
      </c>
      <c r="M113">
        <v>35836.139779999998</v>
      </c>
      <c r="N113">
        <v>350853.05845999997</v>
      </c>
      <c r="O113">
        <v>39044.475680000003</v>
      </c>
      <c r="P113">
        <v>0</v>
      </c>
      <c r="Q113">
        <v>65186.163260000001</v>
      </c>
      <c r="R113">
        <v>43733.368320000001</v>
      </c>
      <c r="S113">
        <v>0</v>
      </c>
    </row>
    <row r="114" spans="1:19">
      <c r="A114">
        <v>113</v>
      </c>
      <c r="B114" s="45">
        <f t="array" ref="B114">IFERROR(INDEX(baseline!$A$3:$A$201,MATCH($C114&amp;$D114,baseline!$C$3:$C$201&amp;baseline!$D$3:$D$201,0)),"NA")</f>
        <v>6</v>
      </c>
      <c r="C114" t="s">
        <v>761</v>
      </c>
      <c r="D114" t="s">
        <v>13</v>
      </c>
      <c r="E114" t="s">
        <v>832</v>
      </c>
      <c r="F114">
        <v>7032.04</v>
      </c>
      <c r="G114">
        <v>6276.5798484957804</v>
      </c>
      <c r="H114">
        <v>6146.53</v>
      </c>
      <c r="I114">
        <v>0</v>
      </c>
      <c r="J114">
        <v>2717154.9515</v>
      </c>
      <c r="K114">
        <v>27986.1335</v>
      </c>
      <c r="L114">
        <v>0</v>
      </c>
      <c r="M114">
        <v>35836.139779999998</v>
      </c>
      <c r="N114">
        <v>350853.05845999997</v>
      </c>
      <c r="O114">
        <v>39044.475680000003</v>
      </c>
      <c r="P114">
        <v>0</v>
      </c>
      <c r="Q114">
        <v>61836.160580000003</v>
      </c>
      <c r="R114">
        <v>59686.158860000003</v>
      </c>
      <c r="S114">
        <v>0</v>
      </c>
    </row>
    <row r="115" spans="1:19">
      <c r="A115">
        <v>114</v>
      </c>
      <c r="B115" s="45">
        <f t="array" ref="B115">IFERROR(INDEX(baseline!$A$3:$A$201,MATCH($C115&amp;$D115,baseline!$C$3:$C$201&amp;baseline!$D$3:$D$201,0)),"NA")</f>
        <v>6</v>
      </c>
      <c r="C115" t="s">
        <v>761</v>
      </c>
      <c r="D115" t="s">
        <v>13</v>
      </c>
      <c r="E115" t="s">
        <v>869</v>
      </c>
      <c r="F115">
        <v>0</v>
      </c>
      <c r="G115">
        <v>6276.5798484957804</v>
      </c>
      <c r="H115">
        <v>6146.53</v>
      </c>
      <c r="I115">
        <v>0</v>
      </c>
      <c r="J115">
        <v>2706629.9430800001</v>
      </c>
      <c r="K115">
        <v>1758.33474</v>
      </c>
      <c r="L115">
        <v>0</v>
      </c>
      <c r="M115">
        <v>35836.139779999998</v>
      </c>
      <c r="N115">
        <v>350853.05845999997</v>
      </c>
      <c r="O115">
        <v>39044.475680000003</v>
      </c>
      <c r="P115">
        <v>0</v>
      </c>
      <c r="Q115">
        <v>61605.60484</v>
      </c>
      <c r="R115">
        <v>52755.597759999997</v>
      </c>
      <c r="S115">
        <v>0</v>
      </c>
    </row>
    <row r="116" spans="1:19">
      <c r="A116">
        <v>115</v>
      </c>
      <c r="B116" s="45">
        <f t="array" ref="B116">IFERROR(INDEX(baseline!$A$3:$A$201,MATCH($C116&amp;$D116,baseline!$C$3:$C$201&amp;baseline!$D$3:$D$201,0)),"NA")</f>
        <v>6</v>
      </c>
      <c r="C116" t="s">
        <v>761</v>
      </c>
      <c r="D116" t="s">
        <v>13</v>
      </c>
      <c r="E116" t="s">
        <v>896</v>
      </c>
      <c r="F116">
        <v>169937.86</v>
      </c>
      <c r="G116">
        <v>6276.5798484957804</v>
      </c>
      <c r="H116">
        <v>6146.53</v>
      </c>
      <c r="I116">
        <v>0</v>
      </c>
      <c r="J116">
        <v>2676379.9188799998</v>
      </c>
      <c r="K116">
        <v>2269.4462600000002</v>
      </c>
      <c r="L116">
        <v>0</v>
      </c>
      <c r="M116">
        <v>35836.139779999998</v>
      </c>
      <c r="N116">
        <v>350853.05845999997</v>
      </c>
      <c r="O116">
        <v>39044.475680000003</v>
      </c>
      <c r="P116">
        <v>0</v>
      </c>
      <c r="Q116">
        <v>61836.160580000003</v>
      </c>
      <c r="R116">
        <v>52694.486599999997</v>
      </c>
      <c r="S116">
        <v>0</v>
      </c>
    </row>
    <row r="117" spans="1:19">
      <c r="A117">
        <v>116</v>
      </c>
      <c r="B117" s="45">
        <f t="array" ref="B117">IFERROR(INDEX(baseline!$A$3:$A$201,MATCH($C117&amp;$D117,baseline!$C$3:$C$201&amp;baseline!$D$3:$D$201,0)),"NA")</f>
        <v>6</v>
      </c>
      <c r="C117" t="s">
        <v>761</v>
      </c>
      <c r="D117" t="s">
        <v>13</v>
      </c>
      <c r="E117" t="s">
        <v>840</v>
      </c>
      <c r="F117">
        <v>929.13</v>
      </c>
      <c r="G117">
        <v>6276.5798484957804</v>
      </c>
      <c r="H117">
        <v>6146.53</v>
      </c>
      <c r="I117">
        <v>0</v>
      </c>
      <c r="J117">
        <v>2213046.2148799999</v>
      </c>
      <c r="K117">
        <v>2269.4462600000002</v>
      </c>
      <c r="L117">
        <v>0</v>
      </c>
      <c r="M117">
        <v>35836.139779999998</v>
      </c>
      <c r="N117">
        <v>350853.05845999997</v>
      </c>
      <c r="O117">
        <v>39044.475680000003</v>
      </c>
      <c r="P117">
        <v>0</v>
      </c>
      <c r="Q117">
        <v>61836.160580000003</v>
      </c>
      <c r="R117">
        <v>2319.4463000000001</v>
      </c>
      <c r="S117">
        <v>0</v>
      </c>
    </row>
    <row r="118" spans="1:19">
      <c r="A118">
        <v>117</v>
      </c>
      <c r="B118" s="45">
        <f t="array" ref="B118">IFERROR(INDEX(baseline!$A$3:$A$201,MATCH($C118&amp;$D118,baseline!$C$3:$C$201&amp;baseline!$D$3:$D$201,0)),"NA")</f>
        <v>6</v>
      </c>
      <c r="C118" t="s">
        <v>761</v>
      </c>
      <c r="D118" t="s">
        <v>13</v>
      </c>
      <c r="E118" t="s">
        <v>839</v>
      </c>
      <c r="F118">
        <v>16104.85</v>
      </c>
      <c r="G118">
        <v>6276.5798484957804</v>
      </c>
      <c r="H118">
        <v>6146.53</v>
      </c>
      <c r="I118">
        <v>0</v>
      </c>
      <c r="J118">
        <v>2676379.9188799998</v>
      </c>
      <c r="K118">
        <v>1619.4457399999999</v>
      </c>
      <c r="L118">
        <v>0</v>
      </c>
      <c r="M118">
        <v>35836.139779999998</v>
      </c>
      <c r="N118">
        <v>350853.05845999997</v>
      </c>
      <c r="O118">
        <v>39044.475680000003</v>
      </c>
      <c r="P118">
        <v>0</v>
      </c>
      <c r="Q118">
        <v>61836.160580000003</v>
      </c>
      <c r="R118">
        <v>52694.486599999997</v>
      </c>
      <c r="S118">
        <v>0</v>
      </c>
    </row>
    <row r="119" spans="1:19">
      <c r="A119">
        <v>118</v>
      </c>
      <c r="B119" s="45">
        <f t="array" ref="B119">IFERROR(INDEX(baseline!$A$3:$A$201,MATCH($C119&amp;$D119,baseline!$C$3:$C$201&amp;baseline!$D$3:$D$201,0)),"NA")</f>
        <v>6</v>
      </c>
      <c r="C119" t="s">
        <v>761</v>
      </c>
      <c r="D119" t="s">
        <v>13</v>
      </c>
      <c r="E119" t="s">
        <v>805</v>
      </c>
      <c r="F119">
        <v>64066.99</v>
      </c>
      <c r="G119">
        <v>6276.5798484957804</v>
      </c>
      <c r="H119">
        <v>6146.53</v>
      </c>
      <c r="I119">
        <v>0</v>
      </c>
      <c r="J119">
        <v>2286535.1625600001</v>
      </c>
      <c r="K119">
        <v>2750.0021999999999</v>
      </c>
      <c r="L119">
        <v>0</v>
      </c>
      <c r="M119">
        <v>35836.139779999998</v>
      </c>
      <c r="N119">
        <v>350853.05845999997</v>
      </c>
      <c r="O119">
        <v>39044.475680000003</v>
      </c>
      <c r="P119">
        <v>0</v>
      </c>
      <c r="Q119">
        <v>61836.160580000003</v>
      </c>
      <c r="R119">
        <v>51308.374380000001</v>
      </c>
      <c r="S119">
        <v>0</v>
      </c>
    </row>
    <row r="120" spans="1:19">
      <c r="A120">
        <v>119</v>
      </c>
      <c r="B120" s="45">
        <f t="array" ref="B120">IFERROR(INDEX(baseline!$A$3:$A$201,MATCH($C120&amp;$D120,baseline!$C$3:$C$201&amp;baseline!$D$3:$D$201,0)),"NA")</f>
        <v>6</v>
      </c>
      <c r="C120" t="s">
        <v>761</v>
      </c>
      <c r="D120" t="s">
        <v>13</v>
      </c>
      <c r="E120" t="s">
        <v>877</v>
      </c>
      <c r="F120">
        <v>7032.04</v>
      </c>
      <c r="G120">
        <v>6276.5798484957804</v>
      </c>
      <c r="H120">
        <v>6146.53</v>
      </c>
      <c r="I120">
        <v>0</v>
      </c>
      <c r="J120">
        <v>2628588.21398</v>
      </c>
      <c r="K120">
        <v>13294.45508</v>
      </c>
      <c r="L120">
        <v>0</v>
      </c>
      <c r="M120">
        <v>35836.139779999998</v>
      </c>
      <c r="N120">
        <v>350853.05845999997</v>
      </c>
      <c r="O120">
        <v>39044.475680000003</v>
      </c>
      <c r="P120">
        <v>0</v>
      </c>
      <c r="Q120">
        <v>61836.160580000003</v>
      </c>
      <c r="R120">
        <v>52555.597600000001</v>
      </c>
      <c r="S120">
        <v>0</v>
      </c>
    </row>
    <row r="121" spans="1:19">
      <c r="A121">
        <v>120</v>
      </c>
      <c r="B121" s="45">
        <f t="array" ref="B121">IFERROR(INDEX(baseline!$A$3:$A$201,MATCH($C121&amp;$D121,baseline!$C$3:$C$201&amp;baseline!$D$3:$D$201,0)),"NA")</f>
        <v>6</v>
      </c>
      <c r="C121" t="s">
        <v>761</v>
      </c>
      <c r="D121" t="s">
        <v>13</v>
      </c>
      <c r="E121" t="s">
        <v>838</v>
      </c>
      <c r="F121">
        <v>2747.57</v>
      </c>
      <c r="G121">
        <v>6276.5798484957804</v>
      </c>
      <c r="H121">
        <v>6146.53</v>
      </c>
      <c r="I121">
        <v>0</v>
      </c>
      <c r="J121">
        <v>2676427.14114</v>
      </c>
      <c r="K121">
        <v>2197.2239800000002</v>
      </c>
      <c r="L121">
        <v>0</v>
      </c>
      <c r="M121">
        <v>35836.139779999998</v>
      </c>
      <c r="N121">
        <v>350853.05845999997</v>
      </c>
      <c r="O121">
        <v>39044.475680000003</v>
      </c>
      <c r="P121">
        <v>0</v>
      </c>
      <c r="Q121">
        <v>61836.160580000003</v>
      </c>
      <c r="R121">
        <v>52666.7088</v>
      </c>
      <c r="S121">
        <v>0</v>
      </c>
    </row>
    <row r="122" spans="1:19">
      <c r="A122">
        <v>121</v>
      </c>
      <c r="B122" s="45">
        <f t="array" ref="B122">IFERROR(INDEX(baseline!$A$3:$A$201,MATCH($C122&amp;$D122,baseline!$C$3:$C$201&amp;baseline!$D$3:$D$201,0)),"NA")</f>
        <v>6</v>
      </c>
      <c r="C122" t="s">
        <v>761</v>
      </c>
      <c r="D122" t="s">
        <v>13</v>
      </c>
      <c r="E122" t="s">
        <v>1013</v>
      </c>
      <c r="F122">
        <v>225412.62</v>
      </c>
      <c r="G122">
        <v>6276.5798484957804</v>
      </c>
      <c r="H122">
        <v>6146.53</v>
      </c>
      <c r="I122">
        <v>0</v>
      </c>
      <c r="J122">
        <v>2388668.5776</v>
      </c>
      <c r="K122">
        <v>1694.4458</v>
      </c>
      <c r="L122">
        <v>0</v>
      </c>
      <c r="M122">
        <v>35836.139779999998</v>
      </c>
      <c r="N122">
        <v>245597.41870000001</v>
      </c>
      <c r="O122">
        <v>39044.475680000003</v>
      </c>
      <c r="P122">
        <v>0</v>
      </c>
      <c r="Q122">
        <v>56683.378680000002</v>
      </c>
      <c r="R122">
        <v>40972.254999999997</v>
      </c>
      <c r="S122">
        <v>0</v>
      </c>
    </row>
    <row r="123" spans="1:19">
      <c r="A123">
        <v>122</v>
      </c>
      <c r="B123" s="45">
        <f t="array" ref="B123">IFERROR(INDEX(baseline!$A$3:$A$201,MATCH($C123&amp;$D123,baseline!$C$3:$C$201&amp;baseline!$D$3:$D$201,0)),"NA")</f>
        <v>6</v>
      </c>
      <c r="C123" t="s">
        <v>761</v>
      </c>
      <c r="D123" t="s">
        <v>13</v>
      </c>
      <c r="E123" t="s">
        <v>893</v>
      </c>
      <c r="F123">
        <v>1208261.17</v>
      </c>
      <c r="G123">
        <v>6276.5798484957804</v>
      </c>
      <c r="H123">
        <v>6146.53</v>
      </c>
      <c r="I123">
        <v>0</v>
      </c>
      <c r="J123">
        <v>2433260.2799399998</v>
      </c>
      <c r="K123">
        <v>1944.4459999999999</v>
      </c>
      <c r="L123">
        <v>0</v>
      </c>
      <c r="M123">
        <v>35836.139779999998</v>
      </c>
      <c r="N123">
        <v>350853.05845999997</v>
      </c>
      <c r="O123">
        <v>39044.475680000003</v>
      </c>
      <c r="P123">
        <v>0</v>
      </c>
      <c r="Q123">
        <v>57644.490559999998</v>
      </c>
      <c r="R123">
        <v>48350.038679999998</v>
      </c>
      <c r="S123">
        <v>0</v>
      </c>
    </row>
    <row r="124" spans="1:19">
      <c r="A124">
        <v>123</v>
      </c>
      <c r="B124" s="45">
        <f t="array" ref="B124">IFERROR(INDEX(baseline!$A$3:$A$201,MATCH($C124&amp;$D124,baseline!$C$3:$C$201&amp;baseline!$D$3:$D$201,0)),"NA")</f>
        <v>6</v>
      </c>
      <c r="C124" t="s">
        <v>761</v>
      </c>
      <c r="D124" t="s">
        <v>13</v>
      </c>
      <c r="E124" t="s">
        <v>892</v>
      </c>
      <c r="F124">
        <v>895777.67</v>
      </c>
      <c r="G124">
        <v>6276.5798484957804</v>
      </c>
      <c r="H124">
        <v>6146.53</v>
      </c>
      <c r="I124">
        <v>0</v>
      </c>
      <c r="J124">
        <v>2613604.8686600002</v>
      </c>
      <c r="K124">
        <v>2211.1128800000001</v>
      </c>
      <c r="L124">
        <v>0</v>
      </c>
      <c r="M124">
        <v>35836.139779999998</v>
      </c>
      <c r="N124">
        <v>350853.05845999997</v>
      </c>
      <c r="O124">
        <v>39044.475680000003</v>
      </c>
      <c r="P124">
        <v>0</v>
      </c>
      <c r="Q124">
        <v>59338.93636</v>
      </c>
      <c r="R124">
        <v>50180.595699999998</v>
      </c>
      <c r="S124">
        <v>0</v>
      </c>
    </row>
    <row r="125" spans="1:19">
      <c r="A125">
        <v>124</v>
      </c>
      <c r="B125" s="45">
        <f t="array" ref="B125">IFERROR(INDEX(baseline!$A$3:$A$201,MATCH($C125&amp;$D125,baseline!$C$3:$C$201&amp;baseline!$D$3:$D$201,0)),"NA")</f>
        <v>6</v>
      </c>
      <c r="C125" t="s">
        <v>761</v>
      </c>
      <c r="D125" t="s">
        <v>13</v>
      </c>
      <c r="E125" t="s">
        <v>894</v>
      </c>
      <c r="F125">
        <v>187541.75</v>
      </c>
      <c r="G125">
        <v>6276.5798484957804</v>
      </c>
      <c r="H125">
        <v>6146.53</v>
      </c>
      <c r="I125">
        <v>0</v>
      </c>
      <c r="J125">
        <v>2645999.3390199998</v>
      </c>
      <c r="K125">
        <v>2208.3350999999998</v>
      </c>
      <c r="L125">
        <v>0</v>
      </c>
      <c r="M125">
        <v>35836.139779999998</v>
      </c>
      <c r="N125">
        <v>350853.05845999997</v>
      </c>
      <c r="O125">
        <v>39044.475680000003</v>
      </c>
      <c r="P125">
        <v>0</v>
      </c>
      <c r="Q125">
        <v>60600.048479999998</v>
      </c>
      <c r="R125">
        <v>51363.929980000001</v>
      </c>
      <c r="S125">
        <v>0</v>
      </c>
    </row>
    <row r="126" spans="1:19">
      <c r="A126">
        <v>125</v>
      </c>
      <c r="B126" s="45">
        <f t="array" ref="B126">IFERROR(INDEX(baseline!$A$3:$A$201,MATCH($C126&amp;$D126,baseline!$C$3:$C$201&amp;baseline!$D$3:$D$201,0)),"NA")</f>
        <v>6</v>
      </c>
      <c r="C126" t="s">
        <v>761</v>
      </c>
      <c r="D126" t="s">
        <v>13</v>
      </c>
      <c r="E126" t="s">
        <v>837</v>
      </c>
      <c r="F126">
        <v>3659.22</v>
      </c>
      <c r="G126">
        <v>6276.5798484957804</v>
      </c>
      <c r="H126">
        <v>6146.53</v>
      </c>
      <c r="I126">
        <v>0</v>
      </c>
      <c r="J126">
        <v>2676368.8077600002</v>
      </c>
      <c r="K126">
        <v>2275.00182</v>
      </c>
      <c r="L126">
        <v>0</v>
      </c>
      <c r="M126">
        <v>35836.139779999998</v>
      </c>
      <c r="N126">
        <v>350853.05845999997</v>
      </c>
      <c r="O126">
        <v>39044.475680000003</v>
      </c>
      <c r="P126">
        <v>0</v>
      </c>
      <c r="Q126">
        <v>56525.04522</v>
      </c>
      <c r="R126">
        <v>52694.486599999997</v>
      </c>
      <c r="S126">
        <v>0</v>
      </c>
    </row>
    <row r="127" spans="1:19">
      <c r="A127">
        <v>126</v>
      </c>
      <c r="B127" s="45">
        <f t="array" ref="B127">IFERROR(INDEX(baseline!$A$3:$A$201,MATCH($C127&amp;$D127,baseline!$C$3:$C$201&amp;baseline!$D$3:$D$201,0)),"NA")</f>
        <v>6</v>
      </c>
      <c r="C127" t="s">
        <v>761</v>
      </c>
      <c r="D127" t="s">
        <v>13</v>
      </c>
      <c r="E127" t="s">
        <v>833</v>
      </c>
      <c r="F127">
        <v>2189.3200000000002</v>
      </c>
      <c r="G127">
        <v>6276.5798484957804</v>
      </c>
      <c r="H127">
        <v>6146.53</v>
      </c>
      <c r="I127">
        <v>0</v>
      </c>
      <c r="J127">
        <v>2677221.5862199999</v>
      </c>
      <c r="K127">
        <v>2258.3351400000001</v>
      </c>
      <c r="L127">
        <v>0</v>
      </c>
      <c r="M127">
        <v>35836.139779999998</v>
      </c>
      <c r="N127">
        <v>350853.05845999997</v>
      </c>
      <c r="O127">
        <v>39044.475680000003</v>
      </c>
      <c r="P127">
        <v>0</v>
      </c>
      <c r="Q127">
        <v>61280.604579999999</v>
      </c>
      <c r="R127">
        <v>52705.597719999998</v>
      </c>
      <c r="S127">
        <v>0</v>
      </c>
    </row>
    <row r="128" spans="1:19">
      <c r="A128">
        <v>127</v>
      </c>
      <c r="B128" s="45">
        <f t="array" ref="B128">IFERROR(INDEX(baseline!$A$3:$A$201,MATCH($C128&amp;$D128,baseline!$C$3:$C$201&amp;baseline!$D$3:$D$201,0)),"NA")</f>
        <v>6</v>
      </c>
      <c r="C128" t="s">
        <v>761</v>
      </c>
      <c r="D128" t="s">
        <v>13</v>
      </c>
      <c r="E128" t="s">
        <v>835</v>
      </c>
      <c r="F128">
        <v>181615.53</v>
      </c>
      <c r="G128">
        <v>6276.5798484957804</v>
      </c>
      <c r="H128">
        <v>6146.53</v>
      </c>
      <c r="I128">
        <v>0</v>
      </c>
      <c r="J128">
        <v>2354624.10592</v>
      </c>
      <c r="K128">
        <v>3255.55816</v>
      </c>
      <c r="L128">
        <v>0</v>
      </c>
      <c r="M128">
        <v>35838.917560000002</v>
      </c>
      <c r="N128">
        <v>350853.05845999997</v>
      </c>
      <c r="O128">
        <v>39044.475680000003</v>
      </c>
      <c r="P128">
        <v>0</v>
      </c>
      <c r="Q128">
        <v>61836.160580000003</v>
      </c>
      <c r="R128">
        <v>51322.263279999999</v>
      </c>
      <c r="S128">
        <v>8761.1181199999992</v>
      </c>
    </row>
    <row r="129" spans="1:19">
      <c r="A129">
        <v>128</v>
      </c>
      <c r="B129" s="45">
        <f t="array" ref="B129">IFERROR(INDEX(baseline!$A$3:$A$201,MATCH($C129&amp;$D129,baseline!$C$3:$C$201&amp;baseline!$D$3:$D$201,0)),"NA")</f>
        <v>6</v>
      </c>
      <c r="C129" t="s">
        <v>761</v>
      </c>
      <c r="D129" t="s">
        <v>13</v>
      </c>
      <c r="E129" t="s">
        <v>863</v>
      </c>
      <c r="F129">
        <v>93958.25</v>
      </c>
      <c r="G129">
        <v>6276.5798484957804</v>
      </c>
      <c r="H129">
        <v>6146.53</v>
      </c>
      <c r="I129">
        <v>0</v>
      </c>
      <c r="J129">
        <v>1622087.4087799999</v>
      </c>
      <c r="K129">
        <v>2302.7796199999998</v>
      </c>
      <c r="L129">
        <v>0</v>
      </c>
      <c r="M129">
        <v>35836.139779999998</v>
      </c>
      <c r="N129">
        <v>350853.05845999997</v>
      </c>
      <c r="O129">
        <v>39044.475680000003</v>
      </c>
      <c r="P129">
        <v>0</v>
      </c>
      <c r="Q129">
        <v>42772.256439999997</v>
      </c>
      <c r="R129">
        <v>32419.470379999999</v>
      </c>
      <c r="S129">
        <v>0</v>
      </c>
    </row>
    <row r="130" spans="1:19">
      <c r="A130">
        <v>129</v>
      </c>
      <c r="B130" s="45">
        <f t="array" ref="B130">IFERROR(INDEX(baseline!$A$3:$A$201,MATCH($C130&amp;$D130,baseline!$C$3:$C$201&amp;baseline!$D$3:$D$201,0)),"NA")</f>
        <v>6</v>
      </c>
      <c r="C130" t="s">
        <v>761</v>
      </c>
      <c r="D130" t="s">
        <v>13</v>
      </c>
      <c r="E130" t="s">
        <v>1011</v>
      </c>
      <c r="F130">
        <v>130645.63</v>
      </c>
      <c r="G130">
        <v>6276.5798484957804</v>
      </c>
      <c r="H130">
        <v>6146.53</v>
      </c>
      <c r="I130">
        <v>0</v>
      </c>
      <c r="J130">
        <v>1387317.7765200001</v>
      </c>
      <c r="K130">
        <v>1444.4456</v>
      </c>
      <c r="L130">
        <v>0</v>
      </c>
      <c r="M130">
        <v>35836.139779999998</v>
      </c>
      <c r="N130">
        <v>350853.05845999997</v>
      </c>
      <c r="O130">
        <v>39044.475680000003</v>
      </c>
      <c r="P130">
        <v>0</v>
      </c>
      <c r="Q130">
        <v>36613.918180000001</v>
      </c>
      <c r="R130">
        <v>25458.3537</v>
      </c>
      <c r="S130">
        <v>0</v>
      </c>
    </row>
    <row r="131" spans="1:19">
      <c r="A131">
        <v>130</v>
      </c>
      <c r="B131" s="45">
        <f t="array" ref="B131">IFERROR(INDEX(baseline!$A$3:$A$201,MATCH($C131&amp;$D131,baseline!$C$3:$C$201&amp;baseline!$D$3:$D$201,0)),"NA")</f>
        <v>6</v>
      </c>
      <c r="C131" t="s">
        <v>761</v>
      </c>
      <c r="D131" t="s">
        <v>13</v>
      </c>
      <c r="E131" t="s">
        <v>860</v>
      </c>
      <c r="F131">
        <v>129818.45</v>
      </c>
      <c r="G131">
        <v>6276.5798484957804</v>
      </c>
      <c r="H131">
        <v>6146.53</v>
      </c>
      <c r="I131">
        <v>0</v>
      </c>
      <c r="J131">
        <v>2777718.8888400001</v>
      </c>
      <c r="K131">
        <v>1411.1122399999999</v>
      </c>
      <c r="L131">
        <v>0</v>
      </c>
      <c r="M131">
        <v>35836.139779999998</v>
      </c>
      <c r="N131">
        <v>245597.41870000001</v>
      </c>
      <c r="O131">
        <v>39044.475680000003</v>
      </c>
      <c r="P131">
        <v>0</v>
      </c>
      <c r="Q131">
        <v>61961.160680000001</v>
      </c>
      <c r="R131">
        <v>53619.48734</v>
      </c>
      <c r="S131">
        <v>0</v>
      </c>
    </row>
    <row r="132" spans="1:19">
      <c r="A132">
        <v>131</v>
      </c>
      <c r="B132" s="45">
        <f t="array" ref="B132">IFERROR(INDEX(baseline!$A$3:$A$201,MATCH($C132&amp;$D132,baseline!$C$3:$C$201&amp;baseline!$D$3:$D$201,0)),"NA")</f>
        <v>6</v>
      </c>
      <c r="C132" t="s">
        <v>761</v>
      </c>
      <c r="D132" t="s">
        <v>13</v>
      </c>
      <c r="E132" t="s">
        <v>1019</v>
      </c>
      <c r="F132">
        <v>131574.76</v>
      </c>
      <c r="G132">
        <v>6276.5798484957804</v>
      </c>
      <c r="H132">
        <v>6146.53</v>
      </c>
      <c r="I132">
        <v>0</v>
      </c>
      <c r="J132">
        <v>1136350.9090799999</v>
      </c>
      <c r="K132">
        <v>1444.4456</v>
      </c>
      <c r="L132">
        <v>0</v>
      </c>
      <c r="M132">
        <v>35836.139779999998</v>
      </c>
      <c r="N132">
        <v>350853.05845999997</v>
      </c>
      <c r="O132">
        <v>39044.475680000003</v>
      </c>
      <c r="P132">
        <v>0</v>
      </c>
      <c r="Q132">
        <v>36613.918180000001</v>
      </c>
      <c r="R132">
        <v>1769.44586</v>
      </c>
      <c r="S132">
        <v>0</v>
      </c>
    </row>
    <row r="133" spans="1:19">
      <c r="A133">
        <v>132</v>
      </c>
      <c r="B133" s="45">
        <f t="array" ref="B133">IFERROR(INDEX(baseline!$A$3:$A$201,MATCH($C133&amp;$D133,baseline!$C$3:$C$201&amp;baseline!$D$3:$D$201,0)),"NA")</f>
        <v>6</v>
      </c>
      <c r="C133" t="s">
        <v>761</v>
      </c>
      <c r="D133" t="s">
        <v>13</v>
      </c>
      <c r="E133" t="s">
        <v>836</v>
      </c>
      <c r="F133">
        <v>36687.379999999997</v>
      </c>
      <c r="G133">
        <v>6276.5798484957804</v>
      </c>
      <c r="H133">
        <v>6146.53</v>
      </c>
      <c r="I133">
        <v>0</v>
      </c>
      <c r="J133">
        <v>2348490.76768</v>
      </c>
      <c r="K133">
        <v>1255.55656</v>
      </c>
      <c r="L133">
        <v>0</v>
      </c>
      <c r="M133">
        <v>35836.139779999998</v>
      </c>
      <c r="N133">
        <v>350853.05845999997</v>
      </c>
      <c r="O133">
        <v>39044.475680000003</v>
      </c>
      <c r="P133">
        <v>0</v>
      </c>
      <c r="Q133">
        <v>52244.486239999998</v>
      </c>
      <c r="R133">
        <v>42577.811840000002</v>
      </c>
      <c r="S133">
        <v>0</v>
      </c>
    </row>
    <row r="134" spans="1:19">
      <c r="A134">
        <v>133</v>
      </c>
      <c r="B134" s="45">
        <f t="array" ref="B134">IFERROR(INDEX(baseline!$A$3:$A$201,MATCH($C134&amp;$D134,baseline!$C$3:$C$201&amp;baseline!$D$3:$D$201,0)),"NA")</f>
        <v>6</v>
      </c>
      <c r="C134" t="s">
        <v>761</v>
      </c>
      <c r="D134" t="s">
        <v>13</v>
      </c>
      <c r="E134" t="s">
        <v>1030</v>
      </c>
      <c r="F134">
        <v>396174.76</v>
      </c>
      <c r="G134">
        <v>6276.5798484957804</v>
      </c>
      <c r="H134">
        <v>6146.53</v>
      </c>
      <c r="I134">
        <v>0</v>
      </c>
      <c r="J134">
        <v>959553.54541999998</v>
      </c>
      <c r="K134">
        <v>10588.897360000001</v>
      </c>
      <c r="L134">
        <v>0</v>
      </c>
      <c r="M134">
        <v>35836.139779999998</v>
      </c>
      <c r="N134">
        <v>245597.41870000001</v>
      </c>
      <c r="O134">
        <v>39044.475680000003</v>
      </c>
      <c r="P134">
        <v>0</v>
      </c>
      <c r="Q134">
        <v>31452.802940000001</v>
      </c>
      <c r="R134">
        <v>666.66719999999998</v>
      </c>
      <c r="S134">
        <v>0</v>
      </c>
    </row>
    <row r="135" spans="1:19">
      <c r="A135">
        <v>134</v>
      </c>
      <c r="B135" s="45">
        <f t="array" ref="B135">IFERROR(INDEX(baseline!$A$3:$A$201,MATCH($C135&amp;$D135,baseline!$C$3:$C$201&amp;baseline!$D$3:$D$201,0)),"NA")</f>
        <v>6</v>
      </c>
      <c r="C135" t="s">
        <v>761</v>
      </c>
      <c r="D135" t="s">
        <v>13</v>
      </c>
      <c r="E135" t="s">
        <v>859</v>
      </c>
      <c r="F135">
        <v>21212.62</v>
      </c>
      <c r="G135">
        <v>6276.5798484957804</v>
      </c>
      <c r="H135">
        <v>6146.53</v>
      </c>
      <c r="I135">
        <v>0</v>
      </c>
      <c r="J135">
        <v>2677485.4753200002</v>
      </c>
      <c r="K135">
        <v>2213.89066</v>
      </c>
      <c r="L135">
        <v>0</v>
      </c>
      <c r="M135">
        <v>35836.139779999998</v>
      </c>
      <c r="N135">
        <v>350853.05845999997</v>
      </c>
      <c r="O135">
        <v>39044.475680000003</v>
      </c>
      <c r="P135">
        <v>0</v>
      </c>
      <c r="Q135">
        <v>61869.49394</v>
      </c>
      <c r="R135">
        <v>52741.708859999999</v>
      </c>
      <c r="S135">
        <v>0</v>
      </c>
    </row>
    <row r="136" spans="1:19">
      <c r="A136">
        <v>135</v>
      </c>
      <c r="B136" s="45">
        <f t="array" ref="B136">IFERROR(INDEX(baseline!$A$3:$A$201,MATCH($C136&amp;$D136,baseline!$C$3:$C$201&amp;baseline!$D$3:$D$201,0)),"NA")</f>
        <v>6</v>
      </c>
      <c r="C136" t="s">
        <v>761</v>
      </c>
      <c r="D136" t="s">
        <v>13</v>
      </c>
      <c r="E136" t="s">
        <v>834</v>
      </c>
      <c r="F136">
        <v>3425.24</v>
      </c>
      <c r="G136">
        <v>6276.5798484957804</v>
      </c>
      <c r="H136">
        <v>6146.53</v>
      </c>
      <c r="I136">
        <v>0</v>
      </c>
      <c r="J136">
        <v>2676379.9188799998</v>
      </c>
      <c r="K136">
        <v>2269.4462600000002</v>
      </c>
      <c r="L136">
        <v>0</v>
      </c>
      <c r="M136">
        <v>35936.139860000003</v>
      </c>
      <c r="N136">
        <v>350853.05845999997</v>
      </c>
      <c r="O136">
        <v>39044.475680000003</v>
      </c>
      <c r="P136">
        <v>0</v>
      </c>
      <c r="Q136">
        <v>61836.160580000003</v>
      </c>
      <c r="R136">
        <v>52594.486519999999</v>
      </c>
      <c r="S136">
        <v>0</v>
      </c>
    </row>
    <row r="137" spans="1:19">
      <c r="A137">
        <v>136</v>
      </c>
      <c r="B137" s="45">
        <f t="array" ref="B137">IFERROR(INDEX(baseline!$A$3:$A$201,MATCH($C137&amp;$D137,baseline!$C$3:$C$201&amp;baseline!$D$3:$D$201,0)),"NA")</f>
        <v>6</v>
      </c>
      <c r="C137" t="s">
        <v>761</v>
      </c>
      <c r="D137" t="s">
        <v>13</v>
      </c>
      <c r="E137" t="s">
        <v>865</v>
      </c>
      <c r="F137">
        <v>6655.34</v>
      </c>
      <c r="G137">
        <v>6276.5798484957804</v>
      </c>
      <c r="H137">
        <v>6146.53</v>
      </c>
      <c r="I137">
        <v>0</v>
      </c>
      <c r="J137">
        <v>2676379.9188799998</v>
      </c>
      <c r="K137">
        <v>2269.4462600000002</v>
      </c>
      <c r="L137">
        <v>0</v>
      </c>
      <c r="M137">
        <v>35836.139779999998</v>
      </c>
      <c r="N137">
        <v>350853.05845999997</v>
      </c>
      <c r="O137">
        <v>39044.475680000003</v>
      </c>
      <c r="P137">
        <v>0</v>
      </c>
      <c r="Q137">
        <v>61836.160580000003</v>
      </c>
      <c r="R137">
        <v>41213.921860000002</v>
      </c>
      <c r="S137">
        <v>0</v>
      </c>
    </row>
    <row r="138" spans="1:19">
      <c r="A138">
        <v>137</v>
      </c>
      <c r="B138" s="45">
        <f t="array" ref="B138">IFERROR(INDEX(baseline!$A$3:$A$201,MATCH($C138&amp;$D138,baseline!$C$3:$C$201&amp;baseline!$D$3:$D$201,0)),"NA")</f>
        <v>7</v>
      </c>
      <c r="C138" t="s">
        <v>761</v>
      </c>
      <c r="D138" t="s">
        <v>14</v>
      </c>
      <c r="E138" t="s">
        <v>832</v>
      </c>
      <c r="F138">
        <v>7032.04</v>
      </c>
      <c r="G138">
        <v>6276.5798484957804</v>
      </c>
      <c r="H138">
        <v>6146.53</v>
      </c>
      <c r="I138">
        <v>0</v>
      </c>
      <c r="J138">
        <v>1734993.0546599999</v>
      </c>
      <c r="K138">
        <v>16738.902279999998</v>
      </c>
      <c r="L138">
        <v>0</v>
      </c>
      <c r="M138">
        <v>35836.139779999998</v>
      </c>
      <c r="N138">
        <v>350853.05845999997</v>
      </c>
      <c r="O138">
        <v>39044.475680000003</v>
      </c>
      <c r="P138">
        <v>0</v>
      </c>
      <c r="Q138">
        <v>43650.034919999998</v>
      </c>
      <c r="R138">
        <v>37572.252280000001</v>
      </c>
      <c r="S138">
        <v>0</v>
      </c>
    </row>
    <row r="139" spans="1:19">
      <c r="A139">
        <v>138</v>
      </c>
      <c r="B139" s="45">
        <f t="array" ref="B139">IFERROR(INDEX(baseline!$A$3:$A$201,MATCH($C139&amp;$D139,baseline!$C$3:$C$201&amp;baseline!$D$3:$D$201,0)),"NA")</f>
        <v>7</v>
      </c>
      <c r="C139" t="s">
        <v>761</v>
      </c>
      <c r="D139" t="s">
        <v>14</v>
      </c>
      <c r="E139" t="s">
        <v>869</v>
      </c>
      <c r="F139">
        <v>0</v>
      </c>
      <c r="G139">
        <v>6276.5798484957804</v>
      </c>
      <c r="H139">
        <v>6146.53</v>
      </c>
      <c r="I139">
        <v>0</v>
      </c>
      <c r="J139">
        <v>1713948.59338</v>
      </c>
      <c r="K139">
        <v>1405.5566799999999</v>
      </c>
      <c r="L139">
        <v>0</v>
      </c>
      <c r="M139">
        <v>35836.139779999998</v>
      </c>
      <c r="N139">
        <v>350853.05845999997</v>
      </c>
      <c r="O139">
        <v>39044.475680000003</v>
      </c>
      <c r="P139">
        <v>0</v>
      </c>
      <c r="Q139">
        <v>43352.812460000001</v>
      </c>
      <c r="R139">
        <v>33055.582000000002</v>
      </c>
      <c r="S139">
        <v>0</v>
      </c>
    </row>
    <row r="140" spans="1:19">
      <c r="A140">
        <v>139</v>
      </c>
      <c r="B140" s="45">
        <f t="array" ref="B140">IFERROR(INDEX(baseline!$A$3:$A$201,MATCH($C140&amp;$D140,baseline!$C$3:$C$201&amp;baseline!$D$3:$D$201,0)),"NA")</f>
        <v>7</v>
      </c>
      <c r="C140" t="s">
        <v>761</v>
      </c>
      <c r="D140" t="s">
        <v>14</v>
      </c>
      <c r="E140" t="s">
        <v>896</v>
      </c>
      <c r="F140">
        <v>65332.04</v>
      </c>
      <c r="G140">
        <v>6276.5798484957804</v>
      </c>
      <c r="H140">
        <v>6146.53</v>
      </c>
      <c r="I140">
        <v>0</v>
      </c>
      <c r="J140">
        <v>1702043.0282999999</v>
      </c>
      <c r="K140">
        <v>1972.2238</v>
      </c>
      <c r="L140">
        <v>0</v>
      </c>
      <c r="M140">
        <v>35836.139779999998</v>
      </c>
      <c r="N140">
        <v>350853.05845999997</v>
      </c>
      <c r="O140">
        <v>39044.475680000003</v>
      </c>
      <c r="P140">
        <v>0</v>
      </c>
      <c r="Q140">
        <v>43650.034919999998</v>
      </c>
      <c r="R140">
        <v>33230.582139999999</v>
      </c>
      <c r="S140">
        <v>0</v>
      </c>
    </row>
    <row r="141" spans="1:19">
      <c r="A141">
        <v>140</v>
      </c>
      <c r="B141" s="45">
        <f t="array" ref="B141">IFERROR(INDEX(baseline!$A$3:$A$201,MATCH($C141&amp;$D141,baseline!$C$3:$C$201&amp;baseline!$D$3:$D$201,0)),"NA")</f>
        <v>7</v>
      </c>
      <c r="C141" t="s">
        <v>761</v>
      </c>
      <c r="D141" t="s">
        <v>14</v>
      </c>
      <c r="E141" t="s">
        <v>840</v>
      </c>
      <c r="F141">
        <v>929.13</v>
      </c>
      <c r="G141">
        <v>6276.5798484957804</v>
      </c>
      <c r="H141">
        <v>6146.53</v>
      </c>
      <c r="I141">
        <v>0</v>
      </c>
      <c r="J141">
        <v>1384106.6628399999</v>
      </c>
      <c r="K141">
        <v>1972.2238</v>
      </c>
      <c r="L141">
        <v>0</v>
      </c>
      <c r="M141">
        <v>35836.139779999998</v>
      </c>
      <c r="N141">
        <v>350853.05845999997</v>
      </c>
      <c r="O141">
        <v>39044.475680000003</v>
      </c>
      <c r="P141">
        <v>0</v>
      </c>
      <c r="Q141">
        <v>43650.034919999998</v>
      </c>
      <c r="R141">
        <v>1813.8903399999999</v>
      </c>
      <c r="S141">
        <v>0</v>
      </c>
    </row>
    <row r="142" spans="1:19">
      <c r="A142">
        <v>141</v>
      </c>
      <c r="B142" s="45">
        <f t="array" ref="B142">IFERROR(INDEX(baseline!$A$3:$A$201,MATCH($C142&amp;$D142,baseline!$C$3:$C$201&amp;baseline!$D$3:$D$201,0)),"NA")</f>
        <v>7</v>
      </c>
      <c r="C142" t="s">
        <v>761</v>
      </c>
      <c r="D142" t="s">
        <v>14</v>
      </c>
      <c r="E142" t="s">
        <v>839</v>
      </c>
      <c r="F142">
        <v>16104.85</v>
      </c>
      <c r="G142">
        <v>6276.5798484957804</v>
      </c>
      <c r="H142">
        <v>6146.53</v>
      </c>
      <c r="I142">
        <v>0</v>
      </c>
      <c r="J142">
        <v>1702043.0282999999</v>
      </c>
      <c r="K142">
        <v>1691.6680200000001</v>
      </c>
      <c r="L142">
        <v>0</v>
      </c>
      <c r="M142">
        <v>35836.139779999998</v>
      </c>
      <c r="N142">
        <v>350853.05845999997</v>
      </c>
      <c r="O142">
        <v>39044.475680000003</v>
      </c>
      <c r="P142">
        <v>0</v>
      </c>
      <c r="Q142">
        <v>43650.034919999998</v>
      </c>
      <c r="R142">
        <v>33230.582139999999</v>
      </c>
      <c r="S142">
        <v>0</v>
      </c>
    </row>
    <row r="143" spans="1:19">
      <c r="A143">
        <v>142</v>
      </c>
      <c r="B143" s="45">
        <f t="array" ref="B143">IFERROR(INDEX(baseline!$A$3:$A$201,MATCH($C143&amp;$D143,baseline!$C$3:$C$201&amp;baseline!$D$3:$D$201,0)),"NA")</f>
        <v>7</v>
      </c>
      <c r="C143" t="s">
        <v>761</v>
      </c>
      <c r="D143" t="s">
        <v>14</v>
      </c>
      <c r="E143" t="s">
        <v>805</v>
      </c>
      <c r="F143">
        <v>64066.99</v>
      </c>
      <c r="G143">
        <v>6276.5798484957804</v>
      </c>
      <c r="H143">
        <v>6146.53</v>
      </c>
      <c r="I143">
        <v>0</v>
      </c>
      <c r="J143">
        <v>1321026.0568200001</v>
      </c>
      <c r="K143">
        <v>2944.4468000000002</v>
      </c>
      <c r="L143">
        <v>0</v>
      </c>
      <c r="M143">
        <v>35836.139779999998</v>
      </c>
      <c r="N143">
        <v>350853.05845999997</v>
      </c>
      <c r="O143">
        <v>39044.475680000003</v>
      </c>
      <c r="P143">
        <v>0</v>
      </c>
      <c r="Q143">
        <v>43650.034919999998</v>
      </c>
      <c r="R143">
        <v>31052.802619999999</v>
      </c>
      <c r="S143">
        <v>0</v>
      </c>
    </row>
    <row r="144" spans="1:19">
      <c r="A144">
        <v>143</v>
      </c>
      <c r="B144" s="45">
        <f t="array" ref="B144">IFERROR(INDEX(baseline!$A$3:$A$201,MATCH($C144&amp;$D144,baseline!$C$3:$C$201&amp;baseline!$D$3:$D$201,0)),"NA")</f>
        <v>7</v>
      </c>
      <c r="C144" t="s">
        <v>761</v>
      </c>
      <c r="D144" t="s">
        <v>14</v>
      </c>
      <c r="E144" t="s">
        <v>877</v>
      </c>
      <c r="F144">
        <v>7032.04</v>
      </c>
      <c r="G144">
        <v>6276.5798484957804</v>
      </c>
      <c r="H144">
        <v>6146.53</v>
      </c>
      <c r="I144">
        <v>0</v>
      </c>
      <c r="J144">
        <v>1656767.99208</v>
      </c>
      <c r="K144">
        <v>8494.4512400000003</v>
      </c>
      <c r="L144">
        <v>0</v>
      </c>
      <c r="M144">
        <v>35836.139779999998</v>
      </c>
      <c r="N144">
        <v>350853.05845999997</v>
      </c>
      <c r="O144">
        <v>39044.475680000003</v>
      </c>
      <c r="P144">
        <v>0</v>
      </c>
      <c r="Q144">
        <v>43650.034919999998</v>
      </c>
      <c r="R144">
        <v>33558.360180000003</v>
      </c>
      <c r="S144">
        <v>0</v>
      </c>
    </row>
    <row r="145" spans="1:19">
      <c r="A145">
        <v>144</v>
      </c>
      <c r="B145" s="45">
        <f t="array" ref="B145">IFERROR(INDEX(baseline!$A$3:$A$201,MATCH($C145&amp;$D145,baseline!$C$3:$C$201&amp;baseline!$D$3:$D$201,0)),"NA")</f>
        <v>7</v>
      </c>
      <c r="C145" t="s">
        <v>761</v>
      </c>
      <c r="D145" t="s">
        <v>14</v>
      </c>
      <c r="E145" t="s">
        <v>838</v>
      </c>
      <c r="F145">
        <v>2747.57</v>
      </c>
      <c r="G145">
        <v>6276.5798484957804</v>
      </c>
      <c r="H145">
        <v>6146.53</v>
      </c>
      <c r="I145">
        <v>0</v>
      </c>
      <c r="J145">
        <v>1702093.02834</v>
      </c>
      <c r="K145">
        <v>1877.77928</v>
      </c>
      <c r="L145">
        <v>0</v>
      </c>
      <c r="M145">
        <v>35836.139779999998</v>
      </c>
      <c r="N145">
        <v>350853.05845999997</v>
      </c>
      <c r="O145">
        <v>39044.475680000003</v>
      </c>
      <c r="P145">
        <v>0</v>
      </c>
      <c r="Q145">
        <v>43650.034919999998</v>
      </c>
      <c r="R145">
        <v>33216.693240000001</v>
      </c>
      <c r="S145">
        <v>0</v>
      </c>
    </row>
    <row r="146" spans="1:19">
      <c r="A146">
        <v>145</v>
      </c>
      <c r="B146" s="45">
        <f t="array" ref="B146">IFERROR(INDEX(baseline!$A$3:$A$201,MATCH($C146&amp;$D146,baseline!$C$3:$C$201&amp;baseline!$D$3:$D$201,0)),"NA")</f>
        <v>7</v>
      </c>
      <c r="C146" t="s">
        <v>761</v>
      </c>
      <c r="D146" t="s">
        <v>14</v>
      </c>
      <c r="E146" t="s">
        <v>1013</v>
      </c>
      <c r="F146">
        <v>225412.62</v>
      </c>
      <c r="G146">
        <v>6276.5798484957804</v>
      </c>
      <c r="H146">
        <v>6146.53</v>
      </c>
      <c r="I146">
        <v>0</v>
      </c>
      <c r="J146">
        <v>1414073.35348</v>
      </c>
      <c r="K146">
        <v>1561.1123600000001</v>
      </c>
      <c r="L146">
        <v>0</v>
      </c>
      <c r="M146">
        <v>35836.139779999998</v>
      </c>
      <c r="N146">
        <v>245597.41870000001</v>
      </c>
      <c r="O146">
        <v>39044.475680000003</v>
      </c>
      <c r="P146">
        <v>0</v>
      </c>
      <c r="Q146">
        <v>38508.364139999998</v>
      </c>
      <c r="R146">
        <v>25180.575700000001</v>
      </c>
      <c r="S146">
        <v>0</v>
      </c>
    </row>
    <row r="147" spans="1:19">
      <c r="A147">
        <v>146</v>
      </c>
      <c r="B147" s="45">
        <f t="array" ref="B147">IFERROR(INDEX(baseline!$A$3:$A$201,MATCH($C147&amp;$D147,baseline!$C$3:$C$201&amp;baseline!$D$3:$D$201,0)),"NA")</f>
        <v>7</v>
      </c>
      <c r="C147" t="s">
        <v>761</v>
      </c>
      <c r="D147" t="s">
        <v>14</v>
      </c>
      <c r="E147" t="s">
        <v>893</v>
      </c>
      <c r="F147">
        <v>1116538.83</v>
      </c>
      <c r="G147">
        <v>6276.5798484957804</v>
      </c>
      <c r="H147">
        <v>6146.53</v>
      </c>
      <c r="I147">
        <v>0</v>
      </c>
      <c r="J147">
        <v>1591792.9401</v>
      </c>
      <c r="K147">
        <v>1830.55702</v>
      </c>
      <c r="L147">
        <v>0</v>
      </c>
      <c r="M147">
        <v>35836.139779999998</v>
      </c>
      <c r="N147">
        <v>350853.05845999997</v>
      </c>
      <c r="O147">
        <v>39044.475680000003</v>
      </c>
      <c r="P147">
        <v>0</v>
      </c>
      <c r="Q147">
        <v>41725.033380000001</v>
      </c>
      <c r="R147">
        <v>31283.358359999998</v>
      </c>
      <c r="S147">
        <v>0</v>
      </c>
    </row>
    <row r="148" spans="1:19">
      <c r="A148">
        <v>147</v>
      </c>
      <c r="B148" s="45">
        <f t="array" ref="B148">IFERROR(INDEX(baseline!$A$3:$A$201,MATCH($C148&amp;$D148,baseline!$C$3:$C$201&amp;baseline!$D$3:$D$201,0)),"NA")</f>
        <v>7</v>
      </c>
      <c r="C148" t="s">
        <v>761</v>
      </c>
      <c r="D148" t="s">
        <v>14</v>
      </c>
      <c r="E148" t="s">
        <v>892</v>
      </c>
      <c r="F148">
        <v>895777.67</v>
      </c>
      <c r="G148">
        <v>6276.5798484957804</v>
      </c>
      <c r="H148">
        <v>6146.53</v>
      </c>
      <c r="I148">
        <v>0</v>
      </c>
      <c r="J148">
        <v>1670093.0027399999</v>
      </c>
      <c r="K148">
        <v>1930.5571</v>
      </c>
      <c r="L148">
        <v>0</v>
      </c>
      <c r="M148">
        <v>35836.139779999998</v>
      </c>
      <c r="N148">
        <v>350853.05845999997</v>
      </c>
      <c r="O148">
        <v>39044.475680000003</v>
      </c>
      <c r="P148">
        <v>0</v>
      </c>
      <c r="Q148">
        <v>42405.589480000002</v>
      </c>
      <c r="R148">
        <v>31977.803360000002</v>
      </c>
      <c r="S148">
        <v>0</v>
      </c>
    </row>
    <row r="149" spans="1:19">
      <c r="A149">
        <v>148</v>
      </c>
      <c r="B149" s="45">
        <f t="array" ref="B149">IFERROR(INDEX(baseline!$A$3:$A$201,MATCH($C149&amp;$D149,baseline!$C$3:$C$201&amp;baseline!$D$3:$D$201,0)),"NA")</f>
        <v>7</v>
      </c>
      <c r="C149" t="s">
        <v>761</v>
      </c>
      <c r="D149" t="s">
        <v>14</v>
      </c>
      <c r="E149" t="s">
        <v>894</v>
      </c>
      <c r="F149">
        <v>187541.75</v>
      </c>
      <c r="G149">
        <v>6276.5798484957804</v>
      </c>
      <c r="H149">
        <v>6146.53</v>
      </c>
      <c r="I149">
        <v>0</v>
      </c>
      <c r="J149">
        <v>1680634.67784</v>
      </c>
      <c r="K149">
        <v>1975.0015800000001</v>
      </c>
      <c r="L149">
        <v>0</v>
      </c>
      <c r="M149">
        <v>35836.139779999998</v>
      </c>
      <c r="N149">
        <v>350853.05845999997</v>
      </c>
      <c r="O149">
        <v>39044.475680000003</v>
      </c>
      <c r="P149">
        <v>0</v>
      </c>
      <c r="Q149">
        <v>42736.145299999996</v>
      </c>
      <c r="R149">
        <v>32250.025799999999</v>
      </c>
      <c r="S149">
        <v>0</v>
      </c>
    </row>
    <row r="150" spans="1:19">
      <c r="A150">
        <v>149</v>
      </c>
      <c r="B150" s="45">
        <f t="array" ref="B150">IFERROR(INDEX(baseline!$A$3:$A$201,MATCH($C150&amp;$D150,baseline!$C$3:$C$201&amp;baseline!$D$3:$D$201,0)),"NA")</f>
        <v>7</v>
      </c>
      <c r="C150" t="s">
        <v>761</v>
      </c>
      <c r="D150" t="s">
        <v>14</v>
      </c>
      <c r="E150" t="s">
        <v>837</v>
      </c>
      <c r="F150">
        <v>3659.22</v>
      </c>
      <c r="G150">
        <v>6276.5798484957804</v>
      </c>
      <c r="H150">
        <v>6146.53</v>
      </c>
      <c r="I150">
        <v>0</v>
      </c>
      <c r="J150">
        <v>1702031.9171800001</v>
      </c>
      <c r="K150">
        <v>1977.77936</v>
      </c>
      <c r="L150">
        <v>0</v>
      </c>
      <c r="M150">
        <v>35836.139779999998</v>
      </c>
      <c r="N150">
        <v>350853.05845999997</v>
      </c>
      <c r="O150">
        <v>39044.475680000003</v>
      </c>
      <c r="P150">
        <v>0</v>
      </c>
      <c r="Q150">
        <v>38338.919560000002</v>
      </c>
      <c r="R150">
        <v>33230.582139999999</v>
      </c>
      <c r="S150">
        <v>0</v>
      </c>
    </row>
    <row r="151" spans="1:19">
      <c r="A151">
        <v>150</v>
      </c>
      <c r="B151" s="45">
        <f t="array" ref="B151">IFERROR(INDEX(baseline!$A$3:$A$201,MATCH($C151&amp;$D151,baseline!$C$3:$C$201&amp;baseline!$D$3:$D$201,0)),"NA")</f>
        <v>7</v>
      </c>
      <c r="C151" t="s">
        <v>761</v>
      </c>
      <c r="D151" t="s">
        <v>14</v>
      </c>
      <c r="E151" t="s">
        <v>833</v>
      </c>
      <c r="F151">
        <v>2189.3200000000002</v>
      </c>
      <c r="G151">
        <v>6276.5798484957804</v>
      </c>
      <c r="H151">
        <v>6146.53</v>
      </c>
      <c r="I151">
        <v>0</v>
      </c>
      <c r="J151">
        <v>1702565.2509399999</v>
      </c>
      <c r="K151">
        <v>1966.66824</v>
      </c>
      <c r="L151">
        <v>0</v>
      </c>
      <c r="M151">
        <v>35836.139779999998</v>
      </c>
      <c r="N151">
        <v>350853.05845999997</v>
      </c>
      <c r="O151">
        <v>39044.475680000003</v>
      </c>
      <c r="P151">
        <v>0</v>
      </c>
      <c r="Q151">
        <v>43280.590179999999</v>
      </c>
      <c r="R151">
        <v>33241.69326</v>
      </c>
      <c r="S151">
        <v>0</v>
      </c>
    </row>
    <row r="152" spans="1:19">
      <c r="A152">
        <v>151</v>
      </c>
      <c r="B152" s="45">
        <f t="array" ref="B152">IFERROR(INDEX(baseline!$A$3:$A$201,MATCH($C152&amp;$D152,baseline!$C$3:$C$201&amp;baseline!$D$3:$D$201,0)),"NA")</f>
        <v>7</v>
      </c>
      <c r="C152" t="s">
        <v>761</v>
      </c>
      <c r="D152" t="s">
        <v>14</v>
      </c>
      <c r="E152" t="s">
        <v>835</v>
      </c>
      <c r="F152">
        <v>181615.53</v>
      </c>
      <c r="G152">
        <v>6276.5798484957804</v>
      </c>
      <c r="H152">
        <v>6146.53</v>
      </c>
      <c r="I152">
        <v>0</v>
      </c>
      <c r="J152">
        <v>1386895.5539599999</v>
      </c>
      <c r="K152">
        <v>3450.0027599999999</v>
      </c>
      <c r="L152">
        <v>0</v>
      </c>
      <c r="M152">
        <v>35836.139779999998</v>
      </c>
      <c r="N152">
        <v>350853.05845999997</v>
      </c>
      <c r="O152">
        <v>39044.475680000003</v>
      </c>
      <c r="P152">
        <v>0</v>
      </c>
      <c r="Q152">
        <v>43650.034919999998</v>
      </c>
      <c r="R152">
        <v>31836.136579999999</v>
      </c>
      <c r="S152">
        <v>8761.1181199999992</v>
      </c>
    </row>
    <row r="153" spans="1:19">
      <c r="A153">
        <v>152</v>
      </c>
      <c r="B153" s="45">
        <f t="array" ref="B153">IFERROR(INDEX(baseline!$A$3:$A$201,MATCH($C153&amp;$D153,baseline!$C$3:$C$201&amp;baseline!$D$3:$D$201,0)),"NA")</f>
        <v>7</v>
      </c>
      <c r="C153" t="s">
        <v>761</v>
      </c>
      <c r="D153" t="s">
        <v>14</v>
      </c>
      <c r="E153" t="s">
        <v>863</v>
      </c>
      <c r="F153">
        <v>86236.89</v>
      </c>
      <c r="G153">
        <v>6276.5798484957804</v>
      </c>
      <c r="H153">
        <v>6146.53</v>
      </c>
      <c r="I153">
        <v>0</v>
      </c>
      <c r="J153">
        <v>1358681.6425000001</v>
      </c>
      <c r="K153">
        <v>2244.4462400000002</v>
      </c>
      <c r="L153">
        <v>0</v>
      </c>
      <c r="M153">
        <v>35836.139779999998</v>
      </c>
      <c r="N153">
        <v>350853.05845999997</v>
      </c>
      <c r="O153">
        <v>39044.475680000003</v>
      </c>
      <c r="P153">
        <v>0</v>
      </c>
      <c r="Q153">
        <v>37961.141479999998</v>
      </c>
      <c r="R153">
        <v>26952.799340000001</v>
      </c>
      <c r="S153">
        <v>0</v>
      </c>
    </row>
    <row r="154" spans="1:19">
      <c r="A154">
        <v>153</v>
      </c>
      <c r="B154" s="45">
        <f t="array" ref="B154">IFERROR(INDEX(baseline!$A$3:$A$201,MATCH($C154&amp;$D154,baseline!$C$3:$C$201&amp;baseline!$D$3:$D$201,0)),"NA")</f>
        <v>7</v>
      </c>
      <c r="C154" t="s">
        <v>761</v>
      </c>
      <c r="D154" t="s">
        <v>14</v>
      </c>
      <c r="E154" t="s">
        <v>1011</v>
      </c>
      <c r="F154">
        <v>122924.27</v>
      </c>
      <c r="G154">
        <v>6276.5798484957804</v>
      </c>
      <c r="H154">
        <v>6146.53</v>
      </c>
      <c r="I154">
        <v>0</v>
      </c>
      <c r="J154">
        <v>1156120.36934</v>
      </c>
      <c r="K154">
        <v>1366.66776</v>
      </c>
      <c r="L154">
        <v>0</v>
      </c>
      <c r="M154">
        <v>35836.139779999998</v>
      </c>
      <c r="N154">
        <v>350853.05845999997</v>
      </c>
      <c r="O154">
        <v>39044.475680000003</v>
      </c>
      <c r="P154">
        <v>0</v>
      </c>
      <c r="Q154">
        <v>32275.025819999999</v>
      </c>
      <c r="R154">
        <v>20922.238959999999</v>
      </c>
      <c r="S154">
        <v>0</v>
      </c>
    </row>
    <row r="155" spans="1:19">
      <c r="A155">
        <v>154</v>
      </c>
      <c r="B155" s="45">
        <f t="array" ref="B155">IFERROR(INDEX(baseline!$A$3:$A$201,MATCH($C155&amp;$D155,baseline!$C$3:$C$201&amp;baseline!$D$3:$D$201,0)),"NA")</f>
        <v>7</v>
      </c>
      <c r="C155" t="s">
        <v>761</v>
      </c>
      <c r="D155" t="s">
        <v>14</v>
      </c>
      <c r="E155" t="s">
        <v>860</v>
      </c>
      <c r="F155">
        <v>129818.45</v>
      </c>
      <c r="G155">
        <v>6276.5798484957804</v>
      </c>
      <c r="H155">
        <v>6146.53</v>
      </c>
      <c r="I155">
        <v>0</v>
      </c>
      <c r="J155">
        <v>1795754.21438</v>
      </c>
      <c r="K155">
        <v>1011.1119200000001</v>
      </c>
      <c r="L155">
        <v>0</v>
      </c>
      <c r="M155">
        <v>35836.139779999998</v>
      </c>
      <c r="N155">
        <v>245597.41870000001</v>
      </c>
      <c r="O155">
        <v>39044.475680000003</v>
      </c>
      <c r="P155">
        <v>0</v>
      </c>
      <c r="Q155">
        <v>43788.923920000001</v>
      </c>
      <c r="R155">
        <v>34183.360679999998</v>
      </c>
      <c r="S155">
        <v>0</v>
      </c>
    </row>
    <row r="156" spans="1:19">
      <c r="A156">
        <v>155</v>
      </c>
      <c r="B156" s="45">
        <f t="array" ref="B156">IFERROR(INDEX(baseline!$A$3:$A$201,MATCH($C156&amp;$D156,baseline!$C$3:$C$201&amp;baseline!$D$3:$D$201,0)),"NA")</f>
        <v>7</v>
      </c>
      <c r="C156" t="s">
        <v>761</v>
      </c>
      <c r="D156" t="s">
        <v>14</v>
      </c>
      <c r="E156" t="s">
        <v>1019</v>
      </c>
      <c r="F156">
        <v>123853.4</v>
      </c>
      <c r="G156">
        <v>6276.5798484957804</v>
      </c>
      <c r="H156">
        <v>6146.53</v>
      </c>
      <c r="I156">
        <v>0</v>
      </c>
      <c r="J156">
        <v>944861.86699999997</v>
      </c>
      <c r="K156">
        <v>1366.66776</v>
      </c>
      <c r="L156">
        <v>0</v>
      </c>
      <c r="M156">
        <v>35836.139779999998</v>
      </c>
      <c r="N156">
        <v>350853.05845999997</v>
      </c>
      <c r="O156">
        <v>39044.475680000003</v>
      </c>
      <c r="P156">
        <v>0</v>
      </c>
      <c r="Q156">
        <v>32275.025819999999</v>
      </c>
      <c r="R156">
        <v>1608.3346200000001</v>
      </c>
      <c r="S156">
        <v>0</v>
      </c>
    </row>
    <row r="157" spans="1:19">
      <c r="A157">
        <v>156</v>
      </c>
      <c r="B157" s="45">
        <f t="array" ref="B157">IFERROR(INDEX(baseline!$A$3:$A$201,MATCH($C157&amp;$D157,baseline!$C$3:$C$201&amp;baseline!$D$3:$D$201,0)),"NA")</f>
        <v>7</v>
      </c>
      <c r="C157" t="s">
        <v>761</v>
      </c>
      <c r="D157" t="s">
        <v>14</v>
      </c>
      <c r="E157" t="s">
        <v>836</v>
      </c>
      <c r="F157">
        <v>36687.379999999997</v>
      </c>
      <c r="G157">
        <v>6276.5798484957804</v>
      </c>
      <c r="H157">
        <v>6146.53</v>
      </c>
      <c r="I157">
        <v>0</v>
      </c>
      <c r="J157">
        <v>1473328.9564400001</v>
      </c>
      <c r="K157">
        <v>1180.5564999999999</v>
      </c>
      <c r="L157">
        <v>0</v>
      </c>
      <c r="M157">
        <v>35836.139779999998</v>
      </c>
      <c r="N157">
        <v>350853.05845999997</v>
      </c>
      <c r="O157">
        <v>39044.475680000003</v>
      </c>
      <c r="P157">
        <v>0</v>
      </c>
      <c r="Q157">
        <v>37488.918879999997</v>
      </c>
      <c r="R157">
        <v>26358.35442</v>
      </c>
      <c r="S157">
        <v>0</v>
      </c>
    </row>
    <row r="158" spans="1:19">
      <c r="A158">
        <v>157</v>
      </c>
      <c r="B158" s="45">
        <f t="array" ref="B158">IFERROR(INDEX(baseline!$A$3:$A$201,MATCH($C158&amp;$D158,baseline!$C$3:$C$201&amp;baseline!$D$3:$D$201,0)),"NA")</f>
        <v>7</v>
      </c>
      <c r="C158" t="s">
        <v>761</v>
      </c>
      <c r="D158" t="s">
        <v>14</v>
      </c>
      <c r="E158" t="s">
        <v>1030</v>
      </c>
      <c r="F158">
        <v>388453.4</v>
      </c>
      <c r="G158">
        <v>6276.5798484957804</v>
      </c>
      <c r="H158">
        <v>6146.53</v>
      </c>
      <c r="I158">
        <v>0</v>
      </c>
      <c r="J158">
        <v>768983.94851999998</v>
      </c>
      <c r="K158">
        <v>8411.1178400000008</v>
      </c>
      <c r="L158">
        <v>0</v>
      </c>
      <c r="M158">
        <v>35836.139779999998</v>
      </c>
      <c r="N158">
        <v>245597.41870000001</v>
      </c>
      <c r="O158">
        <v>39044.475680000003</v>
      </c>
      <c r="P158">
        <v>0</v>
      </c>
      <c r="Q158">
        <v>27125.021700000001</v>
      </c>
      <c r="R158">
        <v>583.3338</v>
      </c>
      <c r="S158">
        <v>0</v>
      </c>
    </row>
    <row r="159" spans="1:19">
      <c r="A159">
        <v>158</v>
      </c>
      <c r="B159" s="45">
        <f t="array" ref="B159">IFERROR(INDEX(baseline!$A$3:$A$201,MATCH($C159&amp;$D159,baseline!$C$3:$C$201&amp;baseline!$D$3:$D$201,0)),"NA")</f>
        <v>7</v>
      </c>
      <c r="C159" t="s">
        <v>761</v>
      </c>
      <c r="D159" t="s">
        <v>14</v>
      </c>
      <c r="E159" t="s">
        <v>859</v>
      </c>
      <c r="F159">
        <v>21212.62</v>
      </c>
      <c r="G159">
        <v>6276.5798484957804</v>
      </c>
      <c r="H159">
        <v>6146.53</v>
      </c>
      <c r="I159">
        <v>0</v>
      </c>
      <c r="J159">
        <v>1702254.13958</v>
      </c>
      <c r="K159">
        <v>1922.2237600000001</v>
      </c>
      <c r="L159">
        <v>0</v>
      </c>
      <c r="M159">
        <v>35836.139779999998</v>
      </c>
      <c r="N159">
        <v>350853.05845999997</v>
      </c>
      <c r="O159">
        <v>39044.475680000003</v>
      </c>
      <c r="P159">
        <v>0</v>
      </c>
      <c r="Q159">
        <v>43680.590499999998</v>
      </c>
      <c r="R159">
        <v>33269.471060000003</v>
      </c>
      <c r="S159">
        <v>0</v>
      </c>
    </row>
    <row r="160" spans="1:19">
      <c r="A160">
        <v>159</v>
      </c>
      <c r="B160" s="45">
        <f t="array" ref="B160">IFERROR(INDEX(baseline!$A$3:$A$201,MATCH($C160&amp;$D160,baseline!$C$3:$C$201&amp;baseline!$D$3:$D$201,0)),"NA")</f>
        <v>7</v>
      </c>
      <c r="C160" t="s">
        <v>761</v>
      </c>
      <c r="D160" t="s">
        <v>14</v>
      </c>
      <c r="E160" t="s">
        <v>834</v>
      </c>
      <c r="F160">
        <v>3425.24</v>
      </c>
      <c r="G160">
        <v>6276.5798484957804</v>
      </c>
      <c r="H160">
        <v>6146.53</v>
      </c>
      <c r="I160">
        <v>0</v>
      </c>
      <c r="J160">
        <v>1702043.0282999999</v>
      </c>
      <c r="K160">
        <v>1972.2238</v>
      </c>
      <c r="L160">
        <v>0</v>
      </c>
      <c r="M160">
        <v>35936.139860000003</v>
      </c>
      <c r="N160">
        <v>350853.05845999997</v>
      </c>
      <c r="O160">
        <v>39044.475680000003</v>
      </c>
      <c r="P160">
        <v>0</v>
      </c>
      <c r="Q160">
        <v>43650.034919999998</v>
      </c>
      <c r="R160">
        <v>33130.582060000001</v>
      </c>
      <c r="S160">
        <v>0</v>
      </c>
    </row>
    <row r="161" spans="1:19">
      <c r="A161">
        <v>160</v>
      </c>
      <c r="B161" s="45">
        <f t="array" ref="B161">IFERROR(INDEX(baseline!$A$3:$A$201,MATCH($C161&amp;$D161,baseline!$C$3:$C$201&amp;baseline!$D$3:$D$201,0)),"NA")</f>
        <v>7</v>
      </c>
      <c r="C161" t="s">
        <v>761</v>
      </c>
      <c r="D161" t="s">
        <v>14</v>
      </c>
      <c r="E161" t="s">
        <v>865</v>
      </c>
      <c r="F161">
        <v>6655.34</v>
      </c>
      <c r="G161">
        <v>6276.5798484957804</v>
      </c>
      <c r="H161">
        <v>6146.53</v>
      </c>
      <c r="I161">
        <v>0</v>
      </c>
      <c r="J161">
        <v>1702043.0282999999</v>
      </c>
      <c r="K161">
        <v>1972.2238</v>
      </c>
      <c r="L161">
        <v>0</v>
      </c>
      <c r="M161">
        <v>35836.139779999998</v>
      </c>
      <c r="N161">
        <v>350853.05845999997</v>
      </c>
      <c r="O161">
        <v>39044.475680000003</v>
      </c>
      <c r="P161">
        <v>0</v>
      </c>
      <c r="Q161">
        <v>43650.034919999998</v>
      </c>
      <c r="R161">
        <v>25991.687460000001</v>
      </c>
      <c r="S161">
        <v>0</v>
      </c>
    </row>
    <row r="162" spans="1:19">
      <c r="A162">
        <v>161</v>
      </c>
      <c r="B162" s="45">
        <f t="array" ref="B162">IFERROR(INDEX(baseline!$A$3:$A$201,MATCH($C162&amp;$D162,baseline!$C$3:$C$201&amp;baseline!$D$3:$D$201,0)),"NA")</f>
        <v>10</v>
      </c>
      <c r="C162" t="s">
        <v>713</v>
      </c>
      <c r="D162" t="s">
        <v>881</v>
      </c>
      <c r="E162" t="s">
        <v>832</v>
      </c>
      <c r="F162">
        <v>3515.53</v>
      </c>
      <c r="G162">
        <v>923.71795399999996</v>
      </c>
      <c r="H162">
        <v>898.21799999999996</v>
      </c>
      <c r="I162">
        <v>0</v>
      </c>
      <c r="J162">
        <v>711289.45791999996</v>
      </c>
      <c r="K162">
        <v>7380.5614599999999</v>
      </c>
      <c r="L162">
        <v>0</v>
      </c>
      <c r="M162">
        <v>4455.5591199999999</v>
      </c>
      <c r="N162">
        <v>50755.596160000001</v>
      </c>
      <c r="O162">
        <v>6080.5604199999998</v>
      </c>
      <c r="P162">
        <v>0</v>
      </c>
      <c r="Q162">
        <v>26041.6875</v>
      </c>
      <c r="R162">
        <v>38194.474999999999</v>
      </c>
      <c r="S162">
        <v>0</v>
      </c>
    </row>
    <row r="163" spans="1:19">
      <c r="A163">
        <v>162</v>
      </c>
      <c r="B163" s="45">
        <f t="array" ref="B163">IFERROR(INDEX(baseline!$A$3:$A$201,MATCH($C163&amp;$D163,baseline!$C$3:$C$201&amp;baseline!$D$3:$D$201,0)),"NA")</f>
        <v>10</v>
      </c>
      <c r="C163" t="s">
        <v>713</v>
      </c>
      <c r="D163" t="s">
        <v>881</v>
      </c>
      <c r="E163" t="s">
        <v>869</v>
      </c>
      <c r="F163">
        <v>0</v>
      </c>
      <c r="G163">
        <v>923.71795399999996</v>
      </c>
      <c r="H163">
        <v>898.21799999999996</v>
      </c>
      <c r="I163">
        <v>0</v>
      </c>
      <c r="J163">
        <v>696908.89086000004</v>
      </c>
      <c r="K163">
        <v>808.33398</v>
      </c>
      <c r="L163">
        <v>0</v>
      </c>
      <c r="M163">
        <v>4455.5591199999999</v>
      </c>
      <c r="N163">
        <v>50755.596160000001</v>
      </c>
      <c r="O163">
        <v>6080.5604199999998</v>
      </c>
      <c r="P163">
        <v>0</v>
      </c>
      <c r="Q163">
        <v>24988.908879999999</v>
      </c>
      <c r="R163">
        <v>37502.807780000003</v>
      </c>
      <c r="S163">
        <v>0</v>
      </c>
    </row>
    <row r="164" spans="1:19">
      <c r="A164">
        <v>163</v>
      </c>
      <c r="B164" s="45">
        <f t="array" ref="B164">IFERROR(INDEX(baseline!$A$3:$A$201,MATCH($C164&amp;$D164,baseline!$C$3:$C$201&amp;baseline!$D$3:$D$201,0)),"NA")</f>
        <v>10</v>
      </c>
      <c r="C164" t="s">
        <v>713</v>
      </c>
      <c r="D164" t="s">
        <v>881</v>
      </c>
      <c r="E164" t="s">
        <v>896</v>
      </c>
      <c r="F164">
        <v>65332.04</v>
      </c>
      <c r="G164">
        <v>923.71795399999996</v>
      </c>
      <c r="H164">
        <v>898.21799999999996</v>
      </c>
      <c r="I164">
        <v>0</v>
      </c>
      <c r="J164">
        <v>692678.33192000003</v>
      </c>
      <c r="K164">
        <v>1119.44534</v>
      </c>
      <c r="L164">
        <v>0</v>
      </c>
      <c r="M164">
        <v>4455.5591199999999</v>
      </c>
      <c r="N164">
        <v>50755.596160000001</v>
      </c>
      <c r="O164">
        <v>6080.5604199999998</v>
      </c>
      <c r="P164">
        <v>0</v>
      </c>
      <c r="Q164">
        <v>24972.242200000001</v>
      </c>
      <c r="R164">
        <v>37508.363340000004</v>
      </c>
      <c r="S164">
        <v>0</v>
      </c>
    </row>
    <row r="165" spans="1:19">
      <c r="A165">
        <v>164</v>
      </c>
      <c r="B165" s="45">
        <f t="array" ref="B165">IFERROR(INDEX(baseline!$A$3:$A$201,MATCH($C165&amp;$D165,baseline!$C$3:$C$201&amp;baseline!$D$3:$D$201,0)),"NA")</f>
        <v>10</v>
      </c>
      <c r="C165" t="s">
        <v>713</v>
      </c>
      <c r="D165" t="s">
        <v>881</v>
      </c>
      <c r="E165" t="s">
        <v>840</v>
      </c>
      <c r="F165">
        <v>929.13</v>
      </c>
      <c r="G165">
        <v>923.71795399999996</v>
      </c>
      <c r="H165">
        <v>898.21799999999996</v>
      </c>
      <c r="I165">
        <v>0</v>
      </c>
      <c r="J165">
        <v>430800.34464000002</v>
      </c>
      <c r="K165">
        <v>1119.44534</v>
      </c>
      <c r="L165">
        <v>0</v>
      </c>
      <c r="M165">
        <v>4455.5591199999999</v>
      </c>
      <c r="N165">
        <v>50755.596160000001</v>
      </c>
      <c r="O165">
        <v>6080.5604199999998</v>
      </c>
      <c r="P165">
        <v>0</v>
      </c>
      <c r="Q165">
        <v>24972.242200000001</v>
      </c>
      <c r="R165">
        <v>37508.363340000004</v>
      </c>
      <c r="S165">
        <v>0</v>
      </c>
    </row>
    <row r="166" spans="1:19">
      <c r="A166">
        <v>165</v>
      </c>
      <c r="B166" s="45">
        <f t="array" ref="B166">IFERROR(INDEX(baseline!$A$3:$A$201,MATCH($C166&amp;$D166,baseline!$C$3:$C$201&amp;baseline!$D$3:$D$201,0)),"NA")</f>
        <v>10</v>
      </c>
      <c r="C166" t="s">
        <v>713</v>
      </c>
      <c r="D166" t="s">
        <v>881</v>
      </c>
      <c r="E166" t="s">
        <v>839</v>
      </c>
      <c r="F166">
        <v>10048.540000000001</v>
      </c>
      <c r="G166">
        <v>923.71795399999996</v>
      </c>
      <c r="H166">
        <v>898.21799999999996</v>
      </c>
      <c r="I166">
        <v>0</v>
      </c>
      <c r="J166">
        <v>692678.33192000003</v>
      </c>
      <c r="K166">
        <v>800.00063999999998</v>
      </c>
      <c r="L166">
        <v>0</v>
      </c>
      <c r="M166">
        <v>4455.5591199999999</v>
      </c>
      <c r="N166">
        <v>50755.596160000001</v>
      </c>
      <c r="O166">
        <v>6080.5604199999998</v>
      </c>
      <c r="P166">
        <v>0</v>
      </c>
      <c r="Q166">
        <v>24972.242200000001</v>
      </c>
      <c r="R166">
        <v>37508.363340000004</v>
      </c>
      <c r="S166">
        <v>0</v>
      </c>
    </row>
    <row r="167" spans="1:19">
      <c r="A167">
        <v>166</v>
      </c>
      <c r="B167" s="45">
        <f t="array" ref="B167">IFERROR(INDEX(baseline!$A$3:$A$201,MATCH($C167&amp;$D167,baseline!$C$3:$C$201&amp;baseline!$D$3:$D$201,0)),"NA")</f>
        <v>10</v>
      </c>
      <c r="C167" t="s">
        <v>713</v>
      </c>
      <c r="D167" t="s">
        <v>881</v>
      </c>
      <c r="E167" t="s">
        <v>805</v>
      </c>
      <c r="F167">
        <v>7488.35</v>
      </c>
      <c r="G167">
        <v>923.71795399999996</v>
      </c>
      <c r="H167">
        <v>898.21799999999996</v>
      </c>
      <c r="I167">
        <v>0</v>
      </c>
      <c r="J167">
        <v>692678.33192000003</v>
      </c>
      <c r="K167">
        <v>1119.44534</v>
      </c>
      <c r="L167">
        <v>0</v>
      </c>
      <c r="M167">
        <v>4455.5591199999999</v>
      </c>
      <c r="N167">
        <v>50755.596160000001</v>
      </c>
      <c r="O167">
        <v>6080.5604199999998</v>
      </c>
      <c r="P167">
        <v>0</v>
      </c>
      <c r="Q167">
        <v>24972.242200000001</v>
      </c>
      <c r="R167">
        <v>37508.363340000004</v>
      </c>
      <c r="S167">
        <v>0</v>
      </c>
    </row>
    <row r="168" spans="1:19">
      <c r="A168">
        <v>167</v>
      </c>
      <c r="B168" s="45">
        <f t="array" ref="B168">IFERROR(INDEX(baseline!$A$3:$A$201,MATCH($C168&amp;$D168,baseline!$C$3:$C$201&amp;baseline!$D$3:$D$201,0)),"NA")</f>
        <v>10</v>
      </c>
      <c r="C168" t="s">
        <v>713</v>
      </c>
      <c r="D168" t="s">
        <v>881</v>
      </c>
      <c r="E168" t="s">
        <v>877</v>
      </c>
      <c r="F168">
        <v>3515.53</v>
      </c>
      <c r="G168">
        <v>923.71795399999996</v>
      </c>
      <c r="H168">
        <v>898.21799999999996</v>
      </c>
      <c r="I168">
        <v>0</v>
      </c>
      <c r="J168">
        <v>690564.44134000002</v>
      </c>
      <c r="K168">
        <v>4161.1144400000003</v>
      </c>
      <c r="L168">
        <v>0</v>
      </c>
      <c r="M168">
        <v>4455.5591199999999</v>
      </c>
      <c r="N168">
        <v>50755.596160000001</v>
      </c>
      <c r="O168">
        <v>6080.5604199999998</v>
      </c>
      <c r="P168">
        <v>0</v>
      </c>
      <c r="Q168">
        <v>26644.465759999999</v>
      </c>
      <c r="R168">
        <v>37105.58524</v>
      </c>
      <c r="S168">
        <v>0</v>
      </c>
    </row>
    <row r="169" spans="1:19">
      <c r="A169">
        <v>168</v>
      </c>
      <c r="B169" s="45">
        <f t="array" ref="B169">IFERROR(INDEX(baseline!$A$3:$A$201,MATCH($C169&amp;$D169,baseline!$C$3:$C$201&amp;baseline!$D$3:$D$201,0)),"NA")</f>
        <v>10</v>
      </c>
      <c r="C169" t="s">
        <v>713</v>
      </c>
      <c r="D169" t="s">
        <v>881</v>
      </c>
      <c r="E169" t="s">
        <v>838</v>
      </c>
      <c r="F169">
        <v>1373.79</v>
      </c>
      <c r="G169">
        <v>923.71795399999996</v>
      </c>
      <c r="H169">
        <v>898.21799999999996</v>
      </c>
      <c r="I169">
        <v>0</v>
      </c>
      <c r="J169">
        <v>692797.77645999996</v>
      </c>
      <c r="K169">
        <v>1044.4452799999999</v>
      </c>
      <c r="L169">
        <v>0</v>
      </c>
      <c r="M169">
        <v>4455.5591199999999</v>
      </c>
      <c r="N169">
        <v>50755.596160000001</v>
      </c>
      <c r="O169">
        <v>6080.5604199999998</v>
      </c>
      <c r="P169">
        <v>0</v>
      </c>
      <c r="Q169">
        <v>24975.019980000001</v>
      </c>
      <c r="R169">
        <v>37427.807719999997</v>
      </c>
      <c r="S169">
        <v>0</v>
      </c>
    </row>
    <row r="170" spans="1:19">
      <c r="A170">
        <v>169</v>
      </c>
      <c r="B170" s="45">
        <f t="array" ref="B170">IFERROR(INDEX(baseline!$A$3:$A$201,MATCH($C170&amp;$D170,baseline!$C$3:$C$201&amp;baseline!$D$3:$D$201,0)),"NA")</f>
        <v>10</v>
      </c>
      <c r="C170" t="s">
        <v>713</v>
      </c>
      <c r="D170" t="s">
        <v>881</v>
      </c>
      <c r="E170" t="s">
        <v>1013</v>
      </c>
      <c r="F170">
        <v>38549.51</v>
      </c>
      <c r="G170">
        <v>923.71795399999996</v>
      </c>
      <c r="H170">
        <v>898.21799999999996</v>
      </c>
      <c r="I170">
        <v>0</v>
      </c>
      <c r="J170">
        <v>713903.34889999998</v>
      </c>
      <c r="K170">
        <v>644.44496000000004</v>
      </c>
      <c r="L170">
        <v>0</v>
      </c>
      <c r="M170">
        <v>4455.5591199999999</v>
      </c>
      <c r="N170">
        <v>35530.583980000003</v>
      </c>
      <c r="O170">
        <v>6080.5604199999998</v>
      </c>
      <c r="P170">
        <v>0</v>
      </c>
      <c r="Q170">
        <v>25250.020199999999</v>
      </c>
      <c r="R170">
        <v>29661.134839999999</v>
      </c>
      <c r="S170">
        <v>0</v>
      </c>
    </row>
    <row r="171" spans="1:19">
      <c r="A171">
        <v>170</v>
      </c>
      <c r="B171" s="45">
        <f t="array" ref="B171">IFERROR(INDEX(baseline!$A$3:$A$201,MATCH($C171&amp;$D171,baseline!$C$3:$C$201&amp;baseline!$D$3:$D$201,0)),"NA")</f>
        <v>10</v>
      </c>
      <c r="C171" t="s">
        <v>713</v>
      </c>
      <c r="D171" t="s">
        <v>881</v>
      </c>
      <c r="E171" t="s">
        <v>893</v>
      </c>
      <c r="F171">
        <v>104998.06</v>
      </c>
      <c r="G171">
        <v>923.71795399999996</v>
      </c>
      <c r="H171">
        <v>898.21799999999996</v>
      </c>
      <c r="I171">
        <v>0</v>
      </c>
      <c r="J171">
        <v>647231.07334</v>
      </c>
      <c r="K171">
        <v>983.33411999999998</v>
      </c>
      <c r="L171">
        <v>0</v>
      </c>
      <c r="M171">
        <v>4455.5591199999999</v>
      </c>
      <c r="N171">
        <v>50755.596160000001</v>
      </c>
      <c r="O171">
        <v>6080.5604199999998</v>
      </c>
      <c r="P171">
        <v>0</v>
      </c>
      <c r="Q171">
        <v>23491.685460000001</v>
      </c>
      <c r="R171">
        <v>35100.028079999996</v>
      </c>
      <c r="S171">
        <v>0</v>
      </c>
    </row>
    <row r="172" spans="1:19">
      <c r="A172">
        <v>171</v>
      </c>
      <c r="B172" s="45">
        <f t="array" ref="B172">IFERROR(INDEX(baseline!$A$3:$A$201,MATCH($C172&amp;$D172,baseline!$C$3:$C$201&amp;baseline!$D$3:$D$201,0)),"NA")</f>
        <v>10</v>
      </c>
      <c r="C172" t="s">
        <v>713</v>
      </c>
      <c r="D172" t="s">
        <v>881</v>
      </c>
      <c r="E172" t="s">
        <v>892</v>
      </c>
      <c r="F172">
        <v>257193.2</v>
      </c>
      <c r="G172">
        <v>923.71795399999996</v>
      </c>
      <c r="H172">
        <v>898.21799999999996</v>
      </c>
      <c r="I172">
        <v>0</v>
      </c>
      <c r="J172">
        <v>604222.70559999999</v>
      </c>
      <c r="K172">
        <v>1097.2230999999999</v>
      </c>
      <c r="L172">
        <v>0</v>
      </c>
      <c r="M172">
        <v>4455.5591199999999</v>
      </c>
      <c r="N172">
        <v>50755.596160000001</v>
      </c>
      <c r="O172">
        <v>6080.5604199999998</v>
      </c>
      <c r="P172">
        <v>0</v>
      </c>
      <c r="Q172">
        <v>22030.573179999999</v>
      </c>
      <c r="R172">
        <v>33169.470979999998</v>
      </c>
      <c r="S172">
        <v>0</v>
      </c>
    </row>
    <row r="173" spans="1:19">
      <c r="A173">
        <v>172</v>
      </c>
      <c r="B173" s="45">
        <f t="array" ref="B173">IFERROR(INDEX(baseline!$A$3:$A$201,MATCH($C173&amp;$D173,baseline!$C$3:$C$201&amp;baseline!$D$3:$D$201,0)),"NA")</f>
        <v>10</v>
      </c>
      <c r="C173" t="s">
        <v>713</v>
      </c>
      <c r="D173" t="s">
        <v>881</v>
      </c>
      <c r="E173" t="s">
        <v>894</v>
      </c>
      <c r="F173">
        <v>6686.41</v>
      </c>
      <c r="G173">
        <v>923.71795399999996</v>
      </c>
      <c r="H173">
        <v>898.21799999999996</v>
      </c>
      <c r="I173">
        <v>0</v>
      </c>
      <c r="J173">
        <v>691508.88653999998</v>
      </c>
      <c r="K173">
        <v>1119.44534</v>
      </c>
      <c r="L173">
        <v>0</v>
      </c>
      <c r="M173">
        <v>4455.5591199999999</v>
      </c>
      <c r="N173">
        <v>50755.596160000001</v>
      </c>
      <c r="O173">
        <v>6080.5604199999998</v>
      </c>
      <c r="P173">
        <v>0</v>
      </c>
      <c r="Q173">
        <v>24958.353299999999</v>
      </c>
      <c r="R173">
        <v>37455.585520000001</v>
      </c>
      <c r="S173">
        <v>0</v>
      </c>
    </row>
    <row r="174" spans="1:19">
      <c r="A174">
        <v>173</v>
      </c>
      <c r="B174" s="45">
        <f t="array" ref="B174">IFERROR(INDEX(baseline!$A$3:$A$201,MATCH($C174&amp;$D174,baseline!$C$3:$C$201&amp;baseline!$D$3:$D$201,0)),"NA")</f>
        <v>10</v>
      </c>
      <c r="C174" t="s">
        <v>713</v>
      </c>
      <c r="D174" t="s">
        <v>881</v>
      </c>
      <c r="E174" t="s">
        <v>837</v>
      </c>
      <c r="F174">
        <v>732.04</v>
      </c>
      <c r="G174">
        <v>923.71795399999996</v>
      </c>
      <c r="H174">
        <v>898.21799999999996</v>
      </c>
      <c r="I174">
        <v>0</v>
      </c>
      <c r="J174">
        <v>692678.33192000003</v>
      </c>
      <c r="K174">
        <v>1119.44534</v>
      </c>
      <c r="L174">
        <v>0</v>
      </c>
      <c r="M174">
        <v>4455.5591199999999</v>
      </c>
      <c r="N174">
        <v>50755.596160000001</v>
      </c>
      <c r="O174">
        <v>6080.5604199999998</v>
      </c>
      <c r="P174">
        <v>0</v>
      </c>
      <c r="Q174">
        <v>24972.242200000001</v>
      </c>
      <c r="R174">
        <v>37508.363340000004</v>
      </c>
      <c r="S174">
        <v>0</v>
      </c>
    </row>
    <row r="175" spans="1:19">
      <c r="A175">
        <v>174</v>
      </c>
      <c r="B175" s="45">
        <f t="array" ref="B175">IFERROR(INDEX(baseline!$A$3:$A$201,MATCH($C175&amp;$D175,baseline!$C$3:$C$201&amp;baseline!$D$3:$D$201,0)),"NA")</f>
        <v>10</v>
      </c>
      <c r="C175" t="s">
        <v>713</v>
      </c>
      <c r="D175" t="s">
        <v>881</v>
      </c>
      <c r="E175" t="s">
        <v>833</v>
      </c>
      <c r="F175">
        <v>2628.16</v>
      </c>
      <c r="G175">
        <v>923.71795399999996</v>
      </c>
      <c r="H175">
        <v>898.21799999999996</v>
      </c>
      <c r="I175">
        <v>0</v>
      </c>
      <c r="J175">
        <v>692794.99867999996</v>
      </c>
      <c r="K175">
        <v>1113.88978</v>
      </c>
      <c r="L175">
        <v>0</v>
      </c>
      <c r="M175">
        <v>4455.5591199999999</v>
      </c>
      <c r="N175">
        <v>50755.596160000001</v>
      </c>
      <c r="O175">
        <v>6080.5604199999998</v>
      </c>
      <c r="P175">
        <v>0</v>
      </c>
      <c r="Q175">
        <v>24886.131020000001</v>
      </c>
      <c r="R175">
        <v>37513.918899999997</v>
      </c>
      <c r="S175">
        <v>0</v>
      </c>
    </row>
    <row r="176" spans="1:19">
      <c r="A176">
        <v>175</v>
      </c>
      <c r="B176" s="45">
        <f t="array" ref="B176">IFERROR(INDEX(baseline!$A$3:$A$201,MATCH($C176&amp;$D176,baseline!$C$3:$C$201&amp;baseline!$D$3:$D$201,0)),"NA")</f>
        <v>10</v>
      </c>
      <c r="C176" t="s">
        <v>713</v>
      </c>
      <c r="D176" t="s">
        <v>881</v>
      </c>
      <c r="E176" t="s">
        <v>835</v>
      </c>
      <c r="F176">
        <v>47432.04</v>
      </c>
      <c r="G176">
        <v>923.71795399999996</v>
      </c>
      <c r="H176">
        <v>898.21799999999996</v>
      </c>
      <c r="I176">
        <v>0</v>
      </c>
      <c r="J176">
        <v>680308.87757999997</v>
      </c>
      <c r="K176">
        <v>1213.88986</v>
      </c>
      <c r="L176">
        <v>0</v>
      </c>
      <c r="M176">
        <v>4455.5591199999999</v>
      </c>
      <c r="N176">
        <v>50755.596160000001</v>
      </c>
      <c r="O176">
        <v>6080.5604199999998</v>
      </c>
      <c r="P176">
        <v>0</v>
      </c>
      <c r="Q176">
        <v>24930.575499999999</v>
      </c>
      <c r="R176">
        <v>37430.585500000001</v>
      </c>
      <c r="S176">
        <v>2211.1128800000001</v>
      </c>
    </row>
    <row r="177" spans="1:19">
      <c r="A177">
        <v>176</v>
      </c>
      <c r="B177" s="45">
        <f t="array" ref="B177">IFERROR(INDEX(baseline!$A$3:$A$201,MATCH($C177&amp;$D177,baseline!$C$3:$C$201&amp;baseline!$D$3:$D$201,0)),"NA")</f>
        <v>10</v>
      </c>
      <c r="C177" t="s">
        <v>713</v>
      </c>
      <c r="D177" t="s">
        <v>881</v>
      </c>
      <c r="E177" t="s">
        <v>863</v>
      </c>
      <c r="F177">
        <v>45733.98</v>
      </c>
      <c r="G177">
        <v>923.71795399999996</v>
      </c>
      <c r="H177">
        <v>898.21799999999996</v>
      </c>
      <c r="I177">
        <v>0</v>
      </c>
      <c r="J177">
        <v>384350.30748000002</v>
      </c>
      <c r="K177">
        <v>1422.22336</v>
      </c>
      <c r="L177">
        <v>0</v>
      </c>
      <c r="M177">
        <v>4455.5591199999999</v>
      </c>
      <c r="N177">
        <v>50755.596160000001</v>
      </c>
      <c r="O177">
        <v>6080.5604199999998</v>
      </c>
      <c r="P177">
        <v>0</v>
      </c>
      <c r="Q177">
        <v>14883.345240000001</v>
      </c>
      <c r="R177">
        <v>21750.017400000001</v>
      </c>
      <c r="S177">
        <v>0</v>
      </c>
    </row>
    <row r="178" spans="1:19">
      <c r="A178">
        <v>177</v>
      </c>
      <c r="B178" s="45">
        <f t="array" ref="B178">IFERROR(INDEX(baseline!$A$3:$A$201,MATCH($C178&amp;$D178,baseline!$C$3:$C$201&amp;baseline!$D$3:$D$201,0)),"NA")</f>
        <v>10</v>
      </c>
      <c r="C178" t="s">
        <v>713</v>
      </c>
      <c r="D178" t="s">
        <v>881</v>
      </c>
      <c r="E178" t="s">
        <v>1011</v>
      </c>
      <c r="F178">
        <v>50022.33</v>
      </c>
      <c r="G178">
        <v>923.71795399999996</v>
      </c>
      <c r="H178">
        <v>898.21799999999996</v>
      </c>
      <c r="I178">
        <v>0</v>
      </c>
      <c r="J178">
        <v>335789.15752000001</v>
      </c>
      <c r="K178">
        <v>1391.66778</v>
      </c>
      <c r="L178">
        <v>0</v>
      </c>
      <c r="M178">
        <v>4455.5591199999999</v>
      </c>
      <c r="N178">
        <v>50755.596160000001</v>
      </c>
      <c r="O178">
        <v>6080.5604199999998</v>
      </c>
      <c r="P178">
        <v>0</v>
      </c>
      <c r="Q178">
        <v>15597.234700000001</v>
      </c>
      <c r="R178">
        <v>21833.3508</v>
      </c>
      <c r="S178">
        <v>0</v>
      </c>
    </row>
    <row r="179" spans="1:19">
      <c r="A179">
        <v>178</v>
      </c>
      <c r="B179" s="45">
        <f t="array" ref="B179">IFERROR(INDEX(baseline!$A$3:$A$201,MATCH($C179&amp;$D179,baseline!$C$3:$C$201&amp;baseline!$D$3:$D$201,0)),"NA")</f>
        <v>10</v>
      </c>
      <c r="C179" t="s">
        <v>713</v>
      </c>
      <c r="D179" t="s">
        <v>881</v>
      </c>
      <c r="E179" t="s">
        <v>860</v>
      </c>
      <c r="F179">
        <v>23465.05</v>
      </c>
      <c r="G179">
        <v>923.71795399999996</v>
      </c>
      <c r="H179">
        <v>898.21799999999996</v>
      </c>
      <c r="I179">
        <v>0</v>
      </c>
      <c r="J179">
        <v>713706.12652000005</v>
      </c>
      <c r="K179">
        <v>663.88941999999997</v>
      </c>
      <c r="L179">
        <v>0</v>
      </c>
      <c r="M179">
        <v>4455.5591199999999</v>
      </c>
      <c r="N179">
        <v>35530.583980000003</v>
      </c>
      <c r="O179">
        <v>6080.5604199999998</v>
      </c>
      <c r="P179">
        <v>0</v>
      </c>
      <c r="Q179">
        <v>25244.464639999998</v>
      </c>
      <c r="R179">
        <v>37916.697</v>
      </c>
      <c r="S179">
        <v>0</v>
      </c>
    </row>
    <row r="180" spans="1:19">
      <c r="A180">
        <v>179</v>
      </c>
      <c r="B180" s="45">
        <f t="array" ref="B180">IFERROR(INDEX(baseline!$A$3:$A$201,MATCH($C180&amp;$D180,baseline!$C$3:$C$201&amp;baseline!$D$3:$D$201,0)),"NA")</f>
        <v>10</v>
      </c>
      <c r="C180" t="s">
        <v>713</v>
      </c>
      <c r="D180" t="s">
        <v>881</v>
      </c>
      <c r="E180" t="s">
        <v>1019</v>
      </c>
      <c r="F180">
        <v>50951.46</v>
      </c>
      <c r="G180">
        <v>923.71795399999996</v>
      </c>
      <c r="H180">
        <v>898.21799999999996</v>
      </c>
      <c r="I180">
        <v>0</v>
      </c>
      <c r="J180">
        <v>207264.05470000001</v>
      </c>
      <c r="K180">
        <v>1391.66778</v>
      </c>
      <c r="L180">
        <v>0</v>
      </c>
      <c r="M180">
        <v>4455.5591199999999</v>
      </c>
      <c r="N180">
        <v>50755.596160000001</v>
      </c>
      <c r="O180">
        <v>6080.5604199999998</v>
      </c>
      <c r="P180">
        <v>0</v>
      </c>
      <c r="Q180">
        <v>15597.234700000001</v>
      </c>
      <c r="R180">
        <v>21833.3508</v>
      </c>
      <c r="S180">
        <v>0</v>
      </c>
    </row>
    <row r="181" spans="1:19">
      <c r="A181">
        <v>180</v>
      </c>
      <c r="B181" s="45">
        <f t="array" ref="B181">IFERROR(INDEX(baseline!$A$3:$A$201,MATCH($C181&amp;$D181,baseline!$C$3:$C$201&amp;baseline!$D$3:$D$201,0)),"NA")</f>
        <v>10</v>
      </c>
      <c r="C181" t="s">
        <v>713</v>
      </c>
      <c r="D181" t="s">
        <v>881</v>
      </c>
      <c r="E181" t="s">
        <v>836</v>
      </c>
      <c r="F181">
        <v>4288.3500000000004</v>
      </c>
      <c r="G181">
        <v>923.71795399999996</v>
      </c>
      <c r="H181">
        <v>898.21799999999996</v>
      </c>
      <c r="I181">
        <v>0</v>
      </c>
      <c r="J181">
        <v>610378.26607999997</v>
      </c>
      <c r="K181">
        <v>1027.7786000000001</v>
      </c>
      <c r="L181">
        <v>0</v>
      </c>
      <c r="M181">
        <v>4455.5591199999999</v>
      </c>
      <c r="N181">
        <v>50755.596160000001</v>
      </c>
      <c r="O181">
        <v>6080.5604199999998</v>
      </c>
      <c r="P181">
        <v>0</v>
      </c>
      <c r="Q181">
        <v>26858.35482</v>
      </c>
      <c r="R181">
        <v>38405.586280000003</v>
      </c>
      <c r="S181">
        <v>0</v>
      </c>
    </row>
    <row r="182" spans="1:19">
      <c r="A182">
        <v>181</v>
      </c>
      <c r="B182" s="45">
        <f t="array" ref="B182">IFERROR(INDEX(baseline!$A$3:$A$201,MATCH($C182&amp;$D182,baseline!$C$3:$C$201&amp;baseline!$D$3:$D$201,0)),"NA")</f>
        <v>10</v>
      </c>
      <c r="C182" t="s">
        <v>713</v>
      </c>
      <c r="D182" t="s">
        <v>881</v>
      </c>
      <c r="E182" t="s">
        <v>1030</v>
      </c>
      <c r="F182">
        <v>99045.63</v>
      </c>
      <c r="G182">
        <v>923.71795399999996</v>
      </c>
      <c r="H182">
        <v>898.21799999999996</v>
      </c>
      <c r="I182">
        <v>0</v>
      </c>
      <c r="J182">
        <v>231891.85217999999</v>
      </c>
      <c r="K182">
        <v>4936.1150600000001</v>
      </c>
      <c r="L182">
        <v>0</v>
      </c>
      <c r="M182">
        <v>4455.5591199999999</v>
      </c>
      <c r="N182">
        <v>35530.583980000003</v>
      </c>
      <c r="O182">
        <v>6080.5604199999998</v>
      </c>
      <c r="P182">
        <v>0</v>
      </c>
      <c r="Q182">
        <v>17416.6806</v>
      </c>
      <c r="R182">
        <v>16980.56914</v>
      </c>
      <c r="S182">
        <v>0</v>
      </c>
    </row>
    <row r="183" spans="1:19">
      <c r="A183">
        <v>182</v>
      </c>
      <c r="B183" s="45">
        <f t="array" ref="B183">IFERROR(INDEX(baseline!$A$3:$A$201,MATCH($C183&amp;$D183,baseline!$C$3:$C$201&amp;baseline!$D$3:$D$201,0)),"NA")</f>
        <v>10</v>
      </c>
      <c r="C183" t="s">
        <v>713</v>
      </c>
      <c r="D183" t="s">
        <v>881</v>
      </c>
      <c r="E183" t="s">
        <v>859</v>
      </c>
      <c r="F183">
        <v>2479.61</v>
      </c>
      <c r="G183">
        <v>923.71795399999996</v>
      </c>
      <c r="H183">
        <v>898.21799999999996</v>
      </c>
      <c r="I183">
        <v>0</v>
      </c>
      <c r="J183">
        <v>692836.66538000002</v>
      </c>
      <c r="K183">
        <v>1088.88976</v>
      </c>
      <c r="L183">
        <v>0</v>
      </c>
      <c r="M183">
        <v>4455.5591199999999</v>
      </c>
      <c r="N183">
        <v>50755.596160000001</v>
      </c>
      <c r="O183">
        <v>6080.5604199999998</v>
      </c>
      <c r="P183">
        <v>0</v>
      </c>
      <c r="Q183">
        <v>24975.019980000001</v>
      </c>
      <c r="R183">
        <v>37519.474459999998</v>
      </c>
      <c r="S183">
        <v>0</v>
      </c>
    </row>
    <row r="184" spans="1:19">
      <c r="A184">
        <v>183</v>
      </c>
      <c r="B184" s="45">
        <f t="array" ref="B184">IFERROR(INDEX(baseline!$A$3:$A$201,MATCH($C184&amp;$D184,baseline!$C$3:$C$201&amp;baseline!$D$3:$D$201,0)),"NA")</f>
        <v>10</v>
      </c>
      <c r="C184" t="s">
        <v>713</v>
      </c>
      <c r="D184" t="s">
        <v>881</v>
      </c>
      <c r="E184" t="s">
        <v>865</v>
      </c>
      <c r="F184">
        <v>4384.47</v>
      </c>
      <c r="G184">
        <v>923.71795399999996</v>
      </c>
      <c r="H184">
        <v>898.21799999999996</v>
      </c>
      <c r="I184">
        <v>0</v>
      </c>
      <c r="J184">
        <v>692678.33192000003</v>
      </c>
      <c r="K184">
        <v>1119.44534</v>
      </c>
      <c r="L184">
        <v>0</v>
      </c>
      <c r="M184">
        <v>4455.5591199999999</v>
      </c>
      <c r="N184">
        <v>50755.596160000001</v>
      </c>
      <c r="O184">
        <v>6080.5604199999998</v>
      </c>
      <c r="P184">
        <v>0</v>
      </c>
      <c r="Q184">
        <v>24972.242200000001</v>
      </c>
      <c r="R184">
        <v>29336.134580000002</v>
      </c>
      <c r="S184">
        <v>0</v>
      </c>
    </row>
    <row r="185" spans="1:19">
      <c r="A185">
        <v>184</v>
      </c>
      <c r="B185" s="45">
        <f t="array" ref="B185">IFERROR(INDEX(baseline!$A$3:$A$201,MATCH($C185&amp;$D185,baseline!$C$3:$C$201&amp;baseline!$D$3:$D$201,0)),"NA")</f>
        <v>11</v>
      </c>
      <c r="C185" t="s">
        <v>713</v>
      </c>
      <c r="D185" t="s">
        <v>13</v>
      </c>
      <c r="E185" t="s">
        <v>832</v>
      </c>
      <c r="F185">
        <v>3515.53</v>
      </c>
      <c r="G185">
        <v>923.71795399999996</v>
      </c>
      <c r="H185">
        <v>898.21799999999996</v>
      </c>
      <c r="I185">
        <v>0</v>
      </c>
      <c r="J185">
        <v>656414.41402000003</v>
      </c>
      <c r="K185">
        <v>6730.5609400000003</v>
      </c>
      <c r="L185">
        <v>0</v>
      </c>
      <c r="M185">
        <v>4455.5591199999999</v>
      </c>
      <c r="N185">
        <v>50755.596160000001</v>
      </c>
      <c r="O185">
        <v>6080.5604199999998</v>
      </c>
      <c r="P185">
        <v>0</v>
      </c>
      <c r="Q185">
        <v>24138.908200000002</v>
      </c>
      <c r="R185">
        <v>35769.473059999997</v>
      </c>
      <c r="S185">
        <v>0</v>
      </c>
    </row>
    <row r="186" spans="1:19">
      <c r="A186">
        <v>185</v>
      </c>
      <c r="B186" s="45">
        <f t="array" ref="B186">IFERROR(INDEX(baseline!$A$3:$A$201,MATCH($C186&amp;$D186,baseline!$C$3:$C$201&amp;baseline!$D$3:$D$201,0)),"NA")</f>
        <v>11</v>
      </c>
      <c r="C186" t="s">
        <v>713</v>
      </c>
      <c r="D186" t="s">
        <v>13</v>
      </c>
      <c r="E186" t="s">
        <v>869</v>
      </c>
      <c r="F186">
        <v>0</v>
      </c>
      <c r="G186">
        <v>923.71795399999996</v>
      </c>
      <c r="H186">
        <v>898.21799999999996</v>
      </c>
      <c r="I186">
        <v>0</v>
      </c>
      <c r="J186">
        <v>648072.74068000005</v>
      </c>
      <c r="K186">
        <v>666.66719999999998</v>
      </c>
      <c r="L186">
        <v>0</v>
      </c>
      <c r="M186">
        <v>4455.5591199999999</v>
      </c>
      <c r="N186">
        <v>50755.596160000001</v>
      </c>
      <c r="O186">
        <v>6080.5604199999998</v>
      </c>
      <c r="P186">
        <v>0</v>
      </c>
      <c r="Q186">
        <v>23205.574120000001</v>
      </c>
      <c r="R186">
        <v>35025.028019999998</v>
      </c>
      <c r="S186">
        <v>0</v>
      </c>
    </row>
    <row r="187" spans="1:19">
      <c r="A187">
        <v>186</v>
      </c>
      <c r="B187" s="45">
        <f t="array" ref="B187">IFERROR(INDEX(baseline!$A$3:$A$201,MATCH($C187&amp;$D187,baseline!$C$3:$C$201&amp;baseline!$D$3:$D$201,0)),"NA")</f>
        <v>11</v>
      </c>
      <c r="C187" t="s">
        <v>713</v>
      </c>
      <c r="D187" t="s">
        <v>13</v>
      </c>
      <c r="E187" t="s">
        <v>896</v>
      </c>
      <c r="F187">
        <v>65332.04</v>
      </c>
      <c r="G187">
        <v>923.71795399999996</v>
      </c>
      <c r="H187">
        <v>898.21799999999996</v>
      </c>
      <c r="I187">
        <v>0</v>
      </c>
      <c r="J187">
        <v>642142.18038000003</v>
      </c>
      <c r="K187">
        <v>1125.0009</v>
      </c>
      <c r="L187">
        <v>0</v>
      </c>
      <c r="M187">
        <v>4455.5591199999999</v>
      </c>
      <c r="N187">
        <v>50755.596160000001</v>
      </c>
      <c r="O187">
        <v>6080.5604199999998</v>
      </c>
      <c r="P187">
        <v>0</v>
      </c>
      <c r="Q187">
        <v>23244.463039999999</v>
      </c>
      <c r="R187">
        <v>35088.916960000002</v>
      </c>
      <c r="S187">
        <v>0</v>
      </c>
    </row>
    <row r="188" spans="1:19">
      <c r="A188">
        <v>187</v>
      </c>
      <c r="B188" s="45">
        <f t="array" ref="B188">IFERROR(INDEX(baseline!$A$3:$A$201,MATCH($C188&amp;$D188,baseline!$C$3:$C$201&amp;baseline!$D$3:$D$201,0)),"NA")</f>
        <v>11</v>
      </c>
      <c r="C188" t="s">
        <v>713</v>
      </c>
      <c r="D188" t="s">
        <v>13</v>
      </c>
      <c r="E188" t="s">
        <v>840</v>
      </c>
      <c r="F188">
        <v>929.13</v>
      </c>
      <c r="G188">
        <v>923.71795399999996</v>
      </c>
      <c r="H188">
        <v>898.21799999999996</v>
      </c>
      <c r="I188">
        <v>0</v>
      </c>
      <c r="J188">
        <v>398955.87472000002</v>
      </c>
      <c r="K188">
        <v>1125.0009</v>
      </c>
      <c r="L188">
        <v>0</v>
      </c>
      <c r="M188">
        <v>4455.5591199999999</v>
      </c>
      <c r="N188">
        <v>50755.596160000001</v>
      </c>
      <c r="O188">
        <v>6080.5604199999998</v>
      </c>
      <c r="P188">
        <v>0</v>
      </c>
      <c r="Q188">
        <v>23244.463039999999</v>
      </c>
      <c r="R188">
        <v>35088.916960000002</v>
      </c>
      <c r="S188">
        <v>0</v>
      </c>
    </row>
    <row r="189" spans="1:19">
      <c r="A189">
        <v>188</v>
      </c>
      <c r="B189" s="45">
        <f t="array" ref="B189">IFERROR(INDEX(baseline!$A$3:$A$201,MATCH($C189&amp;$D189,baseline!$C$3:$C$201&amp;baseline!$D$3:$D$201,0)),"NA")</f>
        <v>11</v>
      </c>
      <c r="C189" t="s">
        <v>713</v>
      </c>
      <c r="D189" t="s">
        <v>13</v>
      </c>
      <c r="E189" t="s">
        <v>839</v>
      </c>
      <c r="F189">
        <v>10048.540000000001</v>
      </c>
      <c r="G189">
        <v>923.71795399999996</v>
      </c>
      <c r="H189">
        <v>898.21799999999996</v>
      </c>
      <c r="I189">
        <v>0</v>
      </c>
      <c r="J189">
        <v>642142.18038000003</v>
      </c>
      <c r="K189">
        <v>802.77841999999998</v>
      </c>
      <c r="L189">
        <v>0</v>
      </c>
      <c r="M189">
        <v>4455.5591199999999</v>
      </c>
      <c r="N189">
        <v>50755.596160000001</v>
      </c>
      <c r="O189">
        <v>6080.5604199999998</v>
      </c>
      <c r="P189">
        <v>0</v>
      </c>
      <c r="Q189">
        <v>23244.463039999999</v>
      </c>
      <c r="R189">
        <v>35088.916960000002</v>
      </c>
      <c r="S189">
        <v>0</v>
      </c>
    </row>
    <row r="190" spans="1:19">
      <c r="A190">
        <v>189</v>
      </c>
      <c r="B190" s="45">
        <f t="array" ref="B190">IFERROR(INDEX(baseline!$A$3:$A$201,MATCH($C190&amp;$D190,baseline!$C$3:$C$201&amp;baseline!$D$3:$D$201,0)),"NA")</f>
        <v>11</v>
      </c>
      <c r="C190" t="s">
        <v>713</v>
      </c>
      <c r="D190" t="s">
        <v>13</v>
      </c>
      <c r="E190" t="s">
        <v>805</v>
      </c>
      <c r="F190">
        <v>7488.35</v>
      </c>
      <c r="G190">
        <v>923.71795399999996</v>
      </c>
      <c r="H190">
        <v>898.21799999999996</v>
      </c>
      <c r="I190">
        <v>0</v>
      </c>
      <c r="J190">
        <v>642142.18038000003</v>
      </c>
      <c r="K190">
        <v>1125.0009</v>
      </c>
      <c r="L190">
        <v>0</v>
      </c>
      <c r="M190">
        <v>4455.5591199999999</v>
      </c>
      <c r="N190">
        <v>50755.596160000001</v>
      </c>
      <c r="O190">
        <v>6080.5604199999998</v>
      </c>
      <c r="P190">
        <v>0</v>
      </c>
      <c r="Q190">
        <v>23244.463039999999</v>
      </c>
      <c r="R190">
        <v>35088.916960000002</v>
      </c>
      <c r="S190">
        <v>0</v>
      </c>
    </row>
    <row r="191" spans="1:19">
      <c r="A191">
        <v>190</v>
      </c>
      <c r="B191" s="45">
        <f t="array" ref="B191">IFERROR(INDEX(baseline!$A$3:$A$201,MATCH($C191&amp;$D191,baseline!$C$3:$C$201&amp;baseline!$D$3:$D$201,0)),"NA")</f>
        <v>11</v>
      </c>
      <c r="C191" t="s">
        <v>713</v>
      </c>
      <c r="D191" t="s">
        <v>13</v>
      </c>
      <c r="E191" t="s">
        <v>877</v>
      </c>
      <c r="F191">
        <v>3515.53</v>
      </c>
      <c r="G191">
        <v>923.71795399999996</v>
      </c>
      <c r="H191">
        <v>898.21799999999996</v>
      </c>
      <c r="I191">
        <v>0</v>
      </c>
      <c r="J191">
        <v>639467.17824000004</v>
      </c>
      <c r="K191">
        <v>4016.6698799999999</v>
      </c>
      <c r="L191">
        <v>0</v>
      </c>
      <c r="M191">
        <v>4455.5591199999999</v>
      </c>
      <c r="N191">
        <v>50755.596160000001</v>
      </c>
      <c r="O191">
        <v>6080.5604199999998</v>
      </c>
      <c r="P191">
        <v>0</v>
      </c>
      <c r="Q191">
        <v>24783.353159999999</v>
      </c>
      <c r="R191">
        <v>34627.805480000003</v>
      </c>
      <c r="S191">
        <v>0</v>
      </c>
    </row>
    <row r="192" spans="1:19">
      <c r="A192">
        <v>191</v>
      </c>
      <c r="B192" s="45">
        <f t="array" ref="B192">IFERROR(INDEX(baseline!$A$3:$A$201,MATCH($C192&amp;$D192,baseline!$C$3:$C$201&amp;baseline!$D$3:$D$201,0)),"NA")</f>
        <v>11</v>
      </c>
      <c r="C192" t="s">
        <v>713</v>
      </c>
      <c r="D192" t="s">
        <v>13</v>
      </c>
      <c r="E192" t="s">
        <v>838</v>
      </c>
      <c r="F192">
        <v>1373.79</v>
      </c>
      <c r="G192">
        <v>923.71795399999996</v>
      </c>
      <c r="H192">
        <v>898.21799999999996</v>
      </c>
      <c r="I192">
        <v>0</v>
      </c>
      <c r="J192">
        <v>642306.06940000004</v>
      </c>
      <c r="K192">
        <v>1047.22306</v>
      </c>
      <c r="L192">
        <v>0</v>
      </c>
      <c r="M192">
        <v>4455.5591199999999</v>
      </c>
      <c r="N192">
        <v>50755.596160000001</v>
      </c>
      <c r="O192">
        <v>6080.5604199999998</v>
      </c>
      <c r="P192">
        <v>0</v>
      </c>
      <c r="Q192">
        <v>23247.240819999999</v>
      </c>
      <c r="R192">
        <v>34975.027979999999</v>
      </c>
      <c r="S192">
        <v>0</v>
      </c>
    </row>
    <row r="193" spans="1:19">
      <c r="A193">
        <v>192</v>
      </c>
      <c r="B193" s="45">
        <f t="array" ref="B193">IFERROR(INDEX(baseline!$A$3:$A$201,MATCH($C193&amp;$D193,baseline!$C$3:$C$201&amp;baseline!$D$3:$D$201,0)),"NA")</f>
        <v>11</v>
      </c>
      <c r="C193" t="s">
        <v>713</v>
      </c>
      <c r="D193" t="s">
        <v>13</v>
      </c>
      <c r="E193" t="s">
        <v>1013</v>
      </c>
      <c r="F193">
        <v>38549.51</v>
      </c>
      <c r="G193">
        <v>923.71795399999996</v>
      </c>
      <c r="H193">
        <v>898.21799999999996</v>
      </c>
      <c r="I193">
        <v>0</v>
      </c>
      <c r="J193">
        <v>663047.75266</v>
      </c>
      <c r="K193">
        <v>633.33384000000001</v>
      </c>
      <c r="L193">
        <v>0</v>
      </c>
      <c r="M193">
        <v>4455.5591199999999</v>
      </c>
      <c r="N193">
        <v>35530.583980000003</v>
      </c>
      <c r="O193">
        <v>6080.5604199999998</v>
      </c>
      <c r="P193">
        <v>0</v>
      </c>
      <c r="Q193">
        <v>23513.9077</v>
      </c>
      <c r="R193">
        <v>27783.35556</v>
      </c>
      <c r="S193">
        <v>0</v>
      </c>
    </row>
    <row r="194" spans="1:19">
      <c r="A194">
        <v>193</v>
      </c>
      <c r="B194" s="45">
        <f t="array" ref="B194">IFERROR(INDEX(baseline!$A$3:$A$201,MATCH($C194&amp;$D194,baseline!$C$3:$C$201&amp;baseline!$D$3:$D$201,0)),"NA")</f>
        <v>11</v>
      </c>
      <c r="C194" t="s">
        <v>713</v>
      </c>
      <c r="D194" t="s">
        <v>13</v>
      </c>
      <c r="E194" t="s">
        <v>893</v>
      </c>
      <c r="F194">
        <v>153754.37</v>
      </c>
      <c r="G194">
        <v>923.71795399999996</v>
      </c>
      <c r="H194">
        <v>898.21799999999996</v>
      </c>
      <c r="I194">
        <v>0</v>
      </c>
      <c r="J194">
        <v>570233.78951999999</v>
      </c>
      <c r="K194">
        <v>919.44518000000005</v>
      </c>
      <c r="L194">
        <v>0</v>
      </c>
      <c r="M194">
        <v>4455.5591199999999</v>
      </c>
      <c r="N194">
        <v>50755.596160000001</v>
      </c>
      <c r="O194">
        <v>6080.5604199999998</v>
      </c>
      <c r="P194">
        <v>0</v>
      </c>
      <c r="Q194">
        <v>20911.127840000001</v>
      </c>
      <c r="R194">
        <v>31311.136159999998</v>
      </c>
      <c r="S194">
        <v>0</v>
      </c>
    </row>
    <row r="195" spans="1:19">
      <c r="A195">
        <v>194</v>
      </c>
      <c r="B195" s="45">
        <f t="array" ref="B195">IFERROR(INDEX(baseline!$A$3:$A$201,MATCH($C195&amp;$D195,baseline!$C$3:$C$201&amp;baseline!$D$3:$D$201,0)),"NA")</f>
        <v>11</v>
      </c>
      <c r="C195" t="s">
        <v>713</v>
      </c>
      <c r="D195" t="s">
        <v>13</v>
      </c>
      <c r="E195" t="s">
        <v>892</v>
      </c>
      <c r="F195">
        <v>257193.2</v>
      </c>
      <c r="G195">
        <v>923.71795399999996</v>
      </c>
      <c r="H195">
        <v>898.21799999999996</v>
      </c>
      <c r="I195">
        <v>0</v>
      </c>
      <c r="J195">
        <v>604925.48393999995</v>
      </c>
      <c r="K195">
        <v>1155.55648</v>
      </c>
      <c r="L195">
        <v>0</v>
      </c>
      <c r="M195">
        <v>4455.5591199999999</v>
      </c>
      <c r="N195">
        <v>50755.596160000001</v>
      </c>
      <c r="O195">
        <v>6080.5604199999998</v>
      </c>
      <c r="P195">
        <v>0</v>
      </c>
      <c r="Q195">
        <v>21966.684239999999</v>
      </c>
      <c r="R195">
        <v>33152.804300000003</v>
      </c>
      <c r="S195">
        <v>0</v>
      </c>
    </row>
    <row r="196" spans="1:19">
      <c r="A196">
        <v>195</v>
      </c>
      <c r="B196" s="45">
        <f t="array" ref="B196">IFERROR(INDEX(baseline!$A$3:$A$201,MATCH($C196&amp;$D196,baseline!$C$3:$C$201&amp;baseline!$D$3:$D$201,0)),"NA")</f>
        <v>11</v>
      </c>
      <c r="C196" t="s">
        <v>713</v>
      </c>
      <c r="D196" t="s">
        <v>13</v>
      </c>
      <c r="E196" t="s">
        <v>894</v>
      </c>
      <c r="F196">
        <v>6686.41</v>
      </c>
      <c r="G196">
        <v>923.71795399999996</v>
      </c>
      <c r="H196">
        <v>898.21799999999996</v>
      </c>
      <c r="I196">
        <v>0</v>
      </c>
      <c r="J196">
        <v>640992.17946000001</v>
      </c>
      <c r="K196">
        <v>1125.0009</v>
      </c>
      <c r="L196">
        <v>0</v>
      </c>
      <c r="M196">
        <v>4455.5591199999999</v>
      </c>
      <c r="N196">
        <v>50755.596160000001</v>
      </c>
      <c r="O196">
        <v>6080.5604199999998</v>
      </c>
      <c r="P196">
        <v>0</v>
      </c>
      <c r="Q196">
        <v>23230.574140000001</v>
      </c>
      <c r="R196">
        <v>35030.583579999999</v>
      </c>
      <c r="S196">
        <v>0</v>
      </c>
    </row>
    <row r="197" spans="1:19">
      <c r="A197">
        <v>196</v>
      </c>
      <c r="B197" s="45">
        <f t="array" ref="B197">IFERROR(INDEX(baseline!$A$3:$A$201,MATCH($C197&amp;$D197,baseline!$C$3:$C$201&amp;baseline!$D$3:$D$201,0)),"NA")</f>
        <v>11</v>
      </c>
      <c r="C197" t="s">
        <v>713</v>
      </c>
      <c r="D197" t="s">
        <v>13</v>
      </c>
      <c r="E197" t="s">
        <v>837</v>
      </c>
      <c r="F197">
        <v>732.04</v>
      </c>
      <c r="G197">
        <v>923.71795399999996</v>
      </c>
      <c r="H197">
        <v>898.21799999999996</v>
      </c>
      <c r="I197">
        <v>0</v>
      </c>
      <c r="J197">
        <v>642142.18038000003</v>
      </c>
      <c r="K197">
        <v>1125.0009</v>
      </c>
      <c r="L197">
        <v>0</v>
      </c>
      <c r="M197">
        <v>4455.5591199999999</v>
      </c>
      <c r="N197">
        <v>50755.596160000001</v>
      </c>
      <c r="O197">
        <v>6080.5604199999998</v>
      </c>
      <c r="P197">
        <v>0</v>
      </c>
      <c r="Q197">
        <v>23244.463039999999</v>
      </c>
      <c r="R197">
        <v>35088.916960000002</v>
      </c>
      <c r="S197">
        <v>0</v>
      </c>
    </row>
    <row r="198" spans="1:19">
      <c r="A198">
        <v>197</v>
      </c>
      <c r="B198" s="45">
        <f t="array" ref="B198">IFERROR(INDEX(baseline!$A$3:$A$201,MATCH($C198&amp;$D198,baseline!$C$3:$C$201&amp;baseline!$D$3:$D$201,0)),"NA")</f>
        <v>11</v>
      </c>
      <c r="C198" t="s">
        <v>713</v>
      </c>
      <c r="D198" t="s">
        <v>13</v>
      </c>
      <c r="E198" t="s">
        <v>833</v>
      </c>
      <c r="F198">
        <v>2628.16</v>
      </c>
      <c r="G198">
        <v>923.71795399999996</v>
      </c>
      <c r="H198">
        <v>898.21799999999996</v>
      </c>
      <c r="I198">
        <v>0</v>
      </c>
      <c r="J198">
        <v>642253.29157999996</v>
      </c>
      <c r="K198">
        <v>1119.44534</v>
      </c>
      <c r="L198">
        <v>0</v>
      </c>
      <c r="M198">
        <v>4455.5591199999999</v>
      </c>
      <c r="N198">
        <v>50755.596160000001</v>
      </c>
      <c r="O198">
        <v>6080.5604199999998</v>
      </c>
      <c r="P198">
        <v>0</v>
      </c>
      <c r="Q198">
        <v>23163.90742</v>
      </c>
      <c r="R198">
        <v>35091.694739999999</v>
      </c>
      <c r="S198">
        <v>0</v>
      </c>
    </row>
    <row r="199" spans="1:19">
      <c r="A199">
        <v>198</v>
      </c>
      <c r="B199" s="45">
        <f t="array" ref="B199">IFERROR(INDEX(baseline!$A$3:$A$201,MATCH($C199&amp;$D199,baseline!$C$3:$C$201&amp;baseline!$D$3:$D$201,0)),"NA")</f>
        <v>11</v>
      </c>
      <c r="C199" t="s">
        <v>713</v>
      </c>
      <c r="D199" t="s">
        <v>13</v>
      </c>
      <c r="E199" t="s">
        <v>835</v>
      </c>
      <c r="F199">
        <v>47432.04</v>
      </c>
      <c r="G199">
        <v>923.71795399999996</v>
      </c>
      <c r="H199">
        <v>898.21799999999996</v>
      </c>
      <c r="I199">
        <v>0</v>
      </c>
      <c r="J199">
        <v>629728.28156000003</v>
      </c>
      <c r="K199">
        <v>1227.7787599999999</v>
      </c>
      <c r="L199">
        <v>0</v>
      </c>
      <c r="M199">
        <v>4455.5591199999999</v>
      </c>
      <c r="N199">
        <v>50755.596160000001</v>
      </c>
      <c r="O199">
        <v>6080.5604199999998</v>
      </c>
      <c r="P199">
        <v>0</v>
      </c>
      <c r="Q199">
        <v>23205.574120000001</v>
      </c>
      <c r="R199">
        <v>35030.583579999999</v>
      </c>
      <c r="S199">
        <v>2211.1128800000001</v>
      </c>
    </row>
    <row r="200" spans="1:19">
      <c r="A200">
        <v>199</v>
      </c>
      <c r="B200" s="45">
        <f t="array" ref="B200">IFERROR(INDEX(baseline!$A$3:$A$201,MATCH($C200&amp;$D200,baseline!$C$3:$C$201&amp;baseline!$D$3:$D$201,0)),"NA")</f>
        <v>11</v>
      </c>
      <c r="C200" t="s">
        <v>713</v>
      </c>
      <c r="D200" t="s">
        <v>13</v>
      </c>
      <c r="E200" t="s">
        <v>863</v>
      </c>
      <c r="F200">
        <v>45733.98</v>
      </c>
      <c r="G200">
        <v>923.71795399999996</v>
      </c>
      <c r="H200">
        <v>898.21799999999996</v>
      </c>
      <c r="I200">
        <v>0</v>
      </c>
      <c r="J200">
        <v>364544.73608</v>
      </c>
      <c r="K200">
        <v>1383.3344400000001</v>
      </c>
      <c r="L200">
        <v>0</v>
      </c>
      <c r="M200">
        <v>4455.5591199999999</v>
      </c>
      <c r="N200">
        <v>50755.596160000001</v>
      </c>
      <c r="O200">
        <v>6080.5604199999998</v>
      </c>
      <c r="P200">
        <v>0</v>
      </c>
      <c r="Q200">
        <v>14202.789140000001</v>
      </c>
      <c r="R200">
        <v>20844.46112</v>
      </c>
      <c r="S200">
        <v>0</v>
      </c>
    </row>
    <row r="201" spans="1:19">
      <c r="A201">
        <v>200</v>
      </c>
      <c r="B201" s="45">
        <f t="array" ref="B201">IFERROR(INDEX(baseline!$A$3:$A$201,MATCH($C201&amp;$D201,baseline!$C$3:$C$201&amp;baseline!$D$3:$D$201,0)),"NA")</f>
        <v>11</v>
      </c>
      <c r="C201" t="s">
        <v>713</v>
      </c>
      <c r="D201" t="s">
        <v>13</v>
      </c>
      <c r="E201" t="s">
        <v>1011</v>
      </c>
      <c r="F201">
        <v>50022.33</v>
      </c>
      <c r="G201">
        <v>923.71795399999996</v>
      </c>
      <c r="H201">
        <v>898.21799999999996</v>
      </c>
      <c r="I201">
        <v>0</v>
      </c>
      <c r="J201">
        <v>314186.36245999997</v>
      </c>
      <c r="K201">
        <v>1358.3344199999999</v>
      </c>
      <c r="L201">
        <v>0</v>
      </c>
      <c r="M201">
        <v>4455.5591199999999</v>
      </c>
      <c r="N201">
        <v>50755.596160000001</v>
      </c>
      <c r="O201">
        <v>6080.5604199999998</v>
      </c>
      <c r="P201">
        <v>0</v>
      </c>
      <c r="Q201">
        <v>14855.567440000001</v>
      </c>
      <c r="R201">
        <v>20705.572120000001</v>
      </c>
      <c r="S201">
        <v>0</v>
      </c>
    </row>
    <row r="202" spans="1:19">
      <c r="A202">
        <v>201</v>
      </c>
      <c r="B202" s="45">
        <f t="array" ref="B202">IFERROR(INDEX(baseline!$A$3:$A$201,MATCH($C202&amp;$D202,baseline!$C$3:$C$201&amp;baseline!$D$3:$D$201,0)),"NA")</f>
        <v>11</v>
      </c>
      <c r="C202" t="s">
        <v>713</v>
      </c>
      <c r="D202" t="s">
        <v>13</v>
      </c>
      <c r="E202" t="s">
        <v>860</v>
      </c>
      <c r="F202">
        <v>23465.05</v>
      </c>
      <c r="G202">
        <v>923.71795399999996</v>
      </c>
      <c r="H202">
        <v>898.21799999999996</v>
      </c>
      <c r="I202">
        <v>0</v>
      </c>
      <c r="J202">
        <v>662794.97467999998</v>
      </c>
      <c r="K202">
        <v>652.77829999999994</v>
      </c>
      <c r="L202">
        <v>0</v>
      </c>
      <c r="M202">
        <v>4455.5591199999999</v>
      </c>
      <c r="N202">
        <v>35530.583980000003</v>
      </c>
      <c r="O202">
        <v>6080.5604199999998</v>
      </c>
      <c r="P202">
        <v>0</v>
      </c>
      <c r="Q202">
        <v>23508.352139999999</v>
      </c>
      <c r="R202">
        <v>35522.250639999998</v>
      </c>
      <c r="S202">
        <v>0</v>
      </c>
    </row>
    <row r="203" spans="1:19">
      <c r="A203">
        <v>202</v>
      </c>
      <c r="B203" s="45">
        <f t="array" ref="B203">IFERROR(INDEX(baseline!$A$3:$A$201,MATCH($C203&amp;$D203,baseline!$C$3:$C$201&amp;baseline!$D$3:$D$201,0)),"NA")</f>
        <v>11</v>
      </c>
      <c r="C203" t="s">
        <v>713</v>
      </c>
      <c r="D203" t="s">
        <v>13</v>
      </c>
      <c r="E203" t="s">
        <v>1019</v>
      </c>
      <c r="F203">
        <v>50951.46</v>
      </c>
      <c r="G203">
        <v>923.71795399999996</v>
      </c>
      <c r="H203">
        <v>898.21799999999996</v>
      </c>
      <c r="I203">
        <v>0</v>
      </c>
      <c r="J203">
        <v>193552.93262000001</v>
      </c>
      <c r="K203">
        <v>1358.3344199999999</v>
      </c>
      <c r="L203">
        <v>0</v>
      </c>
      <c r="M203">
        <v>4455.5591199999999</v>
      </c>
      <c r="N203">
        <v>50755.596160000001</v>
      </c>
      <c r="O203">
        <v>6080.5604199999998</v>
      </c>
      <c r="P203">
        <v>0</v>
      </c>
      <c r="Q203">
        <v>14855.567440000001</v>
      </c>
      <c r="R203">
        <v>20705.572120000001</v>
      </c>
      <c r="S203">
        <v>0</v>
      </c>
    </row>
    <row r="204" spans="1:19">
      <c r="A204">
        <v>203</v>
      </c>
      <c r="B204" s="45">
        <f t="array" ref="B204">IFERROR(INDEX(baseline!$A$3:$A$201,MATCH($C204&amp;$D204,baseline!$C$3:$C$201&amp;baseline!$D$3:$D$201,0)),"NA")</f>
        <v>11</v>
      </c>
      <c r="C204" t="s">
        <v>713</v>
      </c>
      <c r="D204" t="s">
        <v>13</v>
      </c>
      <c r="E204" t="s">
        <v>836</v>
      </c>
      <c r="F204">
        <v>4288.3500000000004</v>
      </c>
      <c r="G204">
        <v>923.71795399999996</v>
      </c>
      <c r="H204">
        <v>898.21799999999996</v>
      </c>
      <c r="I204">
        <v>0</v>
      </c>
      <c r="J204">
        <v>560889.33759999997</v>
      </c>
      <c r="K204">
        <v>1036.11194</v>
      </c>
      <c r="L204">
        <v>0</v>
      </c>
      <c r="M204">
        <v>4455.5591199999999</v>
      </c>
      <c r="N204">
        <v>50755.596160000001</v>
      </c>
      <c r="O204">
        <v>6080.5604199999998</v>
      </c>
      <c r="P204">
        <v>0</v>
      </c>
      <c r="Q204">
        <v>24961.131079999999</v>
      </c>
      <c r="R204">
        <v>35763.917500000003</v>
      </c>
      <c r="S204">
        <v>0</v>
      </c>
    </row>
    <row r="205" spans="1:19">
      <c r="A205">
        <v>204</v>
      </c>
      <c r="B205" s="45">
        <f t="array" ref="B205">IFERROR(INDEX(baseline!$A$3:$A$201,MATCH($C205&amp;$D205,baseline!$C$3:$C$201&amp;baseline!$D$3:$D$201,0)),"NA")</f>
        <v>11</v>
      </c>
      <c r="C205" t="s">
        <v>713</v>
      </c>
      <c r="D205" t="s">
        <v>13</v>
      </c>
      <c r="E205" t="s">
        <v>1030</v>
      </c>
      <c r="F205">
        <v>99045.63</v>
      </c>
      <c r="G205">
        <v>923.71795399999996</v>
      </c>
      <c r="H205">
        <v>898.21799999999996</v>
      </c>
      <c r="I205">
        <v>0</v>
      </c>
      <c r="J205">
        <v>216727.95116</v>
      </c>
      <c r="K205">
        <v>4683.3370800000002</v>
      </c>
      <c r="L205">
        <v>0</v>
      </c>
      <c r="M205">
        <v>4455.5591199999999</v>
      </c>
      <c r="N205">
        <v>35530.583980000003</v>
      </c>
      <c r="O205">
        <v>6080.5604199999998</v>
      </c>
      <c r="P205">
        <v>0</v>
      </c>
      <c r="Q205">
        <v>16636.12442</v>
      </c>
      <c r="R205">
        <v>16175.012940000001</v>
      </c>
      <c r="S205">
        <v>0</v>
      </c>
    </row>
    <row r="206" spans="1:19">
      <c r="A206">
        <v>205</v>
      </c>
      <c r="B206" s="45">
        <f t="array" ref="B206">IFERROR(INDEX(baseline!$A$3:$A$201,MATCH($C206&amp;$D206,baseline!$C$3:$C$201&amp;baseline!$D$3:$D$201,0)),"NA")</f>
        <v>11</v>
      </c>
      <c r="C206" t="s">
        <v>713</v>
      </c>
      <c r="D206" t="s">
        <v>13</v>
      </c>
      <c r="E206" t="s">
        <v>859</v>
      </c>
      <c r="F206">
        <v>2479.61</v>
      </c>
      <c r="G206">
        <v>923.71795399999996</v>
      </c>
      <c r="H206">
        <v>898.21799999999996</v>
      </c>
      <c r="I206">
        <v>0</v>
      </c>
      <c r="J206">
        <v>642344.95831999998</v>
      </c>
      <c r="K206">
        <v>1094.44532</v>
      </c>
      <c r="L206">
        <v>0</v>
      </c>
      <c r="M206">
        <v>4455.5591199999999</v>
      </c>
      <c r="N206">
        <v>50755.596160000001</v>
      </c>
      <c r="O206">
        <v>6080.5604199999998</v>
      </c>
      <c r="P206">
        <v>0</v>
      </c>
      <c r="Q206">
        <v>23247.240819999999</v>
      </c>
      <c r="R206">
        <v>35102.80586</v>
      </c>
      <c r="S206">
        <v>0</v>
      </c>
    </row>
    <row r="207" spans="1:19">
      <c r="A207">
        <v>206</v>
      </c>
      <c r="B207" s="45">
        <f t="array" ref="B207">IFERROR(INDEX(baseline!$A$3:$A$201,MATCH($C207&amp;$D207,baseline!$C$3:$C$201&amp;baseline!$D$3:$D$201,0)),"NA")</f>
        <v>11</v>
      </c>
      <c r="C207" t="s">
        <v>713</v>
      </c>
      <c r="D207" t="s">
        <v>13</v>
      </c>
      <c r="E207" t="s">
        <v>865</v>
      </c>
      <c r="F207">
        <v>4384.47</v>
      </c>
      <c r="G207">
        <v>923.71795399999996</v>
      </c>
      <c r="H207">
        <v>898.21799999999996</v>
      </c>
      <c r="I207">
        <v>0</v>
      </c>
      <c r="J207">
        <v>642142.18038000003</v>
      </c>
      <c r="K207">
        <v>1125.0009</v>
      </c>
      <c r="L207">
        <v>0</v>
      </c>
      <c r="M207">
        <v>4455.5591199999999</v>
      </c>
      <c r="N207">
        <v>50755.596160000001</v>
      </c>
      <c r="O207">
        <v>6080.5604199999998</v>
      </c>
      <c r="P207">
        <v>0</v>
      </c>
      <c r="Q207">
        <v>23244.463039999999</v>
      </c>
      <c r="R207">
        <v>27441.688620000001</v>
      </c>
      <c r="S207">
        <v>0</v>
      </c>
    </row>
    <row r="208" spans="1:19">
      <c r="A208">
        <v>207</v>
      </c>
      <c r="B208" s="45">
        <f t="array" ref="B208">IFERROR(INDEX(baseline!$A$3:$A$201,MATCH($C208&amp;$D208,baseline!$C$3:$C$201&amp;baseline!$D$3:$D$201,0)),"NA")</f>
        <v>12</v>
      </c>
      <c r="C208" t="s">
        <v>713</v>
      </c>
      <c r="D208" t="s">
        <v>14</v>
      </c>
      <c r="E208" t="s">
        <v>832</v>
      </c>
      <c r="F208">
        <v>3515.53</v>
      </c>
      <c r="G208">
        <v>923.71795399999996</v>
      </c>
      <c r="H208">
        <v>898.21799999999996</v>
      </c>
      <c r="I208">
        <v>0</v>
      </c>
      <c r="J208">
        <v>349491.94626</v>
      </c>
      <c r="K208">
        <v>3458.3361</v>
      </c>
      <c r="L208">
        <v>0</v>
      </c>
      <c r="M208">
        <v>4455.5591199999999</v>
      </c>
      <c r="N208">
        <v>50755.596160000001</v>
      </c>
      <c r="O208">
        <v>6080.5604199999998</v>
      </c>
      <c r="P208">
        <v>0</v>
      </c>
      <c r="Q208">
        <v>13750.011</v>
      </c>
      <c r="R208">
        <v>19902.793699999998</v>
      </c>
      <c r="S208">
        <v>0</v>
      </c>
    </row>
    <row r="209" spans="1:19">
      <c r="A209">
        <v>208</v>
      </c>
      <c r="B209" s="45">
        <f t="array" ref="B209">IFERROR(INDEX(baseline!$A$3:$A$201,MATCH($C209&amp;$D209,baseline!$C$3:$C$201&amp;baseline!$D$3:$D$201,0)),"NA")</f>
        <v>12</v>
      </c>
      <c r="C209" t="s">
        <v>713</v>
      </c>
      <c r="D209" t="s">
        <v>14</v>
      </c>
      <c r="E209" t="s">
        <v>869</v>
      </c>
      <c r="F209">
        <v>0</v>
      </c>
      <c r="G209">
        <v>923.71795399999996</v>
      </c>
      <c r="H209">
        <v>898.21799999999996</v>
      </c>
      <c r="I209">
        <v>0</v>
      </c>
      <c r="J209">
        <v>345153.0539</v>
      </c>
      <c r="K209">
        <v>516.66708000000006</v>
      </c>
      <c r="L209">
        <v>0</v>
      </c>
      <c r="M209">
        <v>4455.5591199999999</v>
      </c>
      <c r="N209">
        <v>50755.596160000001</v>
      </c>
      <c r="O209">
        <v>6080.5604199999998</v>
      </c>
      <c r="P209">
        <v>0</v>
      </c>
      <c r="Q209">
        <v>13394.45516</v>
      </c>
      <c r="R209">
        <v>19627.79348</v>
      </c>
      <c r="S209">
        <v>0</v>
      </c>
    </row>
    <row r="210" spans="1:19">
      <c r="A210">
        <v>209</v>
      </c>
      <c r="B210" s="45">
        <f t="array" ref="B210">IFERROR(INDEX(baseline!$A$3:$A$201,MATCH($C210&amp;$D210,baseline!$C$3:$C$201&amp;baseline!$D$3:$D$201,0)),"NA")</f>
        <v>12</v>
      </c>
      <c r="C210" t="s">
        <v>713</v>
      </c>
      <c r="D210" t="s">
        <v>14</v>
      </c>
      <c r="E210" t="s">
        <v>896</v>
      </c>
      <c r="F210">
        <v>32923.300000000003</v>
      </c>
      <c r="G210">
        <v>923.71795399999996</v>
      </c>
      <c r="H210">
        <v>898.21799999999996</v>
      </c>
      <c r="I210">
        <v>0</v>
      </c>
      <c r="J210">
        <v>342828.05203999998</v>
      </c>
      <c r="K210">
        <v>988.88968</v>
      </c>
      <c r="L210">
        <v>0</v>
      </c>
      <c r="M210">
        <v>4455.5591199999999</v>
      </c>
      <c r="N210">
        <v>50755.596160000001</v>
      </c>
      <c r="O210">
        <v>6080.5604199999998</v>
      </c>
      <c r="P210">
        <v>0</v>
      </c>
      <c r="Q210">
        <v>13522.233039999999</v>
      </c>
      <c r="R210">
        <v>19730.571339999999</v>
      </c>
      <c r="S210">
        <v>0</v>
      </c>
    </row>
    <row r="211" spans="1:19">
      <c r="A211">
        <v>210</v>
      </c>
      <c r="B211" s="45">
        <f t="array" ref="B211">IFERROR(INDEX(baseline!$A$3:$A$201,MATCH($C211&amp;$D211,baseline!$C$3:$C$201&amp;baseline!$D$3:$D$201,0)),"NA")</f>
        <v>12</v>
      </c>
      <c r="C211" t="s">
        <v>713</v>
      </c>
      <c r="D211" t="s">
        <v>14</v>
      </c>
      <c r="E211" t="s">
        <v>840</v>
      </c>
      <c r="F211">
        <v>929.13</v>
      </c>
      <c r="G211">
        <v>923.71795399999996</v>
      </c>
      <c r="H211">
        <v>898.21799999999996</v>
      </c>
      <c r="I211">
        <v>0</v>
      </c>
      <c r="J211">
        <v>212439.05884000001</v>
      </c>
      <c r="K211">
        <v>988.88968</v>
      </c>
      <c r="L211">
        <v>0</v>
      </c>
      <c r="M211">
        <v>4455.5591199999999</v>
      </c>
      <c r="N211">
        <v>50755.596160000001</v>
      </c>
      <c r="O211">
        <v>6080.5604199999998</v>
      </c>
      <c r="P211">
        <v>0</v>
      </c>
      <c r="Q211">
        <v>13522.233039999999</v>
      </c>
      <c r="R211">
        <v>19730.571339999999</v>
      </c>
      <c r="S211">
        <v>0</v>
      </c>
    </row>
    <row r="212" spans="1:19">
      <c r="A212">
        <v>211</v>
      </c>
      <c r="B212" s="45">
        <f t="array" ref="B212">IFERROR(INDEX(baseline!$A$3:$A$201,MATCH($C212&amp;$D212,baseline!$C$3:$C$201&amp;baseline!$D$3:$D$201,0)),"NA")</f>
        <v>12</v>
      </c>
      <c r="C212" t="s">
        <v>713</v>
      </c>
      <c r="D212" t="s">
        <v>14</v>
      </c>
      <c r="E212" t="s">
        <v>839</v>
      </c>
      <c r="F212">
        <v>10048.540000000001</v>
      </c>
      <c r="G212">
        <v>923.71795399999996</v>
      </c>
      <c r="H212">
        <v>898.21799999999996</v>
      </c>
      <c r="I212">
        <v>0</v>
      </c>
      <c r="J212">
        <v>342828.05203999998</v>
      </c>
      <c r="K212">
        <v>847.22289999999998</v>
      </c>
      <c r="L212">
        <v>0</v>
      </c>
      <c r="M212">
        <v>4455.5591199999999</v>
      </c>
      <c r="N212">
        <v>50755.596160000001</v>
      </c>
      <c r="O212">
        <v>6080.5604199999998</v>
      </c>
      <c r="P212">
        <v>0</v>
      </c>
      <c r="Q212">
        <v>13522.233039999999</v>
      </c>
      <c r="R212">
        <v>19730.571339999999</v>
      </c>
      <c r="S212">
        <v>0</v>
      </c>
    </row>
    <row r="213" spans="1:19">
      <c r="A213">
        <v>212</v>
      </c>
      <c r="B213" s="45">
        <f t="array" ref="B213">IFERROR(INDEX(baseline!$A$3:$A$201,MATCH($C213&amp;$D213,baseline!$C$3:$C$201&amp;baseline!$D$3:$D$201,0)),"NA")</f>
        <v>12</v>
      </c>
      <c r="C213" t="s">
        <v>713</v>
      </c>
      <c r="D213" t="s">
        <v>14</v>
      </c>
      <c r="E213" t="s">
        <v>805</v>
      </c>
      <c r="F213">
        <v>7488.35</v>
      </c>
      <c r="G213">
        <v>923.71795399999996</v>
      </c>
      <c r="H213">
        <v>898.21799999999996</v>
      </c>
      <c r="I213">
        <v>0</v>
      </c>
      <c r="J213">
        <v>342828.05203999998</v>
      </c>
      <c r="K213">
        <v>988.88968</v>
      </c>
      <c r="L213">
        <v>0</v>
      </c>
      <c r="M213">
        <v>4455.5591199999999</v>
      </c>
      <c r="N213">
        <v>50755.596160000001</v>
      </c>
      <c r="O213">
        <v>6080.5604199999998</v>
      </c>
      <c r="P213">
        <v>0</v>
      </c>
      <c r="Q213">
        <v>13522.233039999999</v>
      </c>
      <c r="R213">
        <v>19730.571339999999</v>
      </c>
      <c r="S213">
        <v>0</v>
      </c>
    </row>
    <row r="214" spans="1:19">
      <c r="A214">
        <v>213</v>
      </c>
      <c r="B214" s="45">
        <f t="array" ref="B214">IFERROR(INDEX(baseline!$A$3:$A$201,MATCH($C214&amp;$D214,baseline!$C$3:$C$201&amp;baseline!$D$3:$D$201,0)),"NA")</f>
        <v>12</v>
      </c>
      <c r="C214" t="s">
        <v>713</v>
      </c>
      <c r="D214" t="s">
        <v>14</v>
      </c>
      <c r="E214" t="s">
        <v>877</v>
      </c>
      <c r="F214">
        <v>3515.53</v>
      </c>
      <c r="G214">
        <v>923.71795399999996</v>
      </c>
      <c r="H214">
        <v>898.21799999999996</v>
      </c>
      <c r="I214">
        <v>0</v>
      </c>
      <c r="J214">
        <v>342161.38484000001</v>
      </c>
      <c r="K214">
        <v>2547.22426</v>
      </c>
      <c r="L214">
        <v>0</v>
      </c>
      <c r="M214">
        <v>4455.5591199999999</v>
      </c>
      <c r="N214">
        <v>50755.596160000001</v>
      </c>
      <c r="O214">
        <v>6080.5604199999998</v>
      </c>
      <c r="P214">
        <v>0</v>
      </c>
      <c r="Q214">
        <v>14113.900180000001</v>
      </c>
      <c r="R214">
        <v>19316.682120000001</v>
      </c>
      <c r="S214">
        <v>0</v>
      </c>
    </row>
    <row r="215" spans="1:19">
      <c r="A215">
        <v>214</v>
      </c>
      <c r="B215" s="45">
        <f t="array" ref="B215">IFERROR(INDEX(baseline!$A$3:$A$201,MATCH($C215&amp;$D215,baseline!$C$3:$C$201&amp;baseline!$D$3:$D$201,0)),"NA")</f>
        <v>12</v>
      </c>
      <c r="C215" t="s">
        <v>713</v>
      </c>
      <c r="D215" t="s">
        <v>14</v>
      </c>
      <c r="E215" t="s">
        <v>838</v>
      </c>
      <c r="F215">
        <v>1373.79</v>
      </c>
      <c r="G215">
        <v>923.71795399999996</v>
      </c>
      <c r="H215">
        <v>898.21799999999996</v>
      </c>
      <c r="I215">
        <v>0</v>
      </c>
      <c r="J215">
        <v>343189.16343999997</v>
      </c>
      <c r="K215">
        <v>858.33402000000001</v>
      </c>
      <c r="L215">
        <v>0</v>
      </c>
      <c r="M215">
        <v>4455.5591199999999</v>
      </c>
      <c r="N215">
        <v>50755.596160000001</v>
      </c>
      <c r="O215">
        <v>6080.5604199999998</v>
      </c>
      <c r="P215">
        <v>0</v>
      </c>
      <c r="Q215">
        <v>13525.01082</v>
      </c>
      <c r="R215">
        <v>19427.793320000001</v>
      </c>
      <c r="S215">
        <v>0</v>
      </c>
    </row>
    <row r="216" spans="1:19">
      <c r="A216">
        <v>215</v>
      </c>
      <c r="B216" s="45">
        <f t="array" ref="B216">IFERROR(INDEX(baseline!$A$3:$A$201,MATCH($C216&amp;$D216,baseline!$C$3:$C$201&amp;baseline!$D$3:$D$201,0)),"NA")</f>
        <v>12</v>
      </c>
      <c r="C216" t="s">
        <v>713</v>
      </c>
      <c r="D216" t="s">
        <v>14</v>
      </c>
      <c r="E216" t="s">
        <v>1013</v>
      </c>
      <c r="F216">
        <v>38549.51</v>
      </c>
      <c r="G216">
        <v>923.71795399999996</v>
      </c>
      <c r="H216">
        <v>898.21799999999996</v>
      </c>
      <c r="I216">
        <v>0</v>
      </c>
      <c r="J216">
        <v>362533.62335999898</v>
      </c>
      <c r="K216">
        <v>427.77812</v>
      </c>
      <c r="L216">
        <v>0</v>
      </c>
      <c r="M216">
        <v>4455.5591199999999</v>
      </c>
      <c r="N216">
        <v>35530.583980000003</v>
      </c>
      <c r="O216">
        <v>6080.5604199999998</v>
      </c>
      <c r="P216">
        <v>0</v>
      </c>
      <c r="Q216">
        <v>13819.4555</v>
      </c>
      <c r="R216">
        <v>15911.12384</v>
      </c>
      <c r="S216">
        <v>0</v>
      </c>
    </row>
    <row r="217" spans="1:19">
      <c r="A217">
        <v>216</v>
      </c>
      <c r="B217" s="45">
        <f t="array" ref="B217">IFERROR(INDEX(baseline!$A$3:$A$201,MATCH($C217&amp;$D217,baseline!$C$3:$C$201&amp;baseline!$D$3:$D$201,0)),"NA")</f>
        <v>12</v>
      </c>
      <c r="C217" t="s">
        <v>713</v>
      </c>
      <c r="D217" t="s">
        <v>14</v>
      </c>
      <c r="E217" t="s">
        <v>893</v>
      </c>
      <c r="F217">
        <v>133337.85999999999</v>
      </c>
      <c r="G217">
        <v>923.71795399999996</v>
      </c>
      <c r="H217">
        <v>898.21799999999996</v>
      </c>
      <c r="I217">
        <v>0</v>
      </c>
      <c r="J217">
        <v>326411.37224</v>
      </c>
      <c r="K217">
        <v>947.22298000000001</v>
      </c>
      <c r="L217">
        <v>0</v>
      </c>
      <c r="M217">
        <v>4455.5591199999999</v>
      </c>
      <c r="N217">
        <v>50755.596160000001</v>
      </c>
      <c r="O217">
        <v>6080.5604199999998</v>
      </c>
      <c r="P217">
        <v>0</v>
      </c>
      <c r="Q217">
        <v>12977.78816</v>
      </c>
      <c r="R217">
        <v>18861.126199999999</v>
      </c>
      <c r="S217">
        <v>0</v>
      </c>
    </row>
    <row r="218" spans="1:19">
      <c r="A218">
        <v>217</v>
      </c>
      <c r="B218" s="45">
        <f t="array" ref="B218">IFERROR(INDEX(baseline!$A$3:$A$201,MATCH($C218&amp;$D218,baseline!$C$3:$C$201&amp;baseline!$D$3:$D$201,0)),"NA")</f>
        <v>12</v>
      </c>
      <c r="C218" t="s">
        <v>713</v>
      </c>
      <c r="D218" t="s">
        <v>14</v>
      </c>
      <c r="E218" t="s">
        <v>892</v>
      </c>
      <c r="F218">
        <v>257193.2</v>
      </c>
      <c r="G218">
        <v>923.71795399999996</v>
      </c>
      <c r="H218">
        <v>898.21799999999996</v>
      </c>
      <c r="I218">
        <v>0</v>
      </c>
      <c r="J218">
        <v>332416.9326</v>
      </c>
      <c r="K218">
        <v>1011.1119200000001</v>
      </c>
      <c r="L218">
        <v>0</v>
      </c>
      <c r="M218">
        <v>4455.5591199999999</v>
      </c>
      <c r="N218">
        <v>50755.596160000001</v>
      </c>
      <c r="O218">
        <v>6080.5604199999998</v>
      </c>
      <c r="P218">
        <v>0</v>
      </c>
      <c r="Q218">
        <v>13161.121639999999</v>
      </c>
      <c r="R218">
        <v>19152.793099999999</v>
      </c>
      <c r="S218">
        <v>0</v>
      </c>
    </row>
    <row r="219" spans="1:19">
      <c r="A219">
        <v>218</v>
      </c>
      <c r="B219" s="45">
        <f t="array" ref="B219">IFERROR(INDEX(baseline!$A$3:$A$201,MATCH($C219&amp;$D219,baseline!$C$3:$C$201&amp;baseline!$D$3:$D$201,0)),"NA")</f>
        <v>12</v>
      </c>
      <c r="C219" t="s">
        <v>713</v>
      </c>
      <c r="D219" t="s">
        <v>14</v>
      </c>
      <c r="E219" t="s">
        <v>894</v>
      </c>
      <c r="F219">
        <v>6686.41</v>
      </c>
      <c r="G219">
        <v>923.71795399999996</v>
      </c>
      <c r="H219">
        <v>898.21799999999996</v>
      </c>
      <c r="I219">
        <v>0</v>
      </c>
      <c r="J219">
        <v>341933.60687999998</v>
      </c>
      <c r="K219">
        <v>994.44524000000001</v>
      </c>
      <c r="L219">
        <v>0</v>
      </c>
      <c r="M219">
        <v>4455.5591199999999</v>
      </c>
      <c r="N219">
        <v>50755.596160000001</v>
      </c>
      <c r="O219">
        <v>6080.5604199999998</v>
      </c>
      <c r="P219">
        <v>0</v>
      </c>
      <c r="Q219">
        <v>13511.12192</v>
      </c>
      <c r="R219">
        <v>19686.12686</v>
      </c>
      <c r="S219">
        <v>0</v>
      </c>
    </row>
    <row r="220" spans="1:19">
      <c r="A220">
        <v>219</v>
      </c>
      <c r="B220" s="45">
        <f t="array" ref="B220">IFERROR(INDEX(baseline!$A$3:$A$201,MATCH($C220&amp;$D220,baseline!$C$3:$C$201&amp;baseline!$D$3:$D$201,0)),"NA")</f>
        <v>12</v>
      </c>
      <c r="C220" t="s">
        <v>713</v>
      </c>
      <c r="D220" t="s">
        <v>14</v>
      </c>
      <c r="E220" t="s">
        <v>837</v>
      </c>
      <c r="F220">
        <v>732.04</v>
      </c>
      <c r="G220">
        <v>923.71795399999996</v>
      </c>
      <c r="H220">
        <v>898.21799999999996</v>
      </c>
      <c r="I220">
        <v>0</v>
      </c>
      <c r="J220">
        <v>342828.05203999998</v>
      </c>
      <c r="K220">
        <v>988.88968</v>
      </c>
      <c r="L220">
        <v>0</v>
      </c>
      <c r="M220">
        <v>4455.5591199999999</v>
      </c>
      <c r="N220">
        <v>50755.596160000001</v>
      </c>
      <c r="O220">
        <v>6080.5604199999998</v>
      </c>
      <c r="P220">
        <v>0</v>
      </c>
      <c r="Q220">
        <v>13522.233039999999</v>
      </c>
      <c r="R220">
        <v>19730.571339999999</v>
      </c>
      <c r="S220">
        <v>0</v>
      </c>
    </row>
    <row r="221" spans="1:19">
      <c r="A221">
        <v>220</v>
      </c>
      <c r="B221" s="45">
        <f t="array" ref="B221">IFERROR(INDEX(baseline!$A$3:$A$201,MATCH($C221&amp;$D221,baseline!$C$3:$C$201&amp;baseline!$D$3:$D$201,0)),"NA")</f>
        <v>12</v>
      </c>
      <c r="C221" t="s">
        <v>713</v>
      </c>
      <c r="D221" t="s">
        <v>14</v>
      </c>
      <c r="E221" t="s">
        <v>833</v>
      </c>
      <c r="F221">
        <v>2628.16</v>
      </c>
      <c r="G221">
        <v>923.71795399999996</v>
      </c>
      <c r="H221">
        <v>898.21799999999996</v>
      </c>
      <c r="I221">
        <v>0</v>
      </c>
      <c r="J221">
        <v>342886.38542000001</v>
      </c>
      <c r="K221">
        <v>986.11189999999999</v>
      </c>
      <c r="L221">
        <v>0</v>
      </c>
      <c r="M221">
        <v>4455.5591199999999</v>
      </c>
      <c r="N221">
        <v>50755.596160000001</v>
      </c>
      <c r="O221">
        <v>6080.5604199999998</v>
      </c>
      <c r="P221">
        <v>0</v>
      </c>
      <c r="Q221">
        <v>13477.788560000001</v>
      </c>
      <c r="R221">
        <v>19733.349119999999</v>
      </c>
      <c r="S221">
        <v>0</v>
      </c>
    </row>
    <row r="222" spans="1:19">
      <c r="A222">
        <v>221</v>
      </c>
      <c r="B222" s="45">
        <f t="array" ref="B222">IFERROR(INDEX(baseline!$A$3:$A$201,MATCH($C222&amp;$D222,baseline!$C$3:$C$201&amp;baseline!$D$3:$D$201,0)),"NA")</f>
        <v>12</v>
      </c>
      <c r="C222" t="s">
        <v>713</v>
      </c>
      <c r="D222" t="s">
        <v>14</v>
      </c>
      <c r="E222" t="s">
        <v>835</v>
      </c>
      <c r="F222">
        <v>47432.04</v>
      </c>
      <c r="G222">
        <v>923.71795399999996</v>
      </c>
      <c r="H222">
        <v>898.21799999999996</v>
      </c>
      <c r="I222">
        <v>0</v>
      </c>
      <c r="J222">
        <v>330350.26428</v>
      </c>
      <c r="K222">
        <v>1141.66758</v>
      </c>
      <c r="L222">
        <v>0</v>
      </c>
      <c r="M222">
        <v>4455.5591199999999</v>
      </c>
      <c r="N222">
        <v>50755.596160000001</v>
      </c>
      <c r="O222">
        <v>6080.5604199999998</v>
      </c>
      <c r="P222">
        <v>0</v>
      </c>
      <c r="Q222">
        <v>13466.677439999999</v>
      </c>
      <c r="R222">
        <v>19630.571260000001</v>
      </c>
      <c r="S222">
        <v>2211.1128800000001</v>
      </c>
    </row>
    <row r="223" spans="1:19">
      <c r="A223">
        <v>222</v>
      </c>
      <c r="B223" s="45">
        <f t="array" ref="B223">IFERROR(INDEX(baseline!$A$3:$A$201,MATCH($C223&amp;$D223,baseline!$C$3:$C$201&amp;baseline!$D$3:$D$201,0)),"NA")</f>
        <v>12</v>
      </c>
      <c r="C223" t="s">
        <v>713</v>
      </c>
      <c r="D223" t="s">
        <v>14</v>
      </c>
      <c r="E223" t="s">
        <v>863</v>
      </c>
      <c r="F223">
        <v>41941.75</v>
      </c>
      <c r="G223">
        <v>923.71795399999996</v>
      </c>
      <c r="H223">
        <v>898.21799999999996</v>
      </c>
      <c r="I223">
        <v>0</v>
      </c>
      <c r="J223">
        <v>251039.08971999999</v>
      </c>
      <c r="K223">
        <v>1194.4454000000001</v>
      </c>
      <c r="L223">
        <v>0</v>
      </c>
      <c r="M223">
        <v>4455.5591199999999</v>
      </c>
      <c r="N223">
        <v>50755.596160000001</v>
      </c>
      <c r="O223">
        <v>6080.5604199999998</v>
      </c>
      <c r="P223">
        <v>0</v>
      </c>
      <c r="Q223">
        <v>10488.897279999999</v>
      </c>
      <c r="R223">
        <v>14927.789720000001</v>
      </c>
      <c r="S223">
        <v>0</v>
      </c>
    </row>
    <row r="224" spans="1:19">
      <c r="A224">
        <v>223</v>
      </c>
      <c r="B224" s="45">
        <f t="array" ref="B224">IFERROR(INDEX(baseline!$A$3:$A$201,MATCH($C224&amp;$D224,baseline!$C$3:$C$201&amp;baseline!$D$3:$D$201,0)),"NA")</f>
        <v>12</v>
      </c>
      <c r="C224" t="s">
        <v>713</v>
      </c>
      <c r="D224" t="s">
        <v>14</v>
      </c>
      <c r="E224" t="s">
        <v>1011</v>
      </c>
      <c r="F224">
        <v>46230.1</v>
      </c>
      <c r="G224">
        <v>923.71795399999996</v>
      </c>
      <c r="H224">
        <v>898.21799999999996</v>
      </c>
      <c r="I224">
        <v>0</v>
      </c>
      <c r="J224">
        <v>215889.06159999999</v>
      </c>
      <c r="K224">
        <v>1105.5564400000001</v>
      </c>
      <c r="L224">
        <v>0</v>
      </c>
      <c r="M224">
        <v>4455.5591199999999</v>
      </c>
      <c r="N224">
        <v>50755.596160000001</v>
      </c>
      <c r="O224">
        <v>6080.5604199999998</v>
      </c>
      <c r="P224">
        <v>0</v>
      </c>
      <c r="Q224">
        <v>10672.23076</v>
      </c>
      <c r="R224">
        <v>14575.01166</v>
      </c>
      <c r="S224">
        <v>0</v>
      </c>
    </row>
    <row r="225" spans="1:19">
      <c r="A225">
        <v>224</v>
      </c>
      <c r="B225" s="45">
        <f t="array" ref="B225">IFERROR(INDEX(baseline!$A$3:$A$201,MATCH($C225&amp;$D225,baseline!$C$3:$C$201&amp;baseline!$D$3:$D$201,0)),"NA")</f>
        <v>12</v>
      </c>
      <c r="C225" t="s">
        <v>713</v>
      </c>
      <c r="D225" t="s">
        <v>14</v>
      </c>
      <c r="E225" t="s">
        <v>860</v>
      </c>
      <c r="F225">
        <v>23465.05</v>
      </c>
      <c r="G225">
        <v>923.71795399999996</v>
      </c>
      <c r="H225">
        <v>898.21799999999996</v>
      </c>
      <c r="I225">
        <v>0</v>
      </c>
      <c r="J225">
        <v>362472.5122</v>
      </c>
      <c r="K225">
        <v>447.22257999999999</v>
      </c>
      <c r="L225">
        <v>0</v>
      </c>
      <c r="M225">
        <v>4455.5591199999999</v>
      </c>
      <c r="N225">
        <v>35530.583980000003</v>
      </c>
      <c r="O225">
        <v>6080.5604199999998</v>
      </c>
      <c r="P225">
        <v>0</v>
      </c>
      <c r="Q225">
        <v>13816.67772</v>
      </c>
      <c r="R225">
        <v>20333.349600000001</v>
      </c>
      <c r="S225">
        <v>0</v>
      </c>
    </row>
    <row r="226" spans="1:19">
      <c r="A226">
        <v>225</v>
      </c>
      <c r="B226" s="45">
        <f t="array" ref="B226">IFERROR(INDEX(baseline!$A$3:$A$201,MATCH($C226&amp;$D226,baseline!$C$3:$C$201&amp;baseline!$D$3:$D$201,0)),"NA")</f>
        <v>12</v>
      </c>
      <c r="C226" t="s">
        <v>713</v>
      </c>
      <c r="D226" t="s">
        <v>14</v>
      </c>
      <c r="E226" t="s">
        <v>1019</v>
      </c>
      <c r="F226">
        <v>47159.22</v>
      </c>
      <c r="G226">
        <v>923.71795399999996</v>
      </c>
      <c r="H226">
        <v>898.21799999999996</v>
      </c>
      <c r="I226">
        <v>0</v>
      </c>
      <c r="J226">
        <v>133813.99593999999</v>
      </c>
      <c r="K226">
        <v>1105.5564400000001</v>
      </c>
      <c r="L226">
        <v>0</v>
      </c>
      <c r="M226">
        <v>4455.5591199999999</v>
      </c>
      <c r="N226">
        <v>50755.596160000001</v>
      </c>
      <c r="O226">
        <v>6080.5604199999998</v>
      </c>
      <c r="P226">
        <v>0</v>
      </c>
      <c r="Q226">
        <v>10672.23076</v>
      </c>
      <c r="R226">
        <v>14575.01166</v>
      </c>
      <c r="S226">
        <v>0</v>
      </c>
    </row>
    <row r="227" spans="1:19">
      <c r="A227">
        <v>226</v>
      </c>
      <c r="B227" s="45">
        <f t="array" ref="B227">IFERROR(INDEX(baseline!$A$3:$A$201,MATCH($C227&amp;$D227,baseline!$C$3:$C$201&amp;baseline!$D$3:$D$201,0)),"NA")</f>
        <v>12</v>
      </c>
      <c r="C227" t="s">
        <v>713</v>
      </c>
      <c r="D227" t="s">
        <v>14</v>
      </c>
      <c r="E227" t="s">
        <v>836</v>
      </c>
      <c r="F227">
        <v>4288.3500000000004</v>
      </c>
      <c r="G227">
        <v>923.71795399999996</v>
      </c>
      <c r="H227">
        <v>898.21799999999996</v>
      </c>
      <c r="I227">
        <v>0</v>
      </c>
      <c r="J227">
        <v>296797.45965999999</v>
      </c>
      <c r="K227">
        <v>880.55625999999995</v>
      </c>
      <c r="L227">
        <v>0</v>
      </c>
      <c r="M227">
        <v>4455.5591199999999</v>
      </c>
      <c r="N227">
        <v>50755.596160000001</v>
      </c>
      <c r="O227">
        <v>6080.5604199999998</v>
      </c>
      <c r="P227">
        <v>0</v>
      </c>
      <c r="Q227">
        <v>13991.67786</v>
      </c>
      <c r="R227">
        <v>19530.571179999999</v>
      </c>
      <c r="S227">
        <v>0</v>
      </c>
    </row>
    <row r="228" spans="1:19">
      <c r="A228">
        <v>227</v>
      </c>
      <c r="B228" s="45">
        <f t="array" ref="B228">IFERROR(INDEX(baseline!$A$3:$A$201,MATCH($C228&amp;$D228,baseline!$C$3:$C$201&amp;baseline!$D$3:$D$201,0)),"NA")</f>
        <v>12</v>
      </c>
      <c r="C228" t="s">
        <v>713</v>
      </c>
      <c r="D228" t="s">
        <v>14</v>
      </c>
      <c r="E228" t="s">
        <v>1030</v>
      </c>
      <c r="F228">
        <v>95253.4</v>
      </c>
      <c r="G228">
        <v>923.71795399999996</v>
      </c>
      <c r="H228">
        <v>898.21799999999996</v>
      </c>
      <c r="I228">
        <v>0</v>
      </c>
      <c r="J228">
        <v>150097.34229999999</v>
      </c>
      <c r="K228">
        <v>2630.5576599999999</v>
      </c>
      <c r="L228">
        <v>0</v>
      </c>
      <c r="M228">
        <v>4455.5591199999999</v>
      </c>
      <c r="N228">
        <v>35530.583980000003</v>
      </c>
      <c r="O228">
        <v>6080.5604199999998</v>
      </c>
      <c r="P228">
        <v>0</v>
      </c>
      <c r="Q228">
        <v>11977.78736</v>
      </c>
      <c r="R228">
        <v>11372.231320000001</v>
      </c>
      <c r="S228">
        <v>0</v>
      </c>
    </row>
    <row r="229" spans="1:19">
      <c r="A229">
        <v>228</v>
      </c>
      <c r="B229" s="45">
        <f t="array" ref="B229">IFERROR(INDEX(baseline!$A$3:$A$201,MATCH($C229&amp;$D229,baseline!$C$3:$C$201&amp;baseline!$D$3:$D$201,0)),"NA")</f>
        <v>12</v>
      </c>
      <c r="C229" t="s">
        <v>713</v>
      </c>
      <c r="D229" t="s">
        <v>14</v>
      </c>
      <c r="E229" t="s">
        <v>859</v>
      </c>
      <c r="F229">
        <v>2479.61</v>
      </c>
      <c r="G229">
        <v>923.71795399999996</v>
      </c>
      <c r="H229">
        <v>898.21799999999996</v>
      </c>
      <c r="I229">
        <v>0</v>
      </c>
      <c r="J229">
        <v>342864.16317999997</v>
      </c>
      <c r="K229">
        <v>961.11188000000004</v>
      </c>
      <c r="L229">
        <v>0</v>
      </c>
      <c r="M229">
        <v>4455.5591199999999</v>
      </c>
      <c r="N229">
        <v>50755.596160000001</v>
      </c>
      <c r="O229">
        <v>6080.5604199999998</v>
      </c>
      <c r="P229">
        <v>0</v>
      </c>
      <c r="Q229">
        <v>13522.233039999999</v>
      </c>
      <c r="R229">
        <v>19738.90468</v>
      </c>
      <c r="S229">
        <v>0</v>
      </c>
    </row>
    <row r="230" spans="1:19">
      <c r="A230">
        <v>229</v>
      </c>
      <c r="B230" s="45">
        <f t="array" ref="B230">IFERROR(INDEX(baseline!$A$3:$A$201,MATCH($C230&amp;$D230,baseline!$C$3:$C$201&amp;baseline!$D$3:$D$201,0)),"NA")</f>
        <v>12</v>
      </c>
      <c r="C230" t="s">
        <v>713</v>
      </c>
      <c r="D230" t="s">
        <v>14</v>
      </c>
      <c r="E230" t="s">
        <v>865</v>
      </c>
      <c r="F230">
        <v>4384.47</v>
      </c>
      <c r="G230">
        <v>923.71795399999996</v>
      </c>
      <c r="H230">
        <v>898.21799999999996</v>
      </c>
      <c r="I230">
        <v>0</v>
      </c>
      <c r="J230">
        <v>342828.05203999998</v>
      </c>
      <c r="K230">
        <v>988.88968</v>
      </c>
      <c r="L230">
        <v>0</v>
      </c>
      <c r="M230">
        <v>4455.5591199999999</v>
      </c>
      <c r="N230">
        <v>50755.596160000001</v>
      </c>
      <c r="O230">
        <v>6080.5604199999998</v>
      </c>
      <c r="P230">
        <v>0</v>
      </c>
      <c r="Q230">
        <v>13522.233039999999</v>
      </c>
      <c r="R230">
        <v>15430.5679</v>
      </c>
      <c r="S230">
        <v>0</v>
      </c>
    </row>
    <row r="231" spans="1:19">
      <c r="A231">
        <v>230</v>
      </c>
      <c r="B231" s="45">
        <f t="array" ref="B231">IFERROR(INDEX(baseline!$A$3:$A$201,MATCH($C231&amp;$D231,baseline!$C$3:$C$201&amp;baseline!$D$3:$D$201,0)),"NA")</f>
        <v>8</v>
      </c>
      <c r="C231" t="s">
        <v>697</v>
      </c>
      <c r="D231" t="s">
        <v>881</v>
      </c>
      <c r="E231" t="s">
        <v>832</v>
      </c>
      <c r="F231">
        <v>3515.53</v>
      </c>
      <c r="G231">
        <v>2388.5449741513999</v>
      </c>
      <c r="H231">
        <v>2388.54</v>
      </c>
      <c r="I231">
        <v>0</v>
      </c>
      <c r="J231">
        <v>1645137.42722</v>
      </c>
      <c r="K231">
        <v>2216.6684399999999</v>
      </c>
      <c r="L231">
        <v>6425.0051400000002</v>
      </c>
      <c r="M231">
        <v>0</v>
      </c>
      <c r="N231">
        <v>84158.400659999999</v>
      </c>
      <c r="O231">
        <v>12063.89854</v>
      </c>
      <c r="P231">
        <v>0</v>
      </c>
      <c r="Q231">
        <v>100897.30293999999</v>
      </c>
      <c r="R231">
        <v>85863.957580000002</v>
      </c>
      <c r="S231">
        <v>0</v>
      </c>
    </row>
    <row r="232" spans="1:19">
      <c r="A232">
        <v>231</v>
      </c>
      <c r="B232" s="45">
        <f t="array" ref="B232">IFERROR(INDEX(baseline!$A$3:$A$201,MATCH($C232&amp;$D232,baseline!$C$3:$C$201&amp;baseline!$D$3:$D$201,0)),"NA")</f>
        <v>8</v>
      </c>
      <c r="C232" t="s">
        <v>697</v>
      </c>
      <c r="D232" t="s">
        <v>881</v>
      </c>
      <c r="E232" t="s">
        <v>869</v>
      </c>
      <c r="F232">
        <v>0</v>
      </c>
      <c r="G232">
        <v>2388.5449741513999</v>
      </c>
      <c r="H232">
        <v>2388.54</v>
      </c>
      <c r="I232">
        <v>0</v>
      </c>
      <c r="J232">
        <v>1652142.98838</v>
      </c>
      <c r="K232">
        <v>1130.55646</v>
      </c>
      <c r="L232">
        <v>6427.7829199999996</v>
      </c>
      <c r="M232">
        <v>0</v>
      </c>
      <c r="N232">
        <v>84158.400659999999</v>
      </c>
      <c r="O232">
        <v>12063.89854</v>
      </c>
      <c r="P232">
        <v>0</v>
      </c>
      <c r="Q232">
        <v>92950.074359999999</v>
      </c>
      <c r="R232">
        <v>85244.512640000001</v>
      </c>
      <c r="S232">
        <v>0</v>
      </c>
    </row>
    <row r="233" spans="1:19">
      <c r="A233">
        <v>232</v>
      </c>
      <c r="B233" s="45">
        <f t="array" ref="B233">IFERROR(INDEX(baseline!$A$3:$A$201,MATCH($C233&amp;$D233,baseline!$C$3:$C$201&amp;baseline!$D$3:$D$201,0)),"NA")</f>
        <v>8</v>
      </c>
      <c r="C233" t="s">
        <v>697</v>
      </c>
      <c r="D233" t="s">
        <v>881</v>
      </c>
      <c r="E233" t="s">
        <v>896</v>
      </c>
      <c r="F233">
        <v>65332.04</v>
      </c>
      <c r="G233">
        <v>2388.5449741513999</v>
      </c>
      <c r="H233">
        <v>2388.54</v>
      </c>
      <c r="I233">
        <v>0</v>
      </c>
      <c r="J233">
        <v>1647884.6516400001</v>
      </c>
      <c r="K233">
        <v>1258.3343400000001</v>
      </c>
      <c r="L233">
        <v>6427.7829199999996</v>
      </c>
      <c r="M233">
        <v>0</v>
      </c>
      <c r="N233">
        <v>84158.400659999999</v>
      </c>
      <c r="O233">
        <v>12063.89854</v>
      </c>
      <c r="P233">
        <v>0</v>
      </c>
      <c r="Q233">
        <v>93130.630059999996</v>
      </c>
      <c r="R233">
        <v>85863.957580000002</v>
      </c>
      <c r="S233">
        <v>0</v>
      </c>
    </row>
    <row r="234" spans="1:19">
      <c r="A234">
        <v>233</v>
      </c>
      <c r="B234" s="45">
        <f t="array" ref="B234">IFERROR(INDEX(baseline!$A$3:$A$201,MATCH($C234&amp;$D234,baseline!$C$3:$C$201&amp;baseline!$D$3:$D$201,0)),"NA")</f>
        <v>8</v>
      </c>
      <c r="C234" t="s">
        <v>697</v>
      </c>
      <c r="D234" t="s">
        <v>881</v>
      </c>
      <c r="E234" t="s">
        <v>840</v>
      </c>
      <c r="F234">
        <v>929.13</v>
      </c>
      <c r="G234">
        <v>2388.5449741513999</v>
      </c>
      <c r="H234">
        <v>2388.54</v>
      </c>
      <c r="I234">
        <v>0</v>
      </c>
      <c r="J234">
        <v>1039209.1647</v>
      </c>
      <c r="K234">
        <v>1258.3343400000001</v>
      </c>
      <c r="L234">
        <v>6427.7829199999996</v>
      </c>
      <c r="M234">
        <v>0</v>
      </c>
      <c r="N234">
        <v>84158.400659999999</v>
      </c>
      <c r="O234">
        <v>12063.89854</v>
      </c>
      <c r="P234">
        <v>0</v>
      </c>
      <c r="Q234">
        <v>93130.630059999996</v>
      </c>
      <c r="R234">
        <v>85863.957580000002</v>
      </c>
      <c r="S234">
        <v>0</v>
      </c>
    </row>
    <row r="235" spans="1:19">
      <c r="A235">
        <v>234</v>
      </c>
      <c r="B235" s="45">
        <f t="array" ref="B235">IFERROR(INDEX(baseline!$A$3:$A$201,MATCH($C235&amp;$D235,baseline!$C$3:$C$201&amp;baseline!$D$3:$D$201,0)),"NA")</f>
        <v>8</v>
      </c>
      <c r="C235" t="s">
        <v>697</v>
      </c>
      <c r="D235" t="s">
        <v>881</v>
      </c>
      <c r="E235" t="s">
        <v>839</v>
      </c>
      <c r="F235">
        <v>4939.8100000000004</v>
      </c>
      <c r="G235">
        <v>2388.5449741513999</v>
      </c>
      <c r="H235">
        <v>2388.54</v>
      </c>
      <c r="I235">
        <v>0</v>
      </c>
      <c r="J235">
        <v>1647884.6516400001</v>
      </c>
      <c r="K235">
        <v>897.22293999999999</v>
      </c>
      <c r="L235">
        <v>6427.7829199999996</v>
      </c>
      <c r="M235">
        <v>0</v>
      </c>
      <c r="N235">
        <v>84158.400659999999</v>
      </c>
      <c r="O235">
        <v>12063.89854</v>
      </c>
      <c r="P235">
        <v>0</v>
      </c>
      <c r="Q235">
        <v>93130.630059999996</v>
      </c>
      <c r="R235">
        <v>85863.957580000002</v>
      </c>
      <c r="S235">
        <v>0</v>
      </c>
    </row>
    <row r="236" spans="1:19">
      <c r="A236">
        <v>235</v>
      </c>
      <c r="B236" s="45">
        <f t="array" ref="B236">IFERROR(INDEX(baseline!$A$3:$A$201,MATCH($C236&amp;$D236,baseline!$C$3:$C$201&amp;baseline!$D$3:$D$201,0)),"NA")</f>
        <v>8</v>
      </c>
      <c r="C236" t="s">
        <v>697</v>
      </c>
      <c r="D236" t="s">
        <v>881</v>
      </c>
      <c r="E236" t="s">
        <v>805</v>
      </c>
      <c r="F236">
        <v>9152.43</v>
      </c>
      <c r="G236">
        <v>2388.5449741513999</v>
      </c>
      <c r="H236">
        <v>2388.54</v>
      </c>
      <c r="I236">
        <v>0</v>
      </c>
      <c r="J236">
        <v>1264956.56752</v>
      </c>
      <c r="K236">
        <v>1369.4455399999999</v>
      </c>
      <c r="L236">
        <v>6425.0051400000002</v>
      </c>
      <c r="M236">
        <v>0</v>
      </c>
      <c r="N236">
        <v>84158.400659999999</v>
      </c>
      <c r="O236">
        <v>12063.89854</v>
      </c>
      <c r="P236">
        <v>0</v>
      </c>
      <c r="Q236">
        <v>92566.740720000002</v>
      </c>
      <c r="R236">
        <v>85861.179799999998</v>
      </c>
      <c r="S236">
        <v>0</v>
      </c>
    </row>
    <row r="237" spans="1:19">
      <c r="A237">
        <v>236</v>
      </c>
      <c r="B237" s="45">
        <f t="array" ref="B237">IFERROR(INDEX(baseline!$A$3:$A$201,MATCH($C237&amp;$D237,baseline!$C$3:$C$201&amp;baseline!$D$3:$D$201,0)),"NA")</f>
        <v>8</v>
      </c>
      <c r="C237" t="s">
        <v>697</v>
      </c>
      <c r="D237" t="s">
        <v>881</v>
      </c>
      <c r="E237" t="s">
        <v>877</v>
      </c>
      <c r="F237">
        <v>3515.53</v>
      </c>
      <c r="G237">
        <v>2388.5449741513999</v>
      </c>
      <c r="H237">
        <v>2388.54</v>
      </c>
      <c r="I237">
        <v>0</v>
      </c>
      <c r="J237">
        <v>1649037.43034</v>
      </c>
      <c r="K237">
        <v>1927.7793200000001</v>
      </c>
      <c r="L237">
        <v>6427.7829199999996</v>
      </c>
      <c r="M237">
        <v>0</v>
      </c>
      <c r="N237">
        <v>84158.400659999999</v>
      </c>
      <c r="O237">
        <v>12063.89854</v>
      </c>
      <c r="P237">
        <v>0</v>
      </c>
      <c r="Q237">
        <v>93075.074460000003</v>
      </c>
      <c r="R237">
        <v>85863.957580000002</v>
      </c>
      <c r="S237">
        <v>0</v>
      </c>
    </row>
    <row r="238" spans="1:19">
      <c r="A238">
        <v>237</v>
      </c>
      <c r="B238" s="45">
        <f t="array" ref="B238">IFERROR(INDEX(baseline!$A$3:$A$201,MATCH($C238&amp;$D238,baseline!$C$3:$C$201&amp;baseline!$D$3:$D$201,0)),"NA")</f>
        <v>8</v>
      </c>
      <c r="C238" t="s">
        <v>697</v>
      </c>
      <c r="D238" t="s">
        <v>881</v>
      </c>
      <c r="E238" t="s">
        <v>838</v>
      </c>
      <c r="F238">
        <v>1172.82</v>
      </c>
      <c r="G238">
        <v>2388.5449741513999</v>
      </c>
      <c r="H238">
        <v>2388.54</v>
      </c>
      <c r="I238">
        <v>0</v>
      </c>
      <c r="J238">
        <v>1648170.7629800001</v>
      </c>
      <c r="K238">
        <v>950.00076000000001</v>
      </c>
      <c r="L238">
        <v>6427.7829199999996</v>
      </c>
      <c r="M238">
        <v>0</v>
      </c>
      <c r="N238">
        <v>84158.400659999999</v>
      </c>
      <c r="O238">
        <v>12063.89854</v>
      </c>
      <c r="P238">
        <v>0</v>
      </c>
      <c r="Q238">
        <v>93136.185620000004</v>
      </c>
      <c r="R238">
        <v>85863.957580000002</v>
      </c>
      <c r="S238">
        <v>0</v>
      </c>
    </row>
    <row r="239" spans="1:19">
      <c r="A239">
        <v>238</v>
      </c>
      <c r="B239" s="45">
        <f t="array" ref="B239">IFERROR(INDEX(baseline!$A$3:$A$201,MATCH($C239&amp;$D239,baseline!$C$3:$C$201&amp;baseline!$D$3:$D$201,0)),"NA")</f>
        <v>8</v>
      </c>
      <c r="C239" t="s">
        <v>697</v>
      </c>
      <c r="D239" t="s">
        <v>881</v>
      </c>
      <c r="E239" t="s">
        <v>1013</v>
      </c>
      <c r="F239">
        <v>63743.69</v>
      </c>
      <c r="G239">
        <v>2388.5449741513999</v>
      </c>
      <c r="H239">
        <v>2388.54</v>
      </c>
      <c r="I239">
        <v>0</v>
      </c>
      <c r="J239">
        <v>1296337.14818</v>
      </c>
      <c r="K239">
        <v>1163.8898200000001</v>
      </c>
      <c r="L239">
        <v>6425.0051400000002</v>
      </c>
      <c r="M239">
        <v>0</v>
      </c>
      <c r="N239">
        <v>58911.158239999997</v>
      </c>
      <c r="O239">
        <v>12063.89854</v>
      </c>
      <c r="P239">
        <v>0</v>
      </c>
      <c r="Q239">
        <v>88838.959959999993</v>
      </c>
      <c r="R239">
        <v>66941.720220000003</v>
      </c>
      <c r="S239">
        <v>0</v>
      </c>
    </row>
    <row r="240" spans="1:19">
      <c r="A240">
        <v>239</v>
      </c>
      <c r="B240" s="45">
        <f t="array" ref="B240">IFERROR(INDEX(baseline!$A$3:$A$201,MATCH($C240&amp;$D240,baseline!$C$3:$C$201&amp;baseline!$D$3:$D$201,0)),"NA")</f>
        <v>8</v>
      </c>
      <c r="C240" t="s">
        <v>697</v>
      </c>
      <c r="D240" t="s">
        <v>881</v>
      </c>
      <c r="E240" t="s">
        <v>893</v>
      </c>
      <c r="F240">
        <v>257973.79</v>
      </c>
      <c r="G240">
        <v>2388.5449741513999</v>
      </c>
      <c r="H240">
        <v>2388.54</v>
      </c>
      <c r="I240">
        <v>0</v>
      </c>
      <c r="J240">
        <v>1558223.4687999999</v>
      </c>
      <c r="K240">
        <v>1247.2232200000001</v>
      </c>
      <c r="L240">
        <v>6427.7829199999996</v>
      </c>
      <c r="M240">
        <v>0</v>
      </c>
      <c r="N240">
        <v>84158.400659999999</v>
      </c>
      <c r="O240">
        <v>12063.89854</v>
      </c>
      <c r="P240">
        <v>0</v>
      </c>
      <c r="Q240">
        <v>87552.847819999995</v>
      </c>
      <c r="R240">
        <v>80547.286659999998</v>
      </c>
      <c r="S240">
        <v>0</v>
      </c>
    </row>
    <row r="241" spans="1:19">
      <c r="A241">
        <v>240</v>
      </c>
      <c r="B241" s="45">
        <f t="array" ref="B241">IFERROR(INDEX(baseline!$A$3:$A$201,MATCH($C241&amp;$D241,baseline!$C$3:$C$201&amp;baseline!$D$3:$D$201,0)),"NA")</f>
        <v>8</v>
      </c>
      <c r="C241" t="s">
        <v>697</v>
      </c>
      <c r="D241" t="s">
        <v>881</v>
      </c>
      <c r="E241" t="s">
        <v>892</v>
      </c>
      <c r="F241">
        <v>500845.63</v>
      </c>
      <c r="G241">
        <v>2388.5449741513999</v>
      </c>
      <c r="H241">
        <v>2388.54</v>
      </c>
      <c r="I241">
        <v>0</v>
      </c>
      <c r="J241">
        <v>1463592.83754</v>
      </c>
      <c r="K241">
        <v>1269.4454599999999</v>
      </c>
      <c r="L241">
        <v>6427.7829199999996</v>
      </c>
      <c r="M241">
        <v>0</v>
      </c>
      <c r="N241">
        <v>84158.400659999999</v>
      </c>
      <c r="O241">
        <v>12063.89854</v>
      </c>
      <c r="P241">
        <v>0</v>
      </c>
      <c r="Q241">
        <v>82591.732740000007</v>
      </c>
      <c r="R241">
        <v>75311.171359999993</v>
      </c>
      <c r="S241">
        <v>0</v>
      </c>
    </row>
    <row r="242" spans="1:19">
      <c r="A242">
        <v>241</v>
      </c>
      <c r="B242" s="45">
        <f t="array" ref="B242">IFERROR(INDEX(baseline!$A$3:$A$201,MATCH($C242&amp;$D242,baseline!$C$3:$C$201&amp;baseline!$D$3:$D$201,0)),"NA")</f>
        <v>8</v>
      </c>
      <c r="C242" t="s">
        <v>697</v>
      </c>
      <c r="D242" t="s">
        <v>881</v>
      </c>
      <c r="E242" t="s">
        <v>894</v>
      </c>
      <c r="F242">
        <v>72702.91</v>
      </c>
      <c r="G242">
        <v>2388.5449741513999</v>
      </c>
      <c r="H242">
        <v>2388.54</v>
      </c>
      <c r="I242">
        <v>0</v>
      </c>
      <c r="J242">
        <v>1636040.1977200001</v>
      </c>
      <c r="K242">
        <v>1333.3344</v>
      </c>
      <c r="L242">
        <v>6427.7829199999996</v>
      </c>
      <c r="M242">
        <v>0</v>
      </c>
      <c r="N242">
        <v>84158.400659999999</v>
      </c>
      <c r="O242">
        <v>12063.89854</v>
      </c>
      <c r="P242">
        <v>0</v>
      </c>
      <c r="Q242">
        <v>92925.074339999905</v>
      </c>
      <c r="R242">
        <v>85511.179520000005</v>
      </c>
      <c r="S242">
        <v>0</v>
      </c>
    </row>
    <row r="243" spans="1:19">
      <c r="A243">
        <v>242</v>
      </c>
      <c r="B243" s="45">
        <f t="array" ref="B243">IFERROR(INDEX(baseline!$A$3:$A$201,MATCH($C243&amp;$D243,baseline!$C$3:$C$201&amp;baseline!$D$3:$D$201,0)),"NA")</f>
        <v>8</v>
      </c>
      <c r="C243" t="s">
        <v>697</v>
      </c>
      <c r="D243" t="s">
        <v>881</v>
      </c>
      <c r="E243" t="s">
        <v>837</v>
      </c>
      <c r="F243">
        <v>2195.15</v>
      </c>
      <c r="G243">
        <v>2388.5449741513999</v>
      </c>
      <c r="H243">
        <v>2388.54</v>
      </c>
      <c r="I243">
        <v>0</v>
      </c>
      <c r="J243">
        <v>1645945.7612000001</v>
      </c>
      <c r="K243">
        <v>1258.3343400000001</v>
      </c>
      <c r="L243">
        <v>6427.7829199999996</v>
      </c>
      <c r="M243">
        <v>0</v>
      </c>
      <c r="N243">
        <v>84158.400659999999</v>
      </c>
      <c r="O243">
        <v>12063.89854</v>
      </c>
      <c r="P243">
        <v>0</v>
      </c>
      <c r="Q243">
        <v>90569.516900000002</v>
      </c>
      <c r="R243">
        <v>85863.957580000002</v>
      </c>
      <c r="S243">
        <v>0</v>
      </c>
    </row>
    <row r="244" spans="1:19">
      <c r="A244">
        <v>243</v>
      </c>
      <c r="B244" s="45">
        <f t="array" ref="B244">IFERROR(INDEX(baseline!$A$3:$A$201,MATCH($C244&amp;$D244,baseline!$C$3:$C$201&amp;baseline!$D$3:$D$201,0)),"NA")</f>
        <v>8</v>
      </c>
      <c r="C244" t="s">
        <v>697</v>
      </c>
      <c r="D244" t="s">
        <v>881</v>
      </c>
      <c r="E244" t="s">
        <v>833</v>
      </c>
      <c r="F244">
        <v>1179.6099999999999</v>
      </c>
      <c r="G244">
        <v>2388.5449741513999</v>
      </c>
      <c r="H244">
        <v>2388.54</v>
      </c>
      <c r="I244">
        <v>0</v>
      </c>
      <c r="J244">
        <v>1649081.87482</v>
      </c>
      <c r="K244">
        <v>1255.55656</v>
      </c>
      <c r="L244">
        <v>6427.7829199999996</v>
      </c>
      <c r="M244">
        <v>0</v>
      </c>
      <c r="N244">
        <v>84158.400659999999</v>
      </c>
      <c r="O244">
        <v>12063.89854</v>
      </c>
      <c r="P244">
        <v>0</v>
      </c>
      <c r="Q244">
        <v>92408.407260000007</v>
      </c>
      <c r="R244">
        <v>85863.957580000002</v>
      </c>
      <c r="S244">
        <v>0</v>
      </c>
    </row>
    <row r="245" spans="1:19">
      <c r="A245">
        <v>244</v>
      </c>
      <c r="B245" s="45">
        <f t="array" ref="B245">IFERROR(INDEX(baseline!$A$3:$A$201,MATCH($C245&amp;$D245,baseline!$C$3:$C$201&amp;baseline!$D$3:$D$201,0)),"NA")</f>
        <v>8</v>
      </c>
      <c r="C245" t="s">
        <v>697</v>
      </c>
      <c r="D245" t="s">
        <v>881</v>
      </c>
      <c r="E245" t="s">
        <v>835</v>
      </c>
      <c r="F245">
        <v>134183.5</v>
      </c>
      <c r="G245">
        <v>2388.5449741513999</v>
      </c>
      <c r="H245">
        <v>2388.54</v>
      </c>
      <c r="I245">
        <v>0</v>
      </c>
      <c r="J245">
        <v>1424548.3618600001</v>
      </c>
      <c r="K245">
        <v>1525.0012200000001</v>
      </c>
      <c r="L245">
        <v>6427.7829199999996</v>
      </c>
      <c r="M245">
        <v>0</v>
      </c>
      <c r="N245">
        <v>84158.400659999999</v>
      </c>
      <c r="O245">
        <v>12063.89854</v>
      </c>
      <c r="P245">
        <v>0</v>
      </c>
      <c r="Q245">
        <v>92538.962920000005</v>
      </c>
      <c r="R245">
        <v>85863.957580000002</v>
      </c>
      <c r="S245">
        <v>26280.576580000001</v>
      </c>
    </row>
    <row r="246" spans="1:19">
      <c r="A246">
        <v>245</v>
      </c>
      <c r="B246" s="45">
        <f t="array" ref="B246">IFERROR(INDEX(baseline!$A$3:$A$201,MATCH($C246&amp;$D246,baseline!$C$3:$C$201&amp;baseline!$D$3:$D$201,0)),"NA")</f>
        <v>8</v>
      </c>
      <c r="C246" t="s">
        <v>697</v>
      </c>
      <c r="D246" t="s">
        <v>881</v>
      </c>
      <c r="E246" t="s">
        <v>863</v>
      </c>
      <c r="F246">
        <v>71863.11</v>
      </c>
      <c r="G246">
        <v>2388.5449741513999</v>
      </c>
      <c r="H246">
        <v>2388.54</v>
      </c>
      <c r="I246">
        <v>0</v>
      </c>
      <c r="J246">
        <v>1058589.7357600001</v>
      </c>
      <c r="K246">
        <v>1433.33448</v>
      </c>
      <c r="L246">
        <v>6425.0051400000002</v>
      </c>
      <c r="M246">
        <v>0</v>
      </c>
      <c r="N246">
        <v>84158.400659999999</v>
      </c>
      <c r="O246">
        <v>12063.89854</v>
      </c>
      <c r="P246">
        <v>0</v>
      </c>
      <c r="Q246">
        <v>60202.825940000002</v>
      </c>
      <c r="R246">
        <v>54836.154979999999</v>
      </c>
      <c r="S246">
        <v>0</v>
      </c>
    </row>
    <row r="247" spans="1:19">
      <c r="A247">
        <v>246</v>
      </c>
      <c r="B247" s="45">
        <f t="array" ref="B247">IFERROR(INDEX(baseline!$A$3:$A$201,MATCH($C247&amp;$D247,baseline!$C$3:$C$201&amp;baseline!$D$3:$D$201,0)),"NA")</f>
        <v>8</v>
      </c>
      <c r="C247" t="s">
        <v>697</v>
      </c>
      <c r="D247" t="s">
        <v>881</v>
      </c>
      <c r="E247" t="s">
        <v>1011</v>
      </c>
      <c r="F247">
        <v>77103.88</v>
      </c>
      <c r="G247">
        <v>2388.5449741513999</v>
      </c>
      <c r="H247">
        <v>2388.54</v>
      </c>
      <c r="I247">
        <v>0</v>
      </c>
      <c r="J247">
        <v>925031.29558000003</v>
      </c>
      <c r="K247">
        <v>825.00066000000004</v>
      </c>
      <c r="L247">
        <v>6425.0051400000002</v>
      </c>
      <c r="M247">
        <v>0</v>
      </c>
      <c r="N247">
        <v>84158.400659999999</v>
      </c>
      <c r="O247">
        <v>12063.89854</v>
      </c>
      <c r="P247">
        <v>0</v>
      </c>
      <c r="Q247">
        <v>67069.498099999997</v>
      </c>
      <c r="R247">
        <v>61172.271159999997</v>
      </c>
      <c r="S247">
        <v>0</v>
      </c>
    </row>
    <row r="248" spans="1:19">
      <c r="A248">
        <v>247</v>
      </c>
      <c r="B248" s="45">
        <f t="array" ref="B248">IFERROR(INDEX(baseline!$A$3:$A$201,MATCH($C248&amp;$D248,baseline!$C$3:$C$201&amp;baseline!$D$3:$D$201,0)),"NA")</f>
        <v>8</v>
      </c>
      <c r="C248" t="s">
        <v>697</v>
      </c>
      <c r="D248" t="s">
        <v>881</v>
      </c>
      <c r="E248" t="s">
        <v>860</v>
      </c>
      <c r="F248">
        <v>44253.4</v>
      </c>
      <c r="G248">
        <v>2388.5449741513999</v>
      </c>
      <c r="H248">
        <v>2388.54</v>
      </c>
      <c r="I248">
        <v>0</v>
      </c>
      <c r="J248">
        <v>1682054.1234200001</v>
      </c>
      <c r="K248">
        <v>1080.5564199999999</v>
      </c>
      <c r="L248">
        <v>6427.7829199999996</v>
      </c>
      <c r="M248">
        <v>0</v>
      </c>
      <c r="N248">
        <v>58911.158239999997</v>
      </c>
      <c r="O248">
        <v>12063.89854</v>
      </c>
      <c r="P248">
        <v>0</v>
      </c>
      <c r="Q248">
        <v>92486.185100000002</v>
      </c>
      <c r="R248">
        <v>85588.95736</v>
      </c>
      <c r="S248">
        <v>0</v>
      </c>
    </row>
    <row r="249" spans="1:19">
      <c r="A249">
        <v>248</v>
      </c>
      <c r="B249" s="45">
        <f t="array" ref="B249">IFERROR(INDEX(baseline!$A$3:$A$201,MATCH($C249&amp;$D249,baseline!$C$3:$C$201&amp;baseline!$D$3:$D$201,0)),"NA")</f>
        <v>8</v>
      </c>
      <c r="C249" t="s">
        <v>697</v>
      </c>
      <c r="D249" t="s">
        <v>881</v>
      </c>
      <c r="E249" t="s">
        <v>1019</v>
      </c>
      <c r="F249">
        <v>78033.009999999995</v>
      </c>
      <c r="G249">
        <v>2388.5449741513999</v>
      </c>
      <c r="H249">
        <v>2388.54</v>
      </c>
      <c r="I249">
        <v>0</v>
      </c>
      <c r="J249">
        <v>578792.12970000005</v>
      </c>
      <c r="K249">
        <v>825.00066000000004</v>
      </c>
      <c r="L249">
        <v>6425.0051400000002</v>
      </c>
      <c r="M249">
        <v>0</v>
      </c>
      <c r="N249">
        <v>84158.400659999999</v>
      </c>
      <c r="O249">
        <v>12063.89854</v>
      </c>
      <c r="P249">
        <v>0</v>
      </c>
      <c r="Q249">
        <v>67069.498099999997</v>
      </c>
      <c r="R249">
        <v>61172.271159999997</v>
      </c>
      <c r="S249">
        <v>0</v>
      </c>
    </row>
    <row r="250" spans="1:19">
      <c r="A250">
        <v>249</v>
      </c>
      <c r="B250" s="45">
        <f t="array" ref="B250">IFERROR(INDEX(baseline!$A$3:$A$201,MATCH($C250&amp;$D250,baseline!$C$3:$C$201&amp;baseline!$D$3:$D$201,0)),"NA")</f>
        <v>8</v>
      </c>
      <c r="C250" t="s">
        <v>697</v>
      </c>
      <c r="D250" t="s">
        <v>881</v>
      </c>
      <c r="E250" t="s">
        <v>836</v>
      </c>
      <c r="F250">
        <v>5240.78</v>
      </c>
      <c r="G250">
        <v>2388.5449741513999</v>
      </c>
      <c r="H250">
        <v>2388.54</v>
      </c>
      <c r="I250">
        <v>0</v>
      </c>
      <c r="J250">
        <v>1443342.82134</v>
      </c>
      <c r="K250">
        <v>711.11167999999998</v>
      </c>
      <c r="L250">
        <v>6427.7829199999996</v>
      </c>
      <c r="M250">
        <v>0</v>
      </c>
      <c r="N250">
        <v>84158.400659999999</v>
      </c>
      <c r="O250">
        <v>12063.89854</v>
      </c>
      <c r="P250">
        <v>0</v>
      </c>
      <c r="Q250">
        <v>105458.41770000001</v>
      </c>
      <c r="R250">
        <v>96063.96574</v>
      </c>
      <c r="S250">
        <v>0</v>
      </c>
    </row>
    <row r="251" spans="1:19">
      <c r="A251">
        <v>250</v>
      </c>
      <c r="B251" s="45">
        <f t="array" ref="B251">IFERROR(INDEX(baseline!$A$3:$A$201,MATCH($C251&amp;$D251,baseline!$C$3:$C$201&amp;baseline!$D$3:$D$201,0)),"NA")</f>
        <v>8</v>
      </c>
      <c r="C251" t="s">
        <v>697</v>
      </c>
      <c r="D251" t="s">
        <v>881</v>
      </c>
      <c r="E251" t="s">
        <v>1030</v>
      </c>
      <c r="F251">
        <v>155592.23000000001</v>
      </c>
      <c r="G251">
        <v>2388.5449741513999</v>
      </c>
      <c r="H251">
        <v>2388.54</v>
      </c>
      <c r="I251">
        <v>0</v>
      </c>
      <c r="J251">
        <v>403250.32260000001</v>
      </c>
      <c r="K251">
        <v>2113.8905800000002</v>
      </c>
      <c r="L251">
        <v>6425.0051400000002</v>
      </c>
      <c r="M251">
        <v>0</v>
      </c>
      <c r="N251">
        <v>58911.158239999997</v>
      </c>
      <c r="O251">
        <v>12063.89854</v>
      </c>
      <c r="P251">
        <v>0</v>
      </c>
      <c r="Q251">
        <v>62105.605239999997</v>
      </c>
      <c r="R251">
        <v>46369.481540000001</v>
      </c>
      <c r="S251">
        <v>0</v>
      </c>
    </row>
    <row r="252" spans="1:19">
      <c r="A252">
        <v>251</v>
      </c>
      <c r="B252" s="45">
        <f t="array" ref="B252">IFERROR(INDEX(baseline!$A$3:$A$201,MATCH($C252&amp;$D252,baseline!$C$3:$C$201&amp;baseline!$D$3:$D$201,0)),"NA")</f>
        <v>8</v>
      </c>
      <c r="C252" t="s">
        <v>697</v>
      </c>
      <c r="D252" t="s">
        <v>881</v>
      </c>
      <c r="E252" t="s">
        <v>859</v>
      </c>
      <c r="F252">
        <v>3030.1</v>
      </c>
      <c r="G252">
        <v>2388.5449741513999</v>
      </c>
      <c r="H252">
        <v>2388.54</v>
      </c>
      <c r="I252">
        <v>0</v>
      </c>
      <c r="J252">
        <v>1649054.09702</v>
      </c>
      <c r="K252">
        <v>1238.8898799999999</v>
      </c>
      <c r="L252">
        <v>6427.7829199999996</v>
      </c>
      <c r="M252">
        <v>0</v>
      </c>
      <c r="N252">
        <v>84158.400659999999</v>
      </c>
      <c r="O252">
        <v>12063.89854</v>
      </c>
      <c r="P252">
        <v>0</v>
      </c>
      <c r="Q252">
        <v>93044.518880000003</v>
      </c>
      <c r="R252">
        <v>85872.290919999999</v>
      </c>
      <c r="S252">
        <v>0</v>
      </c>
    </row>
    <row r="253" spans="1:19">
      <c r="A253">
        <v>252</v>
      </c>
      <c r="B253" s="45">
        <f t="array" ref="B253">IFERROR(INDEX(baseline!$A$3:$A$201,MATCH($C253&amp;$D253,baseline!$C$3:$C$201&amp;baseline!$D$3:$D$201,0)),"NA")</f>
        <v>8</v>
      </c>
      <c r="C253" t="s">
        <v>697</v>
      </c>
      <c r="D253" t="s">
        <v>881</v>
      </c>
      <c r="E253" t="s">
        <v>865</v>
      </c>
      <c r="F253">
        <v>5112.62</v>
      </c>
      <c r="G253">
        <v>2388.5449741513999</v>
      </c>
      <c r="H253">
        <v>2388.54</v>
      </c>
      <c r="I253">
        <v>0</v>
      </c>
      <c r="J253">
        <v>1647884.6516400001</v>
      </c>
      <c r="K253">
        <v>1258.3343400000001</v>
      </c>
      <c r="L253">
        <v>6427.7829199999996</v>
      </c>
      <c r="M253">
        <v>0</v>
      </c>
      <c r="N253">
        <v>84158.400659999999</v>
      </c>
      <c r="O253">
        <v>12063.89854</v>
      </c>
      <c r="P253">
        <v>0</v>
      </c>
      <c r="Q253">
        <v>93130.630059999996</v>
      </c>
      <c r="R253">
        <v>67155.609280000004</v>
      </c>
      <c r="S253">
        <v>0</v>
      </c>
    </row>
    <row r="254" spans="1:19">
      <c r="A254">
        <v>253</v>
      </c>
      <c r="B254" s="45">
        <f t="array" ref="B254">IFERROR(INDEX(baseline!$A$3:$A$201,MATCH($C254&amp;$D254,baseline!$C$3:$C$201&amp;baseline!$D$3:$D$201,0)),"NA")</f>
        <v>9</v>
      </c>
      <c r="C254" t="s">
        <v>697</v>
      </c>
      <c r="D254" t="s">
        <v>14</v>
      </c>
      <c r="E254" t="s">
        <v>832</v>
      </c>
      <c r="F254">
        <v>3515.53</v>
      </c>
      <c r="G254">
        <v>2388.5449741513999</v>
      </c>
      <c r="H254">
        <v>2388.54</v>
      </c>
      <c r="I254">
        <v>0</v>
      </c>
      <c r="J254">
        <v>987578.56784000003</v>
      </c>
      <c r="K254">
        <v>1866.6681599999999</v>
      </c>
      <c r="L254">
        <v>6425.0051400000002</v>
      </c>
      <c r="M254">
        <v>0</v>
      </c>
      <c r="N254">
        <v>84158.400659999999</v>
      </c>
      <c r="O254">
        <v>12063.89854</v>
      </c>
      <c r="P254">
        <v>0</v>
      </c>
      <c r="Q254">
        <v>55083.377399999998</v>
      </c>
      <c r="R254">
        <v>48283.371959999997</v>
      </c>
      <c r="S254">
        <v>0</v>
      </c>
    </row>
    <row r="255" spans="1:19">
      <c r="A255">
        <v>254</v>
      </c>
      <c r="B255" s="45">
        <f t="array" ref="B255">IFERROR(INDEX(baseline!$A$3:$A$201,MATCH($C255&amp;$D255,baseline!$C$3:$C$201&amp;baseline!$D$3:$D$201,0)),"NA")</f>
        <v>9</v>
      </c>
      <c r="C255" t="s">
        <v>697</v>
      </c>
      <c r="D255" t="s">
        <v>14</v>
      </c>
      <c r="E255" t="s">
        <v>869</v>
      </c>
      <c r="F255">
        <v>0</v>
      </c>
      <c r="G255">
        <v>2388.5449741513999</v>
      </c>
      <c r="H255">
        <v>2388.54</v>
      </c>
      <c r="I255">
        <v>0</v>
      </c>
      <c r="J255">
        <v>959995.21244000003</v>
      </c>
      <c r="K255">
        <v>1044.4452799999999</v>
      </c>
      <c r="L255">
        <v>6425.0051400000002</v>
      </c>
      <c r="M255">
        <v>0</v>
      </c>
      <c r="N255">
        <v>84158.400659999999</v>
      </c>
      <c r="O255">
        <v>12063.89854</v>
      </c>
      <c r="P255">
        <v>0</v>
      </c>
      <c r="Q255">
        <v>52863.93118</v>
      </c>
      <c r="R255">
        <v>47638.927000000003</v>
      </c>
      <c r="S255">
        <v>0</v>
      </c>
    </row>
    <row r="256" spans="1:19">
      <c r="A256">
        <v>255</v>
      </c>
      <c r="B256" s="45">
        <f t="array" ref="B256">IFERROR(INDEX(baseline!$A$3:$A$201,MATCH($C256&amp;$D256,baseline!$C$3:$C$201&amp;baseline!$D$3:$D$201,0)),"NA")</f>
        <v>9</v>
      </c>
      <c r="C256" t="s">
        <v>697</v>
      </c>
      <c r="D256" t="s">
        <v>14</v>
      </c>
      <c r="E256" t="s">
        <v>896</v>
      </c>
      <c r="F256">
        <v>32923.300000000003</v>
      </c>
      <c r="G256">
        <v>2388.5449741513999</v>
      </c>
      <c r="H256">
        <v>2388.54</v>
      </c>
      <c r="I256">
        <v>0</v>
      </c>
      <c r="J256">
        <v>959128.54507999995</v>
      </c>
      <c r="K256">
        <v>1166.6676</v>
      </c>
      <c r="L256">
        <v>6425.0051400000002</v>
      </c>
      <c r="M256">
        <v>0</v>
      </c>
      <c r="N256">
        <v>84158.400659999999</v>
      </c>
      <c r="O256">
        <v>12063.89854</v>
      </c>
      <c r="P256">
        <v>0</v>
      </c>
      <c r="Q256">
        <v>53527.820599999999</v>
      </c>
      <c r="R256">
        <v>48283.371959999997</v>
      </c>
      <c r="S256">
        <v>0</v>
      </c>
    </row>
    <row r="257" spans="1:19">
      <c r="A257">
        <v>256</v>
      </c>
      <c r="B257" s="45">
        <f t="array" ref="B257">IFERROR(INDEX(baseline!$A$3:$A$201,MATCH($C257&amp;$D257,baseline!$C$3:$C$201&amp;baseline!$D$3:$D$201,0)),"NA")</f>
        <v>9</v>
      </c>
      <c r="C257" t="s">
        <v>697</v>
      </c>
      <c r="D257" t="s">
        <v>14</v>
      </c>
      <c r="E257" t="s">
        <v>840</v>
      </c>
      <c r="F257">
        <v>929.13</v>
      </c>
      <c r="G257">
        <v>2388.5449741513999</v>
      </c>
      <c r="H257">
        <v>2388.54</v>
      </c>
      <c r="I257">
        <v>0</v>
      </c>
      <c r="J257">
        <v>611811.60056000005</v>
      </c>
      <c r="K257">
        <v>1166.6676</v>
      </c>
      <c r="L257">
        <v>6425.0051400000002</v>
      </c>
      <c r="M257">
        <v>0</v>
      </c>
      <c r="N257">
        <v>84158.400659999999</v>
      </c>
      <c r="O257">
        <v>12063.89854</v>
      </c>
      <c r="P257">
        <v>0</v>
      </c>
      <c r="Q257">
        <v>53527.820599999999</v>
      </c>
      <c r="R257">
        <v>48283.371959999997</v>
      </c>
      <c r="S257">
        <v>0</v>
      </c>
    </row>
    <row r="258" spans="1:19">
      <c r="A258">
        <v>257</v>
      </c>
      <c r="B258" s="45">
        <f t="array" ref="B258">IFERROR(INDEX(baseline!$A$3:$A$201,MATCH($C258&amp;$D258,baseline!$C$3:$C$201&amp;baseline!$D$3:$D$201,0)),"NA")</f>
        <v>9</v>
      </c>
      <c r="C258" t="s">
        <v>697</v>
      </c>
      <c r="D258" t="s">
        <v>14</v>
      </c>
      <c r="E258" t="s">
        <v>839</v>
      </c>
      <c r="F258">
        <v>4939.8100000000004</v>
      </c>
      <c r="G258">
        <v>2388.5449741513999</v>
      </c>
      <c r="H258">
        <v>2388.54</v>
      </c>
      <c r="I258">
        <v>0</v>
      </c>
      <c r="J258">
        <v>959128.54507999995</v>
      </c>
      <c r="K258">
        <v>1000.0008</v>
      </c>
      <c r="L258">
        <v>6425.0051400000002</v>
      </c>
      <c r="M258">
        <v>0</v>
      </c>
      <c r="N258">
        <v>84158.400659999999</v>
      </c>
      <c r="O258">
        <v>12063.89854</v>
      </c>
      <c r="P258">
        <v>0</v>
      </c>
      <c r="Q258">
        <v>53527.820599999999</v>
      </c>
      <c r="R258">
        <v>48283.371959999997</v>
      </c>
      <c r="S258">
        <v>0</v>
      </c>
    </row>
    <row r="259" spans="1:19">
      <c r="A259">
        <v>258</v>
      </c>
      <c r="B259" s="45">
        <f t="array" ref="B259">IFERROR(INDEX(baseline!$A$3:$A$201,MATCH($C259&amp;$D259,baseline!$C$3:$C$201&amp;baseline!$D$3:$D$201,0)),"NA")</f>
        <v>9</v>
      </c>
      <c r="C259" t="s">
        <v>697</v>
      </c>
      <c r="D259" t="s">
        <v>14</v>
      </c>
      <c r="E259" t="s">
        <v>805</v>
      </c>
      <c r="F259">
        <v>9152.43</v>
      </c>
      <c r="G259">
        <v>2388.5449741513999</v>
      </c>
      <c r="H259">
        <v>2388.54</v>
      </c>
      <c r="I259">
        <v>0</v>
      </c>
      <c r="J259">
        <v>643592.18154000002</v>
      </c>
      <c r="K259">
        <v>1313.88994</v>
      </c>
      <c r="L259">
        <v>6425.0051400000002</v>
      </c>
      <c r="M259">
        <v>0</v>
      </c>
      <c r="N259">
        <v>84158.400659999999</v>
      </c>
      <c r="O259">
        <v>12063.89854</v>
      </c>
      <c r="P259">
        <v>0</v>
      </c>
      <c r="Q259">
        <v>52605.59764</v>
      </c>
      <c r="R259">
        <v>48280.59418</v>
      </c>
      <c r="S259">
        <v>0</v>
      </c>
    </row>
    <row r="260" spans="1:19">
      <c r="A260">
        <v>259</v>
      </c>
      <c r="B260" s="45">
        <f t="array" ref="B260">IFERROR(INDEX(baseline!$A$3:$A$201,MATCH($C260&amp;$D260,baseline!$C$3:$C$201&amp;baseline!$D$3:$D$201,0)),"NA")</f>
        <v>9</v>
      </c>
      <c r="C260" t="s">
        <v>697</v>
      </c>
      <c r="D260" t="s">
        <v>14</v>
      </c>
      <c r="E260" t="s">
        <v>877</v>
      </c>
      <c r="F260">
        <v>3515.53</v>
      </c>
      <c r="G260">
        <v>2388.5449741513999</v>
      </c>
      <c r="H260">
        <v>2388.54</v>
      </c>
      <c r="I260">
        <v>0</v>
      </c>
      <c r="J260">
        <v>960486.87950000004</v>
      </c>
      <c r="K260">
        <v>1705.55692</v>
      </c>
      <c r="L260">
        <v>6425.0051400000002</v>
      </c>
      <c r="M260">
        <v>0</v>
      </c>
      <c r="N260">
        <v>84158.400659999999</v>
      </c>
      <c r="O260">
        <v>12063.89854</v>
      </c>
      <c r="P260">
        <v>0</v>
      </c>
      <c r="Q260">
        <v>53541.709499999997</v>
      </c>
      <c r="R260">
        <v>48283.371959999997</v>
      </c>
      <c r="S260">
        <v>0</v>
      </c>
    </row>
    <row r="261" spans="1:19">
      <c r="A261">
        <v>260</v>
      </c>
      <c r="B261" s="45">
        <f t="array" ref="B261">IFERROR(INDEX(baseline!$A$3:$A$201,MATCH($C261&amp;$D261,baseline!$C$3:$C$201&amp;baseline!$D$3:$D$201,0)),"NA")</f>
        <v>9</v>
      </c>
      <c r="C261" t="s">
        <v>697</v>
      </c>
      <c r="D261" t="s">
        <v>14</v>
      </c>
      <c r="E261" t="s">
        <v>838</v>
      </c>
      <c r="F261">
        <v>1172.82</v>
      </c>
      <c r="G261">
        <v>2388.5449741513999</v>
      </c>
      <c r="H261">
        <v>2388.54</v>
      </c>
      <c r="I261">
        <v>0</v>
      </c>
      <c r="J261">
        <v>959761.87892000005</v>
      </c>
      <c r="K261">
        <v>830.55622000000005</v>
      </c>
      <c r="L261">
        <v>6425.0051400000002</v>
      </c>
      <c r="M261">
        <v>0</v>
      </c>
      <c r="N261">
        <v>84158.400659999999</v>
      </c>
      <c r="O261">
        <v>12063.89854</v>
      </c>
      <c r="P261">
        <v>0</v>
      </c>
      <c r="Q261">
        <v>53538.93172</v>
      </c>
      <c r="R261">
        <v>48283.371959999997</v>
      </c>
      <c r="S261">
        <v>0</v>
      </c>
    </row>
    <row r="262" spans="1:19">
      <c r="A262">
        <v>261</v>
      </c>
      <c r="B262" s="45">
        <f t="array" ref="B262">IFERROR(INDEX(baseline!$A$3:$A$201,MATCH($C262&amp;$D262,baseline!$C$3:$C$201&amp;baseline!$D$3:$D$201,0)),"NA")</f>
        <v>9</v>
      </c>
      <c r="C262" t="s">
        <v>697</v>
      </c>
      <c r="D262" t="s">
        <v>14</v>
      </c>
      <c r="E262" t="s">
        <v>1013</v>
      </c>
      <c r="F262">
        <v>63743.69</v>
      </c>
      <c r="G262">
        <v>2388.5449741513999</v>
      </c>
      <c r="H262">
        <v>2388.54</v>
      </c>
      <c r="I262">
        <v>0</v>
      </c>
      <c r="J262">
        <v>672792.20490000001</v>
      </c>
      <c r="K262">
        <v>1091.6675399999999</v>
      </c>
      <c r="L262">
        <v>6425.0051400000002</v>
      </c>
      <c r="M262">
        <v>0</v>
      </c>
      <c r="N262">
        <v>58911.158239999997</v>
      </c>
      <c r="O262">
        <v>12063.89854</v>
      </c>
      <c r="P262">
        <v>0</v>
      </c>
      <c r="Q262">
        <v>48847.261299999998</v>
      </c>
      <c r="R262">
        <v>37555.585599999999</v>
      </c>
      <c r="S262">
        <v>0</v>
      </c>
    </row>
    <row r="263" spans="1:19">
      <c r="A263">
        <v>262</v>
      </c>
      <c r="B263" s="45">
        <f t="array" ref="B263">IFERROR(INDEX(baseline!$A$3:$A$201,MATCH($C263&amp;$D263,baseline!$C$3:$C$201&amp;baseline!$D$3:$D$201,0)),"NA")</f>
        <v>9</v>
      </c>
      <c r="C263" t="s">
        <v>697</v>
      </c>
      <c r="D263" t="s">
        <v>14</v>
      </c>
      <c r="E263" t="s">
        <v>893</v>
      </c>
      <c r="F263">
        <v>257973.79</v>
      </c>
      <c r="G263">
        <v>2388.5449741513999</v>
      </c>
      <c r="H263">
        <v>2388.54</v>
      </c>
      <c r="I263">
        <v>0</v>
      </c>
      <c r="J263">
        <v>926325.74106000003</v>
      </c>
      <c r="K263">
        <v>1161.11204</v>
      </c>
      <c r="L263">
        <v>6425.0051400000002</v>
      </c>
      <c r="M263">
        <v>0</v>
      </c>
      <c r="N263">
        <v>84158.400659999999</v>
      </c>
      <c r="O263">
        <v>12063.89854</v>
      </c>
      <c r="P263">
        <v>0</v>
      </c>
      <c r="Q263">
        <v>51419.48558</v>
      </c>
      <c r="R263">
        <v>46355.592640000003</v>
      </c>
      <c r="S263">
        <v>0</v>
      </c>
    </row>
    <row r="264" spans="1:19">
      <c r="A264">
        <v>263</v>
      </c>
      <c r="B264" s="45">
        <f t="array" ref="B264">IFERROR(INDEX(baseline!$A$3:$A$201,MATCH($C264&amp;$D264,baseline!$C$3:$C$201&amp;baseline!$D$3:$D$201,0)),"NA")</f>
        <v>9</v>
      </c>
      <c r="C264" t="s">
        <v>697</v>
      </c>
      <c r="D264" t="s">
        <v>14</v>
      </c>
      <c r="E264" t="s">
        <v>892</v>
      </c>
      <c r="F264">
        <v>500845.63</v>
      </c>
      <c r="G264">
        <v>2388.5449741513999</v>
      </c>
      <c r="H264">
        <v>2388.54</v>
      </c>
      <c r="I264">
        <v>0</v>
      </c>
      <c r="J264">
        <v>923781.29457999999</v>
      </c>
      <c r="K264">
        <v>1175.0009399999999</v>
      </c>
      <c r="L264">
        <v>6425.0051400000002</v>
      </c>
      <c r="M264">
        <v>0</v>
      </c>
      <c r="N264">
        <v>84158.400659999999</v>
      </c>
      <c r="O264">
        <v>12063.89854</v>
      </c>
      <c r="P264">
        <v>0</v>
      </c>
      <c r="Q264">
        <v>51302.81882</v>
      </c>
      <c r="R264">
        <v>46225.036979999997</v>
      </c>
      <c r="S264">
        <v>0</v>
      </c>
    </row>
    <row r="265" spans="1:19">
      <c r="A265">
        <v>264</v>
      </c>
      <c r="B265" s="45">
        <f t="array" ref="B265">IFERROR(INDEX(baseline!$A$3:$A$201,MATCH($C265&amp;$D265,baseline!$C$3:$C$201&amp;baseline!$D$3:$D$201,0)),"NA")</f>
        <v>9</v>
      </c>
      <c r="C265" t="s">
        <v>697</v>
      </c>
      <c r="D265" t="s">
        <v>14</v>
      </c>
      <c r="E265" t="s">
        <v>894</v>
      </c>
      <c r="F265">
        <v>72702.91</v>
      </c>
      <c r="G265">
        <v>2388.5449741513999</v>
      </c>
      <c r="H265">
        <v>2388.54</v>
      </c>
      <c r="I265">
        <v>0</v>
      </c>
      <c r="J265">
        <v>950622.98271999997</v>
      </c>
      <c r="K265">
        <v>1263.8898999999999</v>
      </c>
      <c r="L265">
        <v>6425.0051400000002</v>
      </c>
      <c r="M265">
        <v>0</v>
      </c>
      <c r="N265">
        <v>84158.400659999999</v>
      </c>
      <c r="O265">
        <v>12063.89854</v>
      </c>
      <c r="P265">
        <v>0</v>
      </c>
      <c r="Q265">
        <v>53344.487119999998</v>
      </c>
      <c r="R265">
        <v>48044.482880000003</v>
      </c>
      <c r="S265">
        <v>0</v>
      </c>
    </row>
    <row r="266" spans="1:19">
      <c r="A266">
        <v>265</v>
      </c>
      <c r="B266" s="45">
        <f t="array" ref="B266">IFERROR(INDEX(baseline!$A$3:$A$201,MATCH($C266&amp;$D266,baseline!$C$3:$C$201&amp;baseline!$D$3:$D$201,0)),"NA")</f>
        <v>9</v>
      </c>
      <c r="C266" t="s">
        <v>697</v>
      </c>
      <c r="D266" t="s">
        <v>14</v>
      </c>
      <c r="E266" t="s">
        <v>837</v>
      </c>
      <c r="F266">
        <v>2195.15</v>
      </c>
      <c r="G266">
        <v>2388.5449741513999</v>
      </c>
      <c r="H266">
        <v>2388.54</v>
      </c>
      <c r="I266">
        <v>0</v>
      </c>
      <c r="J266">
        <v>958550.76684000005</v>
      </c>
      <c r="K266">
        <v>1166.6676</v>
      </c>
      <c r="L266">
        <v>6425.0051400000002</v>
      </c>
      <c r="M266">
        <v>0</v>
      </c>
      <c r="N266">
        <v>84158.400659999999</v>
      </c>
      <c r="O266">
        <v>12063.89854</v>
      </c>
      <c r="P266">
        <v>0</v>
      </c>
      <c r="Q266">
        <v>50211.151279999998</v>
      </c>
      <c r="R266">
        <v>48283.371959999997</v>
      </c>
      <c r="S266">
        <v>0</v>
      </c>
    </row>
    <row r="267" spans="1:19">
      <c r="A267">
        <v>266</v>
      </c>
      <c r="B267" s="45">
        <f t="array" ref="B267">IFERROR(INDEX(baseline!$A$3:$A$201,MATCH($C267&amp;$D267,baseline!$C$3:$C$201&amp;baseline!$D$3:$D$201,0)),"NA")</f>
        <v>9</v>
      </c>
      <c r="C267" t="s">
        <v>697</v>
      </c>
      <c r="D267" t="s">
        <v>14</v>
      </c>
      <c r="E267" t="s">
        <v>833</v>
      </c>
      <c r="F267">
        <v>1179.6099999999999</v>
      </c>
      <c r="G267">
        <v>2388.5449741513999</v>
      </c>
      <c r="H267">
        <v>2388.54</v>
      </c>
      <c r="I267">
        <v>0</v>
      </c>
      <c r="J267">
        <v>959770.21225999994</v>
      </c>
      <c r="K267">
        <v>1163.8898200000001</v>
      </c>
      <c r="L267">
        <v>6425.0051400000002</v>
      </c>
      <c r="M267">
        <v>0</v>
      </c>
      <c r="N267">
        <v>84158.400659999999</v>
      </c>
      <c r="O267">
        <v>12063.89854</v>
      </c>
      <c r="P267">
        <v>0</v>
      </c>
      <c r="Q267">
        <v>53133.375840000001</v>
      </c>
      <c r="R267">
        <v>48283.371959999997</v>
      </c>
      <c r="S267">
        <v>0</v>
      </c>
    </row>
    <row r="268" spans="1:19">
      <c r="A268">
        <v>267</v>
      </c>
      <c r="B268" s="45">
        <f t="array" ref="B268">IFERROR(INDEX(baseline!$A$3:$A$201,MATCH($C268&amp;$D268,baseline!$C$3:$C$201&amp;baseline!$D$3:$D$201,0)),"NA")</f>
        <v>9</v>
      </c>
      <c r="C268" t="s">
        <v>697</v>
      </c>
      <c r="D268" t="s">
        <v>14</v>
      </c>
      <c r="E268" t="s">
        <v>835</v>
      </c>
      <c r="F268">
        <v>134183.5</v>
      </c>
      <c r="G268">
        <v>2388.5449741513999</v>
      </c>
      <c r="H268">
        <v>2388.54</v>
      </c>
      <c r="I268">
        <v>0</v>
      </c>
      <c r="J268">
        <v>725739.46947999997</v>
      </c>
      <c r="K268">
        <v>1572.2234800000001</v>
      </c>
      <c r="L268">
        <v>6425.0051400000002</v>
      </c>
      <c r="M268">
        <v>0</v>
      </c>
      <c r="N268">
        <v>84158.400659999999</v>
      </c>
      <c r="O268">
        <v>12063.89854</v>
      </c>
      <c r="P268">
        <v>0</v>
      </c>
      <c r="Q268">
        <v>52694.486599999997</v>
      </c>
      <c r="R268">
        <v>48280.59418</v>
      </c>
      <c r="S268">
        <v>26280.576580000001</v>
      </c>
    </row>
    <row r="269" spans="1:19">
      <c r="A269">
        <v>268</v>
      </c>
      <c r="B269" s="45">
        <f t="array" ref="B269">IFERROR(INDEX(baseline!$A$3:$A$201,MATCH($C269&amp;$D269,baseline!$C$3:$C$201&amp;baseline!$D$3:$D$201,0)),"NA")</f>
        <v>9</v>
      </c>
      <c r="C269" t="s">
        <v>697</v>
      </c>
      <c r="D269" t="s">
        <v>14</v>
      </c>
      <c r="E269" t="s">
        <v>863</v>
      </c>
      <c r="F269">
        <v>65184.47</v>
      </c>
      <c r="G269">
        <v>2388.5449741513999</v>
      </c>
      <c r="H269">
        <v>2388.54</v>
      </c>
      <c r="I269">
        <v>0</v>
      </c>
      <c r="J269">
        <v>783842.29373999999</v>
      </c>
      <c r="K269">
        <v>1225.00098</v>
      </c>
      <c r="L269">
        <v>6425.0051400000002</v>
      </c>
      <c r="M269">
        <v>0</v>
      </c>
      <c r="N269">
        <v>84158.400659999999</v>
      </c>
      <c r="O269">
        <v>12063.89854</v>
      </c>
      <c r="P269">
        <v>0</v>
      </c>
      <c r="Q269">
        <v>43211.145680000001</v>
      </c>
      <c r="R269">
        <v>39013.920100000003</v>
      </c>
      <c r="S269">
        <v>0</v>
      </c>
    </row>
    <row r="270" spans="1:19">
      <c r="A270">
        <v>269</v>
      </c>
      <c r="B270" s="45">
        <f t="array" ref="B270">IFERROR(INDEX(baseline!$A$3:$A$201,MATCH($C270&amp;$D270,baseline!$C$3:$C$201&amp;baseline!$D$3:$D$201,0)),"NA")</f>
        <v>9</v>
      </c>
      <c r="C270" t="s">
        <v>697</v>
      </c>
      <c r="D270" t="s">
        <v>14</v>
      </c>
      <c r="E270" t="s">
        <v>1011</v>
      </c>
      <c r="F270">
        <v>70425.240000000005</v>
      </c>
      <c r="G270">
        <v>2388.5449741513999</v>
      </c>
      <c r="H270">
        <v>2388.54</v>
      </c>
      <c r="I270">
        <v>0</v>
      </c>
      <c r="J270">
        <v>678053.32021999999</v>
      </c>
      <c r="K270">
        <v>719.44502</v>
      </c>
      <c r="L270">
        <v>6425.0051400000002</v>
      </c>
      <c r="M270">
        <v>0</v>
      </c>
      <c r="N270">
        <v>84158.400659999999</v>
      </c>
      <c r="O270">
        <v>12063.89854</v>
      </c>
      <c r="P270">
        <v>0</v>
      </c>
      <c r="Q270">
        <v>47625.038099999998</v>
      </c>
      <c r="R270">
        <v>43400.034720000003</v>
      </c>
      <c r="S270">
        <v>0</v>
      </c>
    </row>
    <row r="271" spans="1:19">
      <c r="A271">
        <v>270</v>
      </c>
      <c r="B271" s="45">
        <f t="array" ref="B271">IFERROR(INDEX(baseline!$A$3:$A$201,MATCH($C271&amp;$D271,baseline!$C$3:$C$201&amp;baseline!$D$3:$D$201,0)),"NA")</f>
        <v>9</v>
      </c>
      <c r="C271" t="s">
        <v>697</v>
      </c>
      <c r="D271" t="s">
        <v>14</v>
      </c>
      <c r="E271" t="s">
        <v>860</v>
      </c>
      <c r="F271">
        <v>44253.4</v>
      </c>
      <c r="G271">
        <v>2388.5449741513999</v>
      </c>
      <c r="H271">
        <v>2388.54</v>
      </c>
      <c r="I271">
        <v>0</v>
      </c>
      <c r="J271">
        <v>991064.68174000003</v>
      </c>
      <c r="K271">
        <v>980.55633999999998</v>
      </c>
      <c r="L271">
        <v>6425.0051400000002</v>
      </c>
      <c r="M271">
        <v>0</v>
      </c>
      <c r="N271">
        <v>58911.158239999997</v>
      </c>
      <c r="O271">
        <v>12063.89854</v>
      </c>
      <c r="P271">
        <v>0</v>
      </c>
      <c r="Q271">
        <v>53283.375959999998</v>
      </c>
      <c r="R271">
        <v>48013.927300000003</v>
      </c>
      <c r="S271">
        <v>0</v>
      </c>
    </row>
    <row r="272" spans="1:19">
      <c r="A272">
        <v>271</v>
      </c>
      <c r="B272" s="45">
        <f t="array" ref="B272">IFERROR(INDEX(baseline!$A$3:$A$201,MATCH($C272&amp;$D272,baseline!$C$3:$C$201&amp;baseline!$D$3:$D$201,0)),"NA")</f>
        <v>9</v>
      </c>
      <c r="C272" t="s">
        <v>697</v>
      </c>
      <c r="D272" t="s">
        <v>14</v>
      </c>
      <c r="E272" t="s">
        <v>1019</v>
      </c>
      <c r="F272">
        <v>71354.37</v>
      </c>
      <c r="G272">
        <v>2388.5449741513999</v>
      </c>
      <c r="H272">
        <v>2388.54</v>
      </c>
      <c r="I272">
        <v>0</v>
      </c>
      <c r="J272">
        <v>427205.89731999999</v>
      </c>
      <c r="K272">
        <v>719.44502</v>
      </c>
      <c r="L272">
        <v>6425.0051400000002</v>
      </c>
      <c r="M272">
        <v>0</v>
      </c>
      <c r="N272">
        <v>84158.400659999999</v>
      </c>
      <c r="O272">
        <v>12063.89854</v>
      </c>
      <c r="P272">
        <v>0</v>
      </c>
      <c r="Q272">
        <v>47625.038099999998</v>
      </c>
      <c r="R272">
        <v>43400.034720000003</v>
      </c>
      <c r="S272">
        <v>0</v>
      </c>
    </row>
    <row r="273" spans="1:19">
      <c r="A273">
        <v>272</v>
      </c>
      <c r="B273" s="45">
        <f t="array" ref="B273">IFERROR(INDEX(baseline!$A$3:$A$201,MATCH($C273&amp;$D273,baseline!$C$3:$C$201&amp;baseline!$D$3:$D$201,0)),"NA")</f>
        <v>9</v>
      </c>
      <c r="C273" t="s">
        <v>697</v>
      </c>
      <c r="D273" t="s">
        <v>14</v>
      </c>
      <c r="E273" t="s">
        <v>836</v>
      </c>
      <c r="F273">
        <v>5240.78</v>
      </c>
      <c r="G273">
        <v>2388.5449741513999</v>
      </c>
      <c r="H273">
        <v>2388.54</v>
      </c>
      <c r="I273">
        <v>0</v>
      </c>
      <c r="J273">
        <v>832775.66622000001</v>
      </c>
      <c r="K273">
        <v>666.66719999999998</v>
      </c>
      <c r="L273">
        <v>6425.0051400000002</v>
      </c>
      <c r="M273">
        <v>0</v>
      </c>
      <c r="N273">
        <v>84158.400659999999</v>
      </c>
      <c r="O273">
        <v>12063.89854</v>
      </c>
      <c r="P273">
        <v>0</v>
      </c>
      <c r="Q273">
        <v>59216.714039999999</v>
      </c>
      <c r="R273">
        <v>53822.26528</v>
      </c>
      <c r="S273">
        <v>0</v>
      </c>
    </row>
    <row r="274" spans="1:19">
      <c r="A274">
        <v>273</v>
      </c>
      <c r="B274" s="45">
        <f t="array" ref="B274">IFERROR(INDEX(baseline!$A$3:$A$201,MATCH($C274&amp;$D274,baseline!$C$3:$C$201&amp;baseline!$D$3:$D$201,0)),"NA")</f>
        <v>9</v>
      </c>
      <c r="C274" t="s">
        <v>697</v>
      </c>
      <c r="D274" t="s">
        <v>14</v>
      </c>
      <c r="E274" t="s">
        <v>1030</v>
      </c>
      <c r="F274">
        <v>148913.59</v>
      </c>
      <c r="G274">
        <v>2388.5449741513999</v>
      </c>
      <c r="H274">
        <v>2388.54</v>
      </c>
      <c r="I274">
        <v>0</v>
      </c>
      <c r="J274">
        <v>274433.55287999997</v>
      </c>
      <c r="K274">
        <v>1775.0014200000001</v>
      </c>
      <c r="L274">
        <v>6425.0051400000002</v>
      </c>
      <c r="M274">
        <v>0</v>
      </c>
      <c r="N274">
        <v>58911.158239999997</v>
      </c>
      <c r="O274">
        <v>12063.89854</v>
      </c>
      <c r="P274">
        <v>0</v>
      </c>
      <c r="Q274">
        <v>42736.145299999996</v>
      </c>
      <c r="R274">
        <v>32825.026259999999</v>
      </c>
      <c r="S274">
        <v>0</v>
      </c>
    </row>
    <row r="275" spans="1:19">
      <c r="A275">
        <v>274</v>
      </c>
      <c r="B275" s="45">
        <f t="array" ref="B275">IFERROR(INDEX(baseline!$A$3:$A$201,MATCH($C275&amp;$D275,baseline!$C$3:$C$201&amp;baseline!$D$3:$D$201,0)),"NA")</f>
        <v>9</v>
      </c>
      <c r="C275" t="s">
        <v>697</v>
      </c>
      <c r="D275" t="s">
        <v>14</v>
      </c>
      <c r="E275" t="s">
        <v>859</v>
      </c>
      <c r="F275">
        <v>3030.1</v>
      </c>
      <c r="G275">
        <v>2388.5449741513999</v>
      </c>
      <c r="H275">
        <v>2388.54</v>
      </c>
      <c r="I275">
        <v>0</v>
      </c>
      <c r="J275">
        <v>959697.98997999995</v>
      </c>
      <c r="K275">
        <v>1150.00092</v>
      </c>
      <c r="L275">
        <v>6425.0051400000002</v>
      </c>
      <c r="M275">
        <v>0</v>
      </c>
      <c r="N275">
        <v>84158.400659999999</v>
      </c>
      <c r="O275">
        <v>12063.89854</v>
      </c>
      <c r="P275">
        <v>0</v>
      </c>
      <c r="Q275">
        <v>53533.37616</v>
      </c>
      <c r="R275">
        <v>48288.927519999997</v>
      </c>
      <c r="S275">
        <v>0</v>
      </c>
    </row>
    <row r="276" spans="1:19">
      <c r="A276">
        <v>275</v>
      </c>
      <c r="B276" s="45">
        <f t="array" ref="B276">IFERROR(INDEX(baseline!$A$3:$A$201,MATCH($C276&amp;$D276,baseline!$C$3:$C$201&amp;baseline!$D$3:$D$201,0)),"NA")</f>
        <v>9</v>
      </c>
      <c r="C276" t="s">
        <v>697</v>
      </c>
      <c r="D276" t="s">
        <v>14</v>
      </c>
      <c r="E276" t="s">
        <v>865</v>
      </c>
      <c r="F276">
        <v>5112.62</v>
      </c>
      <c r="G276">
        <v>2388.5449741513999</v>
      </c>
      <c r="H276">
        <v>2388.54</v>
      </c>
      <c r="I276">
        <v>0</v>
      </c>
      <c r="J276">
        <v>959128.54507999995</v>
      </c>
      <c r="K276">
        <v>1166.6676</v>
      </c>
      <c r="L276">
        <v>6425.0051400000002</v>
      </c>
      <c r="M276">
        <v>0</v>
      </c>
      <c r="N276">
        <v>84158.400659999999</v>
      </c>
      <c r="O276">
        <v>12063.89854</v>
      </c>
      <c r="P276">
        <v>0</v>
      </c>
      <c r="Q276">
        <v>53527.820599999999</v>
      </c>
      <c r="R276">
        <v>37763.919099999999</v>
      </c>
      <c r="S276">
        <v>0</v>
      </c>
    </row>
    <row r="277" spans="1:19">
      <c r="A277">
        <v>276</v>
      </c>
      <c r="B277" s="45">
        <f t="array" ref="B277">IFERROR(INDEX(baseline!$A$3:$A$201,MATCH($C277&amp;$D277,baseline!$C$3:$C$201&amp;baseline!$D$3:$D$201,0)),"NA")</f>
        <v>16</v>
      </c>
      <c r="C277" t="s">
        <v>763</v>
      </c>
      <c r="D277" t="s">
        <v>13</v>
      </c>
      <c r="E277" t="s">
        <v>832</v>
      </c>
      <c r="F277">
        <v>14063.11</v>
      </c>
      <c r="G277">
        <v>1211.46221507992</v>
      </c>
      <c r="H277">
        <v>590.75</v>
      </c>
      <c r="I277">
        <v>11569.4537</v>
      </c>
      <c r="J277">
        <v>134486.2187</v>
      </c>
      <c r="K277">
        <v>9411.1186400000006</v>
      </c>
      <c r="L277">
        <v>7194.4502000000002</v>
      </c>
      <c r="M277">
        <v>0</v>
      </c>
      <c r="N277">
        <v>32363.914779999999</v>
      </c>
      <c r="O277">
        <v>7750.0061999999998</v>
      </c>
      <c r="P277">
        <v>0</v>
      </c>
      <c r="Q277">
        <v>22872.240519999999</v>
      </c>
      <c r="R277">
        <v>16.666679999999999</v>
      </c>
      <c r="S277">
        <v>0</v>
      </c>
    </row>
    <row r="278" spans="1:19">
      <c r="A278">
        <v>277</v>
      </c>
      <c r="B278" s="45">
        <f t="array" ref="B278">IFERROR(INDEX(baseline!$A$3:$A$201,MATCH($C278&amp;$D278,baseline!$C$3:$C$201&amp;baseline!$D$3:$D$201,0)),"NA")</f>
        <v>16</v>
      </c>
      <c r="C278" t="s">
        <v>763</v>
      </c>
      <c r="D278" t="s">
        <v>13</v>
      </c>
      <c r="E278" t="s">
        <v>869</v>
      </c>
      <c r="F278">
        <v>0</v>
      </c>
      <c r="G278">
        <v>1211.46221507992</v>
      </c>
      <c r="H278">
        <v>590.75</v>
      </c>
      <c r="I278">
        <v>725.00058000000001</v>
      </c>
      <c r="J278">
        <v>161922.35175999999</v>
      </c>
      <c r="K278">
        <v>2636.1132200000002</v>
      </c>
      <c r="L278">
        <v>7163.89462</v>
      </c>
      <c r="M278">
        <v>0</v>
      </c>
      <c r="N278">
        <v>32363.914779999999</v>
      </c>
      <c r="O278">
        <v>7750.0061999999998</v>
      </c>
      <c r="P278">
        <v>0</v>
      </c>
      <c r="Q278">
        <v>22894.462759999999</v>
      </c>
      <c r="R278">
        <v>16.666679999999999</v>
      </c>
      <c r="S278">
        <v>0</v>
      </c>
    </row>
    <row r="279" spans="1:19">
      <c r="A279">
        <v>278</v>
      </c>
      <c r="B279" s="45">
        <f t="array" ref="B279">IFERROR(INDEX(baseline!$A$3:$A$201,MATCH($C279&amp;$D279,baseline!$C$3:$C$201&amp;baseline!$D$3:$D$201,0)),"NA")</f>
        <v>16</v>
      </c>
      <c r="C279" t="s">
        <v>763</v>
      </c>
      <c r="D279" t="s">
        <v>13</v>
      </c>
      <c r="E279" t="s">
        <v>840</v>
      </c>
      <c r="F279">
        <v>929.13</v>
      </c>
      <c r="G279">
        <v>1211.46221507992</v>
      </c>
      <c r="H279">
        <v>590.75</v>
      </c>
      <c r="I279">
        <v>1655.5568800000001</v>
      </c>
      <c r="J279">
        <v>157327.90364</v>
      </c>
      <c r="K279">
        <v>3541.6695</v>
      </c>
      <c r="L279">
        <v>7163.89462</v>
      </c>
      <c r="M279">
        <v>0</v>
      </c>
      <c r="N279">
        <v>32363.914779999999</v>
      </c>
      <c r="O279">
        <v>7750.0061999999998</v>
      </c>
      <c r="P279">
        <v>0</v>
      </c>
      <c r="Q279">
        <v>22827.796040000001</v>
      </c>
      <c r="R279">
        <v>16.666679999999999</v>
      </c>
      <c r="S279">
        <v>0</v>
      </c>
    </row>
    <row r="280" spans="1:19">
      <c r="A280">
        <v>279</v>
      </c>
      <c r="B280" s="45">
        <f t="array" ref="B280">IFERROR(INDEX(baseline!$A$3:$A$201,MATCH($C280&amp;$D280,baseline!$C$3:$C$201&amp;baseline!$D$3:$D$201,0)),"NA")</f>
        <v>16</v>
      </c>
      <c r="C280" t="s">
        <v>763</v>
      </c>
      <c r="D280" t="s">
        <v>13</v>
      </c>
      <c r="E280" t="s">
        <v>839</v>
      </c>
      <c r="F280">
        <v>16747.57</v>
      </c>
      <c r="G280">
        <v>1211.46221507992</v>
      </c>
      <c r="H280">
        <v>590.75</v>
      </c>
      <c r="I280">
        <v>1655.5568800000001</v>
      </c>
      <c r="J280">
        <v>157327.90364</v>
      </c>
      <c r="K280">
        <v>2530.5575800000001</v>
      </c>
      <c r="L280">
        <v>7163.89462</v>
      </c>
      <c r="M280">
        <v>0</v>
      </c>
      <c r="N280">
        <v>32363.914779999999</v>
      </c>
      <c r="O280">
        <v>7750.0061999999998</v>
      </c>
      <c r="P280">
        <v>0</v>
      </c>
      <c r="Q280">
        <v>22827.796040000001</v>
      </c>
      <c r="R280">
        <v>16.666679999999999</v>
      </c>
      <c r="S280">
        <v>0</v>
      </c>
    </row>
    <row r="281" spans="1:19">
      <c r="A281">
        <v>280</v>
      </c>
      <c r="B281" s="45">
        <f t="array" ref="B281">IFERROR(INDEX(baseline!$A$3:$A$201,MATCH($C281&amp;$D281,baseline!$C$3:$C$201&amp;baseline!$D$3:$D$201,0)),"NA")</f>
        <v>16</v>
      </c>
      <c r="C281" t="s">
        <v>763</v>
      </c>
      <c r="D281" t="s">
        <v>13</v>
      </c>
      <c r="E281" t="s">
        <v>805</v>
      </c>
      <c r="F281">
        <v>13312.62</v>
      </c>
      <c r="G281">
        <v>1211.46221507992</v>
      </c>
      <c r="H281">
        <v>590.75</v>
      </c>
      <c r="I281">
        <v>1655.5568800000001</v>
      </c>
      <c r="J281">
        <v>157327.90364</v>
      </c>
      <c r="K281">
        <v>3541.6695</v>
      </c>
      <c r="L281">
        <v>7163.89462</v>
      </c>
      <c r="M281">
        <v>0</v>
      </c>
      <c r="N281">
        <v>32363.914779999999</v>
      </c>
      <c r="O281">
        <v>7750.0061999999998</v>
      </c>
      <c r="P281">
        <v>0</v>
      </c>
      <c r="Q281">
        <v>22827.796040000001</v>
      </c>
      <c r="R281">
        <v>16.666679999999999</v>
      </c>
      <c r="S281">
        <v>0</v>
      </c>
    </row>
    <row r="282" spans="1:19">
      <c r="A282">
        <v>281</v>
      </c>
      <c r="B282" s="45">
        <f t="array" ref="B282">IFERROR(INDEX(baseline!$A$3:$A$201,MATCH($C282&amp;$D282,baseline!$C$3:$C$201&amp;baseline!$D$3:$D$201,0)),"NA")</f>
        <v>16</v>
      </c>
      <c r="C282" t="s">
        <v>763</v>
      </c>
      <c r="D282" t="s">
        <v>13</v>
      </c>
      <c r="E282" t="s">
        <v>877</v>
      </c>
      <c r="F282">
        <v>14063.11</v>
      </c>
      <c r="G282">
        <v>1211.46221507992</v>
      </c>
      <c r="H282">
        <v>590.75</v>
      </c>
      <c r="I282">
        <v>20102.793860000002</v>
      </c>
      <c r="J282">
        <v>88311.181760000007</v>
      </c>
      <c r="K282">
        <v>6705.5609199999999</v>
      </c>
      <c r="L282">
        <v>7225.0057800000004</v>
      </c>
      <c r="M282">
        <v>0</v>
      </c>
      <c r="N282">
        <v>32363.914779999999</v>
      </c>
      <c r="O282">
        <v>7750.0061999999998</v>
      </c>
      <c r="P282">
        <v>0</v>
      </c>
      <c r="Q282">
        <v>23030.573980000001</v>
      </c>
      <c r="R282">
        <v>16.666679999999999</v>
      </c>
      <c r="S282">
        <v>0</v>
      </c>
    </row>
    <row r="283" spans="1:19">
      <c r="A283">
        <v>282</v>
      </c>
      <c r="B283" s="45">
        <f t="array" ref="B283">IFERROR(INDEX(baseline!$A$3:$A$201,MATCH($C283&amp;$D283,baseline!$C$3:$C$201&amp;baseline!$D$3:$D$201,0)),"NA")</f>
        <v>16</v>
      </c>
      <c r="C283" t="s">
        <v>763</v>
      </c>
      <c r="D283" t="s">
        <v>13</v>
      </c>
      <c r="E283" t="s">
        <v>838</v>
      </c>
      <c r="F283">
        <v>5495.15</v>
      </c>
      <c r="G283">
        <v>1211.46221507992</v>
      </c>
      <c r="H283">
        <v>590.75</v>
      </c>
      <c r="I283">
        <v>1655.5568800000001</v>
      </c>
      <c r="J283">
        <v>157327.90364</v>
      </c>
      <c r="K283">
        <v>3541.6695</v>
      </c>
      <c r="L283">
        <v>7163.89462</v>
      </c>
      <c r="M283">
        <v>0</v>
      </c>
      <c r="N283">
        <v>32363.914779999999</v>
      </c>
      <c r="O283">
        <v>7750.0061999999998</v>
      </c>
      <c r="P283">
        <v>0</v>
      </c>
      <c r="Q283">
        <v>22827.796040000001</v>
      </c>
      <c r="R283">
        <v>16.666679999999999</v>
      </c>
      <c r="S283">
        <v>0</v>
      </c>
    </row>
    <row r="284" spans="1:19">
      <c r="A284">
        <v>283</v>
      </c>
      <c r="B284" s="45">
        <f t="array" ref="B284">IFERROR(INDEX(baseline!$A$3:$A$201,MATCH($C284&amp;$D284,baseline!$C$3:$C$201&amp;baseline!$D$3:$D$201,0)),"NA")</f>
        <v>16</v>
      </c>
      <c r="C284" t="s">
        <v>763</v>
      </c>
      <c r="D284" t="s">
        <v>13</v>
      </c>
      <c r="E284" t="s">
        <v>1013</v>
      </c>
      <c r="F284">
        <v>40479.61</v>
      </c>
      <c r="G284">
        <v>1211.46221507992</v>
      </c>
      <c r="H284">
        <v>590.75</v>
      </c>
      <c r="I284">
        <v>1258.3343400000001</v>
      </c>
      <c r="J284">
        <v>165264.02110000001</v>
      </c>
      <c r="K284">
        <v>2525.0020199999999</v>
      </c>
      <c r="L284">
        <v>7166.6724000000004</v>
      </c>
      <c r="M284">
        <v>0</v>
      </c>
      <c r="N284">
        <v>22655.573680000001</v>
      </c>
      <c r="O284">
        <v>7750.0061999999998</v>
      </c>
      <c r="P284">
        <v>0</v>
      </c>
      <c r="Q284">
        <v>20369.460739999999</v>
      </c>
      <c r="R284">
        <v>11.11112</v>
      </c>
      <c r="S284">
        <v>0</v>
      </c>
    </row>
    <row r="285" spans="1:19">
      <c r="A285">
        <v>284</v>
      </c>
      <c r="B285" s="45">
        <f t="array" ref="B285">IFERROR(INDEX(baseline!$A$3:$A$201,MATCH($C285&amp;$D285,baseline!$C$3:$C$201&amp;baseline!$D$3:$D$201,0)),"NA")</f>
        <v>16</v>
      </c>
      <c r="C285" t="s">
        <v>763</v>
      </c>
      <c r="D285" t="s">
        <v>13</v>
      </c>
      <c r="E285" t="s">
        <v>893</v>
      </c>
      <c r="F285">
        <v>151892.23000000001</v>
      </c>
      <c r="G285">
        <v>1211.46221507992</v>
      </c>
      <c r="H285">
        <v>590.75</v>
      </c>
      <c r="I285">
        <v>1727.77916</v>
      </c>
      <c r="J285">
        <v>127475.10198000001</v>
      </c>
      <c r="K285">
        <v>3100.0024800000001</v>
      </c>
      <c r="L285">
        <v>7125.0056999999997</v>
      </c>
      <c r="M285">
        <v>0</v>
      </c>
      <c r="N285">
        <v>32363.914779999999</v>
      </c>
      <c r="O285">
        <v>7750.0061999999998</v>
      </c>
      <c r="P285">
        <v>0</v>
      </c>
      <c r="Q285">
        <v>19777.793600000001</v>
      </c>
      <c r="R285">
        <v>16.666679999999999</v>
      </c>
      <c r="S285">
        <v>0</v>
      </c>
    </row>
    <row r="286" spans="1:19">
      <c r="A286">
        <v>285</v>
      </c>
      <c r="B286" s="45">
        <f t="array" ref="B286">IFERROR(INDEX(baseline!$A$3:$A$201,MATCH($C286&amp;$D286,baseline!$C$3:$C$201&amp;baseline!$D$3:$D$201,0)),"NA")</f>
        <v>16</v>
      </c>
      <c r="C286" t="s">
        <v>763</v>
      </c>
      <c r="D286" t="s">
        <v>13</v>
      </c>
      <c r="E286" t="s">
        <v>892</v>
      </c>
      <c r="F286">
        <v>126489.32</v>
      </c>
      <c r="G286">
        <v>1211.46221507992</v>
      </c>
      <c r="H286">
        <v>590.75</v>
      </c>
      <c r="I286">
        <v>1613.8901800000001</v>
      </c>
      <c r="J286">
        <v>145941.78341999999</v>
      </c>
      <c r="K286">
        <v>3591.6695399999999</v>
      </c>
      <c r="L286">
        <v>7113.8945800000001</v>
      </c>
      <c r="M286">
        <v>0</v>
      </c>
      <c r="N286">
        <v>32363.914779999999</v>
      </c>
      <c r="O286">
        <v>7750.0061999999998</v>
      </c>
      <c r="P286">
        <v>0</v>
      </c>
      <c r="Q286">
        <v>21569.4617</v>
      </c>
      <c r="R286">
        <v>16.666679999999999</v>
      </c>
      <c r="S286">
        <v>0</v>
      </c>
    </row>
    <row r="287" spans="1:19">
      <c r="A287">
        <v>286</v>
      </c>
      <c r="B287" s="45">
        <f t="array" ref="B287">IFERROR(INDEX(baseline!$A$3:$A$201,MATCH($C287&amp;$D287,baseline!$C$3:$C$201&amp;baseline!$D$3:$D$201,0)),"NA")</f>
        <v>16</v>
      </c>
      <c r="C287" t="s">
        <v>763</v>
      </c>
      <c r="D287" t="s">
        <v>13</v>
      </c>
      <c r="E287" t="s">
        <v>894</v>
      </c>
      <c r="F287">
        <v>47330.1</v>
      </c>
      <c r="G287">
        <v>1211.46221507992</v>
      </c>
      <c r="H287">
        <v>590.75</v>
      </c>
      <c r="I287">
        <v>1652.7791</v>
      </c>
      <c r="J287">
        <v>152733.45551999999</v>
      </c>
      <c r="K287">
        <v>3572.2250800000002</v>
      </c>
      <c r="L287">
        <v>7161.1168399999997</v>
      </c>
      <c r="M287">
        <v>0</v>
      </c>
      <c r="N287">
        <v>32363.914779999999</v>
      </c>
      <c r="O287">
        <v>7750.0061999999998</v>
      </c>
      <c r="P287">
        <v>0</v>
      </c>
      <c r="Q287">
        <v>22475.017980000001</v>
      </c>
      <c r="R287">
        <v>16.666679999999999</v>
      </c>
      <c r="S287">
        <v>0</v>
      </c>
    </row>
    <row r="288" spans="1:19">
      <c r="A288">
        <v>287</v>
      </c>
      <c r="B288" s="45">
        <f t="array" ref="B288">IFERROR(INDEX(baseline!$A$3:$A$201,MATCH($C288&amp;$D288,baseline!$C$3:$C$201&amp;baseline!$D$3:$D$201,0)),"NA")</f>
        <v>16</v>
      </c>
      <c r="C288" t="s">
        <v>763</v>
      </c>
      <c r="D288" t="s">
        <v>13</v>
      </c>
      <c r="E288" t="s">
        <v>837</v>
      </c>
      <c r="F288">
        <v>1464.08</v>
      </c>
      <c r="G288">
        <v>1211.46221507992</v>
      </c>
      <c r="H288">
        <v>590.75</v>
      </c>
      <c r="I288">
        <v>1655.5568800000001</v>
      </c>
      <c r="J288">
        <v>157327.90364</v>
      </c>
      <c r="K288">
        <v>3563.89174</v>
      </c>
      <c r="L288">
        <v>7163.89462</v>
      </c>
      <c r="M288">
        <v>0</v>
      </c>
      <c r="N288">
        <v>32363.914779999999</v>
      </c>
      <c r="O288">
        <v>7750.0061999999998</v>
      </c>
      <c r="P288">
        <v>0</v>
      </c>
      <c r="Q288">
        <v>20288.905119999999</v>
      </c>
      <c r="R288">
        <v>16.666679999999999</v>
      </c>
      <c r="S288">
        <v>0</v>
      </c>
    </row>
    <row r="289" spans="1:19">
      <c r="A289">
        <v>288</v>
      </c>
      <c r="B289" s="45">
        <f t="array" ref="B289">IFERROR(INDEX(baseline!$A$3:$A$201,MATCH($C289&amp;$D289,baseline!$C$3:$C$201&amp;baseline!$D$3:$D$201,0)),"NA")</f>
        <v>16</v>
      </c>
      <c r="C289" t="s">
        <v>763</v>
      </c>
      <c r="D289" t="s">
        <v>13</v>
      </c>
      <c r="E289" t="s">
        <v>833</v>
      </c>
      <c r="F289">
        <v>4038.83</v>
      </c>
      <c r="G289">
        <v>1211.46221507992</v>
      </c>
      <c r="H289">
        <v>590.75</v>
      </c>
      <c r="I289">
        <v>1658.33466</v>
      </c>
      <c r="J289">
        <v>157502.90377999999</v>
      </c>
      <c r="K289">
        <v>3530.5583799999999</v>
      </c>
      <c r="L289">
        <v>7163.89462</v>
      </c>
      <c r="M289">
        <v>0</v>
      </c>
      <c r="N289">
        <v>32363.914779999999</v>
      </c>
      <c r="O289">
        <v>7750.0061999999998</v>
      </c>
      <c r="P289">
        <v>0</v>
      </c>
      <c r="Q289">
        <v>22638.906999999999</v>
      </c>
      <c r="R289">
        <v>16.666679999999999</v>
      </c>
      <c r="S289">
        <v>0</v>
      </c>
    </row>
    <row r="290" spans="1:19">
      <c r="A290">
        <v>289</v>
      </c>
      <c r="B290" s="45">
        <f t="array" ref="B290">IFERROR(INDEX(baseline!$A$3:$A$201,MATCH($C290&amp;$D290,baseline!$C$3:$C$201&amp;baseline!$D$3:$D$201,0)),"NA")</f>
        <v>16</v>
      </c>
      <c r="C290" t="s">
        <v>763</v>
      </c>
      <c r="D290" t="s">
        <v>13</v>
      </c>
      <c r="E290" t="s">
        <v>835</v>
      </c>
      <c r="F290">
        <v>162160.19</v>
      </c>
      <c r="G290">
        <v>1211.46221507992</v>
      </c>
      <c r="H290">
        <v>590.75</v>
      </c>
      <c r="I290">
        <v>1655.5568800000001</v>
      </c>
      <c r="J290">
        <v>157327.90364</v>
      </c>
      <c r="K290">
        <v>3541.6695</v>
      </c>
      <c r="L290">
        <v>7163.89462</v>
      </c>
      <c r="M290">
        <v>0</v>
      </c>
      <c r="N290">
        <v>32363.914779999999</v>
      </c>
      <c r="O290">
        <v>7750.0061999999998</v>
      </c>
      <c r="P290">
        <v>0</v>
      </c>
      <c r="Q290">
        <v>22827.796040000001</v>
      </c>
      <c r="R290">
        <v>16.666679999999999</v>
      </c>
      <c r="S290">
        <v>0</v>
      </c>
    </row>
    <row r="291" spans="1:19">
      <c r="A291">
        <v>290</v>
      </c>
      <c r="B291" s="45">
        <f t="array" ref="B291">IFERROR(INDEX(baseline!$A$3:$A$201,MATCH($C291&amp;$D291,baseline!$C$3:$C$201&amp;baseline!$D$3:$D$201,0)),"NA")</f>
        <v>16</v>
      </c>
      <c r="C291" t="s">
        <v>763</v>
      </c>
      <c r="D291" t="s">
        <v>13</v>
      </c>
      <c r="E291" t="s">
        <v>863</v>
      </c>
      <c r="F291">
        <v>35879.61</v>
      </c>
      <c r="G291">
        <v>1211.46221507992</v>
      </c>
      <c r="H291">
        <v>590.75</v>
      </c>
      <c r="I291">
        <v>1555.5568000000001</v>
      </c>
      <c r="J291">
        <v>94361.186600000001</v>
      </c>
      <c r="K291">
        <v>4313.8923400000003</v>
      </c>
      <c r="L291">
        <v>6986.1166999999996</v>
      </c>
      <c r="M291">
        <v>0</v>
      </c>
      <c r="N291">
        <v>32363.914779999999</v>
      </c>
      <c r="O291">
        <v>7750.0061999999998</v>
      </c>
      <c r="P291">
        <v>0</v>
      </c>
      <c r="Q291">
        <v>16641.679980000001</v>
      </c>
      <c r="R291">
        <v>16.666679999999999</v>
      </c>
      <c r="S291">
        <v>0</v>
      </c>
    </row>
    <row r="292" spans="1:19">
      <c r="A292">
        <v>291</v>
      </c>
      <c r="B292" s="45">
        <f t="array" ref="B292">IFERROR(INDEX(baseline!$A$3:$A$201,MATCH($C292&amp;$D292,baseline!$C$3:$C$201&amp;baseline!$D$3:$D$201,0)),"NA")</f>
        <v>16</v>
      </c>
      <c r="C292" t="s">
        <v>763</v>
      </c>
      <c r="D292" t="s">
        <v>13</v>
      </c>
      <c r="E292" t="s">
        <v>1011</v>
      </c>
      <c r="F292">
        <v>43502.91</v>
      </c>
      <c r="G292">
        <v>1211.46221507992</v>
      </c>
      <c r="H292">
        <v>590.75</v>
      </c>
      <c r="I292">
        <v>1394.4455599999999</v>
      </c>
      <c r="J292">
        <v>79605.61924</v>
      </c>
      <c r="K292">
        <v>3419.4471800000001</v>
      </c>
      <c r="L292">
        <v>7005.5611600000002</v>
      </c>
      <c r="M292">
        <v>0</v>
      </c>
      <c r="N292">
        <v>32363.914779999999</v>
      </c>
      <c r="O292">
        <v>7750.0061999999998</v>
      </c>
      <c r="P292">
        <v>0</v>
      </c>
      <c r="Q292">
        <v>18808.348379999999</v>
      </c>
      <c r="R292">
        <v>16.666679999999999</v>
      </c>
      <c r="S292">
        <v>0</v>
      </c>
    </row>
    <row r="293" spans="1:19">
      <c r="A293">
        <v>292</v>
      </c>
      <c r="B293" s="45">
        <f t="array" ref="B293">IFERROR(INDEX(baseline!$A$3:$A$201,MATCH($C293&amp;$D293,baseline!$C$3:$C$201&amp;baseline!$D$3:$D$201,0)),"NA")</f>
        <v>16</v>
      </c>
      <c r="C293" t="s">
        <v>763</v>
      </c>
      <c r="D293" t="s">
        <v>13</v>
      </c>
      <c r="E293" t="s">
        <v>860</v>
      </c>
      <c r="F293">
        <v>19600.97</v>
      </c>
      <c r="G293">
        <v>1211.46221507992</v>
      </c>
      <c r="H293">
        <v>590.75</v>
      </c>
      <c r="I293">
        <v>1288.8899200000001</v>
      </c>
      <c r="J293">
        <v>164989.02088</v>
      </c>
      <c r="K293">
        <v>2583.3353999999999</v>
      </c>
      <c r="L293">
        <v>7166.6724000000004</v>
      </c>
      <c r="M293">
        <v>0</v>
      </c>
      <c r="N293">
        <v>22655.573680000001</v>
      </c>
      <c r="O293">
        <v>7750.0061999999998</v>
      </c>
      <c r="P293">
        <v>0</v>
      </c>
      <c r="Q293">
        <v>22880.57386</v>
      </c>
      <c r="R293">
        <v>16.666679999999999</v>
      </c>
      <c r="S293">
        <v>0</v>
      </c>
    </row>
    <row r="294" spans="1:19">
      <c r="A294">
        <v>293</v>
      </c>
      <c r="B294" s="45">
        <f t="array" ref="B294">IFERROR(INDEX(baseline!$A$3:$A$201,MATCH($C294&amp;$D294,baseline!$C$3:$C$201&amp;baseline!$D$3:$D$201,0)),"NA")</f>
        <v>16</v>
      </c>
      <c r="C294" t="s">
        <v>763</v>
      </c>
      <c r="D294" t="s">
        <v>13</v>
      </c>
      <c r="E294" t="s">
        <v>1019</v>
      </c>
      <c r="F294">
        <v>44432.04</v>
      </c>
      <c r="G294">
        <v>1211.46221507992</v>
      </c>
      <c r="H294">
        <v>590.75</v>
      </c>
      <c r="I294">
        <v>1394.4455599999999</v>
      </c>
      <c r="J294">
        <v>79605.61924</v>
      </c>
      <c r="K294">
        <v>3419.4471800000001</v>
      </c>
      <c r="L294">
        <v>7005.5611600000002</v>
      </c>
      <c r="M294">
        <v>0</v>
      </c>
      <c r="N294">
        <v>32363.914779999999</v>
      </c>
      <c r="O294">
        <v>7750.0061999999998</v>
      </c>
      <c r="P294">
        <v>0</v>
      </c>
      <c r="Q294">
        <v>18808.348379999999</v>
      </c>
      <c r="R294">
        <v>16.666679999999999</v>
      </c>
      <c r="S294">
        <v>0</v>
      </c>
    </row>
    <row r="295" spans="1:19">
      <c r="A295">
        <v>294</v>
      </c>
      <c r="B295" s="45">
        <f t="array" ref="B295">IFERROR(INDEX(baseline!$A$3:$A$201,MATCH($C295&amp;$D295,baseline!$C$3:$C$201&amp;baseline!$D$3:$D$201,0)),"NA")</f>
        <v>16</v>
      </c>
      <c r="C295" t="s">
        <v>763</v>
      </c>
      <c r="D295" t="s">
        <v>13</v>
      </c>
      <c r="E295" t="s">
        <v>836</v>
      </c>
      <c r="F295">
        <v>7623.3</v>
      </c>
      <c r="G295">
        <v>1211.46221507992</v>
      </c>
      <c r="H295">
        <v>590.75</v>
      </c>
      <c r="I295">
        <v>1450.00116</v>
      </c>
      <c r="J295">
        <v>135277.886</v>
      </c>
      <c r="K295">
        <v>2763.8910999999998</v>
      </c>
      <c r="L295">
        <v>7183.3390799999997</v>
      </c>
      <c r="M295">
        <v>0</v>
      </c>
      <c r="N295">
        <v>32363.914779999999</v>
      </c>
      <c r="O295">
        <v>7750.0061999999998</v>
      </c>
      <c r="P295">
        <v>0</v>
      </c>
      <c r="Q295">
        <v>25925.02074</v>
      </c>
      <c r="R295">
        <v>16.666679999999999</v>
      </c>
      <c r="S295">
        <v>0</v>
      </c>
    </row>
    <row r="296" spans="1:19">
      <c r="A296">
        <v>295</v>
      </c>
      <c r="B296" s="45">
        <f t="array" ref="B296">IFERROR(INDEX(baseline!$A$3:$A$201,MATCH($C296&amp;$D296,baseline!$C$3:$C$201&amp;baseline!$D$3:$D$201,0)),"NA")</f>
        <v>16</v>
      </c>
      <c r="C296" t="s">
        <v>763</v>
      </c>
      <c r="D296" t="s">
        <v>13</v>
      </c>
      <c r="E296" t="s">
        <v>1030</v>
      </c>
      <c r="F296">
        <v>110781.55</v>
      </c>
      <c r="G296">
        <v>1211.46221507992</v>
      </c>
      <c r="H296">
        <v>590.75</v>
      </c>
      <c r="I296">
        <v>9944.4524000000001</v>
      </c>
      <c r="J296">
        <v>57530.601580000002</v>
      </c>
      <c r="K296">
        <v>6300.00504</v>
      </c>
      <c r="L296">
        <v>7058.3389800000004</v>
      </c>
      <c r="M296">
        <v>0</v>
      </c>
      <c r="N296">
        <v>22655.573680000001</v>
      </c>
      <c r="O296">
        <v>7750.0061999999998</v>
      </c>
      <c r="P296">
        <v>0</v>
      </c>
      <c r="Q296">
        <v>16436.124260000001</v>
      </c>
      <c r="R296">
        <v>11.11112</v>
      </c>
      <c r="S296">
        <v>0</v>
      </c>
    </row>
    <row r="297" spans="1:19">
      <c r="A297">
        <v>296</v>
      </c>
      <c r="B297" s="45">
        <f t="array" ref="B297">IFERROR(INDEX(baseline!$A$3:$A$201,MATCH($C297&amp;$D297,baseline!$C$3:$C$201&amp;baseline!$D$3:$D$201,0)),"NA")</f>
        <v>16</v>
      </c>
      <c r="C297" t="s">
        <v>763</v>
      </c>
      <c r="D297" t="s">
        <v>13</v>
      </c>
      <c r="E297" t="s">
        <v>859</v>
      </c>
      <c r="F297">
        <v>4407.7700000000004</v>
      </c>
      <c r="G297">
        <v>1211.46221507992</v>
      </c>
      <c r="H297">
        <v>590.75</v>
      </c>
      <c r="I297">
        <v>1630.5568599999999</v>
      </c>
      <c r="J297">
        <v>157544.57047999999</v>
      </c>
      <c r="K297">
        <v>3447.22498</v>
      </c>
      <c r="L297">
        <v>7161.1168399999997</v>
      </c>
      <c r="M297">
        <v>0</v>
      </c>
      <c r="N297">
        <v>32363.914779999999</v>
      </c>
      <c r="O297">
        <v>7750.0061999999998</v>
      </c>
      <c r="P297">
        <v>0</v>
      </c>
      <c r="Q297">
        <v>22852.796060000001</v>
      </c>
      <c r="R297">
        <v>16.666679999999999</v>
      </c>
      <c r="S297">
        <v>0</v>
      </c>
    </row>
    <row r="298" spans="1:19">
      <c r="A298">
        <v>297</v>
      </c>
      <c r="B298" s="45">
        <f t="array" ref="B298">IFERROR(INDEX(baseline!$A$3:$A$201,MATCH($C298&amp;$D298,baseline!$C$3:$C$201&amp;baseline!$D$3:$D$201,0)),"NA")</f>
        <v>16</v>
      </c>
      <c r="C298" t="s">
        <v>763</v>
      </c>
      <c r="D298" t="s">
        <v>13</v>
      </c>
      <c r="E298" t="s">
        <v>865</v>
      </c>
      <c r="F298">
        <v>1694.17</v>
      </c>
      <c r="G298">
        <v>1211.46221507992</v>
      </c>
      <c r="H298">
        <v>590.75</v>
      </c>
      <c r="I298">
        <v>1655.5568800000001</v>
      </c>
      <c r="J298">
        <v>157327.90364</v>
      </c>
      <c r="K298">
        <v>3541.6695</v>
      </c>
      <c r="L298">
        <v>7163.89462</v>
      </c>
      <c r="M298">
        <v>0</v>
      </c>
      <c r="N298">
        <v>32363.914779999999</v>
      </c>
      <c r="O298">
        <v>7750.0061999999998</v>
      </c>
      <c r="P298">
        <v>0</v>
      </c>
      <c r="Q298">
        <v>22827.796040000001</v>
      </c>
      <c r="R298">
        <v>11.11112</v>
      </c>
      <c r="S298">
        <v>0</v>
      </c>
    </row>
    <row r="299" spans="1:19">
      <c r="A299">
        <v>298</v>
      </c>
      <c r="B299" s="45">
        <f t="array" ref="B299">IFERROR(INDEX(baseline!$A$3:$A$201,MATCH($C299&amp;$D299,baseline!$C$3:$C$201&amp;baseline!$D$3:$D$201,0)),"NA")</f>
        <v>17</v>
      </c>
      <c r="C299" t="s">
        <v>763</v>
      </c>
      <c r="D299" t="s">
        <v>14</v>
      </c>
      <c r="E299" t="s">
        <v>832</v>
      </c>
      <c r="F299">
        <v>14063.11</v>
      </c>
      <c r="G299">
        <v>1211.46221507992</v>
      </c>
      <c r="H299">
        <v>590.75</v>
      </c>
      <c r="I299">
        <v>7066.6723199999997</v>
      </c>
      <c r="J299">
        <v>76333.394400000005</v>
      </c>
      <c r="K299">
        <v>6077.7826400000004</v>
      </c>
      <c r="L299">
        <v>7008.3389399999996</v>
      </c>
      <c r="M299">
        <v>0</v>
      </c>
      <c r="N299">
        <v>32363.914779999999</v>
      </c>
      <c r="O299">
        <v>7750.0061999999998</v>
      </c>
      <c r="P299">
        <v>0</v>
      </c>
      <c r="Q299">
        <v>15800.012640000001</v>
      </c>
      <c r="R299">
        <v>16.666679999999999</v>
      </c>
      <c r="S299">
        <v>0</v>
      </c>
    </row>
    <row r="300" spans="1:19">
      <c r="A300">
        <v>299</v>
      </c>
      <c r="B300" s="45">
        <f t="array" ref="B300">IFERROR(INDEX(baseline!$A$3:$A$201,MATCH($C300&amp;$D300,baseline!$C$3:$C$201&amp;baseline!$D$3:$D$201,0)),"NA")</f>
        <v>17</v>
      </c>
      <c r="C300" t="s">
        <v>763</v>
      </c>
      <c r="D300" t="s">
        <v>14</v>
      </c>
      <c r="E300" t="s">
        <v>869</v>
      </c>
      <c r="F300">
        <v>0</v>
      </c>
      <c r="G300">
        <v>1211.46221507992</v>
      </c>
      <c r="H300">
        <v>590.75</v>
      </c>
      <c r="I300">
        <v>800.00063999999998</v>
      </c>
      <c r="J300">
        <v>90105.627640000006</v>
      </c>
      <c r="K300">
        <v>2255.5573599999998</v>
      </c>
      <c r="L300">
        <v>6980.5611399999998</v>
      </c>
      <c r="M300">
        <v>0</v>
      </c>
      <c r="N300">
        <v>32363.914779999999</v>
      </c>
      <c r="O300">
        <v>7750.0061999999998</v>
      </c>
      <c r="P300">
        <v>0</v>
      </c>
      <c r="Q300">
        <v>15811.12376</v>
      </c>
      <c r="R300">
        <v>16.666679999999999</v>
      </c>
      <c r="S300">
        <v>0</v>
      </c>
    </row>
    <row r="301" spans="1:19">
      <c r="A301">
        <v>300</v>
      </c>
      <c r="B301" s="45">
        <f t="array" ref="B301">IFERROR(INDEX(baseline!$A$3:$A$201,MATCH($C301&amp;$D301,baseline!$C$3:$C$201&amp;baseline!$D$3:$D$201,0)),"NA")</f>
        <v>17</v>
      </c>
      <c r="C301" t="s">
        <v>763</v>
      </c>
      <c r="D301" t="s">
        <v>14</v>
      </c>
      <c r="E301" t="s">
        <v>840</v>
      </c>
      <c r="F301">
        <v>929.13</v>
      </c>
      <c r="G301">
        <v>1211.46221507992</v>
      </c>
      <c r="H301">
        <v>590.75</v>
      </c>
      <c r="I301">
        <v>1575.00126</v>
      </c>
      <c r="J301">
        <v>87047.291859999998</v>
      </c>
      <c r="K301">
        <v>3202.7803399999998</v>
      </c>
      <c r="L301">
        <v>6983.3389200000001</v>
      </c>
      <c r="M301">
        <v>0</v>
      </c>
      <c r="N301">
        <v>32363.914779999999</v>
      </c>
      <c r="O301">
        <v>7750.0061999999998</v>
      </c>
      <c r="P301">
        <v>0</v>
      </c>
      <c r="Q301">
        <v>15797.23486</v>
      </c>
      <c r="R301">
        <v>16.666679999999999</v>
      </c>
      <c r="S301">
        <v>0</v>
      </c>
    </row>
    <row r="302" spans="1:19">
      <c r="A302">
        <v>301</v>
      </c>
      <c r="B302" s="45">
        <f t="array" ref="B302">IFERROR(INDEX(baseline!$A$3:$A$201,MATCH($C302&amp;$D302,baseline!$C$3:$C$201&amp;baseline!$D$3:$D$201,0)),"NA")</f>
        <v>17</v>
      </c>
      <c r="C302" t="s">
        <v>763</v>
      </c>
      <c r="D302" t="s">
        <v>14</v>
      </c>
      <c r="E302" t="s">
        <v>839</v>
      </c>
      <c r="F302">
        <v>16747.57</v>
      </c>
      <c r="G302">
        <v>1211.46221507992</v>
      </c>
      <c r="H302">
        <v>590.75</v>
      </c>
      <c r="I302">
        <v>1575.00126</v>
      </c>
      <c r="J302">
        <v>87047.291859999998</v>
      </c>
      <c r="K302">
        <v>2744.4466400000001</v>
      </c>
      <c r="L302">
        <v>6983.3389200000001</v>
      </c>
      <c r="M302">
        <v>0</v>
      </c>
      <c r="N302">
        <v>32363.914779999999</v>
      </c>
      <c r="O302">
        <v>7750.0061999999998</v>
      </c>
      <c r="P302">
        <v>0</v>
      </c>
      <c r="Q302">
        <v>15797.23486</v>
      </c>
      <c r="R302">
        <v>16.666679999999999</v>
      </c>
      <c r="S302">
        <v>0</v>
      </c>
    </row>
    <row r="303" spans="1:19">
      <c r="A303">
        <v>302</v>
      </c>
      <c r="B303" s="45">
        <f t="array" ref="B303">IFERROR(INDEX(baseline!$A$3:$A$201,MATCH($C303&amp;$D303,baseline!$C$3:$C$201&amp;baseline!$D$3:$D$201,0)),"NA")</f>
        <v>17</v>
      </c>
      <c r="C303" t="s">
        <v>763</v>
      </c>
      <c r="D303" t="s">
        <v>14</v>
      </c>
      <c r="E303" t="s">
        <v>805</v>
      </c>
      <c r="F303">
        <v>13312.62</v>
      </c>
      <c r="G303">
        <v>1211.46221507992</v>
      </c>
      <c r="H303">
        <v>590.75</v>
      </c>
      <c r="I303">
        <v>1575.00126</v>
      </c>
      <c r="J303">
        <v>87047.291859999998</v>
      </c>
      <c r="K303">
        <v>3202.7803399999998</v>
      </c>
      <c r="L303">
        <v>6983.3389200000001</v>
      </c>
      <c r="M303">
        <v>0</v>
      </c>
      <c r="N303">
        <v>32363.914779999999</v>
      </c>
      <c r="O303">
        <v>7750.0061999999998</v>
      </c>
      <c r="P303">
        <v>0</v>
      </c>
      <c r="Q303">
        <v>15797.23486</v>
      </c>
      <c r="R303">
        <v>16.666679999999999</v>
      </c>
      <c r="S303">
        <v>0</v>
      </c>
    </row>
    <row r="304" spans="1:19">
      <c r="A304">
        <v>303</v>
      </c>
      <c r="B304" s="45">
        <f t="array" ref="B304">IFERROR(INDEX(baseline!$A$3:$A$201,MATCH($C304&amp;$D304,baseline!$C$3:$C$201&amp;baseline!$D$3:$D$201,0)),"NA")</f>
        <v>17</v>
      </c>
      <c r="C304" t="s">
        <v>763</v>
      </c>
      <c r="D304" t="s">
        <v>14</v>
      </c>
      <c r="E304" t="s">
        <v>877</v>
      </c>
      <c r="F304">
        <v>14063.11</v>
      </c>
      <c r="G304">
        <v>1211.46221507992</v>
      </c>
      <c r="H304">
        <v>590.75</v>
      </c>
      <c r="I304">
        <v>13108.34382</v>
      </c>
      <c r="J304">
        <v>46516.703880000001</v>
      </c>
      <c r="K304">
        <v>5127.7818799999995</v>
      </c>
      <c r="L304">
        <v>7050.0056400000003</v>
      </c>
      <c r="M304">
        <v>0</v>
      </c>
      <c r="N304">
        <v>32363.914779999999</v>
      </c>
      <c r="O304">
        <v>7750.0061999999998</v>
      </c>
      <c r="P304">
        <v>0</v>
      </c>
      <c r="Q304">
        <v>15938.90164</v>
      </c>
      <c r="R304">
        <v>16.666679999999999</v>
      </c>
      <c r="S304">
        <v>0</v>
      </c>
    </row>
    <row r="305" spans="1:19">
      <c r="A305">
        <v>304</v>
      </c>
      <c r="B305" s="45">
        <f t="array" ref="B305">IFERROR(INDEX(baseline!$A$3:$A$201,MATCH($C305&amp;$D305,baseline!$C$3:$C$201&amp;baseline!$D$3:$D$201,0)),"NA")</f>
        <v>17</v>
      </c>
      <c r="C305" t="s">
        <v>763</v>
      </c>
      <c r="D305" t="s">
        <v>14</v>
      </c>
      <c r="E305" t="s">
        <v>838</v>
      </c>
      <c r="F305">
        <v>5495.15</v>
      </c>
      <c r="G305">
        <v>1211.46221507992</v>
      </c>
      <c r="H305">
        <v>590.75</v>
      </c>
      <c r="I305">
        <v>1575.00126</v>
      </c>
      <c r="J305">
        <v>87047.291859999998</v>
      </c>
      <c r="K305">
        <v>3202.7803399999998</v>
      </c>
      <c r="L305">
        <v>6983.3389200000001</v>
      </c>
      <c r="M305">
        <v>0</v>
      </c>
      <c r="N305">
        <v>32363.914779999999</v>
      </c>
      <c r="O305">
        <v>7750.0061999999998</v>
      </c>
      <c r="P305">
        <v>0</v>
      </c>
      <c r="Q305">
        <v>15797.23486</v>
      </c>
      <c r="R305">
        <v>16.666679999999999</v>
      </c>
      <c r="S305">
        <v>0</v>
      </c>
    </row>
    <row r="306" spans="1:19">
      <c r="A306">
        <v>305</v>
      </c>
      <c r="B306" s="45">
        <f t="array" ref="B306">IFERROR(INDEX(baseline!$A$3:$A$201,MATCH($C306&amp;$D306,baseline!$C$3:$C$201&amp;baseline!$D$3:$D$201,0)),"NA")</f>
        <v>17</v>
      </c>
      <c r="C306" t="s">
        <v>763</v>
      </c>
      <c r="D306" t="s">
        <v>14</v>
      </c>
      <c r="E306" t="s">
        <v>1013</v>
      </c>
      <c r="F306">
        <v>40479.61</v>
      </c>
      <c r="G306">
        <v>1211.46221507992</v>
      </c>
      <c r="H306">
        <v>590.75</v>
      </c>
      <c r="I306">
        <v>1275.0010199999999</v>
      </c>
      <c r="J306">
        <v>93830.630619999996</v>
      </c>
      <c r="K306">
        <v>2113.8905800000002</v>
      </c>
      <c r="L306">
        <v>6988.8944799999999</v>
      </c>
      <c r="M306">
        <v>0</v>
      </c>
      <c r="N306">
        <v>22655.573680000001</v>
      </c>
      <c r="O306">
        <v>7750.0061999999998</v>
      </c>
      <c r="P306">
        <v>0</v>
      </c>
      <c r="Q306">
        <v>13316.677320000001</v>
      </c>
      <c r="R306">
        <v>11.11112</v>
      </c>
      <c r="S306">
        <v>0</v>
      </c>
    </row>
    <row r="307" spans="1:19">
      <c r="A307">
        <v>306</v>
      </c>
      <c r="B307" s="45">
        <f t="array" ref="B307">IFERROR(INDEX(baseline!$A$3:$A$201,MATCH($C307&amp;$D307,baseline!$C$3:$C$201&amp;baseline!$D$3:$D$201,0)),"NA")</f>
        <v>17</v>
      </c>
      <c r="C307" t="s">
        <v>763</v>
      </c>
      <c r="D307" t="s">
        <v>14</v>
      </c>
      <c r="E307" t="s">
        <v>893</v>
      </c>
      <c r="F307">
        <v>151892.23000000001</v>
      </c>
      <c r="G307">
        <v>1211.46221507992</v>
      </c>
      <c r="H307">
        <v>590.75</v>
      </c>
      <c r="I307">
        <v>1586.11238</v>
      </c>
      <c r="J307">
        <v>76958.394899999999</v>
      </c>
      <c r="K307">
        <v>3150.00252</v>
      </c>
      <c r="L307">
        <v>6963.8944600000004</v>
      </c>
      <c r="M307">
        <v>0</v>
      </c>
      <c r="N307">
        <v>32363.914779999999</v>
      </c>
      <c r="O307">
        <v>7750.0061999999998</v>
      </c>
      <c r="P307">
        <v>0</v>
      </c>
      <c r="Q307">
        <v>14725.011780000001</v>
      </c>
      <c r="R307">
        <v>16.666679999999999</v>
      </c>
      <c r="S307">
        <v>0</v>
      </c>
    </row>
    <row r="308" spans="1:19">
      <c r="A308">
        <v>307</v>
      </c>
      <c r="B308" s="45">
        <f t="array" ref="B308">IFERROR(INDEX(baseline!$A$3:$A$201,MATCH($C308&amp;$D308,baseline!$C$3:$C$201&amp;baseline!$D$3:$D$201,0)),"NA")</f>
        <v>17</v>
      </c>
      <c r="C308" t="s">
        <v>763</v>
      </c>
      <c r="D308" t="s">
        <v>14</v>
      </c>
      <c r="E308" t="s">
        <v>892</v>
      </c>
      <c r="F308">
        <v>126489.32</v>
      </c>
      <c r="G308">
        <v>1211.46221507992</v>
      </c>
      <c r="H308">
        <v>590.75</v>
      </c>
      <c r="I308">
        <v>1544.44568</v>
      </c>
      <c r="J308">
        <v>82838.955159999998</v>
      </c>
      <c r="K308">
        <v>3275.0026200000002</v>
      </c>
      <c r="L308">
        <v>6958.3388999999997</v>
      </c>
      <c r="M308">
        <v>0</v>
      </c>
      <c r="N308">
        <v>32363.914779999999</v>
      </c>
      <c r="O308">
        <v>7750.0061999999998</v>
      </c>
      <c r="P308">
        <v>0</v>
      </c>
      <c r="Q308">
        <v>15311.12336</v>
      </c>
      <c r="R308">
        <v>16.666679999999999</v>
      </c>
      <c r="S308">
        <v>0</v>
      </c>
    </row>
    <row r="309" spans="1:19">
      <c r="A309">
        <v>308</v>
      </c>
      <c r="B309" s="45">
        <f t="array" ref="B309">IFERROR(INDEX(baseline!$A$3:$A$201,MATCH($C309&amp;$D309,baseline!$C$3:$C$201&amp;baseline!$D$3:$D$201,0)),"NA")</f>
        <v>17</v>
      </c>
      <c r="C309" t="s">
        <v>763</v>
      </c>
      <c r="D309" t="s">
        <v>14</v>
      </c>
      <c r="E309" t="s">
        <v>894</v>
      </c>
      <c r="F309">
        <v>47330.1</v>
      </c>
      <c r="G309">
        <v>1211.46221507992</v>
      </c>
      <c r="H309">
        <v>590.75</v>
      </c>
      <c r="I309">
        <v>1569.4457</v>
      </c>
      <c r="J309">
        <v>83672.28916</v>
      </c>
      <c r="K309">
        <v>3275.0026200000002</v>
      </c>
      <c r="L309">
        <v>6980.5611399999998</v>
      </c>
      <c r="M309">
        <v>0</v>
      </c>
      <c r="N309">
        <v>32363.914779999999</v>
      </c>
      <c r="O309">
        <v>7750.0061999999998</v>
      </c>
      <c r="P309">
        <v>0</v>
      </c>
      <c r="Q309">
        <v>15530.56798</v>
      </c>
      <c r="R309">
        <v>16.666679999999999</v>
      </c>
      <c r="S309">
        <v>0</v>
      </c>
    </row>
    <row r="310" spans="1:19">
      <c r="A310">
        <v>309</v>
      </c>
      <c r="B310" s="45">
        <f t="array" ref="B310">IFERROR(INDEX(baseline!$A$3:$A$201,MATCH($C310&amp;$D310,baseline!$C$3:$C$201&amp;baseline!$D$3:$D$201,0)),"NA")</f>
        <v>17</v>
      </c>
      <c r="C310" t="s">
        <v>763</v>
      </c>
      <c r="D310" t="s">
        <v>14</v>
      </c>
      <c r="E310" t="s">
        <v>837</v>
      </c>
      <c r="F310">
        <v>1464.08</v>
      </c>
      <c r="G310">
        <v>1211.46221507992</v>
      </c>
      <c r="H310">
        <v>590.75</v>
      </c>
      <c r="I310">
        <v>1575.00126</v>
      </c>
      <c r="J310">
        <v>87047.291859999998</v>
      </c>
      <c r="K310">
        <v>3219.4470200000001</v>
      </c>
      <c r="L310">
        <v>6983.3389200000001</v>
      </c>
      <c r="M310">
        <v>0</v>
      </c>
      <c r="N310">
        <v>32363.914779999999</v>
      </c>
      <c r="O310">
        <v>7750.0061999999998</v>
      </c>
      <c r="P310">
        <v>0</v>
      </c>
      <c r="Q310">
        <v>13261.121719999999</v>
      </c>
      <c r="R310">
        <v>16.666679999999999</v>
      </c>
      <c r="S310">
        <v>0</v>
      </c>
    </row>
    <row r="311" spans="1:19">
      <c r="A311">
        <v>310</v>
      </c>
      <c r="B311" s="45">
        <f t="array" ref="B311">IFERROR(INDEX(baseline!$A$3:$A$201,MATCH($C311&amp;$D311,baseline!$C$3:$C$201&amp;baseline!$D$3:$D$201,0)),"NA")</f>
        <v>17</v>
      </c>
      <c r="C311" t="s">
        <v>763</v>
      </c>
      <c r="D311" t="s">
        <v>14</v>
      </c>
      <c r="E311" t="s">
        <v>833</v>
      </c>
      <c r="F311">
        <v>4038.83</v>
      </c>
      <c r="G311">
        <v>1211.46221507992</v>
      </c>
      <c r="H311">
        <v>590.75</v>
      </c>
      <c r="I311">
        <v>1577.7790399999999</v>
      </c>
      <c r="J311">
        <v>87147.291939999996</v>
      </c>
      <c r="K311">
        <v>3194.4470000000001</v>
      </c>
      <c r="L311">
        <v>6983.3389200000001</v>
      </c>
      <c r="M311">
        <v>0</v>
      </c>
      <c r="N311">
        <v>32363.914779999999</v>
      </c>
      <c r="O311">
        <v>7750.0061999999998</v>
      </c>
      <c r="P311">
        <v>0</v>
      </c>
      <c r="Q311">
        <v>15677.79032</v>
      </c>
      <c r="R311">
        <v>16.666679999999999</v>
      </c>
      <c r="S311">
        <v>0</v>
      </c>
    </row>
    <row r="312" spans="1:19">
      <c r="A312">
        <v>311</v>
      </c>
      <c r="B312" s="45">
        <f t="array" ref="B312">IFERROR(INDEX(baseline!$A$3:$A$201,MATCH($C312&amp;$D312,baseline!$C$3:$C$201&amp;baseline!$D$3:$D$201,0)),"NA")</f>
        <v>17</v>
      </c>
      <c r="C312" t="s">
        <v>763</v>
      </c>
      <c r="D312" t="s">
        <v>14</v>
      </c>
      <c r="E312" t="s">
        <v>835</v>
      </c>
      <c r="F312">
        <v>162160.19</v>
      </c>
      <c r="G312">
        <v>1211.46221507992</v>
      </c>
      <c r="H312">
        <v>590.75</v>
      </c>
      <c r="I312">
        <v>1575.00126</v>
      </c>
      <c r="J312">
        <v>87047.291859999998</v>
      </c>
      <c r="K312">
        <v>3202.7803399999998</v>
      </c>
      <c r="L312">
        <v>6983.3389200000001</v>
      </c>
      <c r="M312">
        <v>0</v>
      </c>
      <c r="N312">
        <v>32363.914779999999</v>
      </c>
      <c r="O312">
        <v>7750.0061999999998</v>
      </c>
      <c r="P312">
        <v>0</v>
      </c>
      <c r="Q312">
        <v>15797.23486</v>
      </c>
      <c r="R312">
        <v>16.666679999999999</v>
      </c>
      <c r="S312">
        <v>0</v>
      </c>
    </row>
    <row r="313" spans="1:19">
      <c r="A313">
        <v>312</v>
      </c>
      <c r="B313" s="45">
        <f t="array" ref="B313">IFERROR(INDEX(baseline!$A$3:$A$201,MATCH($C313&amp;$D313,baseline!$C$3:$C$201&amp;baseline!$D$3:$D$201,0)),"NA")</f>
        <v>17</v>
      </c>
      <c r="C313" t="s">
        <v>763</v>
      </c>
      <c r="D313" t="s">
        <v>14</v>
      </c>
      <c r="E313" t="s">
        <v>863</v>
      </c>
      <c r="F313">
        <v>32574.76</v>
      </c>
      <c r="G313">
        <v>1211.46221507992</v>
      </c>
      <c r="H313">
        <v>590.75</v>
      </c>
      <c r="I313">
        <v>1797.2236600000001</v>
      </c>
      <c r="J313">
        <v>56169.489379999999</v>
      </c>
      <c r="K313">
        <v>3763.8919000000001</v>
      </c>
      <c r="L313">
        <v>6875.0055000000002</v>
      </c>
      <c r="M313">
        <v>0</v>
      </c>
      <c r="N313">
        <v>32363.914779999999</v>
      </c>
      <c r="O313">
        <v>7750.0061999999998</v>
      </c>
      <c r="P313">
        <v>0</v>
      </c>
      <c r="Q313">
        <v>12897.232540000001</v>
      </c>
      <c r="R313">
        <v>16.666679999999999</v>
      </c>
      <c r="S313">
        <v>0</v>
      </c>
    </row>
    <row r="314" spans="1:19">
      <c r="A314">
        <v>313</v>
      </c>
      <c r="B314" s="45">
        <f t="array" ref="B314">IFERROR(INDEX(baseline!$A$3:$A$201,MATCH($C314&amp;$D314,baseline!$C$3:$C$201&amp;baseline!$D$3:$D$201,0)),"NA")</f>
        <v>17</v>
      </c>
      <c r="C314" t="s">
        <v>763</v>
      </c>
      <c r="D314" t="s">
        <v>14</v>
      </c>
      <c r="E314" t="s">
        <v>1011</v>
      </c>
      <c r="F314">
        <v>40198.06</v>
      </c>
      <c r="G314">
        <v>1211.46221507992</v>
      </c>
      <c r="H314">
        <v>590.75</v>
      </c>
      <c r="I314">
        <v>1441.6678199999999</v>
      </c>
      <c r="J314">
        <v>46208.370300000002</v>
      </c>
      <c r="K314">
        <v>3188.8914399999999</v>
      </c>
      <c r="L314">
        <v>6894.4499599999999</v>
      </c>
      <c r="M314">
        <v>0</v>
      </c>
      <c r="N314">
        <v>32363.914779999999</v>
      </c>
      <c r="O314">
        <v>7750.0061999999998</v>
      </c>
      <c r="P314">
        <v>0</v>
      </c>
      <c r="Q314">
        <v>14252.78918</v>
      </c>
      <c r="R314">
        <v>16.666679999999999</v>
      </c>
      <c r="S314">
        <v>0</v>
      </c>
    </row>
    <row r="315" spans="1:19">
      <c r="A315">
        <v>314</v>
      </c>
      <c r="B315" s="45">
        <f t="array" ref="B315">IFERROR(INDEX(baseline!$A$3:$A$201,MATCH($C315&amp;$D315,baseline!$C$3:$C$201&amp;baseline!$D$3:$D$201,0)),"NA")</f>
        <v>17</v>
      </c>
      <c r="C315" t="s">
        <v>763</v>
      </c>
      <c r="D315" t="s">
        <v>14</v>
      </c>
      <c r="E315" t="s">
        <v>860</v>
      </c>
      <c r="F315">
        <v>19600.97</v>
      </c>
      <c r="G315">
        <v>1211.46221507992</v>
      </c>
      <c r="H315">
        <v>590.75</v>
      </c>
      <c r="I315">
        <v>1294.4454800000001</v>
      </c>
      <c r="J315">
        <v>93736.186100000006</v>
      </c>
      <c r="K315">
        <v>2180.5572999999999</v>
      </c>
      <c r="L315">
        <v>6988.8944799999999</v>
      </c>
      <c r="M315">
        <v>0</v>
      </c>
      <c r="N315">
        <v>22655.573680000001</v>
      </c>
      <c r="O315">
        <v>7750.0061999999998</v>
      </c>
      <c r="P315">
        <v>0</v>
      </c>
      <c r="Q315">
        <v>15841.679340000001</v>
      </c>
      <c r="R315">
        <v>16.666679999999999</v>
      </c>
      <c r="S315">
        <v>0</v>
      </c>
    </row>
    <row r="316" spans="1:19">
      <c r="A316">
        <v>315</v>
      </c>
      <c r="B316" s="45">
        <f t="array" ref="B316">IFERROR(INDEX(baseline!$A$3:$A$201,MATCH($C316&amp;$D316,baseline!$C$3:$C$201&amp;baseline!$D$3:$D$201,0)),"NA")</f>
        <v>17</v>
      </c>
      <c r="C316" t="s">
        <v>763</v>
      </c>
      <c r="D316" t="s">
        <v>14</v>
      </c>
      <c r="E316" t="s">
        <v>1019</v>
      </c>
      <c r="F316">
        <v>41127.18</v>
      </c>
      <c r="G316">
        <v>1211.46221507992</v>
      </c>
      <c r="H316">
        <v>590.75</v>
      </c>
      <c r="I316">
        <v>1441.6678199999999</v>
      </c>
      <c r="J316">
        <v>46208.370300000002</v>
      </c>
      <c r="K316">
        <v>3188.8914399999999</v>
      </c>
      <c r="L316">
        <v>6894.4499599999999</v>
      </c>
      <c r="M316">
        <v>0</v>
      </c>
      <c r="N316">
        <v>32363.914779999999</v>
      </c>
      <c r="O316">
        <v>7750.0061999999998</v>
      </c>
      <c r="P316">
        <v>0</v>
      </c>
      <c r="Q316">
        <v>14252.78918</v>
      </c>
      <c r="R316">
        <v>16.666679999999999</v>
      </c>
      <c r="S316">
        <v>0</v>
      </c>
    </row>
    <row r="317" spans="1:19">
      <c r="A317">
        <v>316</v>
      </c>
      <c r="B317" s="45">
        <f t="array" ref="B317">IFERROR(INDEX(baseline!$A$3:$A$201,MATCH($C317&amp;$D317,baseline!$C$3:$C$201&amp;baseline!$D$3:$D$201,0)),"NA")</f>
        <v>17</v>
      </c>
      <c r="C317" t="s">
        <v>763</v>
      </c>
      <c r="D317" t="s">
        <v>14</v>
      </c>
      <c r="E317" t="s">
        <v>836</v>
      </c>
      <c r="F317">
        <v>7623.3</v>
      </c>
      <c r="G317">
        <v>1211.46221507992</v>
      </c>
      <c r="H317">
        <v>590.75</v>
      </c>
      <c r="I317">
        <v>1452.7789399999999</v>
      </c>
      <c r="J317">
        <v>72805.613800000006</v>
      </c>
      <c r="K317">
        <v>2702.7799399999999</v>
      </c>
      <c r="L317">
        <v>7005.5611600000002</v>
      </c>
      <c r="M317">
        <v>0</v>
      </c>
      <c r="N317">
        <v>32363.914779999999</v>
      </c>
      <c r="O317">
        <v>7750.0061999999998</v>
      </c>
      <c r="P317">
        <v>0</v>
      </c>
      <c r="Q317">
        <v>17802.792020000001</v>
      </c>
      <c r="R317">
        <v>16.666679999999999</v>
      </c>
      <c r="S317">
        <v>0</v>
      </c>
    </row>
    <row r="318" spans="1:19">
      <c r="A318">
        <v>317</v>
      </c>
      <c r="B318" s="45">
        <f t="array" ref="B318">IFERROR(INDEX(baseline!$A$3:$A$201,MATCH($C318&amp;$D318,baseline!$C$3:$C$201&amp;baseline!$D$3:$D$201,0)),"NA")</f>
        <v>17</v>
      </c>
      <c r="C318" t="s">
        <v>763</v>
      </c>
      <c r="D318" t="s">
        <v>14</v>
      </c>
      <c r="E318" t="s">
        <v>1030</v>
      </c>
      <c r="F318">
        <v>107476.7</v>
      </c>
      <c r="G318">
        <v>1211.46221507992</v>
      </c>
      <c r="H318">
        <v>590.75</v>
      </c>
      <c r="I318">
        <v>7227.7835599999999</v>
      </c>
      <c r="J318">
        <v>34383.360840000001</v>
      </c>
      <c r="K318">
        <v>4716.6704399999999</v>
      </c>
      <c r="L318">
        <v>6944.45</v>
      </c>
      <c r="M318">
        <v>0</v>
      </c>
      <c r="N318">
        <v>22655.573680000001</v>
      </c>
      <c r="O318">
        <v>7750.0061999999998</v>
      </c>
      <c r="P318">
        <v>0</v>
      </c>
      <c r="Q318">
        <v>11833.3428</v>
      </c>
      <c r="R318">
        <v>11.11112</v>
      </c>
      <c r="S318">
        <v>0</v>
      </c>
    </row>
    <row r="319" spans="1:19">
      <c r="A319">
        <v>318</v>
      </c>
      <c r="B319" s="45">
        <f t="array" ref="B319">IFERROR(INDEX(baseline!$A$3:$A$201,MATCH($C319&amp;$D319,baseline!$C$3:$C$201&amp;baseline!$D$3:$D$201,0)),"NA")</f>
        <v>17</v>
      </c>
      <c r="C319" t="s">
        <v>763</v>
      </c>
      <c r="D319" t="s">
        <v>14</v>
      </c>
      <c r="E319" t="s">
        <v>859</v>
      </c>
      <c r="F319">
        <v>4407.7700000000004</v>
      </c>
      <c r="G319">
        <v>1211.46221507992</v>
      </c>
      <c r="H319">
        <v>590.75</v>
      </c>
      <c r="I319">
        <v>1563.89014</v>
      </c>
      <c r="J319">
        <v>87058.402979999999</v>
      </c>
      <c r="K319">
        <v>3105.5580399999999</v>
      </c>
      <c r="L319">
        <v>6980.5611399999998</v>
      </c>
      <c r="M319">
        <v>0</v>
      </c>
      <c r="N319">
        <v>32363.914779999999</v>
      </c>
      <c r="O319">
        <v>7750.0061999999998</v>
      </c>
      <c r="P319">
        <v>0</v>
      </c>
      <c r="Q319">
        <v>15813.901540000001</v>
      </c>
      <c r="R319">
        <v>16.666679999999999</v>
      </c>
      <c r="S319">
        <v>0</v>
      </c>
    </row>
    <row r="320" spans="1:19">
      <c r="A320">
        <v>319</v>
      </c>
      <c r="B320" s="45">
        <f t="array" ref="B320">IFERROR(INDEX(baseline!$A$3:$A$201,MATCH($C320&amp;$D320,baseline!$C$3:$C$201&amp;baseline!$D$3:$D$201,0)),"NA")</f>
        <v>17</v>
      </c>
      <c r="C320" t="s">
        <v>763</v>
      </c>
      <c r="D320" t="s">
        <v>14</v>
      </c>
      <c r="E320" t="s">
        <v>865</v>
      </c>
      <c r="F320">
        <v>1694.17</v>
      </c>
      <c r="G320">
        <v>1211.46221507992</v>
      </c>
      <c r="H320">
        <v>590.75</v>
      </c>
      <c r="I320">
        <v>1575.00126</v>
      </c>
      <c r="J320">
        <v>87047.291859999998</v>
      </c>
      <c r="K320">
        <v>3202.7803399999998</v>
      </c>
      <c r="L320">
        <v>6983.3389200000001</v>
      </c>
      <c r="M320">
        <v>0</v>
      </c>
      <c r="N320">
        <v>32363.914779999999</v>
      </c>
      <c r="O320">
        <v>7750.0061999999998</v>
      </c>
      <c r="P320">
        <v>0</v>
      </c>
      <c r="Q320">
        <v>15797.23486</v>
      </c>
      <c r="R320">
        <v>11.11112</v>
      </c>
      <c r="S320">
        <v>0</v>
      </c>
    </row>
    <row r="321" spans="1:19">
      <c r="A321">
        <v>320</v>
      </c>
      <c r="B321" s="45">
        <f t="array" ref="B321">IFERROR(INDEX(baseline!$A$3:$A$201,MATCH($C321&amp;$D321,baseline!$C$3:$C$201&amp;baseline!$D$3:$D$201,0)),"NA")</f>
        <v>18</v>
      </c>
      <c r="C321" t="s">
        <v>763</v>
      </c>
      <c r="D321" t="s">
        <v>546</v>
      </c>
      <c r="E321" t="s">
        <v>832</v>
      </c>
      <c r="F321">
        <v>14063.11</v>
      </c>
      <c r="G321">
        <v>1211.46221507992</v>
      </c>
      <c r="H321">
        <v>590.75</v>
      </c>
      <c r="I321">
        <v>4097.2254999999996</v>
      </c>
      <c r="J321">
        <v>42719.478620000002</v>
      </c>
      <c r="K321">
        <v>4488.8924800000004</v>
      </c>
      <c r="L321">
        <v>6836.1165799999999</v>
      </c>
      <c r="M321">
        <v>0</v>
      </c>
      <c r="N321">
        <v>32363.914779999999</v>
      </c>
      <c r="O321">
        <v>7750.0061999999998</v>
      </c>
      <c r="P321">
        <v>0</v>
      </c>
      <c r="Q321">
        <v>11533.342559999999</v>
      </c>
      <c r="R321">
        <v>16.666679999999999</v>
      </c>
      <c r="S321">
        <v>0</v>
      </c>
    </row>
    <row r="322" spans="1:19">
      <c r="A322">
        <v>321</v>
      </c>
      <c r="B322" s="45">
        <f t="array" ref="B322">IFERROR(INDEX(baseline!$A$3:$A$201,MATCH($C322&amp;$D322,baseline!$C$3:$C$201&amp;baseline!$D$3:$D$201,0)),"NA")</f>
        <v>18</v>
      </c>
      <c r="C322" t="s">
        <v>763</v>
      </c>
      <c r="D322" t="s">
        <v>546</v>
      </c>
      <c r="E322" t="s">
        <v>869</v>
      </c>
      <c r="F322">
        <v>0</v>
      </c>
      <c r="G322">
        <v>1211.46221507992</v>
      </c>
      <c r="H322">
        <v>590.75</v>
      </c>
      <c r="I322">
        <v>1727.77916</v>
      </c>
      <c r="J322">
        <v>46588.926160000003</v>
      </c>
      <c r="K322">
        <v>2558.33538</v>
      </c>
      <c r="L322">
        <v>6816.6721200000002</v>
      </c>
      <c r="M322">
        <v>0</v>
      </c>
      <c r="N322">
        <v>32363.914779999999</v>
      </c>
      <c r="O322">
        <v>7750.0061999999998</v>
      </c>
      <c r="P322">
        <v>0</v>
      </c>
      <c r="Q322">
        <v>11175.00894</v>
      </c>
      <c r="R322">
        <v>16.666679999999999</v>
      </c>
      <c r="S322">
        <v>0</v>
      </c>
    </row>
    <row r="323" spans="1:19">
      <c r="A323">
        <v>322</v>
      </c>
      <c r="B323" s="45">
        <f t="array" ref="B323">IFERROR(INDEX(baseline!$A$3:$A$201,MATCH($C323&amp;$D323,baseline!$C$3:$C$201&amp;baseline!$D$3:$D$201,0)),"NA")</f>
        <v>18</v>
      </c>
      <c r="C323" t="s">
        <v>763</v>
      </c>
      <c r="D323" t="s">
        <v>546</v>
      </c>
      <c r="E323" t="s">
        <v>840</v>
      </c>
      <c r="F323">
        <v>929.13</v>
      </c>
      <c r="G323">
        <v>1211.46221507992</v>
      </c>
      <c r="H323">
        <v>590.75</v>
      </c>
      <c r="I323">
        <v>1983.33492</v>
      </c>
      <c r="J323">
        <v>46127.814680000003</v>
      </c>
      <c r="K323">
        <v>3341.6693399999999</v>
      </c>
      <c r="L323">
        <v>6827.7832399999998</v>
      </c>
      <c r="M323">
        <v>0</v>
      </c>
      <c r="N323">
        <v>32363.914779999999</v>
      </c>
      <c r="O323">
        <v>7750.0061999999998</v>
      </c>
      <c r="P323">
        <v>0</v>
      </c>
      <c r="Q323">
        <v>11572.23148</v>
      </c>
      <c r="R323">
        <v>16.666679999999999</v>
      </c>
      <c r="S323">
        <v>0</v>
      </c>
    </row>
    <row r="324" spans="1:19">
      <c r="A324">
        <v>323</v>
      </c>
      <c r="B324" s="45">
        <f t="array" ref="B324">IFERROR(INDEX(baseline!$A$3:$A$201,MATCH($C324&amp;$D324,baseline!$C$3:$C$201&amp;baseline!$D$3:$D$201,0)),"NA")</f>
        <v>18</v>
      </c>
      <c r="C324" t="s">
        <v>763</v>
      </c>
      <c r="D324" t="s">
        <v>546</v>
      </c>
      <c r="E324" t="s">
        <v>839</v>
      </c>
      <c r="F324">
        <v>16747.57</v>
      </c>
      <c r="G324">
        <v>1211.46221507992</v>
      </c>
      <c r="H324">
        <v>590.75</v>
      </c>
      <c r="I324">
        <v>1983.33492</v>
      </c>
      <c r="J324">
        <v>46127.814680000003</v>
      </c>
      <c r="K324">
        <v>3341.6693399999999</v>
      </c>
      <c r="L324">
        <v>6827.7832399999998</v>
      </c>
      <c r="M324">
        <v>0</v>
      </c>
      <c r="N324">
        <v>32363.914779999999</v>
      </c>
      <c r="O324">
        <v>7750.0061999999998</v>
      </c>
      <c r="P324">
        <v>0</v>
      </c>
      <c r="Q324">
        <v>11572.23148</v>
      </c>
      <c r="R324">
        <v>16.666679999999999</v>
      </c>
      <c r="S324">
        <v>0</v>
      </c>
    </row>
    <row r="325" spans="1:19">
      <c r="A325">
        <v>324</v>
      </c>
      <c r="B325" s="45">
        <f t="array" ref="B325">IFERROR(INDEX(baseline!$A$3:$A$201,MATCH($C325&amp;$D325,baseline!$C$3:$C$201&amp;baseline!$D$3:$D$201,0)),"NA")</f>
        <v>18</v>
      </c>
      <c r="C325" t="s">
        <v>763</v>
      </c>
      <c r="D325" t="s">
        <v>546</v>
      </c>
      <c r="E325" t="s">
        <v>805</v>
      </c>
      <c r="F325">
        <v>13312.62</v>
      </c>
      <c r="G325">
        <v>1211.46221507992</v>
      </c>
      <c r="H325">
        <v>590.75</v>
      </c>
      <c r="I325">
        <v>1983.33492</v>
      </c>
      <c r="J325">
        <v>46127.814680000003</v>
      </c>
      <c r="K325">
        <v>3341.6693399999999</v>
      </c>
      <c r="L325">
        <v>6827.7832399999998</v>
      </c>
      <c r="M325">
        <v>0</v>
      </c>
      <c r="N325">
        <v>32363.914779999999</v>
      </c>
      <c r="O325">
        <v>7750.0061999999998</v>
      </c>
      <c r="P325">
        <v>0</v>
      </c>
      <c r="Q325">
        <v>11572.23148</v>
      </c>
      <c r="R325">
        <v>16.666679999999999</v>
      </c>
      <c r="S325">
        <v>0</v>
      </c>
    </row>
    <row r="326" spans="1:19">
      <c r="A326">
        <v>325</v>
      </c>
      <c r="B326" s="45">
        <f t="array" ref="B326">IFERROR(INDEX(baseline!$A$3:$A$201,MATCH($C326&amp;$D326,baseline!$C$3:$C$201&amp;baseline!$D$3:$D$201,0)),"NA")</f>
        <v>18</v>
      </c>
      <c r="C326" t="s">
        <v>763</v>
      </c>
      <c r="D326" t="s">
        <v>546</v>
      </c>
      <c r="E326" t="s">
        <v>877</v>
      </c>
      <c r="F326">
        <v>14063.11</v>
      </c>
      <c r="G326">
        <v>1211.46221507992</v>
      </c>
      <c r="H326">
        <v>590.75</v>
      </c>
      <c r="I326">
        <v>8491.67346</v>
      </c>
      <c r="J326">
        <v>23458.3521</v>
      </c>
      <c r="K326">
        <v>4658.3370599999998</v>
      </c>
      <c r="L326">
        <v>6883.3388400000003</v>
      </c>
      <c r="M326">
        <v>0</v>
      </c>
      <c r="N326">
        <v>32363.914779999999</v>
      </c>
      <c r="O326">
        <v>7750.0061999999998</v>
      </c>
      <c r="P326">
        <v>0</v>
      </c>
      <c r="Q326">
        <v>11644.45376</v>
      </c>
      <c r="R326">
        <v>16.666679999999999</v>
      </c>
      <c r="S326">
        <v>0</v>
      </c>
    </row>
    <row r="327" spans="1:19">
      <c r="A327">
        <v>326</v>
      </c>
      <c r="B327" s="45">
        <f t="array" ref="B327">IFERROR(INDEX(baseline!$A$3:$A$201,MATCH($C327&amp;$D327,baseline!$C$3:$C$201&amp;baseline!$D$3:$D$201,0)),"NA")</f>
        <v>18</v>
      </c>
      <c r="C327" t="s">
        <v>763</v>
      </c>
      <c r="D327" t="s">
        <v>546</v>
      </c>
      <c r="E327" t="s">
        <v>838</v>
      </c>
      <c r="F327">
        <v>5495.15</v>
      </c>
      <c r="G327">
        <v>1211.46221507992</v>
      </c>
      <c r="H327">
        <v>590.75</v>
      </c>
      <c r="I327">
        <v>1983.33492</v>
      </c>
      <c r="J327">
        <v>46127.814680000003</v>
      </c>
      <c r="K327">
        <v>3341.6693399999999</v>
      </c>
      <c r="L327">
        <v>6827.7832399999998</v>
      </c>
      <c r="M327">
        <v>0</v>
      </c>
      <c r="N327">
        <v>32363.914779999999</v>
      </c>
      <c r="O327">
        <v>7750.0061999999998</v>
      </c>
      <c r="P327">
        <v>0</v>
      </c>
      <c r="Q327">
        <v>11572.23148</v>
      </c>
      <c r="R327">
        <v>16.666679999999999</v>
      </c>
      <c r="S327">
        <v>0</v>
      </c>
    </row>
    <row r="328" spans="1:19">
      <c r="A328">
        <v>327</v>
      </c>
      <c r="B328" s="45">
        <f t="array" ref="B328">IFERROR(INDEX(baseline!$A$3:$A$201,MATCH($C328&amp;$D328,baseline!$C$3:$C$201&amp;baseline!$D$3:$D$201,0)),"NA")</f>
        <v>18</v>
      </c>
      <c r="C328" t="s">
        <v>763</v>
      </c>
      <c r="D328" t="s">
        <v>546</v>
      </c>
      <c r="E328" t="s">
        <v>1013</v>
      </c>
      <c r="F328">
        <v>40479.61</v>
      </c>
      <c r="G328">
        <v>1211.46221507992</v>
      </c>
      <c r="H328">
        <v>590.75</v>
      </c>
      <c r="I328">
        <v>1466.6678400000001</v>
      </c>
      <c r="J328">
        <v>52083.375</v>
      </c>
      <c r="K328">
        <v>2141.6683800000001</v>
      </c>
      <c r="L328">
        <v>6833.3388000000004</v>
      </c>
      <c r="M328">
        <v>0</v>
      </c>
      <c r="N328">
        <v>22655.573680000001</v>
      </c>
      <c r="O328">
        <v>7750.0061999999998</v>
      </c>
      <c r="P328">
        <v>0</v>
      </c>
      <c r="Q328">
        <v>8566.6735200000003</v>
      </c>
      <c r="R328">
        <v>11.11112</v>
      </c>
      <c r="S328">
        <v>0</v>
      </c>
    </row>
    <row r="329" spans="1:19">
      <c r="A329">
        <v>328</v>
      </c>
      <c r="B329" s="45">
        <f t="array" ref="B329">IFERROR(INDEX(baseline!$A$3:$A$201,MATCH($C329&amp;$D329,baseline!$C$3:$C$201&amp;baseline!$D$3:$D$201,0)),"NA")</f>
        <v>18</v>
      </c>
      <c r="C329" t="s">
        <v>763</v>
      </c>
      <c r="D329" t="s">
        <v>546</v>
      </c>
      <c r="E329" t="s">
        <v>893</v>
      </c>
      <c r="F329">
        <v>0</v>
      </c>
      <c r="G329">
        <v>1211.46221507992</v>
      </c>
      <c r="H329">
        <v>590.75</v>
      </c>
      <c r="I329">
        <v>1944.4459999999999</v>
      </c>
      <c r="J329">
        <v>40680.588100000001</v>
      </c>
      <c r="K329">
        <v>3402.7804999999998</v>
      </c>
      <c r="L329">
        <v>6813.8943399999998</v>
      </c>
      <c r="M329">
        <v>0</v>
      </c>
      <c r="N329">
        <v>32363.914779999999</v>
      </c>
      <c r="O329">
        <v>7750.0061999999998</v>
      </c>
      <c r="P329">
        <v>0</v>
      </c>
      <c r="Q329">
        <v>11144.45336</v>
      </c>
      <c r="R329">
        <v>16.666679999999999</v>
      </c>
      <c r="S329">
        <v>0</v>
      </c>
    </row>
    <row r="330" spans="1:19">
      <c r="A330">
        <v>329</v>
      </c>
      <c r="B330" s="45">
        <f t="array" ref="B330">IFERROR(INDEX(baseline!$A$3:$A$201,MATCH($C330&amp;$D330,baseline!$C$3:$C$201&amp;baseline!$D$3:$D$201,0)),"NA")</f>
        <v>18</v>
      </c>
      <c r="C330" t="s">
        <v>763</v>
      </c>
      <c r="D330" t="s">
        <v>546</v>
      </c>
      <c r="E330" t="s">
        <v>892</v>
      </c>
      <c r="F330">
        <v>0</v>
      </c>
      <c r="G330">
        <v>1211.46221507992</v>
      </c>
      <c r="H330">
        <v>590.75</v>
      </c>
      <c r="I330">
        <v>1958.3349000000001</v>
      </c>
      <c r="J330">
        <v>43958.368499999997</v>
      </c>
      <c r="K330">
        <v>3394.4471600000002</v>
      </c>
      <c r="L330">
        <v>6811.1165600000004</v>
      </c>
      <c r="M330">
        <v>0</v>
      </c>
      <c r="N330">
        <v>32363.914779999999</v>
      </c>
      <c r="O330">
        <v>7750.0061999999998</v>
      </c>
      <c r="P330">
        <v>0</v>
      </c>
      <c r="Q330">
        <v>11411.12024</v>
      </c>
      <c r="R330">
        <v>16.666679999999999</v>
      </c>
      <c r="S330">
        <v>0</v>
      </c>
    </row>
    <row r="331" spans="1:19">
      <c r="A331">
        <v>330</v>
      </c>
      <c r="B331" s="45">
        <f t="array" ref="B331">IFERROR(INDEX(baseline!$A$3:$A$201,MATCH($C331&amp;$D331,baseline!$C$3:$C$201&amp;baseline!$D$3:$D$201,0)),"NA")</f>
        <v>18</v>
      </c>
      <c r="C331" t="s">
        <v>763</v>
      </c>
      <c r="D331" t="s">
        <v>546</v>
      </c>
      <c r="E331" t="s">
        <v>894</v>
      </c>
      <c r="F331">
        <v>47330.1</v>
      </c>
      <c r="G331">
        <v>1211.46221507992</v>
      </c>
      <c r="H331">
        <v>590.75</v>
      </c>
      <c r="I331">
        <v>2055.5572000000002</v>
      </c>
      <c r="J331">
        <v>42805.589800000002</v>
      </c>
      <c r="K331">
        <v>3463.8916599999998</v>
      </c>
      <c r="L331">
        <v>6827.7832399999998</v>
      </c>
      <c r="M331">
        <v>0</v>
      </c>
      <c r="N331">
        <v>32363.914779999999</v>
      </c>
      <c r="O331">
        <v>7750.0061999999998</v>
      </c>
      <c r="P331">
        <v>0</v>
      </c>
      <c r="Q331">
        <v>11391.67578</v>
      </c>
      <c r="R331">
        <v>16.666679999999999</v>
      </c>
      <c r="S331">
        <v>0</v>
      </c>
    </row>
    <row r="332" spans="1:19">
      <c r="A332">
        <v>331</v>
      </c>
      <c r="B332" s="45">
        <f t="array" ref="B332">IFERROR(INDEX(baseline!$A$3:$A$201,MATCH($C332&amp;$D332,baseline!$C$3:$C$201&amp;baseline!$D$3:$D$201,0)),"NA")</f>
        <v>18</v>
      </c>
      <c r="C332" t="s">
        <v>763</v>
      </c>
      <c r="D332" t="s">
        <v>546</v>
      </c>
      <c r="E332" t="s">
        <v>837</v>
      </c>
      <c r="F332">
        <v>1464.08</v>
      </c>
      <c r="G332">
        <v>1211.46221507992</v>
      </c>
      <c r="H332">
        <v>590.75</v>
      </c>
      <c r="I332">
        <v>1983.33492</v>
      </c>
      <c r="J332">
        <v>46127.814680000003</v>
      </c>
      <c r="K332">
        <v>3361.1138000000001</v>
      </c>
      <c r="L332">
        <v>6827.7832399999998</v>
      </c>
      <c r="M332">
        <v>0</v>
      </c>
      <c r="N332">
        <v>32363.914779999999</v>
      </c>
      <c r="O332">
        <v>7750.0061999999998</v>
      </c>
      <c r="P332">
        <v>0</v>
      </c>
      <c r="Q332">
        <v>9033.3405600000006</v>
      </c>
      <c r="R332">
        <v>16.666679999999999</v>
      </c>
      <c r="S332">
        <v>0</v>
      </c>
    </row>
    <row r="333" spans="1:19">
      <c r="A333">
        <v>332</v>
      </c>
      <c r="B333" s="45">
        <f t="array" ref="B333">IFERROR(INDEX(baseline!$A$3:$A$201,MATCH($C333&amp;$D333,baseline!$C$3:$C$201&amp;baseline!$D$3:$D$201,0)),"NA")</f>
        <v>18</v>
      </c>
      <c r="C333" t="s">
        <v>763</v>
      </c>
      <c r="D333" t="s">
        <v>546</v>
      </c>
      <c r="E333" t="s">
        <v>833</v>
      </c>
      <c r="F333">
        <v>4038.83</v>
      </c>
      <c r="G333">
        <v>1211.46221507992</v>
      </c>
      <c r="H333">
        <v>590.75</v>
      </c>
      <c r="I333">
        <v>1983.33492</v>
      </c>
      <c r="J333">
        <v>46183.370280000003</v>
      </c>
      <c r="K333">
        <v>3336.1137800000001</v>
      </c>
      <c r="L333">
        <v>6827.7832399999998</v>
      </c>
      <c r="M333">
        <v>0</v>
      </c>
      <c r="N333">
        <v>32363.914779999999</v>
      </c>
      <c r="O333">
        <v>7750.0061999999998</v>
      </c>
      <c r="P333">
        <v>0</v>
      </c>
      <c r="Q333">
        <v>11494.45364</v>
      </c>
      <c r="R333">
        <v>16.666679999999999</v>
      </c>
      <c r="S333">
        <v>0</v>
      </c>
    </row>
    <row r="334" spans="1:19">
      <c r="A334">
        <v>333</v>
      </c>
      <c r="B334" s="45">
        <f t="array" ref="B334">IFERROR(INDEX(baseline!$A$3:$A$201,MATCH($C334&amp;$D334,baseline!$C$3:$C$201&amp;baseline!$D$3:$D$201,0)),"NA")</f>
        <v>18</v>
      </c>
      <c r="C334" t="s">
        <v>763</v>
      </c>
      <c r="D334" t="s">
        <v>546</v>
      </c>
      <c r="E334" t="s">
        <v>835</v>
      </c>
      <c r="F334">
        <v>162160.19</v>
      </c>
      <c r="G334">
        <v>1211.46221507992</v>
      </c>
      <c r="H334">
        <v>590.75</v>
      </c>
      <c r="I334">
        <v>1983.33492</v>
      </c>
      <c r="J334">
        <v>46127.814680000003</v>
      </c>
      <c r="K334">
        <v>3341.6693399999999</v>
      </c>
      <c r="L334">
        <v>6827.7832399999998</v>
      </c>
      <c r="M334">
        <v>0</v>
      </c>
      <c r="N334">
        <v>32363.914779999999</v>
      </c>
      <c r="O334">
        <v>7750.0061999999998</v>
      </c>
      <c r="P334">
        <v>0</v>
      </c>
      <c r="Q334">
        <v>11572.23148</v>
      </c>
      <c r="R334">
        <v>16.666679999999999</v>
      </c>
      <c r="S334">
        <v>0</v>
      </c>
    </row>
    <row r="335" spans="1:19">
      <c r="A335">
        <v>334</v>
      </c>
      <c r="B335" s="45">
        <f t="array" ref="B335">IFERROR(INDEX(baseline!$A$3:$A$201,MATCH($C335&amp;$D335,baseline!$C$3:$C$201&amp;baseline!$D$3:$D$201,0)),"NA")</f>
        <v>18</v>
      </c>
      <c r="C335" t="s">
        <v>763</v>
      </c>
      <c r="D335" t="s">
        <v>546</v>
      </c>
      <c r="E335" t="s">
        <v>860</v>
      </c>
      <c r="F335">
        <v>19600.97</v>
      </c>
      <c r="G335">
        <v>1211.46221507992</v>
      </c>
      <c r="H335">
        <v>590.75</v>
      </c>
      <c r="I335">
        <v>1466.6678400000001</v>
      </c>
      <c r="J335">
        <v>52080.597220000003</v>
      </c>
      <c r="K335">
        <v>2202.77954</v>
      </c>
      <c r="L335">
        <v>6836.1165799999999</v>
      </c>
      <c r="M335">
        <v>0</v>
      </c>
      <c r="N335">
        <v>22655.573680000001</v>
      </c>
      <c r="O335">
        <v>7750.0061999999998</v>
      </c>
      <c r="P335">
        <v>0</v>
      </c>
      <c r="Q335">
        <v>11100.008879999999</v>
      </c>
      <c r="R335">
        <v>16.666679999999999</v>
      </c>
      <c r="S335">
        <v>0</v>
      </c>
    </row>
    <row r="336" spans="1:19">
      <c r="A336">
        <v>335</v>
      </c>
      <c r="B336" s="45">
        <f t="array" ref="B336">IFERROR(INDEX(baseline!$A$3:$A$201,MATCH($C336&amp;$D336,baseline!$C$3:$C$201&amp;baseline!$D$3:$D$201,0)),"NA")</f>
        <v>18</v>
      </c>
      <c r="C336" t="s">
        <v>763</v>
      </c>
      <c r="D336" t="s">
        <v>546</v>
      </c>
      <c r="E336" t="s">
        <v>1019</v>
      </c>
      <c r="F336">
        <v>8552.43</v>
      </c>
      <c r="G336">
        <v>1211.46221507992</v>
      </c>
      <c r="H336">
        <v>590.75</v>
      </c>
      <c r="I336">
        <v>1711.11248</v>
      </c>
      <c r="J336">
        <v>37061.140760000002</v>
      </c>
      <c r="K336">
        <v>2788.8911199999998</v>
      </c>
      <c r="L336">
        <v>6850.0054799999998</v>
      </c>
      <c r="M336">
        <v>0</v>
      </c>
      <c r="N336">
        <v>32363.914779999999</v>
      </c>
      <c r="O336">
        <v>7750.0061999999998</v>
      </c>
      <c r="P336">
        <v>0</v>
      </c>
      <c r="Q336">
        <v>12336.12098</v>
      </c>
      <c r="R336">
        <v>16.666679999999999</v>
      </c>
      <c r="S336">
        <v>0</v>
      </c>
    </row>
    <row r="337" spans="1:19">
      <c r="A337">
        <v>336</v>
      </c>
      <c r="B337" s="45">
        <f t="array" ref="B337">IFERROR(INDEX(baseline!$A$3:$A$201,MATCH($C337&amp;$D337,baseline!$C$3:$C$201&amp;baseline!$D$3:$D$201,0)),"NA")</f>
        <v>18</v>
      </c>
      <c r="C337" t="s">
        <v>763</v>
      </c>
      <c r="D337" t="s">
        <v>546</v>
      </c>
      <c r="E337" t="s">
        <v>836</v>
      </c>
      <c r="F337">
        <v>7623.3</v>
      </c>
      <c r="G337">
        <v>1211.46221507992</v>
      </c>
      <c r="H337">
        <v>590.75</v>
      </c>
      <c r="I337">
        <v>1711.11248</v>
      </c>
      <c r="J337">
        <v>37061.140760000002</v>
      </c>
      <c r="K337">
        <v>2788.8911199999998</v>
      </c>
      <c r="L337">
        <v>6850.0054799999998</v>
      </c>
      <c r="M337">
        <v>0</v>
      </c>
      <c r="N337">
        <v>32363.914779999999</v>
      </c>
      <c r="O337">
        <v>7750.0061999999998</v>
      </c>
      <c r="P337">
        <v>0</v>
      </c>
      <c r="Q337">
        <v>12336.12098</v>
      </c>
      <c r="R337">
        <v>16.666679999999999</v>
      </c>
      <c r="S337">
        <v>0</v>
      </c>
    </row>
    <row r="338" spans="1:19">
      <c r="A338">
        <v>337</v>
      </c>
      <c r="B338" s="45">
        <f t="array" ref="B338">IFERROR(INDEX(baseline!$A$3:$A$201,MATCH($C338&amp;$D338,baseline!$C$3:$C$201&amp;baseline!$D$3:$D$201,0)),"NA")</f>
        <v>18</v>
      </c>
      <c r="C338" t="s">
        <v>763</v>
      </c>
      <c r="D338" t="s">
        <v>546</v>
      </c>
      <c r="E338" t="s">
        <v>1030</v>
      </c>
      <c r="F338">
        <v>74901.94</v>
      </c>
      <c r="G338">
        <v>1211.46221507992</v>
      </c>
      <c r="H338">
        <v>590.75</v>
      </c>
      <c r="I338">
        <v>6430.5607</v>
      </c>
      <c r="J338">
        <v>28108.355820000001</v>
      </c>
      <c r="K338">
        <v>3847.2253000000001</v>
      </c>
      <c r="L338">
        <v>6900.0055199999997</v>
      </c>
      <c r="M338">
        <v>0</v>
      </c>
      <c r="N338">
        <v>22655.573680000001</v>
      </c>
      <c r="O338">
        <v>7750.0061999999998</v>
      </c>
      <c r="P338">
        <v>0</v>
      </c>
      <c r="Q338">
        <v>9886.1190200000001</v>
      </c>
      <c r="R338">
        <v>11.11112</v>
      </c>
      <c r="S338">
        <v>0</v>
      </c>
    </row>
    <row r="339" spans="1:19">
      <c r="A339">
        <v>338</v>
      </c>
      <c r="B339" s="45">
        <f t="array" ref="B339">IFERROR(INDEX(baseline!$A$3:$A$201,MATCH($C339&amp;$D339,baseline!$C$3:$C$201&amp;baseline!$D$3:$D$201,0)),"NA")</f>
        <v>18</v>
      </c>
      <c r="C339" t="s">
        <v>763</v>
      </c>
      <c r="D339" t="s">
        <v>546</v>
      </c>
      <c r="E339" t="s">
        <v>859</v>
      </c>
      <c r="F339">
        <v>4407.7700000000004</v>
      </c>
      <c r="G339">
        <v>1211.46221507992</v>
      </c>
      <c r="H339">
        <v>590.75</v>
      </c>
      <c r="I339">
        <v>1975.0015800000001</v>
      </c>
      <c r="J339">
        <v>46061.147960000002</v>
      </c>
      <c r="K339">
        <v>3247.2248199999999</v>
      </c>
      <c r="L339">
        <v>6827.7832399999998</v>
      </c>
      <c r="M339">
        <v>0</v>
      </c>
      <c r="N339">
        <v>32363.914779999999</v>
      </c>
      <c r="O339">
        <v>7750.0061999999998</v>
      </c>
      <c r="P339">
        <v>0</v>
      </c>
      <c r="Q339">
        <v>11572.23148</v>
      </c>
      <c r="R339">
        <v>16.666679999999999</v>
      </c>
      <c r="S339">
        <v>0</v>
      </c>
    </row>
    <row r="340" spans="1:19">
      <c r="A340">
        <v>339</v>
      </c>
      <c r="B340" s="45">
        <f t="array" ref="B340">IFERROR(INDEX(baseline!$A$3:$A$201,MATCH($C340&amp;$D340,baseline!$C$3:$C$201&amp;baseline!$D$3:$D$201,0)),"NA")</f>
        <v>18</v>
      </c>
      <c r="C340" t="s">
        <v>763</v>
      </c>
      <c r="D340" t="s">
        <v>546</v>
      </c>
      <c r="E340" t="s">
        <v>865</v>
      </c>
      <c r="F340">
        <v>1694.17</v>
      </c>
      <c r="G340">
        <v>1211.46221507992</v>
      </c>
      <c r="H340">
        <v>590.75</v>
      </c>
      <c r="I340">
        <v>1983.33492</v>
      </c>
      <c r="J340">
        <v>46127.814680000003</v>
      </c>
      <c r="K340">
        <v>3341.6693399999999</v>
      </c>
      <c r="L340">
        <v>6827.7832399999998</v>
      </c>
      <c r="M340">
        <v>0</v>
      </c>
      <c r="N340">
        <v>32363.914779999999</v>
      </c>
      <c r="O340">
        <v>7750.0061999999998</v>
      </c>
      <c r="P340">
        <v>0</v>
      </c>
      <c r="Q340">
        <v>11572.23148</v>
      </c>
      <c r="R340">
        <v>11.11112</v>
      </c>
      <c r="S340">
        <v>0</v>
      </c>
    </row>
    <row r="341" spans="1:19">
      <c r="A341">
        <v>340</v>
      </c>
      <c r="B341" s="45">
        <f t="array" ref="B341">IFERROR(INDEX(baseline!$A$3:$A$201,MATCH($C341&amp;$D341,baseline!$C$3:$C$201&amp;baseline!$D$3:$D$201,0)),"NA")</f>
        <v>13</v>
      </c>
      <c r="C341" t="s">
        <v>762</v>
      </c>
      <c r="D341" t="s">
        <v>881</v>
      </c>
      <c r="E341" t="s">
        <v>832</v>
      </c>
      <c r="F341">
        <v>17578.64</v>
      </c>
      <c r="G341">
        <v>3418.6207139712501</v>
      </c>
      <c r="H341">
        <v>2700.72</v>
      </c>
      <c r="I341">
        <v>0</v>
      </c>
      <c r="J341">
        <v>1225195.4246</v>
      </c>
      <c r="K341">
        <v>12036.12074</v>
      </c>
      <c r="L341">
        <v>0</v>
      </c>
      <c r="M341">
        <v>155164.01302000001</v>
      </c>
      <c r="N341">
        <v>129052.88102</v>
      </c>
      <c r="O341">
        <v>39061.142359999998</v>
      </c>
      <c r="P341">
        <v>0</v>
      </c>
      <c r="Q341">
        <v>105880.64026</v>
      </c>
      <c r="R341">
        <v>43530.590380000001</v>
      </c>
      <c r="S341">
        <v>0</v>
      </c>
    </row>
    <row r="342" spans="1:19">
      <c r="A342">
        <v>341</v>
      </c>
      <c r="B342" s="45">
        <f t="array" ref="B342">IFERROR(INDEX(baseline!$A$3:$A$201,MATCH($C342&amp;$D342,baseline!$C$3:$C$201&amp;baseline!$D$3:$D$201,0)),"NA")</f>
        <v>13</v>
      </c>
      <c r="C342" t="s">
        <v>762</v>
      </c>
      <c r="D342" t="s">
        <v>881</v>
      </c>
      <c r="E342" t="s">
        <v>869</v>
      </c>
      <c r="F342">
        <v>0</v>
      </c>
      <c r="G342">
        <v>3418.6207139712501</v>
      </c>
      <c r="H342">
        <v>2700.72</v>
      </c>
      <c r="I342">
        <v>0</v>
      </c>
      <c r="J342">
        <v>1507162.31684</v>
      </c>
      <c r="K342">
        <v>71483.390520000001</v>
      </c>
      <c r="L342">
        <v>0</v>
      </c>
      <c r="M342">
        <v>155177.90192</v>
      </c>
      <c r="N342">
        <v>129052.88102</v>
      </c>
      <c r="O342">
        <v>39061.142359999998</v>
      </c>
      <c r="P342">
        <v>0</v>
      </c>
      <c r="Q342">
        <v>105730.64014</v>
      </c>
      <c r="R342">
        <v>43333.368000000002</v>
      </c>
      <c r="S342">
        <v>0</v>
      </c>
    </row>
    <row r="343" spans="1:19">
      <c r="A343">
        <v>342</v>
      </c>
      <c r="B343" s="45">
        <f t="array" ref="B343">IFERROR(INDEX(baseline!$A$3:$A$201,MATCH($C343&amp;$D343,baseline!$C$3:$C$201&amp;baseline!$D$3:$D$201,0)),"NA")</f>
        <v>13</v>
      </c>
      <c r="C343" t="s">
        <v>762</v>
      </c>
      <c r="D343" t="s">
        <v>881</v>
      </c>
      <c r="E343" t="s">
        <v>896</v>
      </c>
      <c r="F343">
        <v>169937.86</v>
      </c>
      <c r="G343">
        <v>3418.6207139712501</v>
      </c>
      <c r="H343">
        <v>2700.72</v>
      </c>
      <c r="I343">
        <v>0</v>
      </c>
      <c r="J343">
        <v>1481959.5189</v>
      </c>
      <c r="K343">
        <v>73013.9473</v>
      </c>
      <c r="L343">
        <v>0</v>
      </c>
      <c r="M343">
        <v>155177.90192</v>
      </c>
      <c r="N343">
        <v>129052.88102</v>
      </c>
      <c r="O343">
        <v>39061.142359999998</v>
      </c>
      <c r="P343">
        <v>0</v>
      </c>
      <c r="Q343">
        <v>105525.08442</v>
      </c>
      <c r="R343">
        <v>43566.701520000002</v>
      </c>
      <c r="S343">
        <v>0</v>
      </c>
    </row>
    <row r="344" spans="1:19">
      <c r="A344">
        <v>343</v>
      </c>
      <c r="B344" s="45">
        <f t="array" ref="B344">IFERROR(INDEX(baseline!$A$3:$A$201,MATCH($C344&amp;$D344,baseline!$C$3:$C$201&amp;baseline!$D$3:$D$201,0)),"NA")</f>
        <v>13</v>
      </c>
      <c r="C344" t="s">
        <v>762</v>
      </c>
      <c r="D344" t="s">
        <v>881</v>
      </c>
      <c r="E344" t="s">
        <v>840</v>
      </c>
      <c r="F344">
        <v>929.13</v>
      </c>
      <c r="G344">
        <v>3418.6207139712501</v>
      </c>
      <c r="H344">
        <v>2700.72</v>
      </c>
      <c r="I344">
        <v>0</v>
      </c>
      <c r="J344">
        <v>1046181.3925</v>
      </c>
      <c r="K344">
        <v>73013.9473</v>
      </c>
      <c r="L344">
        <v>0</v>
      </c>
      <c r="M344">
        <v>155177.90192</v>
      </c>
      <c r="N344">
        <v>129052.88102</v>
      </c>
      <c r="O344">
        <v>39061.142359999998</v>
      </c>
      <c r="P344">
        <v>0</v>
      </c>
      <c r="Q344">
        <v>105525.08442</v>
      </c>
      <c r="R344">
        <v>36236.140099999997</v>
      </c>
      <c r="S344">
        <v>0</v>
      </c>
    </row>
    <row r="345" spans="1:19">
      <c r="A345">
        <v>344</v>
      </c>
      <c r="B345" s="45">
        <f t="array" ref="B345">IFERROR(INDEX(baseline!$A$3:$A$201,MATCH($C345&amp;$D345,baseline!$C$3:$C$201&amp;baseline!$D$3:$D$201,0)),"NA")</f>
        <v>13</v>
      </c>
      <c r="C345" t="s">
        <v>762</v>
      </c>
      <c r="D345" t="s">
        <v>881</v>
      </c>
      <c r="E345" t="s">
        <v>839</v>
      </c>
      <c r="F345">
        <v>20097.09</v>
      </c>
      <c r="G345">
        <v>3418.6207139712501</v>
      </c>
      <c r="H345">
        <v>2700.72</v>
      </c>
      <c r="I345">
        <v>0</v>
      </c>
      <c r="J345">
        <v>1481959.5189</v>
      </c>
      <c r="K345">
        <v>52152.819499999998</v>
      </c>
      <c r="L345">
        <v>0</v>
      </c>
      <c r="M345">
        <v>155177.90192</v>
      </c>
      <c r="N345">
        <v>129052.88102</v>
      </c>
      <c r="O345">
        <v>39061.142359999998</v>
      </c>
      <c r="P345">
        <v>0</v>
      </c>
      <c r="Q345">
        <v>105525.08442</v>
      </c>
      <c r="R345">
        <v>43566.701520000002</v>
      </c>
      <c r="S345">
        <v>0</v>
      </c>
    </row>
    <row r="346" spans="1:19">
      <c r="A346">
        <v>345</v>
      </c>
      <c r="B346" s="45">
        <f t="array" ref="B346">IFERROR(INDEX(baseline!$A$3:$A$201,MATCH($C346&amp;$D346,baseline!$C$3:$C$201&amp;baseline!$D$3:$D$201,0)),"NA")</f>
        <v>13</v>
      </c>
      <c r="C346" t="s">
        <v>762</v>
      </c>
      <c r="D346" t="s">
        <v>881</v>
      </c>
      <c r="E346" t="s">
        <v>805</v>
      </c>
      <c r="F346">
        <v>42433.98</v>
      </c>
      <c r="G346">
        <v>3418.6207139712501</v>
      </c>
      <c r="H346">
        <v>2700.72</v>
      </c>
      <c r="I346">
        <v>0</v>
      </c>
      <c r="J346">
        <v>1273845.46352</v>
      </c>
      <c r="K346">
        <v>73277.8364</v>
      </c>
      <c r="L346">
        <v>0</v>
      </c>
      <c r="M346">
        <v>155177.90192</v>
      </c>
      <c r="N346">
        <v>129052.88102</v>
      </c>
      <c r="O346">
        <v>39061.142359999998</v>
      </c>
      <c r="P346">
        <v>0</v>
      </c>
      <c r="Q346">
        <v>105525.08442</v>
      </c>
      <c r="R346">
        <v>43433.36808</v>
      </c>
      <c r="S346">
        <v>0</v>
      </c>
    </row>
    <row r="347" spans="1:19">
      <c r="A347">
        <v>346</v>
      </c>
      <c r="B347" s="45">
        <f t="array" ref="B347">IFERROR(INDEX(baseline!$A$3:$A$201,MATCH($C347&amp;$D347,baseline!$C$3:$C$201&amp;baseline!$D$3:$D$201,0)),"NA")</f>
        <v>13</v>
      </c>
      <c r="C347" t="s">
        <v>762</v>
      </c>
      <c r="D347" t="s">
        <v>881</v>
      </c>
      <c r="E347" t="s">
        <v>877</v>
      </c>
      <c r="F347">
        <v>17578.64</v>
      </c>
      <c r="G347">
        <v>3418.6207139712501</v>
      </c>
      <c r="H347">
        <v>2700.72</v>
      </c>
      <c r="I347">
        <v>0</v>
      </c>
      <c r="J347">
        <v>1169703.7135399999</v>
      </c>
      <c r="K347">
        <v>8358.3400199999996</v>
      </c>
      <c r="L347">
        <v>0</v>
      </c>
      <c r="M347">
        <v>155177.90192</v>
      </c>
      <c r="N347">
        <v>129052.88102</v>
      </c>
      <c r="O347">
        <v>39061.142359999998</v>
      </c>
      <c r="P347">
        <v>0</v>
      </c>
      <c r="Q347">
        <v>105630.64006000001</v>
      </c>
      <c r="R347">
        <v>43116.701159999997</v>
      </c>
      <c r="S347">
        <v>0</v>
      </c>
    </row>
    <row r="348" spans="1:19">
      <c r="A348">
        <v>347</v>
      </c>
      <c r="B348" s="45">
        <f t="array" ref="B348">IFERROR(INDEX(baseline!$A$3:$A$201,MATCH($C348&amp;$D348,baseline!$C$3:$C$201&amp;baseline!$D$3:$D$201,0)),"NA")</f>
        <v>13</v>
      </c>
      <c r="C348" t="s">
        <v>762</v>
      </c>
      <c r="D348" t="s">
        <v>881</v>
      </c>
      <c r="E348" t="s">
        <v>838</v>
      </c>
      <c r="F348">
        <v>6868.93</v>
      </c>
      <c r="G348">
        <v>3418.6207139712501</v>
      </c>
      <c r="H348">
        <v>2700.72</v>
      </c>
      <c r="I348">
        <v>0</v>
      </c>
      <c r="J348">
        <v>1482034.51896</v>
      </c>
      <c r="K348">
        <v>72500.058000000005</v>
      </c>
      <c r="L348">
        <v>0</v>
      </c>
      <c r="M348">
        <v>155177.90192</v>
      </c>
      <c r="N348">
        <v>129052.88102</v>
      </c>
      <c r="O348">
        <v>39061.142359999998</v>
      </c>
      <c r="P348">
        <v>0</v>
      </c>
      <c r="Q348">
        <v>105525.08442</v>
      </c>
      <c r="R348">
        <v>43569.479299999999</v>
      </c>
      <c r="S348">
        <v>0</v>
      </c>
    </row>
    <row r="349" spans="1:19">
      <c r="A349">
        <v>348</v>
      </c>
      <c r="B349" s="45">
        <f t="array" ref="B349">IFERROR(INDEX(baseline!$A$3:$A$201,MATCH($C349&amp;$D349,baseline!$C$3:$C$201&amp;baseline!$D$3:$D$201,0)),"NA")</f>
        <v>13</v>
      </c>
      <c r="C349" t="s">
        <v>762</v>
      </c>
      <c r="D349" t="s">
        <v>881</v>
      </c>
      <c r="E349" t="s">
        <v>1013</v>
      </c>
      <c r="F349">
        <v>150394.17000000001</v>
      </c>
      <c r="G349">
        <v>3418.6207139712501</v>
      </c>
      <c r="H349">
        <v>2700.72</v>
      </c>
      <c r="I349">
        <v>0</v>
      </c>
      <c r="J349">
        <v>1324317.72612</v>
      </c>
      <c r="K349">
        <v>72586.169179999997</v>
      </c>
      <c r="L349">
        <v>0</v>
      </c>
      <c r="M349">
        <v>155177.90192</v>
      </c>
      <c r="N349">
        <v>90338.961160000006</v>
      </c>
      <c r="O349">
        <v>39061.142359999998</v>
      </c>
      <c r="P349">
        <v>0</v>
      </c>
      <c r="Q349">
        <v>50975.040780000003</v>
      </c>
      <c r="R349">
        <v>34141.693979999996</v>
      </c>
      <c r="S349">
        <v>0</v>
      </c>
    </row>
    <row r="350" spans="1:19">
      <c r="A350">
        <v>349</v>
      </c>
      <c r="B350" s="45">
        <f t="array" ref="B350">IFERROR(INDEX(baseline!$A$3:$A$201,MATCH($C350&amp;$D350,baseline!$C$3:$C$201&amp;baseline!$D$3:$D$201,0)),"NA")</f>
        <v>13</v>
      </c>
      <c r="C350" t="s">
        <v>762</v>
      </c>
      <c r="D350" t="s">
        <v>881</v>
      </c>
      <c r="E350" t="s">
        <v>893</v>
      </c>
      <c r="F350">
        <v>902219.42</v>
      </c>
      <c r="G350">
        <v>3418.6207139712501</v>
      </c>
      <c r="H350">
        <v>2700.72</v>
      </c>
      <c r="I350">
        <v>0</v>
      </c>
      <c r="J350">
        <v>1386951.10956</v>
      </c>
      <c r="K350">
        <v>66977.831359999996</v>
      </c>
      <c r="L350">
        <v>0</v>
      </c>
      <c r="M350">
        <v>155177.90192</v>
      </c>
      <c r="N350">
        <v>129052.88102</v>
      </c>
      <c r="O350">
        <v>39061.142359999998</v>
      </c>
      <c r="P350">
        <v>0</v>
      </c>
      <c r="Q350">
        <v>103500.0828</v>
      </c>
      <c r="R350">
        <v>41119.477339999998</v>
      </c>
      <c r="S350">
        <v>0</v>
      </c>
    </row>
    <row r="351" spans="1:19">
      <c r="A351">
        <v>350</v>
      </c>
      <c r="B351" s="45">
        <f t="array" ref="B351">IFERROR(INDEX(baseline!$A$3:$A$201,MATCH($C351&amp;$D351,baseline!$C$3:$C$201&amp;baseline!$D$3:$D$201,0)),"NA")</f>
        <v>13</v>
      </c>
      <c r="C351" t="s">
        <v>762</v>
      </c>
      <c r="D351" t="s">
        <v>881</v>
      </c>
      <c r="E351" t="s">
        <v>892</v>
      </c>
      <c r="F351">
        <v>385440.78</v>
      </c>
      <c r="G351">
        <v>3418.6207139712501</v>
      </c>
      <c r="H351">
        <v>2700.72</v>
      </c>
      <c r="I351">
        <v>0</v>
      </c>
      <c r="J351">
        <v>1411978.9073600001</v>
      </c>
      <c r="K351">
        <v>69161.166440000001</v>
      </c>
      <c r="L351">
        <v>0</v>
      </c>
      <c r="M351">
        <v>155177.90192</v>
      </c>
      <c r="N351">
        <v>129052.88102</v>
      </c>
      <c r="O351">
        <v>39061.142359999998</v>
      </c>
      <c r="P351">
        <v>0</v>
      </c>
      <c r="Q351">
        <v>103788.97192</v>
      </c>
      <c r="R351">
        <v>41541.6999</v>
      </c>
      <c r="S351">
        <v>0</v>
      </c>
    </row>
    <row r="352" spans="1:19">
      <c r="A352">
        <v>351</v>
      </c>
      <c r="B352" s="45">
        <f t="array" ref="B352">IFERROR(INDEX(baseline!$A$3:$A$201,MATCH($C352&amp;$D352,baseline!$C$3:$C$201&amp;baseline!$D$3:$D$201,0)),"NA")</f>
        <v>13</v>
      </c>
      <c r="C352" t="s">
        <v>762</v>
      </c>
      <c r="D352" t="s">
        <v>881</v>
      </c>
      <c r="E352" t="s">
        <v>894</v>
      </c>
      <c r="F352">
        <v>3033752.43</v>
      </c>
      <c r="G352">
        <v>3418.6207139712501</v>
      </c>
      <c r="H352">
        <v>2700.72</v>
      </c>
      <c r="I352">
        <v>0</v>
      </c>
      <c r="J352">
        <v>1474509.51294</v>
      </c>
      <c r="K352">
        <v>73030.613979999995</v>
      </c>
      <c r="L352">
        <v>0</v>
      </c>
      <c r="M352">
        <v>155177.90192</v>
      </c>
      <c r="N352">
        <v>129052.88102</v>
      </c>
      <c r="O352">
        <v>39061.142359999998</v>
      </c>
      <c r="P352">
        <v>0</v>
      </c>
      <c r="Q352">
        <v>105202.86194</v>
      </c>
      <c r="R352">
        <v>43225.03458</v>
      </c>
      <c r="S352">
        <v>0</v>
      </c>
    </row>
    <row r="353" spans="1:19">
      <c r="A353">
        <v>352</v>
      </c>
      <c r="B353" s="45">
        <f t="array" ref="B353">IFERROR(INDEX(baseline!$A$3:$A$201,MATCH($C353&amp;$D353,baseline!$C$3:$C$201&amp;baseline!$D$3:$D$201,0)),"NA")</f>
        <v>13</v>
      </c>
      <c r="C353" t="s">
        <v>762</v>
      </c>
      <c r="D353" t="s">
        <v>881</v>
      </c>
      <c r="E353" t="s">
        <v>837</v>
      </c>
      <c r="F353">
        <v>5122.33</v>
      </c>
      <c r="G353">
        <v>3418.6207139712501</v>
      </c>
      <c r="H353">
        <v>2700.72</v>
      </c>
      <c r="I353">
        <v>0</v>
      </c>
      <c r="J353">
        <v>1481959.5189</v>
      </c>
      <c r="K353">
        <v>73013.9473</v>
      </c>
      <c r="L353">
        <v>0</v>
      </c>
      <c r="M353">
        <v>155177.90192</v>
      </c>
      <c r="N353">
        <v>129052.88102</v>
      </c>
      <c r="O353">
        <v>39061.142359999998</v>
      </c>
      <c r="P353">
        <v>0</v>
      </c>
      <c r="Q353">
        <v>50430.5959</v>
      </c>
      <c r="R353">
        <v>43566.701520000002</v>
      </c>
      <c r="S353">
        <v>0</v>
      </c>
    </row>
    <row r="354" spans="1:19">
      <c r="A354">
        <v>353</v>
      </c>
      <c r="B354" s="45">
        <f t="array" ref="B354">IFERROR(INDEX(baseline!$A$3:$A$201,MATCH($C354&amp;$D354,baseline!$C$3:$C$201&amp;baseline!$D$3:$D$201,0)),"NA")</f>
        <v>13</v>
      </c>
      <c r="C354" t="s">
        <v>762</v>
      </c>
      <c r="D354" t="s">
        <v>881</v>
      </c>
      <c r="E354" t="s">
        <v>833</v>
      </c>
      <c r="F354">
        <v>5048.54</v>
      </c>
      <c r="G354">
        <v>3418.6207139712501</v>
      </c>
      <c r="H354">
        <v>2700.72</v>
      </c>
      <c r="I354">
        <v>0</v>
      </c>
      <c r="J354">
        <v>1482226.1857799999</v>
      </c>
      <c r="K354">
        <v>73008.391740000006</v>
      </c>
      <c r="L354">
        <v>0</v>
      </c>
      <c r="M354">
        <v>155177.90192</v>
      </c>
      <c r="N354">
        <v>129052.88102</v>
      </c>
      <c r="O354">
        <v>39061.142359999998</v>
      </c>
      <c r="P354">
        <v>0</v>
      </c>
      <c r="Q354">
        <v>105322.30648</v>
      </c>
      <c r="R354">
        <v>43566.701520000002</v>
      </c>
      <c r="S354">
        <v>0</v>
      </c>
    </row>
    <row r="355" spans="1:19">
      <c r="A355">
        <v>354</v>
      </c>
      <c r="B355" s="45">
        <f t="array" ref="B355">IFERROR(INDEX(baseline!$A$3:$A$201,MATCH($C355&amp;$D355,baseline!$C$3:$C$201&amp;baseline!$D$3:$D$201,0)),"NA")</f>
        <v>13</v>
      </c>
      <c r="C355" t="s">
        <v>762</v>
      </c>
      <c r="D355" t="s">
        <v>881</v>
      </c>
      <c r="E355" t="s">
        <v>835</v>
      </c>
      <c r="F355">
        <v>304398.06</v>
      </c>
      <c r="G355">
        <v>3418.6207139712501</v>
      </c>
      <c r="H355">
        <v>2700.72</v>
      </c>
      <c r="I355">
        <v>0</v>
      </c>
      <c r="J355">
        <v>1260487.1195</v>
      </c>
      <c r="K355">
        <v>74125.059299999994</v>
      </c>
      <c r="L355">
        <v>0</v>
      </c>
      <c r="M355">
        <v>155177.90192</v>
      </c>
      <c r="N355">
        <v>129052.88102</v>
      </c>
      <c r="O355">
        <v>39061.142359999998</v>
      </c>
      <c r="P355">
        <v>0</v>
      </c>
      <c r="Q355">
        <v>105527.8622</v>
      </c>
      <c r="R355">
        <v>43455.590320000003</v>
      </c>
      <c r="S355">
        <v>21897.239740000001</v>
      </c>
    </row>
    <row r="356" spans="1:19">
      <c r="A356">
        <v>355</v>
      </c>
      <c r="B356" s="45">
        <f t="array" ref="B356">IFERROR(INDEX(baseline!$A$3:$A$201,MATCH($C356&amp;$D356,baseline!$C$3:$C$201&amp;baseline!$D$3:$D$201,0)),"NA")</f>
        <v>13</v>
      </c>
      <c r="C356" t="s">
        <v>762</v>
      </c>
      <c r="D356" t="s">
        <v>881</v>
      </c>
      <c r="E356" t="s">
        <v>863</v>
      </c>
      <c r="F356">
        <v>52903.88</v>
      </c>
      <c r="G356">
        <v>3418.6207139712501</v>
      </c>
      <c r="H356">
        <v>2700.72</v>
      </c>
      <c r="I356">
        <v>0</v>
      </c>
      <c r="J356">
        <v>895634.04983999999</v>
      </c>
      <c r="K356">
        <v>60936.15986</v>
      </c>
      <c r="L356">
        <v>0</v>
      </c>
      <c r="M356">
        <v>155169.56857999999</v>
      </c>
      <c r="N356">
        <v>129052.88102</v>
      </c>
      <c r="O356">
        <v>39061.142359999998</v>
      </c>
      <c r="P356">
        <v>0</v>
      </c>
      <c r="Q356">
        <v>92938.963239999997</v>
      </c>
      <c r="R356">
        <v>28783.356360000002</v>
      </c>
      <c r="S356">
        <v>0</v>
      </c>
    </row>
    <row r="357" spans="1:19">
      <c r="A357">
        <v>356</v>
      </c>
      <c r="B357" s="45">
        <f t="array" ref="B357">IFERROR(INDEX(baseline!$A$3:$A$201,MATCH($C357&amp;$D357,baseline!$C$3:$C$201&amp;baseline!$D$3:$D$201,0)),"NA")</f>
        <v>13</v>
      </c>
      <c r="C357" t="s">
        <v>762</v>
      </c>
      <c r="D357" t="s">
        <v>881</v>
      </c>
      <c r="E357" t="s">
        <v>1011</v>
      </c>
      <c r="F357">
        <v>77202.91</v>
      </c>
      <c r="G357">
        <v>3418.6207139712501</v>
      </c>
      <c r="H357">
        <v>2700.72</v>
      </c>
      <c r="I357">
        <v>0</v>
      </c>
      <c r="J357">
        <v>808403.42449999996</v>
      </c>
      <c r="K357">
        <v>59861.159</v>
      </c>
      <c r="L357">
        <v>0</v>
      </c>
      <c r="M357">
        <v>155166.79079999999</v>
      </c>
      <c r="N357">
        <v>129052.88102</v>
      </c>
      <c r="O357">
        <v>39061.142359999998</v>
      </c>
      <c r="P357">
        <v>0</v>
      </c>
      <c r="Q357">
        <v>92813.963140000007</v>
      </c>
      <c r="R357">
        <v>29466.69024</v>
      </c>
      <c r="S357">
        <v>0</v>
      </c>
    </row>
    <row r="358" spans="1:19">
      <c r="A358">
        <v>357</v>
      </c>
      <c r="B358" s="45">
        <f t="array" ref="B358">IFERROR(INDEX(baseline!$A$3:$A$201,MATCH($C358&amp;$D358,baseline!$C$3:$C$201&amp;baseline!$D$3:$D$201,0)),"NA")</f>
        <v>13</v>
      </c>
      <c r="C358" t="s">
        <v>762</v>
      </c>
      <c r="D358" t="s">
        <v>881</v>
      </c>
      <c r="E358" t="s">
        <v>860</v>
      </c>
      <c r="F358">
        <v>80753.399999999994</v>
      </c>
      <c r="G358">
        <v>3418.6207139712501</v>
      </c>
      <c r="H358">
        <v>2700.72</v>
      </c>
      <c r="I358">
        <v>0</v>
      </c>
      <c r="J358">
        <v>1529537.3347400001</v>
      </c>
      <c r="K358">
        <v>72325.057860000001</v>
      </c>
      <c r="L358">
        <v>0</v>
      </c>
      <c r="M358">
        <v>155177.90192</v>
      </c>
      <c r="N358">
        <v>90338.961160000006</v>
      </c>
      <c r="O358">
        <v>39061.142359999998</v>
      </c>
      <c r="P358">
        <v>0</v>
      </c>
      <c r="Q358">
        <v>106041.7515</v>
      </c>
      <c r="R358">
        <v>43741.701659999999</v>
      </c>
      <c r="S358">
        <v>0</v>
      </c>
    </row>
    <row r="359" spans="1:19">
      <c r="A359">
        <v>358</v>
      </c>
      <c r="B359" s="45">
        <f t="array" ref="B359">IFERROR(INDEX(baseline!$A$3:$A$201,MATCH($C359&amp;$D359,baseline!$C$3:$C$201&amp;baseline!$D$3:$D$201,0)),"NA")</f>
        <v>13</v>
      </c>
      <c r="C359" t="s">
        <v>762</v>
      </c>
      <c r="D359" t="s">
        <v>881</v>
      </c>
      <c r="E359" t="s">
        <v>1019</v>
      </c>
      <c r="F359">
        <v>78132.039999999994</v>
      </c>
      <c r="G359">
        <v>3418.6207139712501</v>
      </c>
      <c r="H359">
        <v>2700.72</v>
      </c>
      <c r="I359">
        <v>0</v>
      </c>
      <c r="J359">
        <v>547300.43784000003</v>
      </c>
      <c r="K359">
        <v>59861.159</v>
      </c>
      <c r="L359">
        <v>0</v>
      </c>
      <c r="M359">
        <v>155166.79079999999</v>
      </c>
      <c r="N359">
        <v>129052.88102</v>
      </c>
      <c r="O359">
        <v>39061.142359999998</v>
      </c>
      <c r="P359">
        <v>0</v>
      </c>
      <c r="Q359">
        <v>92816.740919999997</v>
      </c>
      <c r="R359">
        <v>26150.020919999999</v>
      </c>
      <c r="S359">
        <v>0</v>
      </c>
    </row>
    <row r="360" spans="1:19">
      <c r="A360">
        <v>359</v>
      </c>
      <c r="B360" s="45">
        <f t="array" ref="B360">IFERROR(INDEX(baseline!$A$3:$A$201,MATCH($C360&amp;$D360,baseline!$C$3:$C$201&amp;baseline!$D$3:$D$201,0)),"NA")</f>
        <v>13</v>
      </c>
      <c r="C360" t="s">
        <v>762</v>
      </c>
      <c r="D360" t="s">
        <v>881</v>
      </c>
      <c r="E360" t="s">
        <v>836</v>
      </c>
      <c r="F360">
        <v>24299.03</v>
      </c>
      <c r="G360">
        <v>3418.6207139712501</v>
      </c>
      <c r="H360">
        <v>2700.72</v>
      </c>
      <c r="I360">
        <v>0</v>
      </c>
      <c r="J360">
        <v>1417220.57822</v>
      </c>
      <c r="K360">
        <v>84300.067439999999</v>
      </c>
      <c r="L360">
        <v>0</v>
      </c>
      <c r="M360">
        <v>155172.34636</v>
      </c>
      <c r="N360">
        <v>129052.88102</v>
      </c>
      <c r="O360">
        <v>39061.142359999998</v>
      </c>
      <c r="P360">
        <v>0</v>
      </c>
      <c r="Q360">
        <v>108688.97584</v>
      </c>
      <c r="R360">
        <v>47022.259839999999</v>
      </c>
      <c r="S360">
        <v>0</v>
      </c>
    </row>
    <row r="361" spans="1:19">
      <c r="A361">
        <v>360</v>
      </c>
      <c r="B361" s="45">
        <f t="array" ref="B361">IFERROR(INDEX(baseline!$A$3:$A$201,MATCH($C361&amp;$D361,baseline!$C$3:$C$201&amp;baseline!$D$3:$D$201,0)),"NA")</f>
        <v>13</v>
      </c>
      <c r="C361" t="s">
        <v>762</v>
      </c>
      <c r="D361" t="s">
        <v>881</v>
      </c>
      <c r="E361" t="s">
        <v>1030</v>
      </c>
      <c r="F361">
        <v>274492.23</v>
      </c>
      <c r="G361">
        <v>3418.6207139712501</v>
      </c>
      <c r="H361">
        <v>2700.72</v>
      </c>
      <c r="I361">
        <v>0</v>
      </c>
      <c r="J361">
        <v>250600.20048</v>
      </c>
      <c r="K361">
        <v>8594.4513200000001</v>
      </c>
      <c r="L361">
        <v>0</v>
      </c>
      <c r="M361">
        <v>155166.79079999999</v>
      </c>
      <c r="N361">
        <v>90338.961160000006</v>
      </c>
      <c r="O361">
        <v>39061.142359999998</v>
      </c>
      <c r="P361">
        <v>0</v>
      </c>
      <c r="Q361">
        <v>37069.474099999999</v>
      </c>
      <c r="R361">
        <v>18944.459599999998</v>
      </c>
      <c r="S361">
        <v>0</v>
      </c>
    </row>
    <row r="362" spans="1:19">
      <c r="A362">
        <v>361</v>
      </c>
      <c r="B362" s="45">
        <f t="array" ref="B362">IFERROR(INDEX(baseline!$A$3:$A$201,MATCH($C362&amp;$D362,baseline!$C$3:$C$201&amp;baseline!$D$3:$D$201,0)),"NA")</f>
        <v>13</v>
      </c>
      <c r="C362" t="s">
        <v>762</v>
      </c>
      <c r="D362" t="s">
        <v>881</v>
      </c>
      <c r="E362" t="s">
        <v>859</v>
      </c>
      <c r="F362">
        <v>14049.51</v>
      </c>
      <c r="G362">
        <v>3418.6207139712501</v>
      </c>
      <c r="H362">
        <v>2700.72</v>
      </c>
      <c r="I362">
        <v>0</v>
      </c>
      <c r="J362">
        <v>1484148.4095399999</v>
      </c>
      <c r="K362">
        <v>73025.058420000001</v>
      </c>
      <c r="L362">
        <v>0</v>
      </c>
      <c r="M362">
        <v>155177.90192</v>
      </c>
      <c r="N362">
        <v>129052.88102</v>
      </c>
      <c r="O362">
        <v>39061.142359999998</v>
      </c>
      <c r="P362">
        <v>0</v>
      </c>
      <c r="Q362">
        <v>105558.41778</v>
      </c>
      <c r="R362">
        <v>43588.923759999998</v>
      </c>
      <c r="S362">
        <v>0</v>
      </c>
    </row>
    <row r="363" spans="1:19">
      <c r="A363">
        <v>362</v>
      </c>
      <c r="B363" s="45">
        <f t="array" ref="B363">IFERROR(INDEX(baseline!$A$3:$A$201,MATCH($C363&amp;$D363,baseline!$C$3:$C$201&amp;baseline!$D$3:$D$201,0)),"NA")</f>
        <v>13</v>
      </c>
      <c r="C363" t="s">
        <v>762</v>
      </c>
      <c r="D363" t="s">
        <v>881</v>
      </c>
      <c r="E363" t="s">
        <v>834</v>
      </c>
      <c r="F363">
        <v>3425.24</v>
      </c>
      <c r="G363">
        <v>3418.6207139712501</v>
      </c>
      <c r="H363">
        <v>2700.72</v>
      </c>
      <c r="I363">
        <v>0</v>
      </c>
      <c r="J363">
        <v>1514081.76682</v>
      </c>
      <c r="K363">
        <v>73013.9473</v>
      </c>
      <c r="L363">
        <v>0</v>
      </c>
      <c r="M363">
        <v>155177.90192</v>
      </c>
      <c r="N363">
        <v>129052.88102</v>
      </c>
      <c r="O363">
        <v>39061.142359999998</v>
      </c>
      <c r="P363">
        <v>0</v>
      </c>
      <c r="Q363">
        <v>105525.08442</v>
      </c>
      <c r="R363">
        <v>10152.785900000001</v>
      </c>
      <c r="S363">
        <v>0</v>
      </c>
    </row>
    <row r="364" spans="1:19">
      <c r="A364">
        <v>363</v>
      </c>
      <c r="B364" s="45">
        <f t="array" ref="B364">IFERROR(INDEX(baseline!$A$3:$A$201,MATCH($C364&amp;$D364,baseline!$C$3:$C$201&amp;baseline!$D$3:$D$201,0)),"NA")</f>
        <v>13</v>
      </c>
      <c r="C364" t="s">
        <v>762</v>
      </c>
      <c r="D364" t="s">
        <v>881</v>
      </c>
      <c r="E364" t="s">
        <v>865</v>
      </c>
      <c r="F364">
        <v>8034.95</v>
      </c>
      <c r="G364">
        <v>3418.6207139712501</v>
      </c>
      <c r="H364">
        <v>2700.72</v>
      </c>
      <c r="I364">
        <v>0</v>
      </c>
      <c r="J364">
        <v>1481959.5189</v>
      </c>
      <c r="K364">
        <v>73013.9473</v>
      </c>
      <c r="L364">
        <v>0</v>
      </c>
      <c r="M364">
        <v>155177.90192</v>
      </c>
      <c r="N364">
        <v>129052.88102</v>
      </c>
      <c r="O364">
        <v>39061.142359999998</v>
      </c>
      <c r="P364">
        <v>0</v>
      </c>
      <c r="Q364">
        <v>105525.08442</v>
      </c>
      <c r="R364">
        <v>34075.027260000003</v>
      </c>
      <c r="S364">
        <v>0</v>
      </c>
    </row>
    <row r="365" spans="1:19">
      <c r="A365">
        <v>364</v>
      </c>
      <c r="B365" s="45">
        <f t="array" ref="B365">IFERROR(INDEX(baseline!$A$3:$A$201,MATCH($C365&amp;$D365,baseline!$C$3:$C$201&amp;baseline!$D$3:$D$201,0)),"NA")</f>
        <v>14</v>
      </c>
      <c r="C365" t="s">
        <v>762</v>
      </c>
      <c r="D365" t="s">
        <v>13</v>
      </c>
      <c r="E365" t="s">
        <v>832</v>
      </c>
      <c r="F365">
        <v>17578.64</v>
      </c>
      <c r="G365">
        <v>3418.6207139712501</v>
      </c>
      <c r="H365">
        <v>2700.72</v>
      </c>
      <c r="I365">
        <v>0</v>
      </c>
      <c r="J365">
        <v>1141417.5797999999</v>
      </c>
      <c r="K365">
        <v>11600.00928</v>
      </c>
      <c r="L365">
        <v>0</v>
      </c>
      <c r="M365">
        <v>155164.01302000001</v>
      </c>
      <c r="N365">
        <v>129052.88102</v>
      </c>
      <c r="O365">
        <v>39061.142359999998</v>
      </c>
      <c r="P365">
        <v>0</v>
      </c>
      <c r="Q365">
        <v>103238.97147999999</v>
      </c>
      <c r="R365">
        <v>40469.476820000003</v>
      </c>
      <c r="S365">
        <v>0</v>
      </c>
    </row>
    <row r="366" spans="1:19">
      <c r="A366">
        <v>365</v>
      </c>
      <c r="B366" s="45">
        <f t="array" ref="B366">IFERROR(INDEX(baseline!$A$3:$A$201,MATCH($C366&amp;$D366,baseline!$C$3:$C$201&amp;baseline!$D$3:$D$201,0)),"NA")</f>
        <v>14</v>
      </c>
      <c r="C366" t="s">
        <v>762</v>
      </c>
      <c r="D366" t="s">
        <v>13</v>
      </c>
      <c r="E366" t="s">
        <v>869</v>
      </c>
      <c r="F366">
        <v>0</v>
      </c>
      <c r="G366">
        <v>3418.6207139712501</v>
      </c>
      <c r="H366">
        <v>2700.72</v>
      </c>
      <c r="I366">
        <v>0</v>
      </c>
      <c r="J366">
        <v>1406556.6808</v>
      </c>
      <c r="K366">
        <v>67386.16502</v>
      </c>
      <c r="L366">
        <v>0</v>
      </c>
      <c r="M366">
        <v>155177.90192</v>
      </c>
      <c r="N366">
        <v>129052.88102</v>
      </c>
      <c r="O366">
        <v>39061.142359999998</v>
      </c>
      <c r="P366">
        <v>0</v>
      </c>
      <c r="Q366">
        <v>103005.63795999999</v>
      </c>
      <c r="R366">
        <v>40477.810160000001</v>
      </c>
      <c r="S366">
        <v>0</v>
      </c>
    </row>
    <row r="367" spans="1:19">
      <c r="A367">
        <v>366</v>
      </c>
      <c r="B367" s="45">
        <f t="array" ref="B367">IFERROR(INDEX(baseline!$A$3:$A$201,MATCH($C367&amp;$D367,baseline!$C$3:$C$201&amp;baseline!$D$3:$D$201,0)),"NA")</f>
        <v>14</v>
      </c>
      <c r="C367" t="s">
        <v>762</v>
      </c>
      <c r="D367" t="s">
        <v>13</v>
      </c>
      <c r="E367" t="s">
        <v>896</v>
      </c>
      <c r="F367">
        <v>65332.04</v>
      </c>
      <c r="G367">
        <v>3418.6207139712501</v>
      </c>
      <c r="H367">
        <v>2700.72</v>
      </c>
      <c r="I367">
        <v>0</v>
      </c>
      <c r="J367">
        <v>1377242.7684599999</v>
      </c>
      <c r="K367">
        <v>68816.721720000001</v>
      </c>
      <c r="L367">
        <v>0</v>
      </c>
      <c r="M367">
        <v>155175.12414</v>
      </c>
      <c r="N367">
        <v>129052.88102</v>
      </c>
      <c r="O367">
        <v>39061.142359999998</v>
      </c>
      <c r="P367">
        <v>0</v>
      </c>
      <c r="Q367">
        <v>102797.30446</v>
      </c>
      <c r="R367">
        <v>40633.365839999999</v>
      </c>
      <c r="S367">
        <v>0</v>
      </c>
    </row>
    <row r="368" spans="1:19">
      <c r="A368">
        <v>367</v>
      </c>
      <c r="B368" s="45">
        <f t="array" ref="B368">IFERROR(INDEX(baseline!$A$3:$A$201,MATCH($C368&amp;$D368,baseline!$C$3:$C$201&amp;baseline!$D$3:$D$201,0)),"NA")</f>
        <v>14</v>
      </c>
      <c r="C368" t="s">
        <v>762</v>
      </c>
      <c r="D368" t="s">
        <v>13</v>
      </c>
      <c r="E368" t="s">
        <v>840</v>
      </c>
      <c r="F368">
        <v>929.13</v>
      </c>
      <c r="G368">
        <v>3418.6207139712501</v>
      </c>
      <c r="H368">
        <v>2700.72</v>
      </c>
      <c r="I368">
        <v>0</v>
      </c>
      <c r="J368">
        <v>974659.11306</v>
      </c>
      <c r="K368">
        <v>68816.721720000001</v>
      </c>
      <c r="L368">
        <v>0</v>
      </c>
      <c r="M368">
        <v>155175.12414</v>
      </c>
      <c r="N368">
        <v>129052.88102</v>
      </c>
      <c r="O368">
        <v>39061.142359999998</v>
      </c>
      <c r="P368">
        <v>0</v>
      </c>
      <c r="Q368">
        <v>102797.30446</v>
      </c>
      <c r="R368">
        <v>33950.027159999998</v>
      </c>
      <c r="S368">
        <v>0</v>
      </c>
    </row>
    <row r="369" spans="1:19">
      <c r="A369">
        <v>368</v>
      </c>
      <c r="B369" s="45">
        <f t="array" ref="B369">IFERROR(INDEX(baseline!$A$3:$A$201,MATCH($C369&amp;$D369,baseline!$C$3:$C$201&amp;baseline!$D$3:$D$201,0)),"NA")</f>
        <v>14</v>
      </c>
      <c r="C369" t="s">
        <v>762</v>
      </c>
      <c r="D369" t="s">
        <v>13</v>
      </c>
      <c r="E369" t="s">
        <v>839</v>
      </c>
      <c r="F369">
        <v>20097.09</v>
      </c>
      <c r="G369">
        <v>3418.6207139712501</v>
      </c>
      <c r="H369">
        <v>2700.72</v>
      </c>
      <c r="I369">
        <v>0</v>
      </c>
      <c r="J369">
        <v>1377242.7684599999</v>
      </c>
      <c r="K369">
        <v>49155.594879999997</v>
      </c>
      <c r="L369">
        <v>0</v>
      </c>
      <c r="M369">
        <v>155175.12414</v>
      </c>
      <c r="N369">
        <v>129052.88102</v>
      </c>
      <c r="O369">
        <v>39061.142359999998</v>
      </c>
      <c r="P369">
        <v>0</v>
      </c>
      <c r="Q369">
        <v>102797.30446</v>
      </c>
      <c r="R369">
        <v>40633.365839999999</v>
      </c>
      <c r="S369">
        <v>0</v>
      </c>
    </row>
    <row r="370" spans="1:19">
      <c r="A370">
        <v>369</v>
      </c>
      <c r="B370" s="45">
        <f t="array" ref="B370">IFERROR(INDEX(baseline!$A$3:$A$201,MATCH($C370&amp;$D370,baseline!$C$3:$C$201&amp;baseline!$D$3:$D$201,0)),"NA")</f>
        <v>14</v>
      </c>
      <c r="C370" t="s">
        <v>762</v>
      </c>
      <c r="D370" t="s">
        <v>13</v>
      </c>
      <c r="E370" t="s">
        <v>805</v>
      </c>
      <c r="F370">
        <v>42433.98</v>
      </c>
      <c r="G370">
        <v>3418.6207139712501</v>
      </c>
      <c r="H370">
        <v>2700.72</v>
      </c>
      <c r="I370">
        <v>0</v>
      </c>
      <c r="J370">
        <v>1170995.38124</v>
      </c>
      <c r="K370">
        <v>69133.388640000005</v>
      </c>
      <c r="L370">
        <v>0</v>
      </c>
      <c r="M370">
        <v>155175.12414</v>
      </c>
      <c r="N370">
        <v>129052.88102</v>
      </c>
      <c r="O370">
        <v>39061.142359999998</v>
      </c>
      <c r="P370">
        <v>0</v>
      </c>
      <c r="Q370">
        <v>102797.30446</v>
      </c>
      <c r="R370">
        <v>40469.476820000003</v>
      </c>
      <c r="S370">
        <v>0</v>
      </c>
    </row>
    <row r="371" spans="1:19">
      <c r="A371">
        <v>370</v>
      </c>
      <c r="B371" s="45">
        <f t="array" ref="B371">IFERROR(INDEX(baseline!$A$3:$A$201,MATCH($C371&amp;$D371,baseline!$C$3:$C$201&amp;baseline!$D$3:$D$201,0)),"NA")</f>
        <v>14</v>
      </c>
      <c r="C371" t="s">
        <v>762</v>
      </c>
      <c r="D371" t="s">
        <v>13</v>
      </c>
      <c r="E371" t="s">
        <v>877</v>
      </c>
      <c r="F371">
        <v>17578.64</v>
      </c>
      <c r="G371">
        <v>3418.6207139712501</v>
      </c>
      <c r="H371">
        <v>2700.72</v>
      </c>
      <c r="I371">
        <v>0</v>
      </c>
      <c r="J371">
        <v>1086914.7584200001</v>
      </c>
      <c r="K371">
        <v>8383.3400399999991</v>
      </c>
      <c r="L371">
        <v>0</v>
      </c>
      <c r="M371">
        <v>155177.90192</v>
      </c>
      <c r="N371">
        <v>129052.88102</v>
      </c>
      <c r="O371">
        <v>39061.142359999998</v>
      </c>
      <c r="P371">
        <v>0</v>
      </c>
      <c r="Q371">
        <v>102922.30456</v>
      </c>
      <c r="R371">
        <v>40136.143219999998</v>
      </c>
      <c r="S371">
        <v>0</v>
      </c>
    </row>
    <row r="372" spans="1:19">
      <c r="A372">
        <v>371</v>
      </c>
      <c r="B372" s="45">
        <f t="array" ref="B372">IFERROR(INDEX(baseline!$A$3:$A$201,MATCH($C372&amp;$D372,baseline!$C$3:$C$201&amp;baseline!$D$3:$D$201,0)),"NA")</f>
        <v>14</v>
      </c>
      <c r="C372" t="s">
        <v>762</v>
      </c>
      <c r="D372" t="s">
        <v>13</v>
      </c>
      <c r="E372" t="s">
        <v>838</v>
      </c>
      <c r="F372">
        <v>6868.93</v>
      </c>
      <c r="G372">
        <v>3418.6207139712501</v>
      </c>
      <c r="H372">
        <v>2700.72</v>
      </c>
      <c r="I372">
        <v>0</v>
      </c>
      <c r="J372">
        <v>1377301.1018399999</v>
      </c>
      <c r="K372">
        <v>68344.499119999993</v>
      </c>
      <c r="L372">
        <v>0</v>
      </c>
      <c r="M372">
        <v>155175.12414</v>
      </c>
      <c r="N372">
        <v>129052.88102</v>
      </c>
      <c r="O372">
        <v>39061.142359999998</v>
      </c>
      <c r="P372">
        <v>0</v>
      </c>
      <c r="Q372">
        <v>102794.52668</v>
      </c>
      <c r="R372">
        <v>40636.143620000003</v>
      </c>
      <c r="S372">
        <v>0</v>
      </c>
    </row>
    <row r="373" spans="1:19">
      <c r="A373">
        <v>372</v>
      </c>
      <c r="B373" s="45">
        <f t="array" ref="B373">IFERROR(INDEX(baseline!$A$3:$A$201,MATCH($C373&amp;$D373,baseline!$C$3:$C$201&amp;baseline!$D$3:$D$201,0)),"NA")</f>
        <v>14</v>
      </c>
      <c r="C373" t="s">
        <v>762</v>
      </c>
      <c r="D373" t="s">
        <v>13</v>
      </c>
      <c r="E373" t="s">
        <v>1013</v>
      </c>
      <c r="F373">
        <v>150394.17000000001</v>
      </c>
      <c r="G373">
        <v>3418.6207139712501</v>
      </c>
      <c r="H373">
        <v>2700.72</v>
      </c>
      <c r="I373">
        <v>0</v>
      </c>
      <c r="J373">
        <v>1219470.4200200001</v>
      </c>
      <c r="K373">
        <v>68458.388099999996</v>
      </c>
      <c r="L373">
        <v>0</v>
      </c>
      <c r="M373">
        <v>155175.12414</v>
      </c>
      <c r="N373">
        <v>90338.961160000006</v>
      </c>
      <c r="O373">
        <v>39061.142359999998</v>
      </c>
      <c r="P373">
        <v>0</v>
      </c>
      <c r="Q373">
        <v>48166.705199999997</v>
      </c>
      <c r="R373">
        <v>31791.6921</v>
      </c>
      <c r="S373">
        <v>0</v>
      </c>
    </row>
    <row r="374" spans="1:19">
      <c r="A374">
        <v>373</v>
      </c>
      <c r="B374" s="45">
        <f t="array" ref="B374">IFERROR(INDEX(baseline!$A$3:$A$201,MATCH($C374&amp;$D374,baseline!$C$3:$C$201&amp;baseline!$D$3:$D$201,0)),"NA")</f>
        <v>14</v>
      </c>
      <c r="C374" t="s">
        <v>762</v>
      </c>
      <c r="D374" t="s">
        <v>13</v>
      </c>
      <c r="E374" t="s">
        <v>893</v>
      </c>
      <c r="F374">
        <v>829845.63</v>
      </c>
      <c r="G374">
        <v>3418.6207139712501</v>
      </c>
      <c r="H374">
        <v>2700.72</v>
      </c>
      <c r="I374">
        <v>0</v>
      </c>
      <c r="J374">
        <v>1163548.1530599999</v>
      </c>
      <c r="K374">
        <v>57422.26816</v>
      </c>
      <c r="L374">
        <v>0</v>
      </c>
      <c r="M374">
        <v>155175.12414</v>
      </c>
      <c r="N374">
        <v>129052.88102</v>
      </c>
      <c r="O374">
        <v>39061.142359999998</v>
      </c>
      <c r="P374">
        <v>0</v>
      </c>
      <c r="Q374">
        <v>98122.300719999999</v>
      </c>
      <c r="R374">
        <v>34972.250200000002</v>
      </c>
      <c r="S374">
        <v>0</v>
      </c>
    </row>
    <row r="375" spans="1:19">
      <c r="A375">
        <v>374</v>
      </c>
      <c r="B375" s="45">
        <f t="array" ref="B375">IFERROR(INDEX(baseline!$A$3:$A$201,MATCH($C375&amp;$D375,baseline!$C$3:$C$201&amp;baseline!$D$3:$D$201,0)),"NA")</f>
        <v>14</v>
      </c>
      <c r="C375" t="s">
        <v>762</v>
      </c>
      <c r="D375" t="s">
        <v>13</v>
      </c>
      <c r="E375" t="s">
        <v>892</v>
      </c>
      <c r="F375">
        <v>385440.78</v>
      </c>
      <c r="G375">
        <v>3418.6207139712501</v>
      </c>
      <c r="H375">
        <v>2700.72</v>
      </c>
      <c r="I375">
        <v>0</v>
      </c>
      <c r="J375">
        <v>1311631.6048600001</v>
      </c>
      <c r="K375">
        <v>65127.829879999998</v>
      </c>
      <c r="L375">
        <v>0</v>
      </c>
      <c r="M375">
        <v>155175.12414</v>
      </c>
      <c r="N375">
        <v>129052.88102</v>
      </c>
      <c r="O375">
        <v>39061.142359999998</v>
      </c>
      <c r="P375">
        <v>0</v>
      </c>
      <c r="Q375">
        <v>101430.6367</v>
      </c>
      <c r="R375">
        <v>38919.475579999998</v>
      </c>
      <c r="S375">
        <v>0</v>
      </c>
    </row>
    <row r="376" spans="1:19">
      <c r="A376">
        <v>375</v>
      </c>
      <c r="B376" s="45">
        <f t="array" ref="B376">IFERROR(INDEX(baseline!$A$3:$A$201,MATCH($C376&amp;$D376,baseline!$C$3:$C$201&amp;baseline!$D$3:$D$201,0)),"NA")</f>
        <v>14</v>
      </c>
      <c r="C376" t="s">
        <v>762</v>
      </c>
      <c r="D376" t="s">
        <v>13</v>
      </c>
      <c r="E376" t="s">
        <v>894</v>
      </c>
      <c r="F376">
        <v>3033752.43</v>
      </c>
      <c r="G376">
        <v>3418.6207139712501</v>
      </c>
      <c r="H376">
        <v>2700.72</v>
      </c>
      <c r="I376">
        <v>0</v>
      </c>
      <c r="J376">
        <v>1370514.9853000001</v>
      </c>
      <c r="K376">
        <v>68816.721720000001</v>
      </c>
      <c r="L376">
        <v>0</v>
      </c>
      <c r="M376">
        <v>155175.12414</v>
      </c>
      <c r="N376">
        <v>129052.88102</v>
      </c>
      <c r="O376">
        <v>39061.142359999998</v>
      </c>
      <c r="P376">
        <v>0</v>
      </c>
      <c r="Q376">
        <v>102575.08206</v>
      </c>
      <c r="R376">
        <v>40375.032299999999</v>
      </c>
      <c r="S376">
        <v>0</v>
      </c>
    </row>
    <row r="377" spans="1:19">
      <c r="A377">
        <v>376</v>
      </c>
      <c r="B377" s="45">
        <f t="array" ref="B377">IFERROR(INDEX(baseline!$A$3:$A$201,MATCH($C377&amp;$D377,baseline!$C$3:$C$201&amp;baseline!$D$3:$D$201,0)),"NA")</f>
        <v>14</v>
      </c>
      <c r="C377" t="s">
        <v>762</v>
      </c>
      <c r="D377" t="s">
        <v>13</v>
      </c>
      <c r="E377" t="s">
        <v>837</v>
      </c>
      <c r="F377">
        <v>5122.33</v>
      </c>
      <c r="G377">
        <v>3418.6207139712501</v>
      </c>
      <c r="H377">
        <v>2700.72</v>
      </c>
      <c r="I377">
        <v>0</v>
      </c>
      <c r="J377">
        <v>1377242.7684599999</v>
      </c>
      <c r="K377">
        <v>68816.721720000001</v>
      </c>
      <c r="L377">
        <v>0</v>
      </c>
      <c r="M377">
        <v>155175.12414</v>
      </c>
      <c r="N377">
        <v>129052.88102</v>
      </c>
      <c r="O377">
        <v>39061.142359999998</v>
      </c>
      <c r="P377">
        <v>0</v>
      </c>
      <c r="Q377">
        <v>47700.038159999996</v>
      </c>
      <c r="R377">
        <v>40633.365839999999</v>
      </c>
      <c r="S377">
        <v>0</v>
      </c>
    </row>
    <row r="378" spans="1:19">
      <c r="A378">
        <v>377</v>
      </c>
      <c r="B378" s="45">
        <f t="array" ref="B378">IFERROR(INDEX(baseline!$A$3:$A$201,MATCH($C378&amp;$D378,baseline!$C$3:$C$201&amp;baseline!$D$3:$D$201,0)),"NA")</f>
        <v>14</v>
      </c>
      <c r="C378" t="s">
        <v>762</v>
      </c>
      <c r="D378" t="s">
        <v>13</v>
      </c>
      <c r="E378" t="s">
        <v>833</v>
      </c>
      <c r="F378">
        <v>5048.54</v>
      </c>
      <c r="G378">
        <v>3418.6207139712501</v>
      </c>
      <c r="H378">
        <v>2700.72</v>
      </c>
      <c r="I378">
        <v>0</v>
      </c>
      <c r="J378">
        <v>1377484.4353199999</v>
      </c>
      <c r="K378">
        <v>68808.388380000004</v>
      </c>
      <c r="L378">
        <v>0</v>
      </c>
      <c r="M378">
        <v>155175.12414</v>
      </c>
      <c r="N378">
        <v>129052.88102</v>
      </c>
      <c r="O378">
        <v>39061.142359999998</v>
      </c>
      <c r="P378">
        <v>0</v>
      </c>
      <c r="Q378">
        <v>102611.19319999999</v>
      </c>
      <c r="R378">
        <v>40636.143620000003</v>
      </c>
      <c r="S378">
        <v>0</v>
      </c>
    </row>
    <row r="379" spans="1:19">
      <c r="A379">
        <v>378</v>
      </c>
      <c r="B379" s="45">
        <f t="array" ref="B379">IFERROR(INDEX(baseline!$A$3:$A$201,MATCH($C379&amp;$D379,baseline!$C$3:$C$201&amp;baseline!$D$3:$D$201,0)),"NA")</f>
        <v>14</v>
      </c>
      <c r="C379" t="s">
        <v>762</v>
      </c>
      <c r="D379" t="s">
        <v>13</v>
      </c>
      <c r="E379" t="s">
        <v>835</v>
      </c>
      <c r="F379">
        <v>304398.06</v>
      </c>
      <c r="G379">
        <v>3418.6207139712501</v>
      </c>
      <c r="H379">
        <v>2700.72</v>
      </c>
      <c r="I379">
        <v>0</v>
      </c>
      <c r="J379">
        <v>1157412.0370400001</v>
      </c>
      <c r="K379">
        <v>69991.722659999999</v>
      </c>
      <c r="L379">
        <v>0</v>
      </c>
      <c r="M379">
        <v>155175.12414</v>
      </c>
      <c r="N379">
        <v>129052.88102</v>
      </c>
      <c r="O379">
        <v>39061.142359999998</v>
      </c>
      <c r="P379">
        <v>0</v>
      </c>
      <c r="Q379">
        <v>102800.08224</v>
      </c>
      <c r="R379">
        <v>40505.587959999997</v>
      </c>
      <c r="S379">
        <v>21897.239740000001</v>
      </c>
    </row>
    <row r="380" spans="1:19">
      <c r="A380">
        <v>379</v>
      </c>
      <c r="B380" s="45">
        <f t="array" ref="B380">IFERROR(INDEX(baseline!$A$3:$A$201,MATCH($C380&amp;$D380,baseline!$C$3:$C$201&amp;baseline!$D$3:$D$201,0)),"NA")</f>
        <v>14</v>
      </c>
      <c r="C380" t="s">
        <v>762</v>
      </c>
      <c r="D380" t="s">
        <v>13</v>
      </c>
      <c r="E380" t="s">
        <v>863</v>
      </c>
      <c r="F380">
        <v>52903.88</v>
      </c>
      <c r="G380">
        <v>3418.6207139712501</v>
      </c>
      <c r="H380">
        <v>2700.72</v>
      </c>
      <c r="I380">
        <v>0</v>
      </c>
      <c r="J380">
        <v>1033545.27128</v>
      </c>
      <c r="K380">
        <v>63011.161520000001</v>
      </c>
      <c r="L380">
        <v>0</v>
      </c>
      <c r="M380">
        <v>155172.34636</v>
      </c>
      <c r="N380">
        <v>129052.88102</v>
      </c>
      <c r="O380">
        <v>39061.142359999998</v>
      </c>
      <c r="P380">
        <v>0</v>
      </c>
      <c r="Q380">
        <v>94822.298079999993</v>
      </c>
      <c r="R380">
        <v>31525.02522</v>
      </c>
      <c r="S380">
        <v>0</v>
      </c>
    </row>
    <row r="381" spans="1:19">
      <c r="A381">
        <v>380</v>
      </c>
      <c r="B381" s="45">
        <f t="array" ref="B381">IFERROR(INDEX(baseline!$A$3:$A$201,MATCH($C381&amp;$D381,baseline!$C$3:$C$201&amp;baseline!$D$3:$D$201,0)),"NA")</f>
        <v>14</v>
      </c>
      <c r="C381" t="s">
        <v>762</v>
      </c>
      <c r="D381" t="s">
        <v>13</v>
      </c>
      <c r="E381" t="s">
        <v>1011</v>
      </c>
      <c r="F381">
        <v>77202.91</v>
      </c>
      <c r="G381">
        <v>3418.6207139712501</v>
      </c>
      <c r="H381">
        <v>2700.72</v>
      </c>
      <c r="I381">
        <v>0</v>
      </c>
      <c r="J381">
        <v>928581.29842000001</v>
      </c>
      <c r="K381">
        <v>61938.938439999998</v>
      </c>
      <c r="L381">
        <v>0</v>
      </c>
      <c r="M381">
        <v>155166.79079999999</v>
      </c>
      <c r="N381">
        <v>129052.88102</v>
      </c>
      <c r="O381">
        <v>39061.142359999998</v>
      </c>
      <c r="P381">
        <v>0</v>
      </c>
      <c r="Q381">
        <v>95469.520820000005</v>
      </c>
      <c r="R381">
        <v>32866.69296</v>
      </c>
      <c r="S381">
        <v>0</v>
      </c>
    </row>
    <row r="382" spans="1:19">
      <c r="A382">
        <v>381</v>
      </c>
      <c r="B382" s="45">
        <f t="array" ref="B382">IFERROR(INDEX(baseline!$A$3:$A$201,MATCH($C382&amp;$D382,baseline!$C$3:$C$201&amp;baseline!$D$3:$D$201,0)),"NA")</f>
        <v>14</v>
      </c>
      <c r="C382" t="s">
        <v>762</v>
      </c>
      <c r="D382" t="s">
        <v>13</v>
      </c>
      <c r="E382" t="s">
        <v>860</v>
      </c>
      <c r="F382">
        <v>80753.399999999994</v>
      </c>
      <c r="G382">
        <v>3418.6207139712501</v>
      </c>
      <c r="H382">
        <v>2700.72</v>
      </c>
      <c r="I382">
        <v>0</v>
      </c>
      <c r="J382">
        <v>1421790.0263199999</v>
      </c>
      <c r="K382">
        <v>68100.054480000006</v>
      </c>
      <c r="L382">
        <v>0</v>
      </c>
      <c r="M382">
        <v>155175.12414</v>
      </c>
      <c r="N382">
        <v>90338.961160000006</v>
      </c>
      <c r="O382">
        <v>39061.142359999998</v>
      </c>
      <c r="P382">
        <v>0</v>
      </c>
      <c r="Q382">
        <v>103216.74924</v>
      </c>
      <c r="R382">
        <v>40755.588159999999</v>
      </c>
      <c r="S382">
        <v>0</v>
      </c>
    </row>
    <row r="383" spans="1:19">
      <c r="A383">
        <v>382</v>
      </c>
      <c r="B383" s="45">
        <f t="array" ref="B383">IFERROR(INDEX(baseline!$A$3:$A$201,MATCH($C383&amp;$D383,baseline!$C$3:$C$201&amp;baseline!$D$3:$D$201,0)),"NA")</f>
        <v>14</v>
      </c>
      <c r="C383" t="s">
        <v>762</v>
      </c>
      <c r="D383" t="s">
        <v>13</v>
      </c>
      <c r="E383" t="s">
        <v>1019</v>
      </c>
      <c r="F383">
        <v>78132.039999999994</v>
      </c>
      <c r="G383">
        <v>3418.6207139712501</v>
      </c>
      <c r="H383">
        <v>2700.72</v>
      </c>
      <c r="I383">
        <v>0</v>
      </c>
      <c r="J383">
        <v>634800.50783999998</v>
      </c>
      <c r="K383">
        <v>61938.938439999998</v>
      </c>
      <c r="L383">
        <v>0</v>
      </c>
      <c r="M383">
        <v>155166.79079999999</v>
      </c>
      <c r="N383">
        <v>129052.88102</v>
      </c>
      <c r="O383">
        <v>39061.142359999998</v>
      </c>
      <c r="P383">
        <v>0</v>
      </c>
      <c r="Q383">
        <v>95469.520820000005</v>
      </c>
      <c r="R383">
        <v>28636.134020000001</v>
      </c>
      <c r="S383">
        <v>0</v>
      </c>
    </row>
    <row r="384" spans="1:19">
      <c r="A384">
        <v>383</v>
      </c>
      <c r="B384" s="45">
        <f t="array" ref="B384">IFERROR(INDEX(baseline!$A$3:$A$201,MATCH($C384&amp;$D384,baseline!$C$3:$C$201&amp;baseline!$D$3:$D$201,0)),"NA")</f>
        <v>14</v>
      </c>
      <c r="C384" t="s">
        <v>762</v>
      </c>
      <c r="D384" t="s">
        <v>13</v>
      </c>
      <c r="E384" t="s">
        <v>836</v>
      </c>
      <c r="F384">
        <v>24299.03</v>
      </c>
      <c r="G384">
        <v>3418.6207139712501</v>
      </c>
      <c r="H384">
        <v>2700.72</v>
      </c>
      <c r="I384">
        <v>0</v>
      </c>
      <c r="J384">
        <v>1310609.38182</v>
      </c>
      <c r="K384">
        <v>79741.730460000006</v>
      </c>
      <c r="L384">
        <v>0</v>
      </c>
      <c r="M384">
        <v>155172.34636</v>
      </c>
      <c r="N384">
        <v>129052.88102</v>
      </c>
      <c r="O384">
        <v>39061.142359999998</v>
      </c>
      <c r="P384">
        <v>0</v>
      </c>
      <c r="Q384">
        <v>105680.6401</v>
      </c>
      <c r="R384">
        <v>44075.035259999997</v>
      </c>
      <c r="S384">
        <v>0</v>
      </c>
    </row>
    <row r="385" spans="1:19">
      <c r="A385">
        <v>384</v>
      </c>
      <c r="B385" s="45">
        <f t="array" ref="B385">IFERROR(INDEX(baseline!$A$3:$A$201,MATCH($C385&amp;$D385,baseline!$C$3:$C$201&amp;baseline!$D$3:$D$201,0)),"NA")</f>
        <v>14</v>
      </c>
      <c r="C385" t="s">
        <v>762</v>
      </c>
      <c r="D385" t="s">
        <v>13</v>
      </c>
      <c r="E385" t="s">
        <v>1030</v>
      </c>
      <c r="F385">
        <v>274492.23</v>
      </c>
      <c r="G385">
        <v>3418.6207139712501</v>
      </c>
      <c r="H385">
        <v>2700.72</v>
      </c>
      <c r="I385">
        <v>0</v>
      </c>
      <c r="J385">
        <v>326008.59414</v>
      </c>
      <c r="K385">
        <v>8205.5621200000005</v>
      </c>
      <c r="L385">
        <v>0</v>
      </c>
      <c r="M385">
        <v>155166.79079999999</v>
      </c>
      <c r="N385">
        <v>90338.961160000006</v>
      </c>
      <c r="O385">
        <v>39061.142359999998</v>
      </c>
      <c r="P385">
        <v>0</v>
      </c>
      <c r="Q385">
        <v>40163.921020000002</v>
      </c>
      <c r="R385">
        <v>21255.572560000001</v>
      </c>
      <c r="S385">
        <v>0</v>
      </c>
    </row>
    <row r="386" spans="1:19">
      <c r="A386">
        <v>385</v>
      </c>
      <c r="B386" s="45">
        <f t="array" ref="B386">IFERROR(INDEX(baseline!$A$3:$A$201,MATCH($C386&amp;$D386,baseline!$C$3:$C$201&amp;baseline!$D$3:$D$201,0)),"NA")</f>
        <v>14</v>
      </c>
      <c r="C386" t="s">
        <v>762</v>
      </c>
      <c r="D386" t="s">
        <v>13</v>
      </c>
      <c r="E386" t="s">
        <v>859</v>
      </c>
      <c r="F386">
        <v>14049.51</v>
      </c>
      <c r="G386">
        <v>3418.6207139712501</v>
      </c>
      <c r="H386">
        <v>2700.72</v>
      </c>
      <c r="I386">
        <v>0</v>
      </c>
      <c r="J386">
        <v>1379889.9927999999</v>
      </c>
      <c r="K386">
        <v>68894.499559999997</v>
      </c>
      <c r="L386">
        <v>0</v>
      </c>
      <c r="M386">
        <v>155175.12414</v>
      </c>
      <c r="N386">
        <v>129052.88102</v>
      </c>
      <c r="O386">
        <v>39061.142359999998</v>
      </c>
      <c r="P386">
        <v>0</v>
      </c>
      <c r="Q386">
        <v>102805.6378</v>
      </c>
      <c r="R386">
        <v>40641.699180000003</v>
      </c>
      <c r="S386">
        <v>0</v>
      </c>
    </row>
    <row r="387" spans="1:19">
      <c r="A387">
        <v>386</v>
      </c>
      <c r="B387" s="45">
        <f t="array" ref="B387">IFERROR(INDEX(baseline!$A$3:$A$201,MATCH($C387&amp;$D387,baseline!$C$3:$C$201&amp;baseline!$D$3:$D$201,0)),"NA")</f>
        <v>14</v>
      </c>
      <c r="C387" t="s">
        <v>762</v>
      </c>
      <c r="D387" t="s">
        <v>13</v>
      </c>
      <c r="E387" t="s">
        <v>834</v>
      </c>
      <c r="F387">
        <v>3425.24</v>
      </c>
      <c r="G387">
        <v>3418.6207139712501</v>
      </c>
      <c r="H387">
        <v>2700.72</v>
      </c>
      <c r="I387">
        <v>0</v>
      </c>
      <c r="J387">
        <v>1407017.7922799999</v>
      </c>
      <c r="K387">
        <v>68816.721720000001</v>
      </c>
      <c r="L387">
        <v>0</v>
      </c>
      <c r="M387">
        <v>155175.12414</v>
      </c>
      <c r="N387">
        <v>129052.88102</v>
      </c>
      <c r="O387">
        <v>39061.142359999998</v>
      </c>
      <c r="P387">
        <v>0</v>
      </c>
      <c r="Q387">
        <v>102797.30446</v>
      </c>
      <c r="R387">
        <v>9355.5630399999991</v>
      </c>
      <c r="S387">
        <v>0</v>
      </c>
    </row>
    <row r="388" spans="1:19">
      <c r="A388">
        <v>387</v>
      </c>
      <c r="B388" s="45">
        <f t="array" ref="B388">IFERROR(INDEX(baseline!$A$3:$A$201,MATCH($C388&amp;$D388,baseline!$C$3:$C$201&amp;baseline!$D$3:$D$201,0)),"NA")</f>
        <v>14</v>
      </c>
      <c r="C388" t="s">
        <v>762</v>
      </c>
      <c r="D388" t="s">
        <v>13</v>
      </c>
      <c r="E388" t="s">
        <v>865</v>
      </c>
      <c r="F388">
        <v>8034.95</v>
      </c>
      <c r="G388">
        <v>3418.6207139712501</v>
      </c>
      <c r="H388">
        <v>2700.72</v>
      </c>
      <c r="I388">
        <v>0</v>
      </c>
      <c r="J388">
        <v>1377242.7684599999</v>
      </c>
      <c r="K388">
        <v>68816.721720000001</v>
      </c>
      <c r="L388">
        <v>0</v>
      </c>
      <c r="M388">
        <v>155175.12414</v>
      </c>
      <c r="N388">
        <v>129052.88102</v>
      </c>
      <c r="O388">
        <v>39061.142359999998</v>
      </c>
      <c r="P388">
        <v>0</v>
      </c>
      <c r="Q388">
        <v>102797.30446</v>
      </c>
      <c r="R388">
        <v>31780.580979999999</v>
      </c>
      <c r="S388">
        <v>0</v>
      </c>
    </row>
    <row r="389" spans="1:19">
      <c r="A389">
        <v>388</v>
      </c>
      <c r="B389" s="45">
        <f t="array" ref="B389">IFERROR(INDEX(baseline!$A$3:$A$201,MATCH($C389&amp;$D389,baseline!$C$3:$C$201&amp;baseline!$D$3:$D$201,0)),"NA")</f>
        <v>15</v>
      </c>
      <c r="C389" t="s">
        <v>762</v>
      </c>
      <c r="D389" t="s">
        <v>14</v>
      </c>
      <c r="E389" t="s">
        <v>832</v>
      </c>
      <c r="F389">
        <v>17578.64</v>
      </c>
      <c r="G389">
        <v>3418.6207139712501</v>
      </c>
      <c r="H389">
        <v>2700.72</v>
      </c>
      <c r="I389">
        <v>0</v>
      </c>
      <c r="J389">
        <v>805631.20005999994</v>
      </c>
      <c r="K389">
        <v>8727.7847600000005</v>
      </c>
      <c r="L389">
        <v>0</v>
      </c>
      <c r="M389">
        <v>155164.01302000001</v>
      </c>
      <c r="N389">
        <v>129052.88102</v>
      </c>
      <c r="O389">
        <v>39061.142359999998</v>
      </c>
      <c r="P389">
        <v>0</v>
      </c>
      <c r="Q389">
        <v>94841.742540000007</v>
      </c>
      <c r="R389">
        <v>30100.024079999999</v>
      </c>
      <c r="S389">
        <v>0</v>
      </c>
    </row>
    <row r="390" spans="1:19">
      <c r="A390">
        <v>389</v>
      </c>
      <c r="B390" s="45">
        <f t="array" ref="B390">IFERROR(INDEX(baseline!$A$3:$A$201,MATCH($C390&amp;$D390,baseline!$C$3:$C$201&amp;baseline!$D$3:$D$201,0)),"NA")</f>
        <v>15</v>
      </c>
      <c r="C390" t="s">
        <v>762</v>
      </c>
      <c r="D390" t="s">
        <v>14</v>
      </c>
      <c r="E390" t="s">
        <v>869</v>
      </c>
      <c r="F390">
        <v>0</v>
      </c>
      <c r="G390">
        <v>3418.6207140000001</v>
      </c>
      <c r="H390">
        <v>2700.72</v>
      </c>
      <c r="I390">
        <v>0</v>
      </c>
      <c r="J390">
        <v>920739.62549999997</v>
      </c>
      <c r="K390">
        <v>33463.915659999999</v>
      </c>
      <c r="L390">
        <v>0</v>
      </c>
      <c r="M390">
        <v>155172.34640000001</v>
      </c>
      <c r="N390">
        <v>129052.88099999999</v>
      </c>
      <c r="O390">
        <v>39061.142359999998</v>
      </c>
      <c r="P390">
        <v>0</v>
      </c>
      <c r="Q390">
        <v>92583.407399999996</v>
      </c>
      <c r="R390">
        <v>28594.46732</v>
      </c>
      <c r="S390">
        <v>0</v>
      </c>
    </row>
    <row r="391" spans="1:19">
      <c r="A391">
        <v>390</v>
      </c>
      <c r="B391" s="45">
        <f t="array" ref="B391">IFERROR(INDEX(baseline!$A$3:$A$201,MATCH($C391&amp;$D391,baseline!$C$3:$C$201&amp;baseline!$D$3:$D$201,0)),"NA")</f>
        <v>15</v>
      </c>
      <c r="C391" t="s">
        <v>762</v>
      </c>
      <c r="D391" t="s">
        <v>14</v>
      </c>
      <c r="E391" t="s">
        <v>896</v>
      </c>
      <c r="F391">
        <v>32923.300000000003</v>
      </c>
      <c r="G391">
        <v>3418.6207139712501</v>
      </c>
      <c r="H391">
        <v>2700.72</v>
      </c>
      <c r="I391">
        <v>0</v>
      </c>
      <c r="J391">
        <v>987348.01210000005</v>
      </c>
      <c r="K391">
        <v>50694.485000000001</v>
      </c>
      <c r="L391">
        <v>0</v>
      </c>
      <c r="M391">
        <v>155172.34636</v>
      </c>
      <c r="N391">
        <v>129052.88102</v>
      </c>
      <c r="O391">
        <v>39061.142359999998</v>
      </c>
      <c r="P391">
        <v>0</v>
      </c>
      <c r="Q391">
        <v>94033.408559999996</v>
      </c>
      <c r="R391">
        <v>30347.246500000001</v>
      </c>
      <c r="S391">
        <v>0</v>
      </c>
    </row>
    <row r="392" spans="1:19">
      <c r="A392">
        <v>391</v>
      </c>
      <c r="B392" s="45">
        <f t="array" ref="B392">IFERROR(INDEX(baseline!$A$3:$A$201,MATCH($C392&amp;$D392,baseline!$C$3:$C$201&amp;baseline!$D$3:$D$201,0)),"NA")</f>
        <v>15</v>
      </c>
      <c r="C392" t="s">
        <v>762</v>
      </c>
      <c r="D392" t="s">
        <v>14</v>
      </c>
      <c r="E392" t="s">
        <v>840</v>
      </c>
      <c r="F392">
        <v>929.13</v>
      </c>
      <c r="G392">
        <v>3418.6207139712501</v>
      </c>
      <c r="H392">
        <v>2700.72</v>
      </c>
      <c r="I392">
        <v>0</v>
      </c>
      <c r="J392">
        <v>692889.44319999998</v>
      </c>
      <c r="K392">
        <v>50694.485000000001</v>
      </c>
      <c r="L392">
        <v>0</v>
      </c>
      <c r="M392">
        <v>155172.34636</v>
      </c>
      <c r="N392">
        <v>129052.88102</v>
      </c>
      <c r="O392">
        <v>39061.142359999998</v>
      </c>
      <c r="P392">
        <v>0</v>
      </c>
      <c r="Q392">
        <v>94033.408559999996</v>
      </c>
      <c r="R392">
        <v>26513.910100000001</v>
      </c>
      <c r="S392">
        <v>0</v>
      </c>
    </row>
    <row r="393" spans="1:19">
      <c r="A393">
        <v>392</v>
      </c>
      <c r="B393" s="45">
        <f t="array" ref="B393">IFERROR(INDEX(baseline!$A$3:$A$201,MATCH($C393&amp;$D393,baseline!$C$3:$C$201&amp;baseline!$D$3:$D$201,0)),"NA")</f>
        <v>15</v>
      </c>
      <c r="C393" t="s">
        <v>762</v>
      </c>
      <c r="D393" t="s">
        <v>14</v>
      </c>
      <c r="E393" t="s">
        <v>839</v>
      </c>
      <c r="F393">
        <v>20097.09</v>
      </c>
      <c r="G393">
        <v>3418.6207139712501</v>
      </c>
      <c r="H393">
        <v>2700.72</v>
      </c>
      <c r="I393">
        <v>0</v>
      </c>
      <c r="J393">
        <v>987348.01210000005</v>
      </c>
      <c r="K393">
        <v>43452.812539999999</v>
      </c>
      <c r="L393">
        <v>0</v>
      </c>
      <c r="M393">
        <v>155172.34636</v>
      </c>
      <c r="N393">
        <v>129052.88102</v>
      </c>
      <c r="O393">
        <v>39061.142359999998</v>
      </c>
      <c r="P393">
        <v>0</v>
      </c>
      <c r="Q393">
        <v>94033.408559999996</v>
      </c>
      <c r="R393">
        <v>30347.246500000001</v>
      </c>
      <c r="S393">
        <v>0</v>
      </c>
    </row>
    <row r="394" spans="1:19">
      <c r="A394">
        <v>393</v>
      </c>
      <c r="B394" s="45">
        <f t="array" ref="B394">IFERROR(INDEX(baseline!$A$3:$A$201,MATCH($C394&amp;$D394,baseline!$C$3:$C$201&amp;baseline!$D$3:$D$201,0)),"NA")</f>
        <v>15</v>
      </c>
      <c r="C394" t="s">
        <v>762</v>
      </c>
      <c r="D394" t="s">
        <v>14</v>
      </c>
      <c r="E394" t="s">
        <v>805</v>
      </c>
      <c r="F394">
        <v>42433.98</v>
      </c>
      <c r="G394">
        <v>3418.6207139712501</v>
      </c>
      <c r="H394">
        <v>2700.72</v>
      </c>
      <c r="I394">
        <v>0</v>
      </c>
      <c r="J394">
        <v>776575.62126000004</v>
      </c>
      <c r="K394">
        <v>51197.263180000002</v>
      </c>
      <c r="L394">
        <v>0</v>
      </c>
      <c r="M394">
        <v>155172.34636</v>
      </c>
      <c r="N394">
        <v>129052.88102</v>
      </c>
      <c r="O394">
        <v>39061.142359999998</v>
      </c>
      <c r="P394">
        <v>0</v>
      </c>
      <c r="Q394">
        <v>94033.408559999996</v>
      </c>
      <c r="R394">
        <v>30152.801899999999</v>
      </c>
      <c r="S394">
        <v>0</v>
      </c>
    </row>
    <row r="395" spans="1:19">
      <c r="A395">
        <v>394</v>
      </c>
      <c r="B395" s="45">
        <f t="array" ref="B395">IFERROR(INDEX(baseline!$A$3:$A$201,MATCH($C395&amp;$D395,baseline!$C$3:$C$201&amp;baseline!$D$3:$D$201,0)),"NA")</f>
        <v>15</v>
      </c>
      <c r="C395" t="s">
        <v>762</v>
      </c>
      <c r="D395" t="s">
        <v>14</v>
      </c>
      <c r="E395" t="s">
        <v>877</v>
      </c>
      <c r="F395">
        <v>17578.64</v>
      </c>
      <c r="G395">
        <v>3418.6207139712501</v>
      </c>
      <c r="H395">
        <v>2700.72</v>
      </c>
      <c r="I395">
        <v>0</v>
      </c>
      <c r="J395">
        <v>745714.48546</v>
      </c>
      <c r="K395">
        <v>7233.3391199999996</v>
      </c>
      <c r="L395">
        <v>0</v>
      </c>
      <c r="M395">
        <v>155172.34636</v>
      </c>
      <c r="N395">
        <v>129052.88102</v>
      </c>
      <c r="O395">
        <v>39061.142359999998</v>
      </c>
      <c r="P395">
        <v>0</v>
      </c>
      <c r="Q395">
        <v>94250.075400000002</v>
      </c>
      <c r="R395">
        <v>30052.801820000001</v>
      </c>
      <c r="S395">
        <v>0</v>
      </c>
    </row>
    <row r="396" spans="1:19">
      <c r="A396">
        <v>395</v>
      </c>
      <c r="B396" s="45">
        <f t="array" ref="B396">IFERROR(INDEX(baseline!$A$3:$A$201,MATCH($C396&amp;$D396,baseline!$C$3:$C$201&amp;baseline!$D$3:$D$201,0)),"NA")</f>
        <v>15</v>
      </c>
      <c r="C396" t="s">
        <v>762</v>
      </c>
      <c r="D396" t="s">
        <v>14</v>
      </c>
      <c r="E396" t="s">
        <v>838</v>
      </c>
      <c r="F396">
        <v>6868.93</v>
      </c>
      <c r="G396">
        <v>3418.6207139712501</v>
      </c>
      <c r="H396">
        <v>2700.72</v>
      </c>
      <c r="I396">
        <v>0</v>
      </c>
      <c r="J396">
        <v>987450.78995999997</v>
      </c>
      <c r="K396">
        <v>50077.817840000003</v>
      </c>
      <c r="L396">
        <v>0</v>
      </c>
      <c r="M396">
        <v>155172.34636</v>
      </c>
      <c r="N396">
        <v>129052.88102</v>
      </c>
      <c r="O396">
        <v>39061.142359999998</v>
      </c>
      <c r="P396">
        <v>0</v>
      </c>
      <c r="Q396">
        <v>94033.408559999996</v>
      </c>
      <c r="R396">
        <v>30350.024280000001</v>
      </c>
      <c r="S396">
        <v>0</v>
      </c>
    </row>
    <row r="397" spans="1:19">
      <c r="A397">
        <v>396</v>
      </c>
      <c r="B397" s="45">
        <f t="array" ref="B397">IFERROR(INDEX(baseline!$A$3:$A$201,MATCH($C397&amp;$D397,baseline!$C$3:$C$201&amp;baseline!$D$3:$D$201,0)),"NA")</f>
        <v>15</v>
      </c>
      <c r="C397" t="s">
        <v>762</v>
      </c>
      <c r="D397" t="s">
        <v>14</v>
      </c>
      <c r="E397" t="s">
        <v>1013</v>
      </c>
      <c r="F397">
        <v>150394.17000000001</v>
      </c>
      <c r="G397">
        <v>3418.6207139712501</v>
      </c>
      <c r="H397">
        <v>2700.72</v>
      </c>
      <c r="I397">
        <v>0</v>
      </c>
      <c r="J397">
        <v>744011.70632</v>
      </c>
      <c r="K397">
        <v>38155.586080000001</v>
      </c>
      <c r="L397">
        <v>0</v>
      </c>
      <c r="M397">
        <v>155172.34636</v>
      </c>
      <c r="N397">
        <v>90338.961160000006</v>
      </c>
      <c r="O397">
        <v>39061.142359999998</v>
      </c>
      <c r="P397">
        <v>0</v>
      </c>
      <c r="Q397">
        <v>38358.364020000001</v>
      </c>
      <c r="R397">
        <v>22788.90712</v>
      </c>
      <c r="S397">
        <v>0</v>
      </c>
    </row>
    <row r="398" spans="1:19">
      <c r="A398">
        <v>397</v>
      </c>
      <c r="B398" s="45">
        <f t="array" ref="B398">IFERROR(INDEX(baseline!$A$3:$A$201,MATCH($C398&amp;$D398,baseline!$C$3:$C$201&amp;baseline!$D$3:$D$201,0)),"NA")</f>
        <v>15</v>
      </c>
      <c r="C398" t="s">
        <v>762</v>
      </c>
      <c r="D398" t="s">
        <v>14</v>
      </c>
      <c r="E398" t="s">
        <v>893</v>
      </c>
      <c r="F398">
        <v>829845.63</v>
      </c>
      <c r="G398">
        <v>3418.6207139712501</v>
      </c>
      <c r="H398">
        <v>2700.72</v>
      </c>
      <c r="I398">
        <v>0</v>
      </c>
      <c r="J398">
        <v>924275.73942</v>
      </c>
      <c r="K398">
        <v>49058.372580000003</v>
      </c>
      <c r="L398">
        <v>0</v>
      </c>
      <c r="M398">
        <v>155172.34636</v>
      </c>
      <c r="N398">
        <v>129052.88102</v>
      </c>
      <c r="O398">
        <v>39061.142359999998</v>
      </c>
      <c r="P398">
        <v>0</v>
      </c>
      <c r="Q398">
        <v>93172.296759999997</v>
      </c>
      <c r="R398">
        <v>29000.0232</v>
      </c>
      <c r="S398">
        <v>0</v>
      </c>
    </row>
    <row r="399" spans="1:19">
      <c r="A399">
        <v>398</v>
      </c>
      <c r="B399" s="45">
        <f t="array" ref="B399">IFERROR(INDEX(baseline!$A$3:$A$201,MATCH($C399&amp;$D399,baseline!$C$3:$C$201&amp;baseline!$D$3:$D$201,0)),"NA")</f>
        <v>15</v>
      </c>
      <c r="C399" t="s">
        <v>762</v>
      </c>
      <c r="D399" t="s">
        <v>14</v>
      </c>
      <c r="E399" t="s">
        <v>892</v>
      </c>
      <c r="F399">
        <v>385440.78</v>
      </c>
      <c r="G399">
        <v>3418.6207139712501</v>
      </c>
      <c r="H399">
        <v>2700.72</v>
      </c>
      <c r="I399">
        <v>0</v>
      </c>
      <c r="J399">
        <v>970536.88754000003</v>
      </c>
      <c r="K399">
        <v>50816.707320000001</v>
      </c>
      <c r="L399">
        <v>0</v>
      </c>
      <c r="M399">
        <v>155172.34636</v>
      </c>
      <c r="N399">
        <v>129052.88102</v>
      </c>
      <c r="O399">
        <v>39061.142359999998</v>
      </c>
      <c r="P399">
        <v>0</v>
      </c>
      <c r="Q399">
        <v>93838.963959999994</v>
      </c>
      <c r="R399">
        <v>29988.91288</v>
      </c>
      <c r="S399">
        <v>0</v>
      </c>
    </row>
    <row r="400" spans="1:19">
      <c r="A400">
        <v>399</v>
      </c>
      <c r="B400" s="45">
        <f t="array" ref="B400">IFERROR(INDEX(baseline!$A$3:$A$201,MATCH($C400&amp;$D400,baseline!$C$3:$C$201&amp;baseline!$D$3:$D$201,0)),"NA")</f>
        <v>15</v>
      </c>
      <c r="C400" t="s">
        <v>762</v>
      </c>
      <c r="D400" t="s">
        <v>14</v>
      </c>
      <c r="E400" t="s">
        <v>894</v>
      </c>
      <c r="F400">
        <v>3033752.43</v>
      </c>
      <c r="G400">
        <v>3418.6207139712501</v>
      </c>
      <c r="H400">
        <v>2700.72</v>
      </c>
      <c r="I400">
        <v>0</v>
      </c>
      <c r="J400">
        <v>983067.45311999996</v>
      </c>
      <c r="K400">
        <v>50747.262820000004</v>
      </c>
      <c r="L400">
        <v>0</v>
      </c>
      <c r="M400">
        <v>155172.34636</v>
      </c>
      <c r="N400">
        <v>129052.88102</v>
      </c>
      <c r="O400">
        <v>39061.142359999998</v>
      </c>
      <c r="P400">
        <v>0</v>
      </c>
      <c r="Q400">
        <v>94047.297460000002</v>
      </c>
      <c r="R400">
        <v>30308.35758</v>
      </c>
      <c r="S400">
        <v>0</v>
      </c>
    </row>
    <row r="401" spans="1:19">
      <c r="A401">
        <v>400</v>
      </c>
      <c r="B401" s="45">
        <f t="array" ref="B401">IFERROR(INDEX(baseline!$A$3:$A$201,MATCH($C401&amp;$D401,baseline!$C$3:$C$201&amp;baseline!$D$3:$D$201,0)),"NA")</f>
        <v>15</v>
      </c>
      <c r="C401" t="s">
        <v>762</v>
      </c>
      <c r="D401" t="s">
        <v>14</v>
      </c>
      <c r="E401" t="s">
        <v>837</v>
      </c>
      <c r="F401">
        <v>5122.33</v>
      </c>
      <c r="G401">
        <v>3418.6207139712501</v>
      </c>
      <c r="H401">
        <v>2700.72</v>
      </c>
      <c r="I401">
        <v>0</v>
      </c>
      <c r="J401">
        <v>987350.78988000005</v>
      </c>
      <c r="K401">
        <v>50694.485000000001</v>
      </c>
      <c r="L401">
        <v>0</v>
      </c>
      <c r="M401">
        <v>155172.34636</v>
      </c>
      <c r="N401">
        <v>129052.88102</v>
      </c>
      <c r="O401">
        <v>39061.142359999998</v>
      </c>
      <c r="P401">
        <v>0</v>
      </c>
      <c r="Q401">
        <v>38938.920039999997</v>
      </c>
      <c r="R401">
        <v>30347.246500000001</v>
      </c>
      <c r="S401">
        <v>0</v>
      </c>
    </row>
    <row r="402" spans="1:19">
      <c r="A402">
        <v>401</v>
      </c>
      <c r="B402" s="45">
        <f t="array" ref="B402">IFERROR(INDEX(baseline!$A$3:$A$201,MATCH($C402&amp;$D402,baseline!$C$3:$C$201&amp;baseline!$D$3:$D$201,0)),"NA")</f>
        <v>15</v>
      </c>
      <c r="C402" t="s">
        <v>762</v>
      </c>
      <c r="D402" t="s">
        <v>14</v>
      </c>
      <c r="E402" t="s">
        <v>833</v>
      </c>
      <c r="F402">
        <v>5048.54</v>
      </c>
      <c r="G402">
        <v>3418.6207139712501</v>
      </c>
      <c r="H402">
        <v>2700.72</v>
      </c>
      <c r="I402">
        <v>0</v>
      </c>
      <c r="J402">
        <v>987531.34557999996</v>
      </c>
      <c r="K402">
        <v>50688.92944</v>
      </c>
      <c r="L402">
        <v>0</v>
      </c>
      <c r="M402">
        <v>155172.34636</v>
      </c>
      <c r="N402">
        <v>129052.88102</v>
      </c>
      <c r="O402">
        <v>39061.142359999998</v>
      </c>
      <c r="P402">
        <v>0</v>
      </c>
      <c r="Q402">
        <v>93891.741779999997</v>
      </c>
      <c r="R402">
        <v>30347.246500000001</v>
      </c>
      <c r="S402">
        <v>0</v>
      </c>
    </row>
    <row r="403" spans="1:19">
      <c r="A403">
        <v>402</v>
      </c>
      <c r="B403" s="45">
        <f t="array" ref="B403">IFERROR(INDEX(baseline!$A$3:$A$201,MATCH($C403&amp;$D403,baseline!$C$3:$C$201&amp;baseline!$D$3:$D$201,0)),"NA")</f>
        <v>15</v>
      </c>
      <c r="C403" t="s">
        <v>762</v>
      </c>
      <c r="D403" t="s">
        <v>14</v>
      </c>
      <c r="E403" t="s">
        <v>835</v>
      </c>
      <c r="F403">
        <v>304398.06</v>
      </c>
      <c r="G403">
        <v>3418.6207139712501</v>
      </c>
      <c r="H403">
        <v>2700.72</v>
      </c>
      <c r="I403">
        <v>0</v>
      </c>
      <c r="J403">
        <v>762297.83206000004</v>
      </c>
      <c r="K403">
        <v>52400.041920000003</v>
      </c>
      <c r="L403">
        <v>0</v>
      </c>
      <c r="M403">
        <v>155169.56857999999</v>
      </c>
      <c r="N403">
        <v>129052.88102</v>
      </c>
      <c r="O403">
        <v>39061.142359999998</v>
      </c>
      <c r="P403">
        <v>0</v>
      </c>
      <c r="Q403">
        <v>94038.964120000004</v>
      </c>
      <c r="R403">
        <v>30216.690839999999</v>
      </c>
      <c r="S403">
        <v>21897.239740000001</v>
      </c>
    </row>
    <row r="404" spans="1:19">
      <c r="A404">
        <v>403</v>
      </c>
      <c r="B404" s="45">
        <f t="array" ref="B404">IFERROR(INDEX(baseline!$A$3:$A$201,MATCH($C404&amp;$D404,baseline!$C$3:$C$201&amp;baseline!$D$3:$D$201,0)),"NA")</f>
        <v>15</v>
      </c>
      <c r="C404" t="s">
        <v>762</v>
      </c>
      <c r="D404" t="s">
        <v>14</v>
      </c>
      <c r="E404" t="s">
        <v>863</v>
      </c>
      <c r="F404">
        <v>48447.57</v>
      </c>
      <c r="G404">
        <v>3418.6207139712501</v>
      </c>
      <c r="H404">
        <v>2700.72</v>
      </c>
      <c r="I404">
        <v>0</v>
      </c>
      <c r="J404">
        <v>829664.55261999997</v>
      </c>
      <c r="K404">
        <v>50519.484859999997</v>
      </c>
      <c r="L404">
        <v>0</v>
      </c>
      <c r="M404">
        <v>155169.56857999999</v>
      </c>
      <c r="N404">
        <v>129052.88102</v>
      </c>
      <c r="O404">
        <v>39061.142359999998</v>
      </c>
      <c r="P404">
        <v>0</v>
      </c>
      <c r="Q404">
        <v>92672.296359999993</v>
      </c>
      <c r="R404">
        <v>27616.688760000001</v>
      </c>
      <c r="S404">
        <v>0</v>
      </c>
    </row>
    <row r="405" spans="1:19">
      <c r="A405">
        <v>404</v>
      </c>
      <c r="B405" s="45">
        <f t="array" ref="B405">IFERROR(INDEX(baseline!$A$3:$A$201,MATCH($C405&amp;$D405,baseline!$C$3:$C$201&amp;baseline!$D$3:$D$201,0)),"NA")</f>
        <v>15</v>
      </c>
      <c r="C405" t="s">
        <v>762</v>
      </c>
      <c r="D405" t="s">
        <v>14</v>
      </c>
      <c r="E405" t="s">
        <v>1011</v>
      </c>
      <c r="F405">
        <v>72746.600000000006</v>
      </c>
      <c r="G405">
        <v>3418.6207140000001</v>
      </c>
      <c r="H405">
        <v>2700.72</v>
      </c>
      <c r="I405">
        <v>0</v>
      </c>
      <c r="J405">
        <v>749703.37749999994</v>
      </c>
      <c r="K405">
        <v>49619.48414</v>
      </c>
      <c r="L405">
        <v>0</v>
      </c>
      <c r="M405">
        <v>155166.79079999999</v>
      </c>
      <c r="N405">
        <v>129052.88099999999</v>
      </c>
      <c r="O405">
        <v>39061.142359999998</v>
      </c>
      <c r="P405">
        <v>0</v>
      </c>
      <c r="Q405">
        <v>91972.295800000007</v>
      </c>
      <c r="R405">
        <v>28050.022440000001</v>
      </c>
      <c r="S405">
        <v>0</v>
      </c>
    </row>
    <row r="406" spans="1:19">
      <c r="A406">
        <v>405</v>
      </c>
      <c r="B406" s="45">
        <f t="array" ref="B406">IFERROR(INDEX(baseline!$A$3:$A$201,MATCH($C406&amp;$D406,baseline!$C$3:$C$201&amp;baseline!$D$3:$D$201,0)),"NA")</f>
        <v>15</v>
      </c>
      <c r="C406" t="s">
        <v>762</v>
      </c>
      <c r="D406" t="s">
        <v>14</v>
      </c>
      <c r="E406" t="s">
        <v>860</v>
      </c>
      <c r="F406">
        <v>80753.399999999994</v>
      </c>
      <c r="G406">
        <v>3418.6207139712501</v>
      </c>
      <c r="H406">
        <v>2700.72</v>
      </c>
      <c r="I406">
        <v>0</v>
      </c>
      <c r="J406">
        <v>957767.43287999998</v>
      </c>
      <c r="K406">
        <v>38116.697160000003</v>
      </c>
      <c r="L406">
        <v>0</v>
      </c>
      <c r="M406">
        <v>155172.34636</v>
      </c>
      <c r="N406">
        <v>90338.961160000006</v>
      </c>
      <c r="O406">
        <v>39061.142359999998</v>
      </c>
      <c r="P406">
        <v>0</v>
      </c>
      <c r="Q406">
        <v>93441.741420000006</v>
      </c>
      <c r="R406">
        <v>29300.023440000001</v>
      </c>
      <c r="S406">
        <v>0</v>
      </c>
    </row>
    <row r="407" spans="1:19">
      <c r="A407">
        <v>406</v>
      </c>
      <c r="B407" s="45">
        <f t="array" ref="B407">IFERROR(INDEX(baseline!$A$3:$A$201,MATCH($C407&amp;$D407,baseline!$C$3:$C$201&amp;baseline!$D$3:$D$201,0)),"NA")</f>
        <v>15</v>
      </c>
      <c r="C407" t="s">
        <v>762</v>
      </c>
      <c r="D407" t="s">
        <v>14</v>
      </c>
      <c r="E407" t="s">
        <v>1019</v>
      </c>
      <c r="F407">
        <v>73675.73</v>
      </c>
      <c r="G407">
        <v>3418.6207140000001</v>
      </c>
      <c r="H407">
        <v>2700.72</v>
      </c>
      <c r="I407">
        <v>0</v>
      </c>
      <c r="J407">
        <v>503189.29139999999</v>
      </c>
      <c r="K407">
        <v>49619.48414</v>
      </c>
      <c r="L407">
        <v>0</v>
      </c>
      <c r="M407">
        <v>155166.79079999999</v>
      </c>
      <c r="N407">
        <v>129052.88099999999</v>
      </c>
      <c r="O407">
        <v>39061.142359999998</v>
      </c>
      <c r="P407">
        <v>0</v>
      </c>
      <c r="Q407">
        <v>91972.295800000007</v>
      </c>
      <c r="R407">
        <v>25330.575819999998</v>
      </c>
      <c r="S407">
        <v>0</v>
      </c>
    </row>
    <row r="408" spans="1:19">
      <c r="A408">
        <v>407</v>
      </c>
      <c r="B408" s="45">
        <f t="array" ref="B408">IFERROR(INDEX(baseline!$A$3:$A$201,MATCH($C408&amp;$D408,baseline!$C$3:$C$201&amp;baseline!$D$3:$D$201,0)),"NA")</f>
        <v>15</v>
      </c>
      <c r="C408" t="s">
        <v>762</v>
      </c>
      <c r="D408" t="s">
        <v>14</v>
      </c>
      <c r="E408" t="s">
        <v>836</v>
      </c>
      <c r="F408">
        <v>24299.03</v>
      </c>
      <c r="G408">
        <v>3418.6207139712501</v>
      </c>
      <c r="H408">
        <v>2700.72</v>
      </c>
      <c r="I408">
        <v>0</v>
      </c>
      <c r="J408">
        <v>891439.60204000003</v>
      </c>
      <c r="K408">
        <v>49952.817739999999</v>
      </c>
      <c r="L408">
        <v>0</v>
      </c>
      <c r="M408">
        <v>155166.79079999999</v>
      </c>
      <c r="N408">
        <v>129052.88102</v>
      </c>
      <c r="O408">
        <v>39061.142359999998</v>
      </c>
      <c r="P408">
        <v>0</v>
      </c>
      <c r="Q408">
        <v>94700.075760000007</v>
      </c>
      <c r="R408">
        <v>31580.580819999999</v>
      </c>
      <c r="S408">
        <v>0</v>
      </c>
    </row>
    <row r="409" spans="1:19">
      <c r="A409">
        <v>408</v>
      </c>
      <c r="B409" s="45">
        <f t="array" ref="B409">IFERROR(INDEX(baseline!$A$3:$A$201,MATCH($C409&amp;$D409,baseline!$C$3:$C$201&amp;baseline!$D$3:$D$201,0)),"NA")</f>
        <v>15</v>
      </c>
      <c r="C409" t="s">
        <v>762</v>
      </c>
      <c r="D409" t="s">
        <v>14</v>
      </c>
      <c r="E409" t="s">
        <v>1030</v>
      </c>
      <c r="F409">
        <v>270035.92</v>
      </c>
      <c r="G409">
        <v>3418.6207140000001</v>
      </c>
      <c r="H409">
        <v>2700.72</v>
      </c>
      <c r="I409">
        <v>0</v>
      </c>
      <c r="J409">
        <v>229005.73879999999</v>
      </c>
      <c r="K409">
        <v>7258.33914</v>
      </c>
      <c r="L409">
        <v>0</v>
      </c>
      <c r="M409">
        <v>155166.79079999999</v>
      </c>
      <c r="N409">
        <v>90338.961160000006</v>
      </c>
      <c r="O409">
        <v>39061.142359999998</v>
      </c>
      <c r="P409">
        <v>0</v>
      </c>
      <c r="Q409">
        <v>35525.028420000002</v>
      </c>
      <c r="R409">
        <v>519.44485999999995</v>
      </c>
      <c r="S409">
        <v>0</v>
      </c>
    </row>
    <row r="410" spans="1:19">
      <c r="A410">
        <v>409</v>
      </c>
      <c r="B410" s="45">
        <f t="array" ref="B410">IFERROR(INDEX(baseline!$A$3:$A$201,MATCH($C410&amp;$D410,baseline!$C$3:$C$201&amp;baseline!$D$3:$D$201,0)),"NA")</f>
        <v>15</v>
      </c>
      <c r="C410" t="s">
        <v>762</v>
      </c>
      <c r="D410" t="s">
        <v>14</v>
      </c>
      <c r="E410" t="s">
        <v>859</v>
      </c>
      <c r="F410">
        <v>14049.51</v>
      </c>
      <c r="G410">
        <v>3418.6207139712501</v>
      </c>
      <c r="H410">
        <v>2700.72</v>
      </c>
      <c r="I410">
        <v>0</v>
      </c>
      <c r="J410">
        <v>986331.34461999999</v>
      </c>
      <c r="K410">
        <v>50319.484700000001</v>
      </c>
      <c r="L410">
        <v>0</v>
      </c>
      <c r="M410">
        <v>155172.34636</v>
      </c>
      <c r="N410">
        <v>129052.88102</v>
      </c>
      <c r="O410">
        <v>39061.142359999998</v>
      </c>
      <c r="P410">
        <v>0</v>
      </c>
      <c r="Q410">
        <v>94008.408540000004</v>
      </c>
      <c r="R410">
        <v>30330.579819999999</v>
      </c>
      <c r="S410">
        <v>0</v>
      </c>
    </row>
    <row r="411" spans="1:19">
      <c r="A411">
        <v>410</v>
      </c>
      <c r="B411" s="45">
        <f t="array" ref="B411">IFERROR(INDEX(baseline!$A$3:$A$201,MATCH($C411&amp;$D411,baseline!$C$3:$C$201&amp;baseline!$D$3:$D$201,0)),"NA")</f>
        <v>15</v>
      </c>
      <c r="C411" t="s">
        <v>762</v>
      </c>
      <c r="D411" t="s">
        <v>14</v>
      </c>
      <c r="E411" t="s">
        <v>834</v>
      </c>
      <c r="F411">
        <v>3425.24</v>
      </c>
      <c r="G411">
        <v>3418.6207139712501</v>
      </c>
      <c r="H411">
        <v>2700.72</v>
      </c>
      <c r="I411">
        <v>0</v>
      </c>
      <c r="J411">
        <v>1011625.8093</v>
      </c>
      <c r="K411">
        <v>50694.485000000001</v>
      </c>
      <c r="L411">
        <v>0</v>
      </c>
      <c r="M411">
        <v>155172.34636</v>
      </c>
      <c r="N411">
        <v>129052.88102</v>
      </c>
      <c r="O411">
        <v>39061.142359999998</v>
      </c>
      <c r="P411">
        <v>0</v>
      </c>
      <c r="Q411">
        <v>94033.408559999996</v>
      </c>
      <c r="R411">
        <v>5911.1158400000004</v>
      </c>
      <c r="S411">
        <v>0</v>
      </c>
    </row>
    <row r="412" spans="1:19">
      <c r="A412">
        <v>411</v>
      </c>
      <c r="B412" s="45">
        <f t="array" ref="B412">IFERROR(INDEX(baseline!$A$3:$A$201,MATCH($C412&amp;$D412,baseline!$C$3:$C$201&amp;baseline!$D$3:$D$201,0)),"NA")</f>
        <v>15</v>
      </c>
      <c r="C412" t="s">
        <v>762</v>
      </c>
      <c r="D412" t="s">
        <v>14</v>
      </c>
      <c r="E412" t="s">
        <v>865</v>
      </c>
      <c r="F412">
        <v>8034.95</v>
      </c>
      <c r="G412">
        <v>3418.6207139712501</v>
      </c>
      <c r="H412">
        <v>2700.72</v>
      </c>
      <c r="I412">
        <v>0</v>
      </c>
      <c r="J412">
        <v>987348.01210000005</v>
      </c>
      <c r="K412">
        <v>50694.485000000001</v>
      </c>
      <c r="L412">
        <v>0</v>
      </c>
      <c r="M412">
        <v>155172.34636</v>
      </c>
      <c r="N412">
        <v>129052.88102</v>
      </c>
      <c r="O412">
        <v>39061.142359999998</v>
      </c>
      <c r="P412">
        <v>0</v>
      </c>
      <c r="Q412">
        <v>94033.408559999996</v>
      </c>
      <c r="R412">
        <v>23736.130099999998</v>
      </c>
      <c r="S412">
        <v>0</v>
      </c>
    </row>
    <row r="413" spans="1:19">
      <c r="A413">
        <v>412</v>
      </c>
      <c r="B413" s="45">
        <f t="array" ref="B413">IFERROR(INDEX(baseline!$A$3:$A$201,MATCH($C413&amp;$D413,baseline!$C$3:$C$201&amp;baseline!$D$3:$D$201,0)),"NA")</f>
        <v>19</v>
      </c>
      <c r="C413" t="s">
        <v>712</v>
      </c>
      <c r="D413" t="s">
        <v>14</v>
      </c>
      <c r="E413" t="s">
        <v>832</v>
      </c>
      <c r="F413">
        <v>31641.75</v>
      </c>
      <c r="G413">
        <v>12612.733881903199</v>
      </c>
      <c r="H413">
        <v>12410</v>
      </c>
      <c r="I413">
        <v>109691.75442</v>
      </c>
      <c r="J413">
        <v>5247709.7537200004</v>
      </c>
      <c r="K413">
        <v>19669.460179999998</v>
      </c>
      <c r="L413">
        <v>0</v>
      </c>
      <c r="M413">
        <v>295047.45825999998</v>
      </c>
      <c r="N413">
        <v>671719.98181999999</v>
      </c>
      <c r="O413">
        <v>83347.2889</v>
      </c>
      <c r="P413">
        <v>64130.60686</v>
      </c>
      <c r="Q413">
        <v>210072.39027999999</v>
      </c>
      <c r="R413">
        <v>52877.820079999998</v>
      </c>
      <c r="S413">
        <v>0</v>
      </c>
    </row>
    <row r="414" spans="1:19">
      <c r="A414">
        <v>413</v>
      </c>
      <c r="B414" s="45">
        <f t="array" ref="B414">IFERROR(INDEX(baseline!$A$3:$A$201,MATCH($C414&amp;$D414,baseline!$C$3:$C$201&amp;baseline!$D$3:$D$201,0)),"NA")</f>
        <v>19</v>
      </c>
      <c r="C414" t="s">
        <v>712</v>
      </c>
      <c r="D414" t="s">
        <v>14</v>
      </c>
      <c r="E414" t="s">
        <v>869</v>
      </c>
      <c r="F414">
        <v>0</v>
      </c>
      <c r="G414">
        <v>12612.733881903199</v>
      </c>
      <c r="H414">
        <v>12410</v>
      </c>
      <c r="I414">
        <v>154936.23506000001</v>
      </c>
      <c r="J414">
        <v>4443675.7771600001</v>
      </c>
      <c r="K414">
        <v>16975.013579999999</v>
      </c>
      <c r="L414">
        <v>0</v>
      </c>
      <c r="M414">
        <v>295069.68050000002</v>
      </c>
      <c r="N414">
        <v>671719.98181999999</v>
      </c>
      <c r="O414">
        <v>83347.2889</v>
      </c>
      <c r="P414">
        <v>64130.60686</v>
      </c>
      <c r="Q414">
        <v>210072.39027999999</v>
      </c>
      <c r="R414">
        <v>52544.48648</v>
      </c>
      <c r="S414">
        <v>0</v>
      </c>
    </row>
    <row r="415" spans="1:19">
      <c r="A415">
        <v>414</v>
      </c>
      <c r="B415" s="45">
        <f t="array" ref="B415">IFERROR(INDEX(baseline!$A$3:$A$201,MATCH($C415&amp;$D415,baseline!$C$3:$C$201&amp;baseline!$D$3:$D$201,0)),"NA")</f>
        <v>19</v>
      </c>
      <c r="C415" t="s">
        <v>712</v>
      </c>
      <c r="D415" t="s">
        <v>14</v>
      </c>
      <c r="E415" t="s">
        <v>896</v>
      </c>
      <c r="F415">
        <v>65332.04</v>
      </c>
      <c r="G415">
        <v>12612.733881903199</v>
      </c>
      <c r="H415">
        <v>12410</v>
      </c>
      <c r="I415">
        <v>153633.45624</v>
      </c>
      <c r="J415">
        <v>4368939.6062599998</v>
      </c>
      <c r="K415">
        <v>18483.348119999999</v>
      </c>
      <c r="L415">
        <v>0</v>
      </c>
      <c r="M415">
        <v>295064.12494000001</v>
      </c>
      <c r="N415">
        <v>671719.98181999999</v>
      </c>
      <c r="O415">
        <v>83347.2889</v>
      </c>
      <c r="P415">
        <v>64130.60686</v>
      </c>
      <c r="Q415">
        <v>210072.39027999999</v>
      </c>
      <c r="R415">
        <v>52850.042280000001</v>
      </c>
      <c r="S415">
        <v>0</v>
      </c>
    </row>
    <row r="416" spans="1:19">
      <c r="A416">
        <v>415</v>
      </c>
      <c r="B416" s="45">
        <f t="array" ref="B416">IFERROR(INDEX(baseline!$A$3:$A$201,MATCH($C416&amp;$D416,baseline!$C$3:$C$201&amp;baseline!$D$3:$D$201,0)),"NA")</f>
        <v>19</v>
      </c>
      <c r="C416" t="s">
        <v>712</v>
      </c>
      <c r="D416" t="s">
        <v>14</v>
      </c>
      <c r="E416" t="s">
        <v>840</v>
      </c>
      <c r="F416">
        <v>929.13</v>
      </c>
      <c r="G416">
        <v>12612.733881903199</v>
      </c>
      <c r="H416">
        <v>12410</v>
      </c>
      <c r="I416">
        <v>153633.45624</v>
      </c>
      <c r="J416">
        <v>4035708.78412</v>
      </c>
      <c r="K416">
        <v>18483.348119999999</v>
      </c>
      <c r="L416">
        <v>0</v>
      </c>
      <c r="M416">
        <v>295064.12494000001</v>
      </c>
      <c r="N416">
        <v>671719.98181999999</v>
      </c>
      <c r="O416">
        <v>83347.2889</v>
      </c>
      <c r="P416">
        <v>64130.60686</v>
      </c>
      <c r="Q416">
        <v>210072.39027999999</v>
      </c>
      <c r="R416">
        <v>52850.042280000001</v>
      </c>
      <c r="S416">
        <v>0</v>
      </c>
    </row>
    <row r="417" spans="1:19">
      <c r="A417">
        <v>416</v>
      </c>
      <c r="B417" s="45">
        <f t="array" ref="B417">IFERROR(INDEX(baseline!$A$3:$A$201,MATCH($C417&amp;$D417,baseline!$C$3:$C$201&amp;baseline!$D$3:$D$201,0)),"NA")</f>
        <v>19</v>
      </c>
      <c r="C417" t="s">
        <v>712</v>
      </c>
      <c r="D417" t="s">
        <v>14</v>
      </c>
      <c r="E417" t="s">
        <v>839</v>
      </c>
      <c r="F417">
        <v>43373.79</v>
      </c>
      <c r="G417">
        <v>12612.733881903199</v>
      </c>
      <c r="H417">
        <v>12410</v>
      </c>
      <c r="I417">
        <v>153633.45624</v>
      </c>
      <c r="J417">
        <v>4368939.6062599998</v>
      </c>
      <c r="K417">
        <v>15844.457119999999</v>
      </c>
      <c r="L417">
        <v>0</v>
      </c>
      <c r="M417">
        <v>295064.12494000001</v>
      </c>
      <c r="N417">
        <v>671719.98181999999</v>
      </c>
      <c r="O417">
        <v>83347.2889</v>
      </c>
      <c r="P417">
        <v>64130.60686</v>
      </c>
      <c r="Q417">
        <v>210072.39027999999</v>
      </c>
      <c r="R417">
        <v>52850.042280000001</v>
      </c>
      <c r="S417">
        <v>0</v>
      </c>
    </row>
    <row r="418" spans="1:19">
      <c r="A418">
        <v>417</v>
      </c>
      <c r="B418" s="45">
        <f t="array" ref="B418">IFERROR(INDEX(baseline!$A$3:$A$201,MATCH($C418&amp;$D418,baseline!$C$3:$C$201&amp;baseline!$D$3:$D$201,0)),"NA")</f>
        <v>19</v>
      </c>
      <c r="C418" t="s">
        <v>712</v>
      </c>
      <c r="D418" t="s">
        <v>14</v>
      </c>
      <c r="E418" t="s">
        <v>805</v>
      </c>
      <c r="F418">
        <v>26625.24</v>
      </c>
      <c r="G418">
        <v>12612.733881903199</v>
      </c>
      <c r="H418">
        <v>12410</v>
      </c>
      <c r="I418">
        <v>149139.00820000001</v>
      </c>
      <c r="J418">
        <v>3179596.9881199999</v>
      </c>
      <c r="K418">
        <v>30908.358059999999</v>
      </c>
      <c r="L418">
        <v>0</v>
      </c>
      <c r="M418">
        <v>295058.56938</v>
      </c>
      <c r="N418">
        <v>671719.98181999999</v>
      </c>
      <c r="O418">
        <v>83347.2889</v>
      </c>
      <c r="P418">
        <v>64130.60686</v>
      </c>
      <c r="Q418">
        <v>210072.39027999999</v>
      </c>
      <c r="R418">
        <v>52808.37558</v>
      </c>
      <c r="S418">
        <v>0</v>
      </c>
    </row>
    <row r="419" spans="1:19">
      <c r="A419">
        <v>418</v>
      </c>
      <c r="B419" s="45">
        <f t="array" ref="B419">IFERROR(INDEX(baseline!$A$3:$A$201,MATCH($C419&amp;$D419,baseline!$C$3:$C$201&amp;baseline!$D$3:$D$201,0)),"NA")</f>
        <v>19</v>
      </c>
      <c r="C419" t="s">
        <v>712</v>
      </c>
      <c r="D419" t="s">
        <v>14</v>
      </c>
      <c r="E419" t="s">
        <v>877</v>
      </c>
      <c r="F419">
        <v>31641.75</v>
      </c>
      <c r="G419">
        <v>12612.733881903199</v>
      </c>
      <c r="H419">
        <v>12410</v>
      </c>
      <c r="I419">
        <v>156055.68040000001</v>
      </c>
      <c r="J419">
        <v>4348345.1453400003</v>
      </c>
      <c r="K419">
        <v>17602.791860000001</v>
      </c>
      <c r="L419">
        <v>0</v>
      </c>
      <c r="M419">
        <v>295061.34716</v>
      </c>
      <c r="N419">
        <v>671719.98181999999</v>
      </c>
      <c r="O419">
        <v>83347.2889</v>
      </c>
      <c r="P419">
        <v>64130.60686</v>
      </c>
      <c r="Q419">
        <v>210072.39027999999</v>
      </c>
      <c r="R419">
        <v>52841.708939999997</v>
      </c>
      <c r="S419">
        <v>0</v>
      </c>
    </row>
    <row r="420" spans="1:19">
      <c r="A420">
        <v>419</v>
      </c>
      <c r="B420" s="45">
        <f t="array" ref="B420">IFERROR(INDEX(baseline!$A$3:$A$201,MATCH($C420&amp;$D420,baseline!$C$3:$C$201&amp;baseline!$D$3:$D$201,0)),"NA")</f>
        <v>19</v>
      </c>
      <c r="C420" t="s">
        <v>712</v>
      </c>
      <c r="D420" t="s">
        <v>14</v>
      </c>
      <c r="E420" t="s">
        <v>838</v>
      </c>
      <c r="F420">
        <v>8242.7199999999993</v>
      </c>
      <c r="G420">
        <v>12612.733881903199</v>
      </c>
      <c r="H420">
        <v>12410</v>
      </c>
      <c r="I420">
        <v>153675.12294</v>
      </c>
      <c r="J420">
        <v>4370175.7183600003</v>
      </c>
      <c r="K420">
        <v>18100.014480000002</v>
      </c>
      <c r="L420">
        <v>0</v>
      </c>
      <c r="M420">
        <v>295064.12494000001</v>
      </c>
      <c r="N420">
        <v>671719.98181999999</v>
      </c>
      <c r="O420">
        <v>83347.2889</v>
      </c>
      <c r="P420">
        <v>64130.60686</v>
      </c>
      <c r="Q420">
        <v>210072.39027999999</v>
      </c>
      <c r="R420">
        <v>52622.264320000002</v>
      </c>
      <c r="S420">
        <v>0</v>
      </c>
    </row>
    <row r="421" spans="1:19">
      <c r="A421">
        <v>420</v>
      </c>
      <c r="B421" s="45">
        <f t="array" ref="B421">IFERROR(INDEX(baseline!$A$3:$A$201,MATCH($C421&amp;$D421,baseline!$C$3:$C$201&amp;baseline!$D$3:$D$201,0)),"NA")</f>
        <v>19</v>
      </c>
      <c r="C421" t="s">
        <v>712</v>
      </c>
      <c r="D421" t="s">
        <v>14</v>
      </c>
      <c r="E421" t="s">
        <v>1013</v>
      </c>
      <c r="F421">
        <v>301234.95</v>
      </c>
      <c r="G421">
        <v>12612.733881903199</v>
      </c>
      <c r="H421">
        <v>12410</v>
      </c>
      <c r="I421">
        <v>162572.35227999999</v>
      </c>
      <c r="J421">
        <v>3322663.7692399998</v>
      </c>
      <c r="K421">
        <v>27358.355220000001</v>
      </c>
      <c r="L421">
        <v>0</v>
      </c>
      <c r="M421">
        <v>295072.45828000002</v>
      </c>
      <c r="N421">
        <v>470203.15393999999</v>
      </c>
      <c r="O421">
        <v>83347.2889</v>
      </c>
      <c r="P421">
        <v>64130.60686</v>
      </c>
      <c r="Q421">
        <v>209575.16766000001</v>
      </c>
      <c r="R421">
        <v>41230.588539999997</v>
      </c>
      <c r="S421">
        <v>0</v>
      </c>
    </row>
    <row r="422" spans="1:19">
      <c r="A422">
        <v>421</v>
      </c>
      <c r="B422" s="45">
        <f t="array" ref="B422">IFERROR(INDEX(baseline!$A$3:$A$201,MATCH($C422&amp;$D422,baseline!$C$3:$C$201&amp;baseline!$D$3:$D$201,0)),"NA")</f>
        <v>19</v>
      </c>
      <c r="C422" t="s">
        <v>712</v>
      </c>
      <c r="D422" t="s">
        <v>14</v>
      </c>
      <c r="E422" t="s">
        <v>893</v>
      </c>
      <c r="F422">
        <v>1441649.51</v>
      </c>
      <c r="G422">
        <v>12612.733881903199</v>
      </c>
      <c r="H422">
        <v>12410</v>
      </c>
      <c r="I422">
        <v>147291.78450000001</v>
      </c>
      <c r="J422">
        <v>4451431.33892</v>
      </c>
      <c r="K422">
        <v>19547.237860000001</v>
      </c>
      <c r="L422">
        <v>0</v>
      </c>
      <c r="M422">
        <v>295033.56935999898</v>
      </c>
      <c r="N422">
        <v>671719.98181999999</v>
      </c>
      <c r="O422">
        <v>83347.2889</v>
      </c>
      <c r="P422">
        <v>64130.60686</v>
      </c>
      <c r="Q422">
        <v>185216.81484000001</v>
      </c>
      <c r="R422">
        <v>54630.599260000003</v>
      </c>
      <c r="S422">
        <v>0</v>
      </c>
    </row>
    <row r="423" spans="1:19">
      <c r="A423">
        <v>422</v>
      </c>
      <c r="B423" s="45">
        <f t="array" ref="B423">IFERROR(INDEX(baseline!$A$3:$A$201,MATCH($C423&amp;$D423,baseline!$C$3:$C$201&amp;baseline!$D$3:$D$201,0)),"NA")</f>
        <v>19</v>
      </c>
      <c r="C423" t="s">
        <v>712</v>
      </c>
      <c r="D423" t="s">
        <v>14</v>
      </c>
      <c r="E423" t="s">
        <v>892</v>
      </c>
      <c r="F423">
        <v>1323633.98</v>
      </c>
      <c r="G423">
        <v>12612.733881903199</v>
      </c>
      <c r="H423">
        <v>12410</v>
      </c>
      <c r="I423">
        <v>166777.9112</v>
      </c>
      <c r="J423">
        <v>4590584.2280200003</v>
      </c>
      <c r="K423">
        <v>21016.68348</v>
      </c>
      <c r="L423">
        <v>0</v>
      </c>
      <c r="M423">
        <v>295036.34714000003</v>
      </c>
      <c r="N423">
        <v>671719.98181999999</v>
      </c>
      <c r="O423">
        <v>83347.2889</v>
      </c>
      <c r="P423">
        <v>64130.60686</v>
      </c>
      <c r="Q423">
        <v>201855.71703999999</v>
      </c>
      <c r="R423">
        <v>58950.047160000002</v>
      </c>
      <c r="S423">
        <v>0</v>
      </c>
    </row>
    <row r="424" spans="1:19">
      <c r="A424">
        <v>423</v>
      </c>
      <c r="B424" s="45">
        <f t="array" ref="B424">IFERROR(INDEX(baseline!$A$3:$A$201,MATCH($C424&amp;$D424,baseline!$C$3:$C$201&amp;baseline!$D$3:$D$201,0)),"NA")</f>
        <v>19</v>
      </c>
      <c r="C424" t="s">
        <v>712</v>
      </c>
      <c r="D424" t="s">
        <v>14</v>
      </c>
      <c r="E424" t="s">
        <v>894</v>
      </c>
      <c r="F424">
        <v>236280.58</v>
      </c>
      <c r="G424">
        <v>12612.733881903199</v>
      </c>
      <c r="H424">
        <v>12410</v>
      </c>
      <c r="I424">
        <v>176511.25232</v>
      </c>
      <c r="J424">
        <v>4613025.9126399998</v>
      </c>
      <c r="K424">
        <v>20983.350119999999</v>
      </c>
      <c r="L424">
        <v>0</v>
      </c>
      <c r="M424">
        <v>295036.34714000003</v>
      </c>
      <c r="N424">
        <v>671719.98181999999</v>
      </c>
      <c r="O424">
        <v>83347.2889</v>
      </c>
      <c r="P424">
        <v>64130.60686</v>
      </c>
      <c r="Q424">
        <v>205539.05332000001</v>
      </c>
      <c r="R424">
        <v>59344.49192</v>
      </c>
      <c r="S424">
        <v>0</v>
      </c>
    </row>
    <row r="425" spans="1:19">
      <c r="A425">
        <v>424</v>
      </c>
      <c r="B425" s="45">
        <f t="array" ref="B425">IFERROR(INDEX(baseline!$A$3:$A$201,MATCH($C425&amp;$D425,baseline!$C$3:$C$201&amp;baseline!$D$3:$D$201,0)),"NA")</f>
        <v>19</v>
      </c>
      <c r="C425" t="s">
        <v>712</v>
      </c>
      <c r="D425" t="s">
        <v>14</v>
      </c>
      <c r="E425" t="s">
        <v>833</v>
      </c>
      <c r="F425">
        <v>11566.02</v>
      </c>
      <c r="G425">
        <v>12612.733881903199</v>
      </c>
      <c r="H425">
        <v>12410</v>
      </c>
      <c r="I425">
        <v>153639.01180000001</v>
      </c>
      <c r="J425">
        <v>4370661.8298599999</v>
      </c>
      <c r="K425">
        <v>18466.68144</v>
      </c>
      <c r="L425">
        <v>0</v>
      </c>
      <c r="M425">
        <v>295064.12494000001</v>
      </c>
      <c r="N425">
        <v>671719.98181999999</v>
      </c>
      <c r="O425">
        <v>83347.2889</v>
      </c>
      <c r="P425">
        <v>64130.60686</v>
      </c>
      <c r="Q425">
        <v>207936.27746000001</v>
      </c>
      <c r="R425">
        <v>52850.042280000001</v>
      </c>
      <c r="S425">
        <v>0</v>
      </c>
    </row>
    <row r="426" spans="1:19">
      <c r="A426">
        <v>425</v>
      </c>
      <c r="B426" s="45">
        <f t="array" ref="B426">IFERROR(INDEX(baseline!$A$3:$A$201,MATCH($C426&amp;$D426,baseline!$C$3:$C$201&amp;baseline!$D$3:$D$201,0)),"NA")</f>
        <v>19</v>
      </c>
      <c r="C426" t="s">
        <v>712</v>
      </c>
      <c r="D426" t="s">
        <v>14</v>
      </c>
      <c r="E426" t="s">
        <v>835</v>
      </c>
      <c r="F426">
        <v>773100.97</v>
      </c>
      <c r="G426">
        <v>12612.733881903199</v>
      </c>
      <c r="H426">
        <v>12410</v>
      </c>
      <c r="I426">
        <v>143758.44834</v>
      </c>
      <c r="J426">
        <v>2800463.3514800002</v>
      </c>
      <c r="K426">
        <v>40091.69874</v>
      </c>
      <c r="L426">
        <v>0</v>
      </c>
      <c r="M426">
        <v>295058.56938</v>
      </c>
      <c r="N426">
        <v>671719.98181999999</v>
      </c>
      <c r="O426">
        <v>83347.2889</v>
      </c>
      <c r="P426">
        <v>64130.60686</v>
      </c>
      <c r="Q426">
        <v>210072.39027999999</v>
      </c>
      <c r="R426">
        <v>52858.375619999999</v>
      </c>
      <c r="S426">
        <v>39272.253640000003</v>
      </c>
    </row>
    <row r="427" spans="1:19">
      <c r="A427">
        <v>426</v>
      </c>
      <c r="B427" s="45">
        <f t="array" ref="B427">IFERROR(INDEX(baseline!$A$3:$A$201,MATCH($C427&amp;$D427,baseline!$C$3:$C$201&amp;baseline!$D$3:$D$201,0)),"NA")</f>
        <v>19</v>
      </c>
      <c r="C427" t="s">
        <v>712</v>
      </c>
      <c r="D427" t="s">
        <v>14</v>
      </c>
      <c r="E427" t="s">
        <v>863</v>
      </c>
      <c r="F427">
        <v>109563.11</v>
      </c>
      <c r="G427">
        <v>12612.733881903199</v>
      </c>
      <c r="H427">
        <v>12410</v>
      </c>
      <c r="I427">
        <v>105277.86199999999</v>
      </c>
      <c r="J427">
        <v>3969383.7310600001</v>
      </c>
      <c r="K427">
        <v>17611.125199999999</v>
      </c>
      <c r="L427">
        <v>0</v>
      </c>
      <c r="M427">
        <v>295050.23603999999</v>
      </c>
      <c r="N427">
        <v>671719.98181999999</v>
      </c>
      <c r="O427">
        <v>83347.2889</v>
      </c>
      <c r="P427">
        <v>64130.60686</v>
      </c>
      <c r="Q427">
        <v>179639.03260000001</v>
      </c>
      <c r="R427">
        <v>41813.922339999997</v>
      </c>
      <c r="S427">
        <v>0</v>
      </c>
    </row>
    <row r="428" spans="1:19">
      <c r="A428">
        <v>427</v>
      </c>
      <c r="B428" s="45">
        <f t="array" ref="B428">IFERROR(INDEX(baseline!$A$3:$A$201,MATCH($C428&amp;$D428,baseline!$C$3:$C$201&amp;baseline!$D$3:$D$201,0)),"NA")</f>
        <v>19</v>
      </c>
      <c r="C428" t="s">
        <v>712</v>
      </c>
      <c r="D428" t="s">
        <v>14</v>
      </c>
      <c r="E428" t="s">
        <v>1011</v>
      </c>
      <c r="F428">
        <v>124809.71</v>
      </c>
      <c r="G428">
        <v>12612.733881903199</v>
      </c>
      <c r="H428">
        <v>12410</v>
      </c>
      <c r="I428">
        <v>122677.87592000001</v>
      </c>
      <c r="J428">
        <v>4946831.7352400003</v>
      </c>
      <c r="K428">
        <v>45063.924939999997</v>
      </c>
      <c r="L428">
        <v>0</v>
      </c>
      <c r="M428">
        <v>294983.56932000001</v>
      </c>
      <c r="N428">
        <v>671719.98181999999</v>
      </c>
      <c r="O428">
        <v>83347.2889</v>
      </c>
      <c r="P428">
        <v>64130.60686</v>
      </c>
      <c r="Q428">
        <v>136811.22055999999</v>
      </c>
      <c r="R428">
        <v>43616.701560000001</v>
      </c>
      <c r="S428">
        <v>0</v>
      </c>
    </row>
    <row r="429" spans="1:19">
      <c r="A429">
        <v>428</v>
      </c>
      <c r="B429" s="45">
        <f t="array" ref="B429">IFERROR(INDEX(baseline!$A$3:$A$201,MATCH($C429&amp;$D429,baseline!$C$3:$C$201&amp;baseline!$D$3:$D$201,0)),"NA")</f>
        <v>19</v>
      </c>
      <c r="C429" t="s">
        <v>712</v>
      </c>
      <c r="D429" t="s">
        <v>14</v>
      </c>
      <c r="E429" t="s">
        <v>860</v>
      </c>
      <c r="F429">
        <v>225572.82</v>
      </c>
      <c r="G429">
        <v>12612.733881903199</v>
      </c>
      <c r="H429">
        <v>12410</v>
      </c>
      <c r="I429">
        <v>165714.02145999999</v>
      </c>
      <c r="J429">
        <v>4504378.6035000002</v>
      </c>
      <c r="K429">
        <v>16522.23544</v>
      </c>
      <c r="L429">
        <v>0</v>
      </c>
      <c r="M429">
        <v>295075.23606000002</v>
      </c>
      <c r="N429">
        <v>470203.15393999999</v>
      </c>
      <c r="O429">
        <v>83347.2889</v>
      </c>
      <c r="P429">
        <v>64130.60686</v>
      </c>
      <c r="Q429">
        <v>209694.6122</v>
      </c>
      <c r="R429">
        <v>52761.153319999998</v>
      </c>
      <c r="S429">
        <v>0</v>
      </c>
    </row>
    <row r="430" spans="1:19">
      <c r="A430">
        <v>429</v>
      </c>
      <c r="B430" s="45">
        <f t="array" ref="B430">IFERROR(INDEX(baseline!$A$3:$A$201,MATCH($C430&amp;$D430,baseline!$C$3:$C$201&amp;baseline!$D$3:$D$201,0)),"NA")</f>
        <v>19</v>
      </c>
      <c r="C430" t="s">
        <v>712</v>
      </c>
      <c r="D430" t="s">
        <v>14</v>
      </c>
      <c r="E430" t="s">
        <v>1019</v>
      </c>
      <c r="F430">
        <v>125738.83</v>
      </c>
      <c r="G430">
        <v>12612.733881903199</v>
      </c>
      <c r="H430">
        <v>12410</v>
      </c>
      <c r="I430">
        <v>122677.87592000001</v>
      </c>
      <c r="J430">
        <v>4570325.8784800004</v>
      </c>
      <c r="K430">
        <v>45063.924939999997</v>
      </c>
      <c r="L430">
        <v>0</v>
      </c>
      <c r="M430">
        <v>294983.56932000001</v>
      </c>
      <c r="N430">
        <v>671719.98181999999</v>
      </c>
      <c r="O430">
        <v>83347.2889</v>
      </c>
      <c r="P430">
        <v>64130.60686</v>
      </c>
      <c r="Q430">
        <v>136811.22055999999</v>
      </c>
      <c r="R430">
        <v>43616.701560000001</v>
      </c>
      <c r="S430">
        <v>0</v>
      </c>
    </row>
    <row r="431" spans="1:19">
      <c r="A431">
        <v>430</v>
      </c>
      <c r="B431" s="45">
        <f t="array" ref="B431">IFERROR(INDEX(baseline!$A$3:$A$201,MATCH($C431&amp;$D431,baseline!$C$3:$C$201&amp;baseline!$D$3:$D$201,0)),"NA")</f>
        <v>19</v>
      </c>
      <c r="C431" t="s">
        <v>712</v>
      </c>
      <c r="D431" t="s">
        <v>14</v>
      </c>
      <c r="E431" t="s">
        <v>836</v>
      </c>
      <c r="F431">
        <v>15246.6</v>
      </c>
      <c r="G431">
        <v>12612.733881903199</v>
      </c>
      <c r="H431">
        <v>12410</v>
      </c>
      <c r="I431">
        <v>201939.05043999999</v>
      </c>
      <c r="J431">
        <v>5413940.4422599999</v>
      </c>
      <c r="K431">
        <v>44983.369319999998</v>
      </c>
      <c r="L431">
        <v>0</v>
      </c>
      <c r="M431">
        <v>294994.68044000003</v>
      </c>
      <c r="N431">
        <v>671719.98181999999</v>
      </c>
      <c r="O431">
        <v>83347.2889</v>
      </c>
      <c r="P431">
        <v>64130.60686</v>
      </c>
      <c r="Q431">
        <v>157805.68179999999</v>
      </c>
      <c r="R431">
        <v>52233.375119999997</v>
      </c>
      <c r="S431">
        <v>0</v>
      </c>
    </row>
    <row r="432" spans="1:19">
      <c r="A432">
        <v>431</v>
      </c>
      <c r="B432" s="45">
        <f t="array" ref="B432">IFERROR(INDEX(baseline!$A$3:$A$201,MATCH($C432&amp;$D432,baseline!$C$3:$C$201&amp;baseline!$D$3:$D$201,0)),"NA")</f>
        <v>19</v>
      </c>
      <c r="C432" t="s">
        <v>712</v>
      </c>
      <c r="D432" t="s">
        <v>14</v>
      </c>
      <c r="E432" t="s">
        <v>1030</v>
      </c>
      <c r="F432">
        <v>486751.46</v>
      </c>
      <c r="G432">
        <v>12612.733881903199</v>
      </c>
      <c r="H432">
        <v>12410</v>
      </c>
      <c r="I432">
        <v>136344.55351999999</v>
      </c>
      <c r="J432">
        <v>3456652.7653199998</v>
      </c>
      <c r="K432">
        <v>62725.050179999998</v>
      </c>
      <c r="L432">
        <v>0</v>
      </c>
      <c r="M432">
        <v>294989.12488000002</v>
      </c>
      <c r="N432">
        <v>470203.15393999999</v>
      </c>
      <c r="O432">
        <v>83347.2889</v>
      </c>
      <c r="P432">
        <v>64130.60686</v>
      </c>
      <c r="Q432">
        <v>136963.99846</v>
      </c>
      <c r="R432">
        <v>33338.915560000001</v>
      </c>
      <c r="S432">
        <v>0</v>
      </c>
    </row>
    <row r="433" spans="1:19">
      <c r="A433">
        <v>432</v>
      </c>
      <c r="B433" s="45">
        <f t="array" ref="B433">IFERROR(INDEX(baseline!$A$3:$A$201,MATCH($C433&amp;$D433,baseline!$C$3:$C$201&amp;baseline!$D$3:$D$201,0)),"NA")</f>
        <v>19</v>
      </c>
      <c r="C433" t="s">
        <v>712</v>
      </c>
      <c r="D433" t="s">
        <v>14</v>
      </c>
      <c r="E433" t="s">
        <v>859</v>
      </c>
      <c r="F433">
        <v>8815.5300000000007</v>
      </c>
      <c r="G433">
        <v>12612.733881903199</v>
      </c>
      <c r="H433">
        <v>12410</v>
      </c>
      <c r="I433">
        <v>153600.12288000001</v>
      </c>
      <c r="J433">
        <v>4373150.7207399998</v>
      </c>
      <c r="K433">
        <v>18336.125779999998</v>
      </c>
      <c r="L433">
        <v>0</v>
      </c>
      <c r="M433">
        <v>295064.12494000001</v>
      </c>
      <c r="N433">
        <v>671719.98181999999</v>
      </c>
      <c r="O433">
        <v>83347.2889</v>
      </c>
      <c r="P433">
        <v>64130.60686</v>
      </c>
      <c r="Q433">
        <v>209952.94574</v>
      </c>
      <c r="R433">
        <v>52825.042260000002</v>
      </c>
      <c r="S433">
        <v>0</v>
      </c>
    </row>
    <row r="434" spans="1:19">
      <c r="A434">
        <v>433</v>
      </c>
      <c r="B434" s="45">
        <f t="array" ref="B434">IFERROR(INDEX(baseline!$A$3:$A$201,MATCH($C434&amp;$D434,baseline!$C$3:$C$201&amp;baseline!$D$3:$D$201,0)),"NA")</f>
        <v>19</v>
      </c>
      <c r="C434" t="s">
        <v>712</v>
      </c>
      <c r="D434" t="s">
        <v>14</v>
      </c>
      <c r="E434" t="s">
        <v>834</v>
      </c>
      <c r="F434">
        <v>13700.97</v>
      </c>
      <c r="G434">
        <v>12612.733881903199</v>
      </c>
      <c r="H434">
        <v>12410</v>
      </c>
      <c r="I434">
        <v>153633.45624</v>
      </c>
      <c r="J434">
        <v>4409461.8608999997</v>
      </c>
      <c r="K434">
        <v>18383.348040000001</v>
      </c>
      <c r="L434">
        <v>0</v>
      </c>
      <c r="M434">
        <v>295633.56984000001</v>
      </c>
      <c r="N434">
        <v>671719.98181999999</v>
      </c>
      <c r="O434">
        <v>83347.2889</v>
      </c>
      <c r="P434">
        <v>64130.60686</v>
      </c>
      <c r="Q434">
        <v>210072.39027999999</v>
      </c>
      <c r="R434">
        <v>5891.6713799999998</v>
      </c>
      <c r="S434">
        <v>0</v>
      </c>
    </row>
    <row r="435" spans="1:19">
      <c r="A435">
        <v>434</v>
      </c>
      <c r="B435" s="45">
        <f t="array" ref="B435">IFERROR(INDEX(baseline!$A$3:$A$201,MATCH($C435&amp;$D435,baseline!$C$3:$C$201&amp;baseline!$D$3:$D$201,0)),"NA")</f>
        <v>19</v>
      </c>
      <c r="C435" t="s">
        <v>712</v>
      </c>
      <c r="D435" t="s">
        <v>14</v>
      </c>
      <c r="E435" t="s">
        <v>865</v>
      </c>
      <c r="F435">
        <v>34366.99</v>
      </c>
      <c r="G435">
        <v>12612.733881903199</v>
      </c>
      <c r="H435">
        <v>12410</v>
      </c>
      <c r="I435">
        <v>153633.45624</v>
      </c>
      <c r="J435">
        <v>4368939.6062599998</v>
      </c>
      <c r="K435">
        <v>18483.348119999999</v>
      </c>
      <c r="L435">
        <v>0</v>
      </c>
      <c r="M435">
        <v>295064.12494000001</v>
      </c>
      <c r="N435">
        <v>671719.98181999999</v>
      </c>
      <c r="O435">
        <v>83347.2889</v>
      </c>
      <c r="P435">
        <v>64130.60686</v>
      </c>
      <c r="Q435">
        <v>210072.39027999999</v>
      </c>
      <c r="R435">
        <v>41336.144180000003</v>
      </c>
      <c r="S435">
        <v>0</v>
      </c>
    </row>
    <row r="436" spans="1:19">
      <c r="A436">
        <v>435</v>
      </c>
      <c r="B436" s="45">
        <f t="array" ref="B436">IFERROR(INDEX(baseline!$A$3:$A$201,MATCH($C436&amp;$D436,baseline!$C$3:$C$201&amp;baseline!$D$3:$D$201,0)),"NA")</f>
        <v>20</v>
      </c>
      <c r="C436" t="s">
        <v>2</v>
      </c>
      <c r="D436" t="s">
        <v>881</v>
      </c>
      <c r="E436" t="s">
        <v>869</v>
      </c>
      <c r="F436">
        <v>0</v>
      </c>
      <c r="G436">
        <v>965.15690399999903</v>
      </c>
      <c r="H436">
        <v>965.15700000000004</v>
      </c>
      <c r="I436">
        <v>0</v>
      </c>
      <c r="J436">
        <v>316208.58630000002</v>
      </c>
      <c r="K436">
        <v>0</v>
      </c>
      <c r="L436">
        <v>0</v>
      </c>
      <c r="M436">
        <v>0</v>
      </c>
      <c r="N436">
        <v>27736.133300000001</v>
      </c>
      <c r="O436">
        <v>2569.4465</v>
      </c>
      <c r="P436">
        <v>0</v>
      </c>
      <c r="Q436">
        <v>13102.788259999999</v>
      </c>
      <c r="R436">
        <v>0</v>
      </c>
      <c r="S436">
        <v>0</v>
      </c>
    </row>
    <row r="437" spans="1:19">
      <c r="A437">
        <v>436</v>
      </c>
      <c r="B437" s="45">
        <f t="array" ref="B437">IFERROR(INDEX(baseline!$A$3:$A$201,MATCH($C437&amp;$D437,baseline!$C$3:$C$201&amp;baseline!$D$3:$D$201,0)),"NA")</f>
        <v>20</v>
      </c>
      <c r="C437" t="s">
        <v>2</v>
      </c>
      <c r="D437" t="s">
        <v>881</v>
      </c>
      <c r="E437" t="s">
        <v>805</v>
      </c>
      <c r="F437">
        <v>832.04</v>
      </c>
      <c r="G437">
        <v>965.15690399999903</v>
      </c>
      <c r="H437">
        <v>965.15700000000004</v>
      </c>
      <c r="I437">
        <v>0</v>
      </c>
      <c r="J437">
        <v>313475.25078</v>
      </c>
      <c r="K437">
        <v>0</v>
      </c>
      <c r="L437">
        <v>0</v>
      </c>
      <c r="M437">
        <v>0</v>
      </c>
      <c r="N437">
        <v>27736.133300000001</v>
      </c>
      <c r="O437">
        <v>2569.4465</v>
      </c>
      <c r="P437">
        <v>0</v>
      </c>
      <c r="Q437">
        <v>12925.010340000001</v>
      </c>
      <c r="R437">
        <v>0</v>
      </c>
      <c r="S437">
        <v>0</v>
      </c>
    </row>
    <row r="438" spans="1:19">
      <c r="A438">
        <v>437</v>
      </c>
      <c r="B438" s="45">
        <f t="array" ref="B438">IFERROR(INDEX(baseline!$A$3:$A$201,MATCH($C438&amp;$D438,baseline!$C$3:$C$201&amp;baseline!$D$3:$D$201,0)),"NA")</f>
        <v>20</v>
      </c>
      <c r="C438" t="s">
        <v>2</v>
      </c>
      <c r="D438" t="s">
        <v>881</v>
      </c>
      <c r="E438" t="s">
        <v>877</v>
      </c>
      <c r="F438">
        <v>0</v>
      </c>
      <c r="G438">
        <v>965.15690399999903</v>
      </c>
      <c r="H438">
        <v>965.15700000000004</v>
      </c>
      <c r="I438">
        <v>0</v>
      </c>
      <c r="J438">
        <v>313475.25078</v>
      </c>
      <c r="K438">
        <v>0</v>
      </c>
      <c r="L438">
        <v>0</v>
      </c>
      <c r="M438">
        <v>0</v>
      </c>
      <c r="N438">
        <v>27736.133300000001</v>
      </c>
      <c r="O438">
        <v>2569.4465</v>
      </c>
      <c r="P438">
        <v>0</v>
      </c>
      <c r="Q438">
        <v>12925.010340000001</v>
      </c>
      <c r="R438">
        <v>0</v>
      </c>
      <c r="S438">
        <v>0</v>
      </c>
    </row>
    <row r="439" spans="1:19">
      <c r="A439">
        <v>438</v>
      </c>
      <c r="B439" s="45">
        <f t="array" ref="B439">IFERROR(INDEX(baseline!$A$3:$A$201,MATCH($C439&amp;$D439,baseline!$C$3:$C$201&amp;baseline!$D$3:$D$201,0)),"NA")</f>
        <v>20</v>
      </c>
      <c r="C439" t="s">
        <v>2</v>
      </c>
      <c r="D439" t="s">
        <v>881</v>
      </c>
      <c r="E439" t="s">
        <v>1013</v>
      </c>
      <c r="F439">
        <v>45013.59</v>
      </c>
      <c r="G439">
        <v>965.15690399999903</v>
      </c>
      <c r="H439">
        <v>965.15700000000004</v>
      </c>
      <c r="I439">
        <v>0</v>
      </c>
      <c r="J439">
        <v>322053.03541999997</v>
      </c>
      <c r="K439">
        <v>0</v>
      </c>
      <c r="L439">
        <v>0</v>
      </c>
      <c r="M439">
        <v>0</v>
      </c>
      <c r="N439">
        <v>19416.682199999999</v>
      </c>
      <c r="O439">
        <v>2569.4465</v>
      </c>
      <c r="P439">
        <v>0</v>
      </c>
      <c r="Q439">
        <v>13233.343919999999</v>
      </c>
      <c r="R439">
        <v>0</v>
      </c>
      <c r="S439">
        <v>0</v>
      </c>
    </row>
    <row r="440" spans="1:19">
      <c r="A440">
        <v>439</v>
      </c>
      <c r="B440" s="45">
        <f t="array" ref="B440">IFERROR(INDEX(baseline!$A$3:$A$201,MATCH($C440&amp;$D440,baseline!$C$3:$C$201&amp;baseline!$D$3:$D$201,0)),"NA")</f>
        <v>20</v>
      </c>
      <c r="C440" t="s">
        <v>2</v>
      </c>
      <c r="D440" t="s">
        <v>881</v>
      </c>
      <c r="E440" t="s">
        <v>893</v>
      </c>
      <c r="F440">
        <v>279742.71999999997</v>
      </c>
      <c r="G440">
        <v>965.15690399999903</v>
      </c>
      <c r="H440">
        <v>965.15700000000004</v>
      </c>
      <c r="I440">
        <v>0</v>
      </c>
      <c r="J440">
        <v>292369.67833999998</v>
      </c>
      <c r="K440">
        <v>0</v>
      </c>
      <c r="L440">
        <v>0</v>
      </c>
      <c r="M440">
        <v>0</v>
      </c>
      <c r="N440">
        <v>27736.133300000001</v>
      </c>
      <c r="O440">
        <v>2569.4465</v>
      </c>
      <c r="P440">
        <v>0</v>
      </c>
      <c r="Q440">
        <v>12055.565199999999</v>
      </c>
      <c r="R440">
        <v>0</v>
      </c>
      <c r="S440">
        <v>0</v>
      </c>
    </row>
    <row r="441" spans="1:19">
      <c r="A441">
        <v>440</v>
      </c>
      <c r="B441" s="45">
        <f t="array" ref="B441">IFERROR(INDEX(baseline!$A$3:$A$201,MATCH($C441&amp;$D441,baseline!$C$3:$C$201&amp;baseline!$D$3:$D$201,0)),"NA")</f>
        <v>20</v>
      </c>
      <c r="C441" t="s">
        <v>2</v>
      </c>
      <c r="D441" t="s">
        <v>881</v>
      </c>
      <c r="E441" t="s">
        <v>892</v>
      </c>
      <c r="F441">
        <v>156227.18</v>
      </c>
      <c r="G441">
        <v>965.15690399999903</v>
      </c>
      <c r="H441">
        <v>965.15700000000004</v>
      </c>
      <c r="I441">
        <v>0</v>
      </c>
      <c r="J441">
        <v>303889.13199999998</v>
      </c>
      <c r="K441">
        <v>0</v>
      </c>
      <c r="L441">
        <v>0</v>
      </c>
      <c r="M441">
        <v>0</v>
      </c>
      <c r="N441">
        <v>27736.133300000001</v>
      </c>
      <c r="O441">
        <v>2569.4465</v>
      </c>
      <c r="P441">
        <v>0</v>
      </c>
      <c r="Q441">
        <v>12511.12112</v>
      </c>
      <c r="R441">
        <v>0</v>
      </c>
      <c r="S441">
        <v>0</v>
      </c>
    </row>
    <row r="442" spans="1:19">
      <c r="A442">
        <v>441</v>
      </c>
      <c r="B442" s="45">
        <f t="array" ref="B442">IFERROR(INDEX(baseline!$A$3:$A$201,MATCH($C442&amp;$D442,baseline!$C$3:$C$201&amp;baseline!$D$3:$D$201,0)),"NA")</f>
        <v>20</v>
      </c>
      <c r="C442" t="s">
        <v>2</v>
      </c>
      <c r="D442" t="s">
        <v>881</v>
      </c>
      <c r="E442" t="s">
        <v>894</v>
      </c>
      <c r="F442">
        <v>0</v>
      </c>
      <c r="G442">
        <v>965.15690399999903</v>
      </c>
      <c r="H442">
        <v>965.15700000000004</v>
      </c>
      <c r="I442">
        <v>0</v>
      </c>
      <c r="J442">
        <v>313475.25078</v>
      </c>
      <c r="K442">
        <v>0</v>
      </c>
      <c r="L442">
        <v>0</v>
      </c>
      <c r="M442">
        <v>0</v>
      </c>
      <c r="N442">
        <v>27736.133300000001</v>
      </c>
      <c r="O442">
        <v>2569.4465</v>
      </c>
      <c r="P442">
        <v>0</v>
      </c>
      <c r="Q442">
        <v>12925.010340000001</v>
      </c>
      <c r="R442">
        <v>0</v>
      </c>
      <c r="S442">
        <v>0</v>
      </c>
    </row>
    <row r="443" spans="1:19">
      <c r="A443">
        <v>442</v>
      </c>
      <c r="B443" s="45">
        <f t="array" ref="B443">IFERROR(INDEX(baseline!$A$3:$A$201,MATCH($C443&amp;$D443,baseline!$C$3:$C$201&amp;baseline!$D$3:$D$201,0)),"NA")</f>
        <v>20</v>
      </c>
      <c r="C443" t="s">
        <v>2</v>
      </c>
      <c r="D443" t="s">
        <v>881</v>
      </c>
      <c r="E443" t="s">
        <v>837</v>
      </c>
      <c r="F443">
        <v>732.04</v>
      </c>
      <c r="G443">
        <v>965.15690399999903</v>
      </c>
      <c r="H443">
        <v>965.15700000000004</v>
      </c>
      <c r="I443">
        <v>0</v>
      </c>
      <c r="J443">
        <v>313475.25078</v>
      </c>
      <c r="K443">
        <v>0</v>
      </c>
      <c r="L443">
        <v>0</v>
      </c>
      <c r="M443">
        <v>0</v>
      </c>
      <c r="N443">
        <v>27736.133300000001</v>
      </c>
      <c r="O443">
        <v>2569.4465</v>
      </c>
      <c r="P443">
        <v>0</v>
      </c>
      <c r="Q443">
        <v>12925.010340000001</v>
      </c>
      <c r="R443">
        <v>0</v>
      </c>
      <c r="S443">
        <v>0</v>
      </c>
    </row>
    <row r="444" spans="1:19">
      <c r="A444">
        <v>443</v>
      </c>
      <c r="B444" s="45">
        <f t="array" ref="B444">IFERROR(INDEX(baseline!$A$3:$A$201,MATCH($C444&amp;$D444,baseline!$C$3:$C$201&amp;baseline!$D$3:$D$201,0)),"NA")</f>
        <v>20</v>
      </c>
      <c r="C444" t="s">
        <v>2</v>
      </c>
      <c r="D444" t="s">
        <v>881</v>
      </c>
      <c r="E444" t="s">
        <v>835</v>
      </c>
      <c r="F444">
        <v>0</v>
      </c>
      <c r="G444">
        <v>965.15690399999903</v>
      </c>
      <c r="H444">
        <v>965.15700000000004</v>
      </c>
      <c r="I444">
        <v>0</v>
      </c>
      <c r="J444">
        <v>313475.25078</v>
      </c>
      <c r="K444">
        <v>0</v>
      </c>
      <c r="L444">
        <v>0</v>
      </c>
      <c r="M444">
        <v>0</v>
      </c>
      <c r="N444">
        <v>27736.133300000001</v>
      </c>
      <c r="O444">
        <v>2569.4465</v>
      </c>
      <c r="P444">
        <v>0</v>
      </c>
      <c r="Q444">
        <v>12925.010340000001</v>
      </c>
      <c r="R444">
        <v>0</v>
      </c>
      <c r="S444">
        <v>0</v>
      </c>
    </row>
    <row r="445" spans="1:19">
      <c r="A445">
        <v>444</v>
      </c>
      <c r="B445" s="45">
        <f t="array" ref="B445">IFERROR(INDEX(baseline!$A$3:$A$201,MATCH($C445&amp;$D445,baseline!$C$3:$C$201&amp;baseline!$D$3:$D$201,0)),"NA")</f>
        <v>20</v>
      </c>
      <c r="C445" t="s">
        <v>2</v>
      </c>
      <c r="D445" t="s">
        <v>881</v>
      </c>
      <c r="E445" t="s">
        <v>863</v>
      </c>
      <c r="F445">
        <v>36270.870000000003</v>
      </c>
      <c r="G445">
        <v>965.15690399999903</v>
      </c>
      <c r="H445">
        <v>965.15700000000004</v>
      </c>
      <c r="I445">
        <v>0</v>
      </c>
      <c r="J445">
        <v>163047.35266</v>
      </c>
      <c r="K445">
        <v>0</v>
      </c>
      <c r="L445">
        <v>0</v>
      </c>
      <c r="M445">
        <v>0</v>
      </c>
      <c r="N445">
        <v>27736.133300000001</v>
      </c>
      <c r="O445">
        <v>2569.4465</v>
      </c>
      <c r="P445">
        <v>0</v>
      </c>
      <c r="Q445">
        <v>6875.0055000000002</v>
      </c>
      <c r="R445">
        <v>0</v>
      </c>
      <c r="S445">
        <v>0</v>
      </c>
    </row>
    <row r="446" spans="1:19">
      <c r="A446">
        <v>445</v>
      </c>
      <c r="B446" s="45">
        <f t="array" ref="B446">IFERROR(INDEX(baseline!$A$3:$A$201,MATCH($C446&amp;$D446,baseline!$C$3:$C$201&amp;baseline!$D$3:$D$201,0)),"NA")</f>
        <v>20</v>
      </c>
      <c r="C446" t="s">
        <v>2</v>
      </c>
      <c r="D446" t="s">
        <v>881</v>
      </c>
      <c r="E446" t="s">
        <v>1011</v>
      </c>
      <c r="F446">
        <v>36747.57</v>
      </c>
      <c r="G446">
        <v>965.15690399999903</v>
      </c>
      <c r="H446">
        <v>965.15700000000004</v>
      </c>
      <c r="I446">
        <v>0</v>
      </c>
      <c r="J446">
        <v>141416.77979999999</v>
      </c>
      <c r="K446">
        <v>0</v>
      </c>
      <c r="L446">
        <v>0</v>
      </c>
      <c r="M446">
        <v>0</v>
      </c>
      <c r="N446">
        <v>27736.133300000001</v>
      </c>
      <c r="O446">
        <v>2569.4465</v>
      </c>
      <c r="P446">
        <v>0</v>
      </c>
      <c r="Q446">
        <v>7072.2278800000004</v>
      </c>
      <c r="R446">
        <v>0</v>
      </c>
      <c r="S446">
        <v>0</v>
      </c>
    </row>
    <row r="447" spans="1:19">
      <c r="A447">
        <v>446</v>
      </c>
      <c r="B447" s="45">
        <f t="array" ref="B447">IFERROR(INDEX(baseline!$A$3:$A$201,MATCH($C447&amp;$D447,baseline!$C$3:$C$201&amp;baseline!$D$3:$D$201,0)),"NA")</f>
        <v>20</v>
      </c>
      <c r="C447" t="s">
        <v>2</v>
      </c>
      <c r="D447" t="s">
        <v>881</v>
      </c>
      <c r="E447" t="s">
        <v>860</v>
      </c>
      <c r="F447">
        <v>23724.27</v>
      </c>
      <c r="G447">
        <v>965.15690399999903</v>
      </c>
      <c r="H447">
        <v>965.15700000000004</v>
      </c>
      <c r="I447">
        <v>0</v>
      </c>
      <c r="J447">
        <v>321925.25754000002</v>
      </c>
      <c r="K447">
        <v>0</v>
      </c>
      <c r="L447">
        <v>0</v>
      </c>
      <c r="M447">
        <v>0</v>
      </c>
      <c r="N447">
        <v>19416.682199999999</v>
      </c>
      <c r="O447">
        <v>2569.4465</v>
      </c>
      <c r="P447">
        <v>0</v>
      </c>
      <c r="Q447">
        <v>13219.455019999999</v>
      </c>
      <c r="R447">
        <v>0</v>
      </c>
      <c r="S447">
        <v>0</v>
      </c>
    </row>
    <row r="448" spans="1:19">
      <c r="A448">
        <v>447</v>
      </c>
      <c r="B448" s="45">
        <f t="array" ref="B448">IFERROR(INDEX(baseline!$A$3:$A$201,MATCH($C448&amp;$D448,baseline!$C$3:$C$201&amp;baseline!$D$3:$D$201,0)),"NA")</f>
        <v>20</v>
      </c>
      <c r="C448" t="s">
        <v>2</v>
      </c>
      <c r="D448" t="s">
        <v>881</v>
      </c>
      <c r="E448" t="s">
        <v>1019</v>
      </c>
      <c r="F448">
        <v>36747.57</v>
      </c>
      <c r="G448">
        <v>965.15690399999903</v>
      </c>
      <c r="H448">
        <v>965.15700000000004</v>
      </c>
      <c r="I448">
        <v>0</v>
      </c>
      <c r="J448">
        <v>141416.77979999999</v>
      </c>
      <c r="K448">
        <v>0</v>
      </c>
      <c r="L448">
        <v>0</v>
      </c>
      <c r="M448">
        <v>0</v>
      </c>
      <c r="N448">
        <v>27736.133300000001</v>
      </c>
      <c r="O448">
        <v>2569.4465</v>
      </c>
      <c r="P448">
        <v>0</v>
      </c>
      <c r="Q448">
        <v>7072.2278800000004</v>
      </c>
      <c r="R448">
        <v>0</v>
      </c>
      <c r="S448">
        <v>0</v>
      </c>
    </row>
    <row r="449" spans="1:19">
      <c r="A449">
        <v>448</v>
      </c>
      <c r="B449" s="45">
        <f t="array" ref="B449">IFERROR(INDEX(baseline!$A$3:$A$201,MATCH($C449&amp;$D449,baseline!$C$3:$C$201&amp;baseline!$D$3:$D$201,0)),"NA")</f>
        <v>20</v>
      </c>
      <c r="C449" t="s">
        <v>2</v>
      </c>
      <c r="D449" t="s">
        <v>881</v>
      </c>
      <c r="E449" t="s">
        <v>836</v>
      </c>
      <c r="F449">
        <v>476.7</v>
      </c>
      <c r="G449">
        <v>965.15690399999903</v>
      </c>
      <c r="H449">
        <v>965.15700000000004</v>
      </c>
      <c r="I449">
        <v>0</v>
      </c>
      <c r="J449">
        <v>276058.55417999998</v>
      </c>
      <c r="K449">
        <v>0</v>
      </c>
      <c r="L449">
        <v>0</v>
      </c>
      <c r="M449">
        <v>0</v>
      </c>
      <c r="N449">
        <v>27736.133300000001</v>
      </c>
      <c r="O449">
        <v>2569.4465</v>
      </c>
      <c r="P449">
        <v>0</v>
      </c>
      <c r="Q449">
        <v>13847.2333</v>
      </c>
      <c r="R449">
        <v>0</v>
      </c>
      <c r="S449">
        <v>0</v>
      </c>
    </row>
    <row r="450" spans="1:19">
      <c r="A450">
        <v>449</v>
      </c>
      <c r="B450" s="45">
        <f t="array" ref="B450">IFERROR(INDEX(baseline!$A$3:$A$201,MATCH($C450&amp;$D450,baseline!$C$3:$C$201&amp;baseline!$D$3:$D$201,0)),"NA")</f>
        <v>20</v>
      </c>
      <c r="C450" t="s">
        <v>2</v>
      </c>
      <c r="D450" t="s">
        <v>881</v>
      </c>
      <c r="E450" t="s">
        <v>1030</v>
      </c>
      <c r="F450">
        <v>63492.23</v>
      </c>
      <c r="G450">
        <v>965.15690399999903</v>
      </c>
      <c r="H450">
        <v>965.15700000000004</v>
      </c>
      <c r="I450">
        <v>0</v>
      </c>
      <c r="J450">
        <v>150136.23121999999</v>
      </c>
      <c r="K450">
        <v>0</v>
      </c>
      <c r="L450">
        <v>0</v>
      </c>
      <c r="M450">
        <v>0</v>
      </c>
      <c r="N450">
        <v>19416.682199999999</v>
      </c>
      <c r="O450">
        <v>2569.4465</v>
      </c>
      <c r="P450">
        <v>0</v>
      </c>
      <c r="Q450">
        <v>7297.2280600000004</v>
      </c>
      <c r="R450">
        <v>0</v>
      </c>
      <c r="S450">
        <v>0</v>
      </c>
    </row>
    <row r="451" spans="1:19">
      <c r="A451">
        <v>450</v>
      </c>
      <c r="B451" s="45">
        <f t="array" ref="B451">IFERROR(INDEX(baseline!$A$3:$A$201,MATCH($C451&amp;$D451,baseline!$C$3:$C$201&amp;baseline!$D$3:$D$201,0)),"NA")</f>
        <v>20</v>
      </c>
      <c r="C451" t="s">
        <v>2</v>
      </c>
      <c r="D451" t="s">
        <v>881</v>
      </c>
      <c r="E451" t="s">
        <v>859</v>
      </c>
      <c r="F451">
        <v>275.73</v>
      </c>
      <c r="G451">
        <v>965.15690399999903</v>
      </c>
      <c r="H451">
        <v>965.15700000000004</v>
      </c>
      <c r="I451">
        <v>0</v>
      </c>
      <c r="J451">
        <v>313586.36197999999</v>
      </c>
      <c r="K451">
        <v>0</v>
      </c>
      <c r="L451">
        <v>0</v>
      </c>
      <c r="M451">
        <v>0</v>
      </c>
      <c r="N451">
        <v>27736.133300000001</v>
      </c>
      <c r="O451">
        <v>2569.4465</v>
      </c>
      <c r="P451">
        <v>0</v>
      </c>
      <c r="Q451">
        <v>12936.12146</v>
      </c>
      <c r="R451">
        <v>0</v>
      </c>
      <c r="S451">
        <v>0</v>
      </c>
    </row>
    <row r="452" spans="1:19">
      <c r="A452">
        <v>451</v>
      </c>
      <c r="B452" s="45">
        <f t="array" ref="B452">IFERROR(INDEX(baseline!$A$3:$A$201,MATCH($C452&amp;$D452,baseline!$C$3:$C$201&amp;baseline!$D$3:$D$201,0)),"NA")</f>
        <v>21</v>
      </c>
      <c r="C452" t="s">
        <v>2</v>
      </c>
      <c r="D452" t="s">
        <v>13</v>
      </c>
      <c r="E452" t="s">
        <v>869</v>
      </c>
      <c r="F452">
        <v>0</v>
      </c>
      <c r="G452">
        <v>965.15690399999903</v>
      </c>
      <c r="H452">
        <v>965.15700000000004</v>
      </c>
      <c r="I452">
        <v>0</v>
      </c>
      <c r="J452">
        <v>288566.89752</v>
      </c>
      <c r="K452">
        <v>0</v>
      </c>
      <c r="L452">
        <v>0</v>
      </c>
      <c r="M452">
        <v>0</v>
      </c>
      <c r="N452">
        <v>27736.133300000001</v>
      </c>
      <c r="O452">
        <v>2569.4465</v>
      </c>
      <c r="P452">
        <v>0</v>
      </c>
      <c r="Q452">
        <v>11944.454</v>
      </c>
      <c r="R452">
        <v>0</v>
      </c>
      <c r="S452">
        <v>0</v>
      </c>
    </row>
    <row r="453" spans="1:19">
      <c r="A453">
        <v>452</v>
      </c>
      <c r="B453" s="45">
        <f t="array" ref="B453">IFERROR(INDEX(baseline!$A$3:$A$201,MATCH($C453&amp;$D453,baseline!$C$3:$C$201&amp;baseline!$D$3:$D$201,0)),"NA")</f>
        <v>21</v>
      </c>
      <c r="C453" t="s">
        <v>2</v>
      </c>
      <c r="D453" t="s">
        <v>13</v>
      </c>
      <c r="E453" t="s">
        <v>805</v>
      </c>
      <c r="F453">
        <v>832.04</v>
      </c>
      <c r="G453">
        <v>965.15690399999903</v>
      </c>
      <c r="H453">
        <v>965.15700000000004</v>
      </c>
      <c r="I453">
        <v>0</v>
      </c>
      <c r="J453">
        <v>284619.67213999998</v>
      </c>
      <c r="K453">
        <v>0</v>
      </c>
      <c r="L453">
        <v>0</v>
      </c>
      <c r="M453">
        <v>0</v>
      </c>
      <c r="N453">
        <v>27736.133300000001</v>
      </c>
      <c r="O453">
        <v>2569.4465</v>
      </c>
      <c r="P453">
        <v>0</v>
      </c>
      <c r="Q453">
        <v>11752.787179999999</v>
      </c>
      <c r="R453">
        <v>0</v>
      </c>
      <c r="S453">
        <v>0</v>
      </c>
    </row>
    <row r="454" spans="1:19">
      <c r="A454">
        <v>453</v>
      </c>
      <c r="B454" s="45">
        <f t="array" ref="B454">IFERROR(INDEX(baseline!$A$3:$A$201,MATCH($C454&amp;$D454,baseline!$C$3:$C$201&amp;baseline!$D$3:$D$201,0)),"NA")</f>
        <v>21</v>
      </c>
      <c r="C454" t="s">
        <v>2</v>
      </c>
      <c r="D454" t="s">
        <v>13</v>
      </c>
      <c r="E454" t="s">
        <v>877</v>
      </c>
      <c r="F454">
        <v>0</v>
      </c>
      <c r="G454">
        <v>965.15690399999903</v>
      </c>
      <c r="H454">
        <v>965.15700000000004</v>
      </c>
      <c r="I454">
        <v>0</v>
      </c>
      <c r="J454">
        <v>284619.67213999998</v>
      </c>
      <c r="K454">
        <v>0</v>
      </c>
      <c r="L454">
        <v>0</v>
      </c>
      <c r="M454">
        <v>0</v>
      </c>
      <c r="N454">
        <v>27736.133300000001</v>
      </c>
      <c r="O454">
        <v>2569.4465</v>
      </c>
      <c r="P454">
        <v>0</v>
      </c>
      <c r="Q454">
        <v>11752.787179999999</v>
      </c>
      <c r="R454">
        <v>0</v>
      </c>
      <c r="S454">
        <v>0</v>
      </c>
    </row>
    <row r="455" spans="1:19">
      <c r="A455">
        <v>454</v>
      </c>
      <c r="B455" s="45">
        <f t="array" ref="B455">IFERROR(INDEX(baseline!$A$3:$A$201,MATCH($C455&amp;$D455,baseline!$C$3:$C$201&amp;baseline!$D$3:$D$201,0)),"NA")</f>
        <v>21</v>
      </c>
      <c r="C455" t="s">
        <v>2</v>
      </c>
      <c r="D455" t="s">
        <v>13</v>
      </c>
      <c r="E455" t="s">
        <v>1013</v>
      </c>
      <c r="F455">
        <v>45013.59</v>
      </c>
      <c r="G455">
        <v>965.15690399999903</v>
      </c>
      <c r="H455">
        <v>965.15700000000004</v>
      </c>
      <c r="I455">
        <v>0</v>
      </c>
      <c r="J455">
        <v>293000.23440000002</v>
      </c>
      <c r="K455">
        <v>0</v>
      </c>
      <c r="L455">
        <v>0</v>
      </c>
      <c r="M455">
        <v>0</v>
      </c>
      <c r="N455">
        <v>19416.682199999999</v>
      </c>
      <c r="O455">
        <v>2569.4465</v>
      </c>
      <c r="P455">
        <v>0</v>
      </c>
      <c r="Q455">
        <v>12041.676299999999</v>
      </c>
      <c r="R455">
        <v>0</v>
      </c>
      <c r="S455">
        <v>0</v>
      </c>
    </row>
    <row r="456" spans="1:19">
      <c r="A456">
        <v>455</v>
      </c>
      <c r="B456" s="45">
        <f t="array" ref="B456">IFERROR(INDEX(baseline!$A$3:$A$201,MATCH($C456&amp;$D456,baseline!$C$3:$C$201&amp;baseline!$D$3:$D$201,0)),"NA")</f>
        <v>21</v>
      </c>
      <c r="C456" t="s">
        <v>2</v>
      </c>
      <c r="D456" t="s">
        <v>13</v>
      </c>
      <c r="E456" t="s">
        <v>893</v>
      </c>
      <c r="F456">
        <v>183278.64</v>
      </c>
      <c r="G456">
        <v>965.15690399999903</v>
      </c>
      <c r="H456">
        <v>965.15700000000004</v>
      </c>
      <c r="I456">
        <v>0</v>
      </c>
      <c r="J456">
        <v>223666.8456</v>
      </c>
      <c r="K456">
        <v>0</v>
      </c>
      <c r="L456">
        <v>0</v>
      </c>
      <c r="M456">
        <v>0</v>
      </c>
      <c r="N456">
        <v>27736.133300000001</v>
      </c>
      <c r="O456">
        <v>2569.4465</v>
      </c>
      <c r="P456">
        <v>0</v>
      </c>
      <c r="Q456">
        <v>9297.2296600000009</v>
      </c>
      <c r="R456">
        <v>0</v>
      </c>
      <c r="S456">
        <v>0</v>
      </c>
    </row>
    <row r="457" spans="1:19">
      <c r="A457">
        <v>456</v>
      </c>
      <c r="B457" s="45">
        <f t="array" ref="B457">IFERROR(INDEX(baseline!$A$3:$A$201,MATCH($C457&amp;$D457,baseline!$C$3:$C$201&amp;baseline!$D$3:$D$201,0)),"NA")</f>
        <v>21</v>
      </c>
      <c r="C457" t="s">
        <v>2</v>
      </c>
      <c r="D457" t="s">
        <v>13</v>
      </c>
      <c r="E457" t="s">
        <v>892</v>
      </c>
      <c r="F457">
        <v>156227.18</v>
      </c>
      <c r="G457">
        <v>965.15690399999903</v>
      </c>
      <c r="H457">
        <v>965.15700000000004</v>
      </c>
      <c r="I457">
        <v>0</v>
      </c>
      <c r="J457">
        <v>281264.1139</v>
      </c>
      <c r="K457">
        <v>0</v>
      </c>
      <c r="L457">
        <v>0</v>
      </c>
      <c r="M457">
        <v>0</v>
      </c>
      <c r="N457">
        <v>27736.133300000001</v>
      </c>
      <c r="O457">
        <v>2569.4465</v>
      </c>
      <c r="P457">
        <v>0</v>
      </c>
      <c r="Q457">
        <v>11605.564839999999</v>
      </c>
      <c r="R457">
        <v>0</v>
      </c>
      <c r="S457">
        <v>0</v>
      </c>
    </row>
    <row r="458" spans="1:19">
      <c r="A458">
        <v>457</v>
      </c>
      <c r="B458" s="45">
        <f t="array" ref="B458">IFERROR(INDEX(baseline!$A$3:$A$201,MATCH($C458&amp;$D458,baseline!$C$3:$C$201&amp;baseline!$D$3:$D$201,0)),"NA")</f>
        <v>21</v>
      </c>
      <c r="C458" t="s">
        <v>2</v>
      </c>
      <c r="D458" t="s">
        <v>13</v>
      </c>
      <c r="E458" t="s">
        <v>894</v>
      </c>
      <c r="F458">
        <v>0</v>
      </c>
      <c r="G458">
        <v>965.15690399999903</v>
      </c>
      <c r="H458">
        <v>965.15700000000004</v>
      </c>
      <c r="I458">
        <v>0</v>
      </c>
      <c r="J458">
        <v>284619.67213999998</v>
      </c>
      <c r="K458">
        <v>0</v>
      </c>
      <c r="L458">
        <v>0</v>
      </c>
      <c r="M458">
        <v>0</v>
      </c>
      <c r="N458">
        <v>27736.133300000001</v>
      </c>
      <c r="O458">
        <v>2569.4465</v>
      </c>
      <c r="P458">
        <v>0</v>
      </c>
      <c r="Q458">
        <v>11752.787179999999</v>
      </c>
      <c r="R458">
        <v>0</v>
      </c>
      <c r="S458">
        <v>0</v>
      </c>
    </row>
    <row r="459" spans="1:19">
      <c r="A459">
        <v>458</v>
      </c>
      <c r="B459" s="45">
        <f t="array" ref="B459">IFERROR(INDEX(baseline!$A$3:$A$201,MATCH($C459&amp;$D459,baseline!$C$3:$C$201&amp;baseline!$D$3:$D$201,0)),"NA")</f>
        <v>21</v>
      </c>
      <c r="C459" t="s">
        <v>2</v>
      </c>
      <c r="D459" t="s">
        <v>13</v>
      </c>
      <c r="E459" t="s">
        <v>837</v>
      </c>
      <c r="F459">
        <v>732.04</v>
      </c>
      <c r="G459">
        <v>965.15690399999903</v>
      </c>
      <c r="H459">
        <v>965.15700000000004</v>
      </c>
      <c r="I459">
        <v>0</v>
      </c>
      <c r="J459">
        <v>284619.67213999998</v>
      </c>
      <c r="K459">
        <v>0</v>
      </c>
      <c r="L459">
        <v>0</v>
      </c>
      <c r="M459">
        <v>0</v>
      </c>
      <c r="N459">
        <v>27736.133300000001</v>
      </c>
      <c r="O459">
        <v>2569.4465</v>
      </c>
      <c r="P459">
        <v>0</v>
      </c>
      <c r="Q459">
        <v>11752.787179999999</v>
      </c>
      <c r="R459">
        <v>0</v>
      </c>
      <c r="S459">
        <v>0</v>
      </c>
    </row>
    <row r="460" spans="1:19">
      <c r="A460">
        <v>459</v>
      </c>
      <c r="B460" s="45">
        <f t="array" ref="B460">IFERROR(INDEX(baseline!$A$3:$A$201,MATCH($C460&amp;$D460,baseline!$C$3:$C$201&amp;baseline!$D$3:$D$201,0)),"NA")</f>
        <v>21</v>
      </c>
      <c r="C460" t="s">
        <v>2</v>
      </c>
      <c r="D460" t="s">
        <v>13</v>
      </c>
      <c r="E460" t="s">
        <v>835</v>
      </c>
      <c r="F460">
        <v>0</v>
      </c>
      <c r="G460">
        <v>965.15690399999903</v>
      </c>
      <c r="H460">
        <v>965.15700000000004</v>
      </c>
      <c r="I460">
        <v>0</v>
      </c>
      <c r="J460">
        <v>284619.67213999998</v>
      </c>
      <c r="K460">
        <v>0</v>
      </c>
      <c r="L460">
        <v>0</v>
      </c>
      <c r="M460">
        <v>0</v>
      </c>
      <c r="N460">
        <v>27736.133300000001</v>
      </c>
      <c r="O460">
        <v>2569.4465</v>
      </c>
      <c r="P460">
        <v>0</v>
      </c>
      <c r="Q460">
        <v>11752.787179999999</v>
      </c>
      <c r="R460">
        <v>0</v>
      </c>
      <c r="S460">
        <v>0</v>
      </c>
    </row>
    <row r="461" spans="1:19">
      <c r="A461">
        <v>460</v>
      </c>
      <c r="B461" s="45">
        <f t="array" ref="B461">IFERROR(INDEX(baseline!$A$3:$A$201,MATCH($C461&amp;$D461,baseline!$C$3:$C$201&amp;baseline!$D$3:$D$201,0)),"NA")</f>
        <v>21</v>
      </c>
      <c r="C461" t="s">
        <v>2</v>
      </c>
      <c r="D461" t="s">
        <v>13</v>
      </c>
      <c r="E461" t="s">
        <v>863</v>
      </c>
      <c r="F461">
        <v>36270.870000000003</v>
      </c>
      <c r="G461">
        <v>965.15690399999903</v>
      </c>
      <c r="H461">
        <v>965.15700000000004</v>
      </c>
      <c r="I461">
        <v>0</v>
      </c>
      <c r="J461">
        <v>209655.72328000001</v>
      </c>
      <c r="K461">
        <v>0</v>
      </c>
      <c r="L461">
        <v>0</v>
      </c>
      <c r="M461">
        <v>0</v>
      </c>
      <c r="N461">
        <v>27736.133300000001</v>
      </c>
      <c r="O461">
        <v>2569.4465</v>
      </c>
      <c r="P461">
        <v>0</v>
      </c>
      <c r="Q461">
        <v>8705.5625199999995</v>
      </c>
      <c r="R461">
        <v>0</v>
      </c>
      <c r="S461">
        <v>0</v>
      </c>
    </row>
    <row r="462" spans="1:19">
      <c r="A462">
        <v>461</v>
      </c>
      <c r="B462" s="45">
        <f t="array" ref="B462">IFERROR(INDEX(baseline!$A$3:$A$201,MATCH($C462&amp;$D462,baseline!$C$3:$C$201&amp;baseline!$D$3:$D$201,0)),"NA")</f>
        <v>21</v>
      </c>
      <c r="C462" t="s">
        <v>2</v>
      </c>
      <c r="D462" t="s">
        <v>13</v>
      </c>
      <c r="E462" t="s">
        <v>1011</v>
      </c>
      <c r="F462">
        <v>36747.57</v>
      </c>
      <c r="G462">
        <v>965.15690399999903</v>
      </c>
      <c r="H462">
        <v>965.15700000000004</v>
      </c>
      <c r="I462">
        <v>0</v>
      </c>
      <c r="J462">
        <v>181977.92335999999</v>
      </c>
      <c r="K462">
        <v>0</v>
      </c>
      <c r="L462">
        <v>0</v>
      </c>
      <c r="M462">
        <v>0</v>
      </c>
      <c r="N462">
        <v>27736.133300000001</v>
      </c>
      <c r="O462">
        <v>2569.4465</v>
      </c>
      <c r="P462">
        <v>0</v>
      </c>
      <c r="Q462">
        <v>9127.7850799999997</v>
      </c>
      <c r="R462">
        <v>0</v>
      </c>
      <c r="S462">
        <v>0</v>
      </c>
    </row>
    <row r="463" spans="1:19">
      <c r="A463">
        <v>462</v>
      </c>
      <c r="B463" s="45">
        <f t="array" ref="B463">IFERROR(INDEX(baseline!$A$3:$A$201,MATCH($C463&amp;$D463,baseline!$C$3:$C$201&amp;baseline!$D$3:$D$201,0)),"NA")</f>
        <v>21</v>
      </c>
      <c r="C463" t="s">
        <v>2</v>
      </c>
      <c r="D463" t="s">
        <v>13</v>
      </c>
      <c r="E463" t="s">
        <v>860</v>
      </c>
      <c r="F463">
        <v>23724.27</v>
      </c>
      <c r="G463">
        <v>965.15690399999903</v>
      </c>
      <c r="H463">
        <v>965.15700000000004</v>
      </c>
      <c r="I463">
        <v>0</v>
      </c>
      <c r="J463">
        <v>292825.23426</v>
      </c>
      <c r="K463">
        <v>0</v>
      </c>
      <c r="L463">
        <v>0</v>
      </c>
      <c r="M463">
        <v>0</v>
      </c>
      <c r="N463">
        <v>19416.682199999999</v>
      </c>
      <c r="O463">
        <v>2569.4465</v>
      </c>
      <c r="P463">
        <v>0</v>
      </c>
      <c r="Q463">
        <v>12030.56518</v>
      </c>
      <c r="R463">
        <v>0</v>
      </c>
      <c r="S463">
        <v>0</v>
      </c>
    </row>
    <row r="464" spans="1:19">
      <c r="A464">
        <v>463</v>
      </c>
      <c r="B464" s="45">
        <f t="array" ref="B464">IFERROR(INDEX(baseline!$A$3:$A$201,MATCH($C464&amp;$D464,baseline!$C$3:$C$201&amp;baseline!$D$3:$D$201,0)),"NA")</f>
        <v>21</v>
      </c>
      <c r="C464" t="s">
        <v>2</v>
      </c>
      <c r="D464" t="s">
        <v>13</v>
      </c>
      <c r="E464" t="s">
        <v>1019</v>
      </c>
      <c r="F464">
        <v>36747.57</v>
      </c>
      <c r="G464">
        <v>965.15690399999903</v>
      </c>
      <c r="H464">
        <v>965.15700000000004</v>
      </c>
      <c r="I464">
        <v>0</v>
      </c>
      <c r="J464">
        <v>181977.92335999999</v>
      </c>
      <c r="K464">
        <v>0</v>
      </c>
      <c r="L464">
        <v>0</v>
      </c>
      <c r="M464">
        <v>0</v>
      </c>
      <c r="N464">
        <v>27736.133300000001</v>
      </c>
      <c r="O464">
        <v>2569.4465</v>
      </c>
      <c r="P464">
        <v>0</v>
      </c>
      <c r="Q464">
        <v>9127.7850799999997</v>
      </c>
      <c r="R464">
        <v>0</v>
      </c>
      <c r="S464">
        <v>0</v>
      </c>
    </row>
    <row r="465" spans="1:19">
      <c r="A465">
        <v>464</v>
      </c>
      <c r="B465" s="45">
        <f t="array" ref="B465">IFERROR(INDEX(baseline!$A$3:$A$201,MATCH($C465&amp;$D465,baseline!$C$3:$C$201&amp;baseline!$D$3:$D$201,0)),"NA")</f>
        <v>21</v>
      </c>
      <c r="C465" t="s">
        <v>2</v>
      </c>
      <c r="D465" t="s">
        <v>13</v>
      </c>
      <c r="E465" t="s">
        <v>836</v>
      </c>
      <c r="F465">
        <v>476.7</v>
      </c>
      <c r="G465">
        <v>965.15690399999903</v>
      </c>
      <c r="H465">
        <v>965.15700000000004</v>
      </c>
      <c r="I465">
        <v>0</v>
      </c>
      <c r="J465">
        <v>249030.75477999999</v>
      </c>
      <c r="K465">
        <v>0</v>
      </c>
      <c r="L465">
        <v>0</v>
      </c>
      <c r="M465">
        <v>0</v>
      </c>
      <c r="N465">
        <v>27736.133300000001</v>
      </c>
      <c r="O465">
        <v>2569.4465</v>
      </c>
      <c r="P465">
        <v>0</v>
      </c>
      <c r="Q465">
        <v>12561.121160000001</v>
      </c>
      <c r="R465">
        <v>0</v>
      </c>
      <c r="S465">
        <v>0</v>
      </c>
    </row>
    <row r="466" spans="1:19">
      <c r="A466">
        <v>465</v>
      </c>
      <c r="B466" s="45">
        <f t="array" ref="B466">IFERROR(INDEX(baseline!$A$3:$A$201,MATCH($C466&amp;$D466,baseline!$C$3:$C$201&amp;baseline!$D$3:$D$201,0)),"NA")</f>
        <v>21</v>
      </c>
      <c r="C466" t="s">
        <v>2</v>
      </c>
      <c r="D466" t="s">
        <v>13</v>
      </c>
      <c r="E466" t="s">
        <v>1030</v>
      </c>
      <c r="F466">
        <v>63492.23</v>
      </c>
      <c r="G466">
        <v>965.15690399999903</v>
      </c>
      <c r="H466">
        <v>965.15700000000004</v>
      </c>
      <c r="I466">
        <v>0</v>
      </c>
      <c r="J466">
        <v>190725.15257999999</v>
      </c>
      <c r="K466">
        <v>0</v>
      </c>
      <c r="L466">
        <v>0</v>
      </c>
      <c r="M466">
        <v>0</v>
      </c>
      <c r="N466">
        <v>19416.682199999999</v>
      </c>
      <c r="O466">
        <v>2569.4465</v>
      </c>
      <c r="P466">
        <v>0</v>
      </c>
      <c r="Q466">
        <v>9380.5630600000004</v>
      </c>
      <c r="R466">
        <v>0</v>
      </c>
      <c r="S466">
        <v>0</v>
      </c>
    </row>
    <row r="467" spans="1:19">
      <c r="A467">
        <v>466</v>
      </c>
      <c r="B467" s="45">
        <f t="array" ref="B467">IFERROR(INDEX(baseline!$A$3:$A$201,MATCH($C467&amp;$D467,baseline!$C$3:$C$201&amp;baseline!$D$3:$D$201,0)),"NA")</f>
        <v>21</v>
      </c>
      <c r="C467" t="s">
        <v>2</v>
      </c>
      <c r="D467" t="s">
        <v>13</v>
      </c>
      <c r="E467" t="s">
        <v>859</v>
      </c>
      <c r="F467">
        <v>275.73</v>
      </c>
      <c r="G467">
        <v>965.15690399999903</v>
      </c>
      <c r="H467">
        <v>965.15700000000004</v>
      </c>
      <c r="I467">
        <v>0</v>
      </c>
      <c r="J467">
        <v>284775.22781999997</v>
      </c>
      <c r="K467">
        <v>0</v>
      </c>
      <c r="L467">
        <v>0</v>
      </c>
      <c r="M467">
        <v>0</v>
      </c>
      <c r="N467">
        <v>27736.133300000001</v>
      </c>
      <c r="O467">
        <v>2569.4465</v>
      </c>
      <c r="P467">
        <v>0</v>
      </c>
      <c r="Q467">
        <v>11766.676079999999</v>
      </c>
      <c r="R467">
        <v>0</v>
      </c>
      <c r="S467">
        <v>0</v>
      </c>
    </row>
    <row r="468" spans="1:19">
      <c r="A468">
        <v>467</v>
      </c>
      <c r="B468" s="45">
        <f t="array" ref="B468">IFERROR(INDEX(baseline!$A$3:$A$201,MATCH($C468&amp;$D468,baseline!$C$3:$C$201&amp;baseline!$D$3:$D$201,0)),"NA")</f>
        <v>22</v>
      </c>
      <c r="C468" t="s">
        <v>2</v>
      </c>
      <c r="D468" t="s">
        <v>14</v>
      </c>
      <c r="E468" t="s">
        <v>869</v>
      </c>
      <c r="F468">
        <v>0</v>
      </c>
      <c r="G468">
        <v>965.15690399999903</v>
      </c>
      <c r="H468">
        <v>965.15700000000004</v>
      </c>
      <c r="I468">
        <v>0</v>
      </c>
      <c r="J468">
        <v>174964.02885999999</v>
      </c>
      <c r="K468">
        <v>0</v>
      </c>
      <c r="L468">
        <v>0</v>
      </c>
      <c r="M468">
        <v>0</v>
      </c>
      <c r="N468">
        <v>27736.133300000001</v>
      </c>
      <c r="O468">
        <v>2569.4465</v>
      </c>
      <c r="P468">
        <v>0</v>
      </c>
      <c r="Q468">
        <v>7383.3392400000002</v>
      </c>
      <c r="R468">
        <v>0</v>
      </c>
      <c r="S468">
        <v>0</v>
      </c>
    </row>
    <row r="469" spans="1:19">
      <c r="A469">
        <v>468</v>
      </c>
      <c r="B469" s="45">
        <f t="array" ref="B469">IFERROR(INDEX(baseline!$A$3:$A$201,MATCH($C469&amp;$D469,baseline!$C$3:$C$201&amp;baseline!$D$3:$D$201,0)),"NA")</f>
        <v>22</v>
      </c>
      <c r="C469" t="s">
        <v>2</v>
      </c>
      <c r="D469" t="s">
        <v>14</v>
      </c>
      <c r="E469" t="s">
        <v>805</v>
      </c>
      <c r="F469">
        <v>832.04</v>
      </c>
      <c r="G469">
        <v>965.15690399999903</v>
      </c>
      <c r="H469">
        <v>965.15700000000004</v>
      </c>
      <c r="I469">
        <v>0</v>
      </c>
      <c r="J469">
        <v>172552.91581999999</v>
      </c>
      <c r="K469">
        <v>0</v>
      </c>
      <c r="L469">
        <v>0</v>
      </c>
      <c r="M469">
        <v>0</v>
      </c>
      <c r="N469">
        <v>27736.133300000001</v>
      </c>
      <c r="O469">
        <v>2569.4465</v>
      </c>
      <c r="P469">
        <v>0</v>
      </c>
      <c r="Q469">
        <v>7238.8946800000003</v>
      </c>
      <c r="R469">
        <v>0</v>
      </c>
      <c r="S469">
        <v>0</v>
      </c>
    </row>
    <row r="470" spans="1:19">
      <c r="A470">
        <v>469</v>
      </c>
      <c r="B470" s="45">
        <f t="array" ref="B470">IFERROR(INDEX(baseline!$A$3:$A$201,MATCH($C470&amp;$D470,baseline!$C$3:$C$201&amp;baseline!$D$3:$D$201,0)),"NA")</f>
        <v>22</v>
      </c>
      <c r="C470" t="s">
        <v>2</v>
      </c>
      <c r="D470" t="s">
        <v>14</v>
      </c>
      <c r="E470" t="s">
        <v>877</v>
      </c>
      <c r="F470">
        <v>0</v>
      </c>
      <c r="G470">
        <v>965.15690399999903</v>
      </c>
      <c r="H470">
        <v>965.15700000000004</v>
      </c>
      <c r="I470">
        <v>0</v>
      </c>
      <c r="J470">
        <v>172552.91581999999</v>
      </c>
      <c r="K470">
        <v>0</v>
      </c>
      <c r="L470">
        <v>0</v>
      </c>
      <c r="M470">
        <v>0</v>
      </c>
      <c r="N470">
        <v>27736.133300000001</v>
      </c>
      <c r="O470">
        <v>2569.4465</v>
      </c>
      <c r="P470">
        <v>0</v>
      </c>
      <c r="Q470">
        <v>7238.8946800000003</v>
      </c>
      <c r="R470">
        <v>0</v>
      </c>
      <c r="S470">
        <v>0</v>
      </c>
    </row>
    <row r="471" spans="1:19">
      <c r="A471">
        <v>470</v>
      </c>
      <c r="B471" s="45">
        <f t="array" ref="B471">IFERROR(INDEX(baseline!$A$3:$A$201,MATCH($C471&amp;$D471,baseline!$C$3:$C$201&amp;baseline!$D$3:$D$201,0)),"NA")</f>
        <v>22</v>
      </c>
      <c r="C471" t="s">
        <v>2</v>
      </c>
      <c r="D471" t="s">
        <v>14</v>
      </c>
      <c r="E471" t="s">
        <v>1013</v>
      </c>
      <c r="F471">
        <v>45013.59</v>
      </c>
      <c r="G471">
        <v>965.15690399999903</v>
      </c>
      <c r="H471">
        <v>965.15700000000004</v>
      </c>
      <c r="I471">
        <v>0</v>
      </c>
      <c r="J471">
        <v>180622.36671999999</v>
      </c>
      <c r="K471">
        <v>0</v>
      </c>
      <c r="L471">
        <v>0</v>
      </c>
      <c r="M471">
        <v>0</v>
      </c>
      <c r="N471">
        <v>19416.682199999999</v>
      </c>
      <c r="O471">
        <v>2569.4465</v>
      </c>
      <c r="P471">
        <v>0</v>
      </c>
      <c r="Q471">
        <v>7541.6727000000001</v>
      </c>
      <c r="R471">
        <v>0</v>
      </c>
      <c r="S471">
        <v>0</v>
      </c>
    </row>
    <row r="472" spans="1:19">
      <c r="A472">
        <v>471</v>
      </c>
      <c r="B472" s="45">
        <f t="array" ref="B472">IFERROR(INDEX(baseline!$A$3:$A$201,MATCH($C472&amp;$D472,baseline!$C$3:$C$201&amp;baseline!$D$3:$D$201,0)),"NA")</f>
        <v>22</v>
      </c>
      <c r="C472" t="s">
        <v>2</v>
      </c>
      <c r="D472" t="s">
        <v>14</v>
      </c>
      <c r="E472" t="s">
        <v>893</v>
      </c>
      <c r="F472">
        <v>158942.72</v>
      </c>
      <c r="G472">
        <v>965.15690399999903</v>
      </c>
      <c r="H472">
        <v>965.15700000000004</v>
      </c>
      <c r="I472">
        <v>0</v>
      </c>
      <c r="J472">
        <v>151222.3432</v>
      </c>
      <c r="K472">
        <v>0</v>
      </c>
      <c r="L472">
        <v>0</v>
      </c>
      <c r="M472">
        <v>0</v>
      </c>
      <c r="N472">
        <v>27736.133300000001</v>
      </c>
      <c r="O472">
        <v>2569.4465</v>
      </c>
      <c r="P472">
        <v>0</v>
      </c>
      <c r="Q472">
        <v>6394.44956</v>
      </c>
      <c r="R472">
        <v>0</v>
      </c>
      <c r="S472">
        <v>0</v>
      </c>
    </row>
    <row r="473" spans="1:19">
      <c r="A473">
        <v>472</v>
      </c>
      <c r="B473" s="45">
        <f t="array" ref="B473">IFERROR(INDEX(baseline!$A$3:$A$201,MATCH($C473&amp;$D473,baseline!$C$3:$C$201&amp;baseline!$D$3:$D$201,0)),"NA")</f>
        <v>22</v>
      </c>
      <c r="C473" t="s">
        <v>2</v>
      </c>
      <c r="D473" t="s">
        <v>14</v>
      </c>
      <c r="E473" t="s">
        <v>892</v>
      </c>
      <c r="F473">
        <v>156227.18</v>
      </c>
      <c r="G473">
        <v>965.15690399999903</v>
      </c>
      <c r="H473">
        <v>965.15700000000004</v>
      </c>
      <c r="I473">
        <v>0</v>
      </c>
      <c r="J473">
        <v>170236.24729999999</v>
      </c>
      <c r="K473">
        <v>0</v>
      </c>
      <c r="L473">
        <v>0</v>
      </c>
      <c r="M473">
        <v>0</v>
      </c>
      <c r="N473">
        <v>27736.133300000001</v>
      </c>
      <c r="O473">
        <v>2569.4465</v>
      </c>
      <c r="P473">
        <v>0</v>
      </c>
      <c r="Q473">
        <v>7136.1168200000002</v>
      </c>
      <c r="R473">
        <v>0</v>
      </c>
      <c r="S473">
        <v>0</v>
      </c>
    </row>
    <row r="474" spans="1:19">
      <c r="A474">
        <v>473</v>
      </c>
      <c r="B474" s="45">
        <f t="array" ref="B474">IFERROR(INDEX(baseline!$A$3:$A$201,MATCH($C474&amp;$D474,baseline!$C$3:$C$201&amp;baseline!$D$3:$D$201,0)),"NA")</f>
        <v>22</v>
      </c>
      <c r="C474" t="s">
        <v>2</v>
      </c>
      <c r="D474" t="s">
        <v>14</v>
      </c>
      <c r="E474" t="s">
        <v>894</v>
      </c>
      <c r="F474">
        <v>0</v>
      </c>
      <c r="G474">
        <v>965.15690399999903</v>
      </c>
      <c r="H474">
        <v>965.15700000000004</v>
      </c>
      <c r="I474">
        <v>0</v>
      </c>
      <c r="J474">
        <v>172552.91581999999</v>
      </c>
      <c r="K474">
        <v>0</v>
      </c>
      <c r="L474">
        <v>0</v>
      </c>
      <c r="M474">
        <v>0</v>
      </c>
      <c r="N474">
        <v>27736.133300000001</v>
      </c>
      <c r="O474">
        <v>2569.4465</v>
      </c>
      <c r="P474">
        <v>0</v>
      </c>
      <c r="Q474">
        <v>7238.8946800000003</v>
      </c>
      <c r="R474">
        <v>0</v>
      </c>
      <c r="S474">
        <v>0</v>
      </c>
    </row>
    <row r="475" spans="1:19">
      <c r="A475">
        <v>474</v>
      </c>
      <c r="B475" s="45">
        <f t="array" ref="B475">IFERROR(INDEX(baseline!$A$3:$A$201,MATCH($C475&amp;$D475,baseline!$C$3:$C$201&amp;baseline!$D$3:$D$201,0)),"NA")</f>
        <v>22</v>
      </c>
      <c r="C475" t="s">
        <v>2</v>
      </c>
      <c r="D475" t="s">
        <v>14</v>
      </c>
      <c r="E475" t="s">
        <v>837</v>
      </c>
      <c r="F475">
        <v>732.04</v>
      </c>
      <c r="G475">
        <v>965.15690399999903</v>
      </c>
      <c r="H475">
        <v>965.15700000000004</v>
      </c>
      <c r="I475">
        <v>0</v>
      </c>
      <c r="J475">
        <v>172552.91581999999</v>
      </c>
      <c r="K475">
        <v>0</v>
      </c>
      <c r="L475">
        <v>0</v>
      </c>
      <c r="M475">
        <v>0</v>
      </c>
      <c r="N475">
        <v>27736.133300000001</v>
      </c>
      <c r="O475">
        <v>2569.4465</v>
      </c>
      <c r="P475">
        <v>0</v>
      </c>
      <c r="Q475">
        <v>7238.8946800000003</v>
      </c>
      <c r="R475">
        <v>0</v>
      </c>
      <c r="S475">
        <v>0</v>
      </c>
    </row>
    <row r="476" spans="1:19">
      <c r="A476">
        <v>475</v>
      </c>
      <c r="B476" s="45">
        <f t="array" ref="B476">IFERROR(INDEX(baseline!$A$3:$A$201,MATCH($C476&amp;$D476,baseline!$C$3:$C$201&amp;baseline!$D$3:$D$201,0)),"NA")</f>
        <v>22</v>
      </c>
      <c r="C476" t="s">
        <v>2</v>
      </c>
      <c r="D476" t="s">
        <v>14</v>
      </c>
      <c r="E476" t="s">
        <v>835</v>
      </c>
      <c r="F476">
        <v>0</v>
      </c>
      <c r="G476">
        <v>965.15690399999903</v>
      </c>
      <c r="H476">
        <v>965.15700000000004</v>
      </c>
      <c r="I476">
        <v>0</v>
      </c>
      <c r="J476">
        <v>172552.91581999999</v>
      </c>
      <c r="K476">
        <v>0</v>
      </c>
      <c r="L476">
        <v>0</v>
      </c>
      <c r="M476">
        <v>0</v>
      </c>
      <c r="N476">
        <v>27736.133300000001</v>
      </c>
      <c r="O476">
        <v>2569.4465</v>
      </c>
      <c r="P476">
        <v>0</v>
      </c>
      <c r="Q476">
        <v>7238.8946800000003</v>
      </c>
      <c r="R476">
        <v>0</v>
      </c>
      <c r="S476">
        <v>0</v>
      </c>
    </row>
    <row r="477" spans="1:19">
      <c r="A477">
        <v>476</v>
      </c>
      <c r="B477" s="45">
        <f t="array" ref="B477">IFERROR(INDEX(baseline!$A$3:$A$201,MATCH($C477&amp;$D477,baseline!$C$3:$C$201&amp;baseline!$D$3:$D$201,0)),"NA")</f>
        <v>22</v>
      </c>
      <c r="C477" t="s">
        <v>2</v>
      </c>
      <c r="D477" t="s">
        <v>14</v>
      </c>
      <c r="E477" t="s">
        <v>863</v>
      </c>
      <c r="F477">
        <v>32548.54</v>
      </c>
      <c r="G477">
        <v>965.15690399999903</v>
      </c>
      <c r="H477">
        <v>965.15700000000004</v>
      </c>
      <c r="I477">
        <v>0</v>
      </c>
      <c r="J477">
        <v>153855.67864</v>
      </c>
      <c r="K477">
        <v>0</v>
      </c>
      <c r="L477">
        <v>0</v>
      </c>
      <c r="M477">
        <v>0</v>
      </c>
      <c r="N477">
        <v>27736.133300000001</v>
      </c>
      <c r="O477">
        <v>2569.4465</v>
      </c>
      <c r="P477">
        <v>0</v>
      </c>
      <c r="Q477">
        <v>6494.4496399999998</v>
      </c>
      <c r="R477">
        <v>0</v>
      </c>
      <c r="S477">
        <v>0</v>
      </c>
    </row>
    <row r="478" spans="1:19">
      <c r="A478">
        <v>477</v>
      </c>
      <c r="B478" s="45">
        <f t="array" ref="B478">IFERROR(INDEX(baseline!$A$3:$A$201,MATCH($C478&amp;$D478,baseline!$C$3:$C$201&amp;baseline!$D$3:$D$201,0)),"NA")</f>
        <v>22</v>
      </c>
      <c r="C478" t="s">
        <v>2</v>
      </c>
      <c r="D478" t="s">
        <v>14</v>
      </c>
      <c r="E478" t="s">
        <v>1011</v>
      </c>
      <c r="F478">
        <v>33025.24</v>
      </c>
      <c r="G478">
        <v>965.15690399999903</v>
      </c>
      <c r="H478">
        <v>965.15700000000004</v>
      </c>
      <c r="I478">
        <v>0</v>
      </c>
      <c r="J478">
        <v>133052.88422000001</v>
      </c>
      <c r="K478">
        <v>0</v>
      </c>
      <c r="L478">
        <v>0</v>
      </c>
      <c r="M478">
        <v>0</v>
      </c>
      <c r="N478">
        <v>27736.133300000001</v>
      </c>
      <c r="O478">
        <v>2569.4465</v>
      </c>
      <c r="P478">
        <v>0</v>
      </c>
      <c r="Q478">
        <v>6663.8942200000001</v>
      </c>
      <c r="R478">
        <v>0</v>
      </c>
      <c r="S478">
        <v>0</v>
      </c>
    </row>
    <row r="479" spans="1:19">
      <c r="A479">
        <v>478</v>
      </c>
      <c r="B479" s="45">
        <f t="array" ref="B479">IFERROR(INDEX(baseline!$A$3:$A$201,MATCH($C479&amp;$D479,baseline!$C$3:$C$201&amp;baseline!$D$3:$D$201,0)),"NA")</f>
        <v>22</v>
      </c>
      <c r="C479" t="s">
        <v>2</v>
      </c>
      <c r="D479" t="s">
        <v>14</v>
      </c>
      <c r="E479" t="s">
        <v>860</v>
      </c>
      <c r="F479">
        <v>23724.27</v>
      </c>
      <c r="G479">
        <v>965.15690399999903</v>
      </c>
      <c r="H479">
        <v>965.15700000000004</v>
      </c>
      <c r="I479">
        <v>0</v>
      </c>
      <c r="J479">
        <v>180519.58885999999</v>
      </c>
      <c r="K479">
        <v>0</v>
      </c>
      <c r="L479">
        <v>0</v>
      </c>
      <c r="M479">
        <v>0</v>
      </c>
      <c r="N479">
        <v>19416.682199999999</v>
      </c>
      <c r="O479">
        <v>2569.4465</v>
      </c>
      <c r="P479">
        <v>0</v>
      </c>
      <c r="Q479">
        <v>7530.5615799999996</v>
      </c>
      <c r="R479">
        <v>0</v>
      </c>
      <c r="S479">
        <v>0</v>
      </c>
    </row>
    <row r="480" spans="1:19">
      <c r="A480">
        <v>479</v>
      </c>
      <c r="B480" s="45">
        <f t="array" ref="B480">IFERROR(INDEX(baseline!$A$3:$A$201,MATCH($C480&amp;$D480,baseline!$C$3:$C$201&amp;baseline!$D$3:$D$201,0)),"NA")</f>
        <v>22</v>
      </c>
      <c r="C480" t="s">
        <v>2</v>
      </c>
      <c r="D480" t="s">
        <v>14</v>
      </c>
      <c r="E480" t="s">
        <v>1019</v>
      </c>
      <c r="F480">
        <v>33025.24</v>
      </c>
      <c r="G480">
        <v>965.15690399999903</v>
      </c>
      <c r="H480">
        <v>965.15700000000004</v>
      </c>
      <c r="I480">
        <v>0</v>
      </c>
      <c r="J480">
        <v>133052.88422000001</v>
      </c>
      <c r="K480">
        <v>0</v>
      </c>
      <c r="L480">
        <v>0</v>
      </c>
      <c r="M480">
        <v>0</v>
      </c>
      <c r="N480">
        <v>27736.133300000001</v>
      </c>
      <c r="O480">
        <v>2569.4465</v>
      </c>
      <c r="P480">
        <v>0</v>
      </c>
      <c r="Q480">
        <v>6663.8942200000001</v>
      </c>
      <c r="R480">
        <v>0</v>
      </c>
      <c r="S480">
        <v>0</v>
      </c>
    </row>
    <row r="481" spans="1:19">
      <c r="A481">
        <v>480</v>
      </c>
      <c r="B481" s="45">
        <f t="array" ref="B481">IFERROR(INDEX(baseline!$A$3:$A$201,MATCH($C481&amp;$D481,baseline!$C$3:$C$201&amp;baseline!$D$3:$D$201,0)),"NA")</f>
        <v>22</v>
      </c>
      <c r="C481" t="s">
        <v>2</v>
      </c>
      <c r="D481" t="s">
        <v>14</v>
      </c>
      <c r="E481" t="s">
        <v>836</v>
      </c>
      <c r="F481">
        <v>476.7</v>
      </c>
      <c r="G481">
        <v>965.15690399999903</v>
      </c>
      <c r="H481">
        <v>965.15700000000004</v>
      </c>
      <c r="I481">
        <v>0</v>
      </c>
      <c r="J481">
        <v>149675.11973999999</v>
      </c>
      <c r="K481">
        <v>0</v>
      </c>
      <c r="L481">
        <v>0</v>
      </c>
      <c r="M481">
        <v>0</v>
      </c>
      <c r="N481">
        <v>27736.133300000001</v>
      </c>
      <c r="O481">
        <v>2569.4465</v>
      </c>
      <c r="P481">
        <v>0</v>
      </c>
      <c r="Q481">
        <v>7486.1171000000004</v>
      </c>
      <c r="R481">
        <v>0</v>
      </c>
      <c r="S481">
        <v>0</v>
      </c>
    </row>
    <row r="482" spans="1:19">
      <c r="A482">
        <v>481</v>
      </c>
      <c r="B482" s="45">
        <f t="array" ref="B482">IFERROR(INDEX(baseline!$A$3:$A$201,MATCH($C482&amp;$D482,baseline!$C$3:$C$201&amp;baseline!$D$3:$D$201,0)),"NA")</f>
        <v>22</v>
      </c>
      <c r="C482" t="s">
        <v>2</v>
      </c>
      <c r="D482" t="s">
        <v>14</v>
      </c>
      <c r="E482" t="s">
        <v>1030</v>
      </c>
      <c r="F482">
        <v>59769.9</v>
      </c>
      <c r="G482">
        <v>965.15690399999903</v>
      </c>
      <c r="H482">
        <v>965.15700000000004</v>
      </c>
      <c r="I482">
        <v>0</v>
      </c>
      <c r="J482">
        <v>141752.89118000001</v>
      </c>
      <c r="K482">
        <v>0</v>
      </c>
      <c r="L482">
        <v>0</v>
      </c>
      <c r="M482">
        <v>0</v>
      </c>
      <c r="N482">
        <v>19416.682199999999</v>
      </c>
      <c r="O482">
        <v>2569.4465</v>
      </c>
      <c r="P482">
        <v>0</v>
      </c>
      <c r="Q482">
        <v>6888.8944000000001</v>
      </c>
      <c r="R482">
        <v>0</v>
      </c>
      <c r="S482">
        <v>0</v>
      </c>
    </row>
    <row r="483" spans="1:19">
      <c r="A483">
        <v>482</v>
      </c>
      <c r="B483" s="45">
        <f t="array" ref="B483">IFERROR(INDEX(baseline!$A$3:$A$201,MATCH($C483&amp;$D483,baseline!$C$3:$C$201&amp;baseline!$D$3:$D$201,0)),"NA")</f>
        <v>22</v>
      </c>
      <c r="C483" t="s">
        <v>2</v>
      </c>
      <c r="D483" t="s">
        <v>14</v>
      </c>
      <c r="E483" t="s">
        <v>859</v>
      </c>
      <c r="F483">
        <v>275.73</v>
      </c>
      <c r="G483">
        <v>965.15690399999903</v>
      </c>
      <c r="H483">
        <v>965.15700000000004</v>
      </c>
      <c r="I483">
        <v>0</v>
      </c>
      <c r="J483">
        <v>172641.80478000001</v>
      </c>
      <c r="K483">
        <v>0</v>
      </c>
      <c r="L483">
        <v>0</v>
      </c>
      <c r="M483">
        <v>0</v>
      </c>
      <c r="N483">
        <v>27736.133300000001</v>
      </c>
      <c r="O483">
        <v>2569.4465</v>
      </c>
      <c r="P483">
        <v>0</v>
      </c>
      <c r="Q483">
        <v>7247.2280199999996</v>
      </c>
      <c r="R483">
        <v>0</v>
      </c>
      <c r="S483">
        <v>0</v>
      </c>
    </row>
    <row r="484" spans="1:19">
      <c r="A484">
        <v>483</v>
      </c>
      <c r="B484" s="45">
        <f t="array" ref="B484">IFERROR(INDEX(baseline!$A$3:$A$201,MATCH($C484&amp;$D484,baseline!$C$3:$C$201&amp;baseline!$D$3:$D$201,0)),"NA")</f>
        <v>23</v>
      </c>
      <c r="C484" t="s">
        <v>2</v>
      </c>
      <c r="D484" t="s">
        <v>546</v>
      </c>
      <c r="E484" t="s">
        <v>869</v>
      </c>
      <c r="F484">
        <v>0</v>
      </c>
      <c r="G484">
        <v>965.15690399999903</v>
      </c>
      <c r="H484">
        <v>965.15700000000004</v>
      </c>
      <c r="I484">
        <v>0</v>
      </c>
      <c r="J484">
        <v>104988.97288</v>
      </c>
      <c r="K484">
        <v>0</v>
      </c>
      <c r="L484">
        <v>0</v>
      </c>
      <c r="M484">
        <v>0</v>
      </c>
      <c r="N484">
        <v>27736.133300000001</v>
      </c>
      <c r="O484">
        <v>2569.4465</v>
      </c>
      <c r="P484">
        <v>0</v>
      </c>
      <c r="Q484">
        <v>4255.5589600000003</v>
      </c>
      <c r="R484">
        <v>0</v>
      </c>
      <c r="S484">
        <v>0</v>
      </c>
    </row>
    <row r="485" spans="1:19">
      <c r="A485">
        <v>484</v>
      </c>
      <c r="B485" s="45">
        <f t="array" ref="B485">IFERROR(INDEX(baseline!$A$3:$A$201,MATCH($C485&amp;$D485,baseline!$C$3:$C$201&amp;baseline!$D$3:$D$201,0)),"NA")</f>
        <v>23</v>
      </c>
      <c r="C485" t="s">
        <v>2</v>
      </c>
      <c r="D485" t="s">
        <v>546</v>
      </c>
      <c r="E485" t="s">
        <v>805</v>
      </c>
      <c r="F485">
        <v>832.04</v>
      </c>
      <c r="G485">
        <v>965.15690399999903</v>
      </c>
      <c r="H485">
        <v>965.15700000000004</v>
      </c>
      <c r="I485">
        <v>0</v>
      </c>
      <c r="J485">
        <v>103050.08244</v>
      </c>
      <c r="K485">
        <v>0</v>
      </c>
      <c r="L485">
        <v>0</v>
      </c>
      <c r="M485">
        <v>0</v>
      </c>
      <c r="N485">
        <v>27736.133300000001</v>
      </c>
      <c r="O485">
        <v>2569.4465</v>
      </c>
      <c r="P485">
        <v>0</v>
      </c>
      <c r="Q485">
        <v>4136.1144199999999</v>
      </c>
      <c r="R485">
        <v>0</v>
      </c>
      <c r="S485">
        <v>0</v>
      </c>
    </row>
    <row r="486" spans="1:19">
      <c r="A486">
        <v>485</v>
      </c>
      <c r="B486" s="45">
        <f t="array" ref="B486">IFERROR(INDEX(baseline!$A$3:$A$201,MATCH($C486&amp;$D486,baseline!$C$3:$C$201&amp;baseline!$D$3:$D$201,0)),"NA")</f>
        <v>23</v>
      </c>
      <c r="C486" t="s">
        <v>2</v>
      </c>
      <c r="D486" t="s">
        <v>546</v>
      </c>
      <c r="E486" t="s">
        <v>877</v>
      </c>
      <c r="F486">
        <v>0</v>
      </c>
      <c r="G486">
        <v>965.15690399999903</v>
      </c>
      <c r="H486">
        <v>965.15700000000004</v>
      </c>
      <c r="I486">
        <v>0</v>
      </c>
      <c r="J486">
        <v>103050.08244</v>
      </c>
      <c r="K486">
        <v>0</v>
      </c>
      <c r="L486">
        <v>0</v>
      </c>
      <c r="M486">
        <v>0</v>
      </c>
      <c r="N486">
        <v>27736.133300000001</v>
      </c>
      <c r="O486">
        <v>2569.4465</v>
      </c>
      <c r="P486">
        <v>0</v>
      </c>
      <c r="Q486">
        <v>4136.1144199999999</v>
      </c>
      <c r="R486">
        <v>0</v>
      </c>
      <c r="S486">
        <v>0</v>
      </c>
    </row>
    <row r="487" spans="1:19">
      <c r="A487">
        <v>486</v>
      </c>
      <c r="B487" s="45">
        <f t="array" ref="B487">IFERROR(INDEX(baseline!$A$3:$A$201,MATCH($C487&amp;$D487,baseline!$C$3:$C$201&amp;baseline!$D$3:$D$201,0)),"NA")</f>
        <v>23</v>
      </c>
      <c r="C487" t="s">
        <v>2</v>
      </c>
      <c r="D487" t="s">
        <v>546</v>
      </c>
      <c r="E487" t="s">
        <v>1013</v>
      </c>
      <c r="F487">
        <v>28815.53</v>
      </c>
      <c r="G487">
        <v>965.15690399999903</v>
      </c>
      <c r="H487">
        <v>965.15700000000004</v>
      </c>
      <c r="I487">
        <v>0</v>
      </c>
      <c r="J487">
        <v>110652.86629999999</v>
      </c>
      <c r="K487">
        <v>0</v>
      </c>
      <c r="L487">
        <v>0</v>
      </c>
      <c r="M487">
        <v>0</v>
      </c>
      <c r="N487">
        <v>19416.682199999999</v>
      </c>
      <c r="O487">
        <v>2569.4465</v>
      </c>
      <c r="P487">
        <v>0</v>
      </c>
      <c r="Q487">
        <v>4425.0035399999997</v>
      </c>
      <c r="R487">
        <v>0</v>
      </c>
      <c r="S487">
        <v>0</v>
      </c>
    </row>
    <row r="488" spans="1:19">
      <c r="A488">
        <v>487</v>
      </c>
      <c r="B488" s="45">
        <f t="array" ref="B488">IFERROR(INDEX(baseline!$A$3:$A$201,MATCH($C488&amp;$D488,baseline!$C$3:$C$201&amp;baseline!$D$3:$D$201,0)),"NA")</f>
        <v>23</v>
      </c>
      <c r="C488" t="s">
        <v>2</v>
      </c>
      <c r="D488" t="s">
        <v>546</v>
      </c>
      <c r="E488" t="s">
        <v>893</v>
      </c>
      <c r="F488">
        <v>0</v>
      </c>
      <c r="G488">
        <v>965.15690399999903</v>
      </c>
      <c r="H488">
        <v>965.15700000000004</v>
      </c>
      <c r="I488">
        <v>0</v>
      </c>
      <c r="J488">
        <v>88722.2932</v>
      </c>
      <c r="K488">
        <v>0</v>
      </c>
      <c r="L488">
        <v>0</v>
      </c>
      <c r="M488">
        <v>0</v>
      </c>
      <c r="N488">
        <v>27736.133300000001</v>
      </c>
      <c r="O488">
        <v>2569.4465</v>
      </c>
      <c r="P488">
        <v>0</v>
      </c>
      <c r="Q488">
        <v>3591.6695399999999</v>
      </c>
      <c r="R488">
        <v>0</v>
      </c>
      <c r="S488">
        <v>0</v>
      </c>
    </row>
    <row r="489" spans="1:19">
      <c r="A489">
        <v>488</v>
      </c>
      <c r="B489" s="45">
        <f t="array" ref="B489">IFERROR(INDEX(baseline!$A$3:$A$201,MATCH($C489&amp;$D489,baseline!$C$3:$C$201&amp;baseline!$D$3:$D$201,0)),"NA")</f>
        <v>23</v>
      </c>
      <c r="C489" t="s">
        <v>2</v>
      </c>
      <c r="D489" t="s">
        <v>546</v>
      </c>
      <c r="E489" t="s">
        <v>892</v>
      </c>
      <c r="F489">
        <v>0</v>
      </c>
      <c r="G489">
        <v>965.15690399999903</v>
      </c>
      <c r="H489">
        <v>965.15700000000004</v>
      </c>
      <c r="I489">
        <v>0</v>
      </c>
      <c r="J489">
        <v>102244.52624000001</v>
      </c>
      <c r="K489">
        <v>0</v>
      </c>
      <c r="L489">
        <v>0</v>
      </c>
      <c r="M489">
        <v>0</v>
      </c>
      <c r="N489">
        <v>27736.133300000001</v>
      </c>
      <c r="O489">
        <v>2569.4465</v>
      </c>
      <c r="P489">
        <v>0</v>
      </c>
      <c r="Q489">
        <v>4102.7810600000003</v>
      </c>
      <c r="R489">
        <v>0</v>
      </c>
      <c r="S489">
        <v>0</v>
      </c>
    </row>
    <row r="490" spans="1:19">
      <c r="A490">
        <v>489</v>
      </c>
      <c r="B490" s="45">
        <f t="array" ref="B490">IFERROR(INDEX(baseline!$A$3:$A$201,MATCH($C490&amp;$D490,baseline!$C$3:$C$201&amp;baseline!$D$3:$D$201,0)),"NA")</f>
        <v>23</v>
      </c>
      <c r="C490" t="s">
        <v>2</v>
      </c>
      <c r="D490" t="s">
        <v>546</v>
      </c>
      <c r="E490" t="s">
        <v>894</v>
      </c>
      <c r="F490">
        <v>0</v>
      </c>
      <c r="G490">
        <v>965.15690399999903</v>
      </c>
      <c r="H490">
        <v>965.15700000000004</v>
      </c>
      <c r="I490">
        <v>0</v>
      </c>
      <c r="J490">
        <v>103050.08244</v>
      </c>
      <c r="K490">
        <v>0</v>
      </c>
      <c r="L490">
        <v>0</v>
      </c>
      <c r="M490">
        <v>0</v>
      </c>
      <c r="N490">
        <v>27736.133300000001</v>
      </c>
      <c r="O490">
        <v>2569.4465</v>
      </c>
      <c r="P490">
        <v>0</v>
      </c>
      <c r="Q490">
        <v>4136.1144199999999</v>
      </c>
      <c r="R490">
        <v>0</v>
      </c>
      <c r="S490">
        <v>0</v>
      </c>
    </row>
    <row r="491" spans="1:19">
      <c r="A491">
        <v>490</v>
      </c>
      <c r="B491" s="45">
        <f t="array" ref="B491">IFERROR(INDEX(baseline!$A$3:$A$201,MATCH($C491&amp;$D491,baseline!$C$3:$C$201&amp;baseline!$D$3:$D$201,0)),"NA")</f>
        <v>23</v>
      </c>
      <c r="C491" t="s">
        <v>2</v>
      </c>
      <c r="D491" t="s">
        <v>546</v>
      </c>
      <c r="E491" t="s">
        <v>837</v>
      </c>
      <c r="F491">
        <v>732.04</v>
      </c>
      <c r="G491">
        <v>965.15690399999903</v>
      </c>
      <c r="H491">
        <v>965.15700000000004</v>
      </c>
      <c r="I491">
        <v>0</v>
      </c>
      <c r="J491">
        <v>103050.08244</v>
      </c>
      <c r="K491">
        <v>0</v>
      </c>
      <c r="L491">
        <v>0</v>
      </c>
      <c r="M491">
        <v>0</v>
      </c>
      <c r="N491">
        <v>27736.133300000001</v>
      </c>
      <c r="O491">
        <v>2569.4465</v>
      </c>
      <c r="P491">
        <v>0</v>
      </c>
      <c r="Q491">
        <v>4136.1144199999999</v>
      </c>
      <c r="R491">
        <v>0</v>
      </c>
      <c r="S491">
        <v>0</v>
      </c>
    </row>
    <row r="492" spans="1:19">
      <c r="A492">
        <v>491</v>
      </c>
      <c r="B492" s="45">
        <f t="array" ref="B492">IFERROR(INDEX(baseline!$A$3:$A$201,MATCH($C492&amp;$D492,baseline!$C$3:$C$201&amp;baseline!$D$3:$D$201,0)),"NA")</f>
        <v>23</v>
      </c>
      <c r="C492" t="s">
        <v>2</v>
      </c>
      <c r="D492" t="s">
        <v>546</v>
      </c>
      <c r="E492" t="s">
        <v>835</v>
      </c>
      <c r="F492">
        <v>0</v>
      </c>
      <c r="G492">
        <v>965.15690399999903</v>
      </c>
      <c r="H492">
        <v>965.15700000000004</v>
      </c>
      <c r="I492">
        <v>0</v>
      </c>
      <c r="J492">
        <v>103050.08244</v>
      </c>
      <c r="K492">
        <v>0</v>
      </c>
      <c r="L492">
        <v>0</v>
      </c>
      <c r="M492">
        <v>0</v>
      </c>
      <c r="N492">
        <v>27736.133300000001</v>
      </c>
      <c r="O492">
        <v>2569.4465</v>
      </c>
      <c r="P492">
        <v>0</v>
      </c>
      <c r="Q492">
        <v>4136.1144199999999</v>
      </c>
      <c r="R492">
        <v>0</v>
      </c>
      <c r="S492">
        <v>0</v>
      </c>
    </row>
    <row r="493" spans="1:19">
      <c r="A493">
        <v>492</v>
      </c>
      <c r="B493" s="45">
        <f t="array" ref="B493">IFERROR(INDEX(baseline!$A$3:$A$201,MATCH($C493&amp;$D493,baseline!$C$3:$C$201&amp;baseline!$D$3:$D$201,0)),"NA")</f>
        <v>23</v>
      </c>
      <c r="C493" t="s">
        <v>2</v>
      </c>
      <c r="D493" t="s">
        <v>546</v>
      </c>
      <c r="E493" t="s">
        <v>860</v>
      </c>
      <c r="F493">
        <v>23724.27</v>
      </c>
      <c r="G493">
        <v>965.15690399999903</v>
      </c>
      <c r="H493">
        <v>965.15700000000004</v>
      </c>
      <c r="I493">
        <v>0</v>
      </c>
      <c r="J493">
        <v>110566.75512</v>
      </c>
      <c r="K493">
        <v>0</v>
      </c>
      <c r="L493">
        <v>0</v>
      </c>
      <c r="M493">
        <v>0</v>
      </c>
      <c r="N493">
        <v>19416.682199999999</v>
      </c>
      <c r="O493">
        <v>2569.4465</v>
      </c>
      <c r="P493">
        <v>0</v>
      </c>
      <c r="Q493">
        <v>4416.6701999999996</v>
      </c>
      <c r="R493">
        <v>0</v>
      </c>
      <c r="S493">
        <v>0</v>
      </c>
    </row>
    <row r="494" spans="1:19">
      <c r="A494">
        <v>493</v>
      </c>
      <c r="B494" s="45">
        <f t="array" ref="B494">IFERROR(INDEX(baseline!$A$3:$A$201,MATCH($C494&amp;$D494,baseline!$C$3:$C$201&amp;baseline!$D$3:$D$201,0)),"NA")</f>
        <v>23</v>
      </c>
      <c r="C494" t="s">
        <v>2</v>
      </c>
      <c r="D494" t="s">
        <v>546</v>
      </c>
      <c r="E494" t="s">
        <v>1019</v>
      </c>
      <c r="F494">
        <v>476.7</v>
      </c>
      <c r="G494">
        <v>965.15690399999903</v>
      </c>
      <c r="H494">
        <v>965.15700000000004</v>
      </c>
      <c r="I494">
        <v>0</v>
      </c>
      <c r="J494">
        <v>120650.09652000001</v>
      </c>
      <c r="K494">
        <v>0</v>
      </c>
      <c r="L494">
        <v>0</v>
      </c>
      <c r="M494">
        <v>0</v>
      </c>
      <c r="N494">
        <v>27736.133300000001</v>
      </c>
      <c r="O494">
        <v>2569.4465</v>
      </c>
      <c r="P494">
        <v>0</v>
      </c>
      <c r="Q494">
        <v>5680.5600999999997</v>
      </c>
      <c r="R494">
        <v>0</v>
      </c>
      <c r="S494">
        <v>0</v>
      </c>
    </row>
    <row r="495" spans="1:19">
      <c r="A495">
        <v>494</v>
      </c>
      <c r="B495" s="45">
        <f t="array" ref="B495">IFERROR(INDEX(baseline!$A$3:$A$201,MATCH($C495&amp;$D495,baseline!$C$3:$C$201&amp;baseline!$D$3:$D$201,0)),"NA")</f>
        <v>23</v>
      </c>
      <c r="C495" t="s">
        <v>2</v>
      </c>
      <c r="D495" t="s">
        <v>546</v>
      </c>
      <c r="E495" t="s">
        <v>836</v>
      </c>
      <c r="F495">
        <v>476.7</v>
      </c>
      <c r="G495">
        <v>965.15690399999903</v>
      </c>
      <c r="H495">
        <v>965.15700000000004</v>
      </c>
      <c r="I495">
        <v>0</v>
      </c>
      <c r="J495">
        <v>87672.292360000007</v>
      </c>
      <c r="K495">
        <v>0</v>
      </c>
      <c r="L495">
        <v>0</v>
      </c>
      <c r="M495">
        <v>0</v>
      </c>
      <c r="N495">
        <v>27736.133300000001</v>
      </c>
      <c r="O495">
        <v>2569.4465</v>
      </c>
      <c r="P495">
        <v>0</v>
      </c>
      <c r="Q495">
        <v>4177.7811199999996</v>
      </c>
      <c r="R495">
        <v>0</v>
      </c>
      <c r="S495">
        <v>0</v>
      </c>
    </row>
    <row r="496" spans="1:19">
      <c r="A496">
        <v>495</v>
      </c>
      <c r="B496" s="45">
        <f t="array" ref="B496">IFERROR(INDEX(baseline!$A$3:$A$201,MATCH($C496&amp;$D496,baseline!$C$3:$C$201&amp;baseline!$D$3:$D$201,0)),"NA")</f>
        <v>23</v>
      </c>
      <c r="C496" t="s">
        <v>2</v>
      </c>
      <c r="D496" t="s">
        <v>546</v>
      </c>
      <c r="E496" t="s">
        <v>1030</v>
      </c>
      <c r="F496">
        <v>27221.360000000001</v>
      </c>
      <c r="G496">
        <v>965.15690399999903</v>
      </c>
      <c r="H496">
        <v>965.15700000000004</v>
      </c>
      <c r="I496">
        <v>0</v>
      </c>
      <c r="J496">
        <v>129366.77016</v>
      </c>
      <c r="K496">
        <v>0</v>
      </c>
      <c r="L496">
        <v>0</v>
      </c>
      <c r="M496">
        <v>0</v>
      </c>
      <c r="N496">
        <v>19416.682199999999</v>
      </c>
      <c r="O496">
        <v>2569.4465</v>
      </c>
      <c r="P496">
        <v>0</v>
      </c>
      <c r="Q496">
        <v>5891.6713799999998</v>
      </c>
      <c r="R496">
        <v>0</v>
      </c>
      <c r="S496">
        <v>0</v>
      </c>
    </row>
    <row r="497" spans="1:19">
      <c r="A497">
        <v>496</v>
      </c>
      <c r="B497" s="45">
        <f t="array" ref="B497">IFERROR(INDEX(baseline!$A$3:$A$201,MATCH($C497&amp;$D497,baseline!$C$3:$C$201&amp;baseline!$D$3:$D$201,0)),"NA")</f>
        <v>23</v>
      </c>
      <c r="C497" t="s">
        <v>2</v>
      </c>
      <c r="D497" t="s">
        <v>546</v>
      </c>
      <c r="E497" t="s">
        <v>859</v>
      </c>
      <c r="F497">
        <v>275.73</v>
      </c>
      <c r="G497">
        <v>965.15690399999903</v>
      </c>
      <c r="H497">
        <v>965.15700000000004</v>
      </c>
      <c r="I497">
        <v>0</v>
      </c>
      <c r="J497">
        <v>103119.52694</v>
      </c>
      <c r="K497">
        <v>0</v>
      </c>
      <c r="L497">
        <v>0</v>
      </c>
      <c r="M497">
        <v>0</v>
      </c>
      <c r="N497">
        <v>27736.133300000001</v>
      </c>
      <c r="O497">
        <v>2569.4465</v>
      </c>
      <c r="P497">
        <v>0</v>
      </c>
      <c r="Q497">
        <v>4144.44776</v>
      </c>
      <c r="R497">
        <v>0</v>
      </c>
      <c r="S497">
        <v>0</v>
      </c>
    </row>
    <row r="498" spans="1:19">
      <c r="A498">
        <v>497</v>
      </c>
      <c r="B498" s="45">
        <f t="array" ref="B498">IFERROR(INDEX(baseline!$A$3:$A$201,MATCH($C498&amp;$D498,baseline!$C$3:$C$201&amp;baseline!$D$3:$D$201,0)),"NA")</f>
        <v>24</v>
      </c>
      <c r="C498" t="s">
        <v>547</v>
      </c>
      <c r="D498" t="s">
        <v>881</v>
      </c>
      <c r="E498" t="s">
        <v>832</v>
      </c>
      <c r="F498">
        <v>14063.11</v>
      </c>
      <c r="G498">
        <v>3699.8929020249998</v>
      </c>
      <c r="H498">
        <v>3631.96</v>
      </c>
      <c r="I498">
        <v>0</v>
      </c>
      <c r="J498">
        <v>2002384.93524</v>
      </c>
      <c r="K498">
        <v>52405.597479999997</v>
      </c>
      <c r="L498">
        <v>28530.578379999999</v>
      </c>
      <c r="M498">
        <v>0</v>
      </c>
      <c r="N498">
        <v>140441.77901999999</v>
      </c>
      <c r="O498">
        <v>34280.582979999999</v>
      </c>
      <c r="P498">
        <v>0</v>
      </c>
      <c r="Q498">
        <v>101180.63649999999</v>
      </c>
      <c r="R498">
        <v>2002.7793799999999</v>
      </c>
      <c r="S498">
        <v>0</v>
      </c>
    </row>
    <row r="499" spans="1:19">
      <c r="A499">
        <v>498</v>
      </c>
      <c r="B499" s="45">
        <f t="array" ref="B499">IFERROR(INDEX(baseline!$A$3:$A$201,MATCH($C499&amp;$D499,baseline!$C$3:$C$201&amp;baseline!$D$3:$D$201,0)),"NA")</f>
        <v>24</v>
      </c>
      <c r="C499" t="s">
        <v>547</v>
      </c>
      <c r="D499" t="s">
        <v>881</v>
      </c>
      <c r="E499" t="s">
        <v>869</v>
      </c>
      <c r="F499">
        <v>0</v>
      </c>
      <c r="G499">
        <v>3699.8929020249998</v>
      </c>
      <c r="H499">
        <v>3631.96</v>
      </c>
      <c r="I499">
        <v>0</v>
      </c>
      <c r="J499">
        <v>1910162.6392399999</v>
      </c>
      <c r="K499">
        <v>7097.2278999999999</v>
      </c>
      <c r="L499">
        <v>28530.578379999999</v>
      </c>
      <c r="M499">
        <v>0</v>
      </c>
      <c r="N499">
        <v>140441.77901999999</v>
      </c>
      <c r="O499">
        <v>34280.582979999999</v>
      </c>
      <c r="P499">
        <v>0</v>
      </c>
      <c r="Q499">
        <v>100080.63562</v>
      </c>
      <c r="R499">
        <v>2794.44668</v>
      </c>
      <c r="S499">
        <v>0</v>
      </c>
    </row>
    <row r="500" spans="1:19">
      <c r="A500">
        <v>499</v>
      </c>
      <c r="B500" s="45">
        <f t="array" ref="B500">IFERROR(INDEX(baseline!$A$3:$A$201,MATCH($C500&amp;$D500,baseline!$C$3:$C$201&amp;baseline!$D$3:$D$201,0)),"NA")</f>
        <v>24</v>
      </c>
      <c r="C500" t="s">
        <v>547</v>
      </c>
      <c r="D500" t="s">
        <v>881</v>
      </c>
      <c r="E500" t="s">
        <v>896</v>
      </c>
      <c r="F500">
        <v>65332.04</v>
      </c>
      <c r="G500">
        <v>3699.8929020249998</v>
      </c>
      <c r="H500">
        <v>3631.96</v>
      </c>
      <c r="I500">
        <v>0</v>
      </c>
      <c r="J500">
        <v>1898023.74064</v>
      </c>
      <c r="K500">
        <v>11288.897919999999</v>
      </c>
      <c r="L500">
        <v>28530.578379999999</v>
      </c>
      <c r="M500">
        <v>0</v>
      </c>
      <c r="N500">
        <v>140441.77901999999</v>
      </c>
      <c r="O500">
        <v>34280.582979999999</v>
      </c>
      <c r="P500">
        <v>0</v>
      </c>
      <c r="Q500">
        <v>101180.63649999999</v>
      </c>
      <c r="R500">
        <v>2755.5577600000001</v>
      </c>
      <c r="S500">
        <v>0</v>
      </c>
    </row>
    <row r="501" spans="1:19">
      <c r="A501">
        <v>500</v>
      </c>
      <c r="B501" s="45">
        <f t="array" ref="B501">IFERROR(INDEX(baseline!$A$3:$A$201,MATCH($C501&amp;$D501,baseline!$C$3:$C$201&amp;baseline!$D$3:$D$201,0)),"NA")</f>
        <v>24</v>
      </c>
      <c r="C501" t="s">
        <v>547</v>
      </c>
      <c r="D501" t="s">
        <v>881</v>
      </c>
      <c r="E501" t="s">
        <v>840</v>
      </c>
      <c r="F501">
        <v>929.13</v>
      </c>
      <c r="G501">
        <v>3699.8929020249998</v>
      </c>
      <c r="H501">
        <v>3631.96</v>
      </c>
      <c r="I501">
        <v>0</v>
      </c>
      <c r="J501">
        <v>1190559.28578</v>
      </c>
      <c r="K501">
        <v>11288.897919999999</v>
      </c>
      <c r="L501">
        <v>28530.578379999999</v>
      </c>
      <c r="M501">
        <v>0</v>
      </c>
      <c r="N501">
        <v>140441.77901999999</v>
      </c>
      <c r="O501">
        <v>34280.582979999999</v>
      </c>
      <c r="P501">
        <v>0</v>
      </c>
      <c r="Q501">
        <v>101180.63649999999</v>
      </c>
      <c r="R501">
        <v>2755.5577600000001</v>
      </c>
      <c r="S501">
        <v>0</v>
      </c>
    </row>
    <row r="502" spans="1:19">
      <c r="A502">
        <v>501</v>
      </c>
      <c r="B502" s="45">
        <f t="array" ref="B502">IFERROR(INDEX(baseline!$A$3:$A$201,MATCH($C502&amp;$D502,baseline!$C$3:$C$201&amp;baseline!$D$3:$D$201,0)),"NA")</f>
        <v>24</v>
      </c>
      <c r="C502" t="s">
        <v>547</v>
      </c>
      <c r="D502" t="s">
        <v>881</v>
      </c>
      <c r="E502" t="s">
        <v>839</v>
      </c>
      <c r="F502">
        <v>19757.28</v>
      </c>
      <c r="G502">
        <v>3699.8929020249998</v>
      </c>
      <c r="H502">
        <v>3631.96</v>
      </c>
      <c r="I502">
        <v>0</v>
      </c>
      <c r="J502">
        <v>1898023.74064</v>
      </c>
      <c r="K502">
        <v>8063.89534</v>
      </c>
      <c r="L502">
        <v>28530.578379999999</v>
      </c>
      <c r="M502">
        <v>0</v>
      </c>
      <c r="N502">
        <v>140441.77901999999</v>
      </c>
      <c r="O502">
        <v>34280.582979999999</v>
      </c>
      <c r="P502">
        <v>0</v>
      </c>
      <c r="Q502">
        <v>101180.63649999999</v>
      </c>
      <c r="R502">
        <v>2755.5577600000001</v>
      </c>
      <c r="S502">
        <v>0</v>
      </c>
    </row>
    <row r="503" spans="1:19">
      <c r="A503">
        <v>502</v>
      </c>
      <c r="B503" s="45">
        <f t="array" ref="B503">IFERROR(INDEX(baseline!$A$3:$A$201,MATCH($C503&amp;$D503,baseline!$C$3:$C$201&amp;baseline!$D$3:$D$201,0)),"NA")</f>
        <v>24</v>
      </c>
      <c r="C503" t="s">
        <v>547</v>
      </c>
      <c r="D503" t="s">
        <v>881</v>
      </c>
      <c r="E503" t="s">
        <v>805</v>
      </c>
      <c r="F503">
        <v>34113.589999999997</v>
      </c>
      <c r="G503">
        <v>3699.8929020249998</v>
      </c>
      <c r="H503">
        <v>3631.96</v>
      </c>
      <c r="I503">
        <v>0</v>
      </c>
      <c r="J503">
        <v>1618615.1837800001</v>
      </c>
      <c r="K503">
        <v>11661.120440000001</v>
      </c>
      <c r="L503">
        <v>28530.578379999999</v>
      </c>
      <c r="M503">
        <v>0</v>
      </c>
      <c r="N503">
        <v>140441.77901999999</v>
      </c>
      <c r="O503">
        <v>34280.582979999999</v>
      </c>
      <c r="P503">
        <v>0</v>
      </c>
      <c r="Q503">
        <v>100741.74726</v>
      </c>
      <c r="R503">
        <v>2250.0018</v>
      </c>
      <c r="S503">
        <v>0</v>
      </c>
    </row>
    <row r="504" spans="1:19">
      <c r="A504">
        <v>503</v>
      </c>
      <c r="B504" s="45">
        <f t="array" ref="B504">IFERROR(INDEX(baseline!$A$3:$A$201,MATCH($C504&amp;$D504,baseline!$C$3:$C$201&amp;baseline!$D$3:$D$201,0)),"NA")</f>
        <v>24</v>
      </c>
      <c r="C504" t="s">
        <v>547</v>
      </c>
      <c r="D504" t="s">
        <v>881</v>
      </c>
      <c r="E504" t="s">
        <v>877</v>
      </c>
      <c r="F504">
        <v>14063.11</v>
      </c>
      <c r="G504">
        <v>3699.8929020249998</v>
      </c>
      <c r="H504">
        <v>3631.96</v>
      </c>
      <c r="I504">
        <v>0</v>
      </c>
      <c r="J504">
        <v>1818623.6771199999</v>
      </c>
      <c r="K504">
        <v>27658.355459999999</v>
      </c>
      <c r="L504">
        <v>28530.578379999999</v>
      </c>
      <c r="M504">
        <v>0</v>
      </c>
      <c r="N504">
        <v>140441.77901999999</v>
      </c>
      <c r="O504">
        <v>34280.582979999999</v>
      </c>
      <c r="P504">
        <v>0</v>
      </c>
      <c r="Q504">
        <v>101180.63649999999</v>
      </c>
      <c r="R504">
        <v>1544.44568</v>
      </c>
      <c r="S504">
        <v>0</v>
      </c>
    </row>
    <row r="505" spans="1:19">
      <c r="A505">
        <v>504</v>
      </c>
      <c r="B505" s="45">
        <f t="array" ref="B505">IFERROR(INDEX(baseline!$A$3:$A$201,MATCH($C505&amp;$D505,baseline!$C$3:$C$201&amp;baseline!$D$3:$D$201,0)),"NA")</f>
        <v>24</v>
      </c>
      <c r="C505" t="s">
        <v>547</v>
      </c>
      <c r="D505" t="s">
        <v>881</v>
      </c>
      <c r="E505" t="s">
        <v>838</v>
      </c>
      <c r="F505">
        <v>5495.15</v>
      </c>
      <c r="G505">
        <v>3699.8929020249998</v>
      </c>
      <c r="H505">
        <v>3631.96</v>
      </c>
      <c r="I505">
        <v>0</v>
      </c>
      <c r="J505">
        <v>1897109.8510199999</v>
      </c>
      <c r="K505">
        <v>9452.7853400000004</v>
      </c>
      <c r="L505">
        <v>28530.578379999999</v>
      </c>
      <c r="M505">
        <v>0</v>
      </c>
      <c r="N505">
        <v>140441.77901999999</v>
      </c>
      <c r="O505">
        <v>34280.582979999999</v>
      </c>
      <c r="P505">
        <v>0</v>
      </c>
      <c r="Q505">
        <v>101180.63649999999</v>
      </c>
      <c r="R505">
        <v>2755.5577600000001</v>
      </c>
      <c r="S505">
        <v>0</v>
      </c>
    </row>
    <row r="506" spans="1:19">
      <c r="A506">
        <v>505</v>
      </c>
      <c r="B506" s="45">
        <f t="array" ref="B506">IFERROR(INDEX(baseline!$A$3:$A$201,MATCH($C506&amp;$D506,baseline!$C$3:$C$201&amp;baseline!$D$3:$D$201,0)),"NA")</f>
        <v>24</v>
      </c>
      <c r="C506" t="s">
        <v>547</v>
      </c>
      <c r="D506" t="s">
        <v>881</v>
      </c>
      <c r="E506" t="s">
        <v>1013</v>
      </c>
      <c r="F506">
        <v>205762.14</v>
      </c>
      <c r="G506">
        <v>3699.8929020249998</v>
      </c>
      <c r="H506">
        <v>3631.96</v>
      </c>
      <c r="I506">
        <v>0</v>
      </c>
      <c r="J506">
        <v>1673545.7832800001</v>
      </c>
      <c r="K506">
        <v>7069.4501</v>
      </c>
      <c r="L506">
        <v>28530.578379999999</v>
      </c>
      <c r="M506">
        <v>0</v>
      </c>
      <c r="N506">
        <v>98308.411980000004</v>
      </c>
      <c r="O506">
        <v>34280.582979999999</v>
      </c>
      <c r="P506">
        <v>0</v>
      </c>
      <c r="Q506">
        <v>100616.74716</v>
      </c>
      <c r="R506">
        <v>1827.7792400000001</v>
      </c>
      <c r="S506">
        <v>0</v>
      </c>
    </row>
    <row r="507" spans="1:19">
      <c r="A507">
        <v>506</v>
      </c>
      <c r="B507" s="45">
        <f t="array" ref="B507">IFERROR(INDEX(baseline!$A$3:$A$201,MATCH($C507&amp;$D507,baseline!$C$3:$C$201&amp;baseline!$D$3:$D$201,0)),"NA")</f>
        <v>24</v>
      </c>
      <c r="C507" t="s">
        <v>547</v>
      </c>
      <c r="D507" t="s">
        <v>881</v>
      </c>
      <c r="E507" t="s">
        <v>893</v>
      </c>
      <c r="F507">
        <v>507871.84</v>
      </c>
      <c r="G507">
        <v>3699.8929020249998</v>
      </c>
      <c r="H507">
        <v>3631.96</v>
      </c>
      <c r="I507">
        <v>0</v>
      </c>
      <c r="J507">
        <v>1726340.2699599999</v>
      </c>
      <c r="K507">
        <v>10811.11976</v>
      </c>
      <c r="L507">
        <v>28530.578379999999</v>
      </c>
      <c r="M507">
        <v>0</v>
      </c>
      <c r="N507">
        <v>140441.77901999999</v>
      </c>
      <c r="O507">
        <v>34280.582979999999</v>
      </c>
      <c r="P507">
        <v>0</v>
      </c>
      <c r="Q507">
        <v>90966.739440000005</v>
      </c>
      <c r="R507">
        <v>2775.0022199999999</v>
      </c>
      <c r="S507">
        <v>0</v>
      </c>
    </row>
    <row r="508" spans="1:19">
      <c r="A508">
        <v>507</v>
      </c>
      <c r="B508" s="45">
        <f t="array" ref="B508">IFERROR(INDEX(baseline!$A$3:$A$201,MATCH($C508&amp;$D508,baseline!$C$3:$C$201&amp;baseline!$D$3:$D$201,0)),"NA")</f>
        <v>24</v>
      </c>
      <c r="C508" t="s">
        <v>547</v>
      </c>
      <c r="D508" t="s">
        <v>881</v>
      </c>
      <c r="E508" t="s">
        <v>892</v>
      </c>
      <c r="F508">
        <v>442216.5</v>
      </c>
      <c r="G508">
        <v>3699.8929020249998</v>
      </c>
      <c r="H508">
        <v>3631.96</v>
      </c>
      <c r="I508">
        <v>0</v>
      </c>
      <c r="J508">
        <v>1818815.34394</v>
      </c>
      <c r="K508">
        <v>11741.67606</v>
      </c>
      <c r="L508">
        <v>28530.578379999999</v>
      </c>
      <c r="M508">
        <v>0</v>
      </c>
      <c r="N508">
        <v>140441.77901999999</v>
      </c>
      <c r="O508">
        <v>34280.582979999999</v>
      </c>
      <c r="P508">
        <v>0</v>
      </c>
      <c r="Q508">
        <v>96625.077300000004</v>
      </c>
      <c r="R508">
        <v>2763.8910999999998</v>
      </c>
      <c r="S508">
        <v>0</v>
      </c>
    </row>
    <row r="509" spans="1:19">
      <c r="A509">
        <v>508</v>
      </c>
      <c r="B509" s="45">
        <f t="array" ref="B509">IFERROR(INDEX(baseline!$A$3:$A$201,MATCH($C509&amp;$D509,baseline!$C$3:$C$201&amp;baseline!$D$3:$D$201,0)),"NA")</f>
        <v>24</v>
      </c>
      <c r="C509" t="s">
        <v>547</v>
      </c>
      <c r="D509" t="s">
        <v>881</v>
      </c>
      <c r="E509" t="s">
        <v>894</v>
      </c>
      <c r="F509">
        <v>160545.63</v>
      </c>
      <c r="G509">
        <v>3699.8929020249998</v>
      </c>
      <c r="H509">
        <v>3631.96</v>
      </c>
      <c r="I509">
        <v>0</v>
      </c>
      <c r="J509">
        <v>1867957.0499199999</v>
      </c>
      <c r="K509">
        <v>11397.23134</v>
      </c>
      <c r="L509">
        <v>28530.578379999999</v>
      </c>
      <c r="M509">
        <v>0</v>
      </c>
      <c r="N509">
        <v>140441.77901999999</v>
      </c>
      <c r="O509">
        <v>34280.582979999999</v>
      </c>
      <c r="P509">
        <v>0</v>
      </c>
      <c r="Q509">
        <v>99788.968720000004</v>
      </c>
      <c r="R509">
        <v>2744.4466400000001</v>
      </c>
      <c r="S509">
        <v>0</v>
      </c>
    </row>
    <row r="510" spans="1:19">
      <c r="A510">
        <v>509</v>
      </c>
      <c r="B510" s="45">
        <f t="array" ref="B510">IFERROR(INDEX(baseline!$A$3:$A$201,MATCH($C510&amp;$D510,baseline!$C$3:$C$201&amp;baseline!$D$3:$D$201,0)),"NA")</f>
        <v>24</v>
      </c>
      <c r="C510" t="s">
        <v>547</v>
      </c>
      <c r="D510" t="s">
        <v>881</v>
      </c>
      <c r="E510" t="s">
        <v>837</v>
      </c>
      <c r="F510">
        <v>1464.08</v>
      </c>
      <c r="G510">
        <v>3699.8929020249998</v>
      </c>
      <c r="H510">
        <v>3631.96</v>
      </c>
      <c r="I510">
        <v>0</v>
      </c>
      <c r="J510">
        <v>1898059.8517799999</v>
      </c>
      <c r="K510">
        <v>11263.8979</v>
      </c>
      <c r="L510">
        <v>28530.578379999999</v>
      </c>
      <c r="M510">
        <v>0</v>
      </c>
      <c r="N510">
        <v>140441.77901999999</v>
      </c>
      <c r="O510">
        <v>34280.582979999999</v>
      </c>
      <c r="P510">
        <v>0</v>
      </c>
      <c r="Q510">
        <v>101105.63644</v>
      </c>
      <c r="R510">
        <v>2752.7799799999998</v>
      </c>
      <c r="S510">
        <v>0</v>
      </c>
    </row>
    <row r="511" spans="1:19">
      <c r="A511">
        <v>510</v>
      </c>
      <c r="B511" s="45">
        <f t="array" ref="B511">IFERROR(INDEX(baseline!$A$3:$A$201,MATCH($C511&amp;$D511,baseline!$C$3:$C$201&amp;baseline!$D$3:$D$201,0)),"NA")</f>
        <v>24</v>
      </c>
      <c r="C511" t="s">
        <v>547</v>
      </c>
      <c r="D511" t="s">
        <v>881</v>
      </c>
      <c r="E511" t="s">
        <v>833</v>
      </c>
      <c r="F511">
        <v>7343.69</v>
      </c>
      <c r="G511">
        <v>3699.8929020249998</v>
      </c>
      <c r="H511">
        <v>3631.96</v>
      </c>
      <c r="I511">
        <v>0</v>
      </c>
      <c r="J511">
        <v>1898023.74064</v>
      </c>
      <c r="K511">
        <v>11288.897919999999</v>
      </c>
      <c r="L511">
        <v>28530.578379999999</v>
      </c>
      <c r="M511">
        <v>0</v>
      </c>
      <c r="N511">
        <v>140441.77901999999</v>
      </c>
      <c r="O511">
        <v>34280.582979999999</v>
      </c>
      <c r="P511">
        <v>0</v>
      </c>
      <c r="Q511">
        <v>101180.63649999999</v>
      </c>
      <c r="R511">
        <v>2755.5577600000001</v>
      </c>
      <c r="S511">
        <v>0</v>
      </c>
    </row>
    <row r="512" spans="1:19">
      <c r="A512">
        <v>511</v>
      </c>
      <c r="B512" s="45">
        <f t="array" ref="B512">IFERROR(INDEX(baseline!$A$3:$A$201,MATCH($C512&amp;$D512,baseline!$C$3:$C$201&amp;baseline!$D$3:$D$201,0)),"NA")</f>
        <v>24</v>
      </c>
      <c r="C512" t="s">
        <v>547</v>
      </c>
      <c r="D512" t="s">
        <v>881</v>
      </c>
      <c r="E512" t="s">
        <v>835</v>
      </c>
      <c r="F512">
        <v>246874.76</v>
      </c>
      <c r="G512">
        <v>3699.8929020249998</v>
      </c>
      <c r="H512">
        <v>3631.96</v>
      </c>
      <c r="I512">
        <v>0</v>
      </c>
      <c r="J512">
        <v>1619801.29584</v>
      </c>
      <c r="K512">
        <v>12916.677</v>
      </c>
      <c r="L512">
        <v>28530.578379999999</v>
      </c>
      <c r="M512">
        <v>0</v>
      </c>
      <c r="N512">
        <v>140441.77901999999</v>
      </c>
      <c r="O512">
        <v>34280.582979999999</v>
      </c>
      <c r="P512">
        <v>0</v>
      </c>
      <c r="Q512">
        <v>101150.08091999999</v>
      </c>
      <c r="R512">
        <v>2263.8906999999999</v>
      </c>
      <c r="S512">
        <v>4380.5590599999996</v>
      </c>
    </row>
    <row r="513" spans="1:19">
      <c r="A513">
        <v>512</v>
      </c>
      <c r="B513" s="45">
        <f t="array" ref="B513">IFERROR(INDEX(baseline!$A$3:$A$201,MATCH($C513&amp;$D513,baseline!$C$3:$C$201&amp;baseline!$D$3:$D$201,0)),"NA")</f>
        <v>24</v>
      </c>
      <c r="C513" t="s">
        <v>547</v>
      </c>
      <c r="D513" t="s">
        <v>881</v>
      </c>
      <c r="E513" t="s">
        <v>863</v>
      </c>
      <c r="F513">
        <v>113052.43</v>
      </c>
      <c r="G513">
        <v>3699.8929020249998</v>
      </c>
      <c r="H513">
        <v>3631.96</v>
      </c>
      <c r="I513">
        <v>0</v>
      </c>
      <c r="J513">
        <v>1049411.9506399999</v>
      </c>
      <c r="K513">
        <v>18558.348180000001</v>
      </c>
      <c r="L513">
        <v>28530.578379999999</v>
      </c>
      <c r="M513">
        <v>0</v>
      </c>
      <c r="N513">
        <v>140441.77901999999</v>
      </c>
      <c r="O513">
        <v>34280.582979999999</v>
      </c>
      <c r="P513">
        <v>0</v>
      </c>
      <c r="Q513">
        <v>61269.493459999998</v>
      </c>
      <c r="R513">
        <v>2419.4463799999999</v>
      </c>
      <c r="S513">
        <v>0</v>
      </c>
    </row>
    <row r="514" spans="1:19">
      <c r="A514">
        <v>513</v>
      </c>
      <c r="B514" s="45">
        <f t="array" ref="B514">IFERROR(INDEX(baseline!$A$3:$A$201,MATCH($C514&amp;$D514,baseline!$C$3:$C$201&amp;baseline!$D$3:$D$201,0)),"NA")</f>
        <v>24</v>
      </c>
      <c r="C514" t="s">
        <v>547</v>
      </c>
      <c r="D514" t="s">
        <v>881</v>
      </c>
      <c r="E514" t="s">
        <v>1011</v>
      </c>
      <c r="F514">
        <v>132587.38</v>
      </c>
      <c r="G514">
        <v>3699.8929020249998</v>
      </c>
      <c r="H514">
        <v>3631.96</v>
      </c>
      <c r="I514">
        <v>0</v>
      </c>
      <c r="J514">
        <v>892417.38060000003</v>
      </c>
      <c r="K514">
        <v>15977.790559999999</v>
      </c>
      <c r="L514">
        <v>28530.578379999999</v>
      </c>
      <c r="M514">
        <v>0</v>
      </c>
      <c r="N514">
        <v>140441.77901999999</v>
      </c>
      <c r="O514">
        <v>34280.582979999999</v>
      </c>
      <c r="P514">
        <v>0</v>
      </c>
      <c r="Q514">
        <v>77480.617540000007</v>
      </c>
      <c r="R514">
        <v>1363.8899799999999</v>
      </c>
      <c r="S514">
        <v>0</v>
      </c>
    </row>
    <row r="515" spans="1:19">
      <c r="A515">
        <v>514</v>
      </c>
      <c r="B515" s="45">
        <f t="array" ref="B515">IFERROR(INDEX(baseline!$A$3:$A$201,MATCH($C515&amp;$D515,baseline!$C$3:$C$201&amp;baseline!$D$3:$D$201,0)),"NA")</f>
        <v>24</v>
      </c>
      <c r="C515" t="s">
        <v>547</v>
      </c>
      <c r="D515" t="s">
        <v>881</v>
      </c>
      <c r="E515" t="s">
        <v>860</v>
      </c>
      <c r="F515">
        <v>155637.85999999999</v>
      </c>
      <c r="G515">
        <v>3699.8929020249998</v>
      </c>
      <c r="H515">
        <v>3631.96</v>
      </c>
      <c r="I515">
        <v>0</v>
      </c>
      <c r="J515">
        <v>1952793.2289</v>
      </c>
      <c r="K515">
        <v>7161.1168399999997</v>
      </c>
      <c r="L515">
        <v>28530.578379999999</v>
      </c>
      <c r="M515">
        <v>0</v>
      </c>
      <c r="N515">
        <v>98308.411980000004</v>
      </c>
      <c r="O515">
        <v>34280.582979999999</v>
      </c>
      <c r="P515">
        <v>0</v>
      </c>
      <c r="Q515">
        <v>100822.30288</v>
      </c>
      <c r="R515">
        <v>2844.4467199999999</v>
      </c>
      <c r="S515">
        <v>0</v>
      </c>
    </row>
    <row r="516" spans="1:19">
      <c r="A516">
        <v>515</v>
      </c>
      <c r="B516" s="45">
        <f t="array" ref="B516">IFERROR(INDEX(baseline!$A$3:$A$201,MATCH($C516&amp;$D516,baseline!$C$3:$C$201&amp;baseline!$D$3:$D$201,0)),"NA")</f>
        <v>24</v>
      </c>
      <c r="C516" t="s">
        <v>547</v>
      </c>
      <c r="D516" t="s">
        <v>881</v>
      </c>
      <c r="E516" t="s">
        <v>1019</v>
      </c>
      <c r="F516">
        <v>132587.38</v>
      </c>
      <c r="G516">
        <v>3699.8929020249998</v>
      </c>
      <c r="H516">
        <v>3631.96</v>
      </c>
      <c r="I516">
        <v>0</v>
      </c>
      <c r="J516">
        <v>551450.44116000005</v>
      </c>
      <c r="K516">
        <v>15977.790559999999</v>
      </c>
      <c r="L516">
        <v>28530.578379999999</v>
      </c>
      <c r="M516">
        <v>0</v>
      </c>
      <c r="N516">
        <v>140441.77901999999</v>
      </c>
      <c r="O516">
        <v>34280.582979999999</v>
      </c>
      <c r="P516">
        <v>0</v>
      </c>
      <c r="Q516">
        <v>77480.617540000007</v>
      </c>
      <c r="R516">
        <v>1363.8899799999999</v>
      </c>
      <c r="S516">
        <v>0</v>
      </c>
    </row>
    <row r="517" spans="1:19">
      <c r="A517">
        <v>516</v>
      </c>
      <c r="B517" s="45">
        <f t="array" ref="B517">IFERROR(INDEX(baseline!$A$3:$A$201,MATCH($C517&amp;$D517,baseline!$C$3:$C$201&amp;baseline!$D$3:$D$201,0)),"NA")</f>
        <v>24</v>
      </c>
      <c r="C517" t="s">
        <v>547</v>
      </c>
      <c r="D517" t="s">
        <v>881</v>
      </c>
      <c r="E517" t="s">
        <v>836</v>
      </c>
      <c r="F517">
        <v>19534.95</v>
      </c>
      <c r="G517">
        <v>3699.8929020249998</v>
      </c>
      <c r="H517">
        <v>3631.96</v>
      </c>
      <c r="I517">
        <v>0</v>
      </c>
      <c r="J517">
        <v>1702437.47306</v>
      </c>
      <c r="K517">
        <v>8977.7849600000009</v>
      </c>
      <c r="L517">
        <v>28530.578379999999</v>
      </c>
      <c r="M517">
        <v>0</v>
      </c>
      <c r="N517">
        <v>140441.77901999999</v>
      </c>
      <c r="O517">
        <v>34280.582979999999</v>
      </c>
      <c r="P517">
        <v>0</v>
      </c>
      <c r="Q517">
        <v>101661.19244</v>
      </c>
      <c r="R517">
        <v>2227.7795599999999</v>
      </c>
      <c r="S517">
        <v>0</v>
      </c>
    </row>
    <row r="518" spans="1:19">
      <c r="A518">
        <v>517</v>
      </c>
      <c r="B518" s="45">
        <f t="array" ref="B518">IFERROR(INDEX(baseline!$A$3:$A$201,MATCH($C518&amp;$D518,baseline!$C$3:$C$201&amp;baseline!$D$3:$D$201,0)),"NA")</f>
        <v>24</v>
      </c>
      <c r="C518" t="s">
        <v>547</v>
      </c>
      <c r="D518" t="s">
        <v>881</v>
      </c>
      <c r="E518" t="s">
        <v>1030</v>
      </c>
      <c r="F518">
        <v>388380.58</v>
      </c>
      <c r="G518">
        <v>3699.8929020249998</v>
      </c>
      <c r="H518">
        <v>3631.96</v>
      </c>
      <c r="I518">
        <v>0</v>
      </c>
      <c r="J518">
        <v>413069.77490000002</v>
      </c>
      <c r="K518">
        <v>30505.579959999999</v>
      </c>
      <c r="L518">
        <v>28530.578379999999</v>
      </c>
      <c r="M518">
        <v>0</v>
      </c>
      <c r="N518">
        <v>98308.411980000004</v>
      </c>
      <c r="O518">
        <v>34280.582979999999</v>
      </c>
      <c r="P518">
        <v>0</v>
      </c>
      <c r="Q518">
        <v>81766.732080000002</v>
      </c>
      <c r="R518">
        <v>502.77818000000002</v>
      </c>
      <c r="S518">
        <v>0</v>
      </c>
    </row>
    <row r="519" spans="1:19">
      <c r="A519">
        <v>518</v>
      </c>
      <c r="B519" s="45">
        <f t="array" ref="B519">IFERROR(INDEX(baseline!$A$3:$A$201,MATCH($C519&amp;$D519,baseline!$C$3:$C$201&amp;baseline!$D$3:$D$201,0)),"NA")</f>
        <v>24</v>
      </c>
      <c r="C519" t="s">
        <v>547</v>
      </c>
      <c r="D519" t="s">
        <v>881</v>
      </c>
      <c r="E519" t="s">
        <v>859</v>
      </c>
      <c r="F519">
        <v>11295.15</v>
      </c>
      <c r="G519">
        <v>3699.8929020249998</v>
      </c>
      <c r="H519">
        <v>3631.96</v>
      </c>
      <c r="I519">
        <v>0</v>
      </c>
      <c r="J519">
        <v>1899004.2969800001</v>
      </c>
      <c r="K519">
        <v>10791.675300000001</v>
      </c>
      <c r="L519">
        <v>28530.578379999999</v>
      </c>
      <c r="M519">
        <v>0</v>
      </c>
      <c r="N519">
        <v>140441.77901999999</v>
      </c>
      <c r="O519">
        <v>34280.582979999999</v>
      </c>
      <c r="P519">
        <v>0</v>
      </c>
      <c r="Q519">
        <v>101050.08084</v>
      </c>
      <c r="R519">
        <v>2758.33554</v>
      </c>
      <c r="S519">
        <v>0</v>
      </c>
    </row>
    <row r="520" spans="1:19">
      <c r="A520">
        <v>519</v>
      </c>
      <c r="B520" s="45">
        <f t="array" ref="B520">IFERROR(INDEX(baseline!$A$3:$A$201,MATCH($C520&amp;$D520,baseline!$C$3:$C$201&amp;baseline!$D$3:$D$201,0)),"NA")</f>
        <v>24</v>
      </c>
      <c r="C520" t="s">
        <v>547</v>
      </c>
      <c r="D520" t="s">
        <v>881</v>
      </c>
      <c r="E520" t="s">
        <v>834</v>
      </c>
      <c r="F520">
        <v>8068.93</v>
      </c>
      <c r="G520">
        <v>3699.8929020249998</v>
      </c>
      <c r="H520">
        <v>3631.96</v>
      </c>
      <c r="I520">
        <v>0</v>
      </c>
      <c r="J520">
        <v>1898023.74064</v>
      </c>
      <c r="K520">
        <v>11288.897919999999</v>
      </c>
      <c r="L520">
        <v>28530.578379999999</v>
      </c>
      <c r="M520">
        <v>0</v>
      </c>
      <c r="N520">
        <v>140441.77901999999</v>
      </c>
      <c r="O520">
        <v>34280.582979999999</v>
      </c>
      <c r="P520">
        <v>0</v>
      </c>
      <c r="Q520">
        <v>101180.63649999999</v>
      </c>
      <c r="R520">
        <v>2755.5577600000001</v>
      </c>
      <c r="S520">
        <v>0</v>
      </c>
    </row>
    <row r="521" spans="1:19">
      <c r="A521">
        <v>520</v>
      </c>
      <c r="B521" s="45">
        <f t="array" ref="B521">IFERROR(INDEX(baseline!$A$3:$A$201,MATCH($C521&amp;$D521,baseline!$C$3:$C$201&amp;baseline!$D$3:$D$201,0)),"NA")</f>
        <v>24</v>
      </c>
      <c r="C521" t="s">
        <v>547</v>
      </c>
      <c r="D521" t="s">
        <v>881</v>
      </c>
      <c r="E521" t="s">
        <v>865</v>
      </c>
      <c r="F521">
        <v>19449.509999999998</v>
      </c>
      <c r="G521">
        <v>3699.8929020249998</v>
      </c>
      <c r="H521">
        <v>3631.96</v>
      </c>
      <c r="I521">
        <v>0</v>
      </c>
      <c r="J521">
        <v>1898023.74064</v>
      </c>
      <c r="K521">
        <v>11288.897919999999</v>
      </c>
      <c r="L521">
        <v>28530.578379999999</v>
      </c>
      <c r="M521">
        <v>0</v>
      </c>
      <c r="N521">
        <v>140441.77901999999</v>
      </c>
      <c r="O521">
        <v>34280.582979999999</v>
      </c>
      <c r="P521">
        <v>0</v>
      </c>
      <c r="Q521">
        <v>101180.63649999999</v>
      </c>
      <c r="R521">
        <v>2155.55728</v>
      </c>
      <c r="S521">
        <v>0</v>
      </c>
    </row>
    <row r="522" spans="1:19">
      <c r="A522">
        <v>521</v>
      </c>
      <c r="B522" s="45">
        <f t="array" ref="B522">IFERROR(INDEX(baseline!$A$3:$A$201,MATCH($C522&amp;$D522,baseline!$C$3:$C$201&amp;baseline!$D$3:$D$201,0)),"NA")</f>
        <v>25</v>
      </c>
      <c r="C522" t="s">
        <v>547</v>
      </c>
      <c r="D522" t="s">
        <v>14</v>
      </c>
      <c r="E522" t="s">
        <v>832</v>
      </c>
      <c r="F522">
        <v>14063.11</v>
      </c>
      <c r="G522">
        <v>3699.8929020249998</v>
      </c>
      <c r="H522">
        <v>3631.96</v>
      </c>
      <c r="I522">
        <v>0</v>
      </c>
      <c r="J522">
        <v>1186912.06064</v>
      </c>
      <c r="K522">
        <v>34069.471700000002</v>
      </c>
      <c r="L522">
        <v>28530.578379999999</v>
      </c>
      <c r="M522">
        <v>0</v>
      </c>
      <c r="N522">
        <v>140441.77901999999</v>
      </c>
      <c r="O522">
        <v>34280.582979999999</v>
      </c>
      <c r="P522">
        <v>0</v>
      </c>
      <c r="Q522">
        <v>61255.60456</v>
      </c>
      <c r="R522">
        <v>1686.1124600000001</v>
      </c>
      <c r="S522">
        <v>0</v>
      </c>
    </row>
    <row r="523" spans="1:19">
      <c r="A523">
        <v>522</v>
      </c>
      <c r="B523" s="45">
        <f t="array" ref="B523">IFERROR(INDEX(baseline!$A$3:$A$201,MATCH($C523&amp;$D523,baseline!$C$3:$C$201&amp;baseline!$D$3:$D$201,0)),"NA")</f>
        <v>25</v>
      </c>
      <c r="C523" t="s">
        <v>547</v>
      </c>
      <c r="D523" t="s">
        <v>14</v>
      </c>
      <c r="E523" t="s">
        <v>869</v>
      </c>
      <c r="F523">
        <v>0</v>
      </c>
      <c r="G523">
        <v>3699.8929020249998</v>
      </c>
      <c r="H523">
        <v>3631.96</v>
      </c>
      <c r="I523">
        <v>0</v>
      </c>
      <c r="J523">
        <v>1116109.2262200001</v>
      </c>
      <c r="K523">
        <v>6866.6721600000001</v>
      </c>
      <c r="L523">
        <v>28530.578379999999</v>
      </c>
      <c r="M523">
        <v>0</v>
      </c>
      <c r="N523">
        <v>140441.77901999999</v>
      </c>
      <c r="O523">
        <v>34280.582979999999</v>
      </c>
      <c r="P523">
        <v>0</v>
      </c>
      <c r="Q523">
        <v>56355.600639999997</v>
      </c>
      <c r="R523">
        <v>2755.5577600000001</v>
      </c>
      <c r="S523">
        <v>0</v>
      </c>
    </row>
    <row r="524" spans="1:19">
      <c r="A524">
        <v>523</v>
      </c>
      <c r="B524" s="45">
        <f t="array" ref="B524">IFERROR(INDEX(baseline!$A$3:$A$201,MATCH($C524&amp;$D524,baseline!$C$3:$C$201&amp;baseline!$D$3:$D$201,0)),"NA")</f>
        <v>25</v>
      </c>
      <c r="C524" t="s">
        <v>547</v>
      </c>
      <c r="D524" t="s">
        <v>14</v>
      </c>
      <c r="E524" t="s">
        <v>896</v>
      </c>
      <c r="F524">
        <v>65332.04</v>
      </c>
      <c r="G524">
        <v>3699.8929020249998</v>
      </c>
      <c r="H524">
        <v>3631.96</v>
      </c>
      <c r="I524">
        <v>0</v>
      </c>
      <c r="J524">
        <v>1112939.7792400001</v>
      </c>
      <c r="K524">
        <v>13669.455379999999</v>
      </c>
      <c r="L524">
        <v>28530.578379999999</v>
      </c>
      <c r="M524">
        <v>0</v>
      </c>
      <c r="N524">
        <v>140441.77901999999</v>
      </c>
      <c r="O524">
        <v>34280.582979999999</v>
      </c>
      <c r="P524">
        <v>0</v>
      </c>
      <c r="Q524">
        <v>61255.60456</v>
      </c>
      <c r="R524">
        <v>2597.2242999999999</v>
      </c>
      <c r="S524">
        <v>0</v>
      </c>
    </row>
    <row r="525" spans="1:19">
      <c r="A525">
        <v>524</v>
      </c>
      <c r="B525" s="45">
        <f t="array" ref="B525">IFERROR(INDEX(baseline!$A$3:$A$201,MATCH($C525&amp;$D525,baseline!$C$3:$C$201&amp;baseline!$D$3:$D$201,0)),"NA")</f>
        <v>25</v>
      </c>
      <c r="C525" t="s">
        <v>547</v>
      </c>
      <c r="D525" t="s">
        <v>14</v>
      </c>
      <c r="E525" t="s">
        <v>840</v>
      </c>
      <c r="F525">
        <v>929.13</v>
      </c>
      <c r="G525">
        <v>3699.8929020249998</v>
      </c>
      <c r="H525">
        <v>3631.96</v>
      </c>
      <c r="I525">
        <v>0</v>
      </c>
      <c r="J525">
        <v>714270.01586000004</v>
      </c>
      <c r="K525">
        <v>13669.455379999999</v>
      </c>
      <c r="L525">
        <v>28530.578379999999</v>
      </c>
      <c r="M525">
        <v>0</v>
      </c>
      <c r="N525">
        <v>140441.77901999999</v>
      </c>
      <c r="O525">
        <v>34280.582979999999</v>
      </c>
      <c r="P525">
        <v>0</v>
      </c>
      <c r="Q525">
        <v>61255.60456</v>
      </c>
      <c r="R525">
        <v>2597.2242999999999</v>
      </c>
      <c r="S525">
        <v>0</v>
      </c>
    </row>
    <row r="526" spans="1:19">
      <c r="A526">
        <v>525</v>
      </c>
      <c r="B526" s="45">
        <f t="array" ref="B526">IFERROR(INDEX(baseline!$A$3:$A$201,MATCH($C526&amp;$D526,baseline!$C$3:$C$201&amp;baseline!$D$3:$D$201,0)),"NA")</f>
        <v>25</v>
      </c>
      <c r="C526" t="s">
        <v>547</v>
      </c>
      <c r="D526" t="s">
        <v>14</v>
      </c>
      <c r="E526" t="s">
        <v>839</v>
      </c>
      <c r="F526">
        <v>19757.28</v>
      </c>
      <c r="G526">
        <v>3699.8929020249998</v>
      </c>
      <c r="H526">
        <v>3631.96</v>
      </c>
      <c r="I526">
        <v>0</v>
      </c>
      <c r="J526">
        <v>1112939.7792400001</v>
      </c>
      <c r="K526">
        <v>11716.67604</v>
      </c>
      <c r="L526">
        <v>28530.578379999999</v>
      </c>
      <c r="M526">
        <v>0</v>
      </c>
      <c r="N526">
        <v>140441.77901999999</v>
      </c>
      <c r="O526">
        <v>34280.582979999999</v>
      </c>
      <c r="P526">
        <v>0</v>
      </c>
      <c r="Q526">
        <v>61255.60456</v>
      </c>
      <c r="R526">
        <v>2597.2242999999999</v>
      </c>
      <c r="S526">
        <v>0</v>
      </c>
    </row>
    <row r="527" spans="1:19">
      <c r="A527">
        <v>526</v>
      </c>
      <c r="B527" s="45">
        <f t="array" ref="B527">IFERROR(INDEX(baseline!$A$3:$A$201,MATCH($C527&amp;$D527,baseline!$C$3:$C$201&amp;baseline!$D$3:$D$201,0)),"NA")</f>
        <v>25</v>
      </c>
      <c r="C527" t="s">
        <v>547</v>
      </c>
      <c r="D527" t="s">
        <v>14</v>
      </c>
      <c r="E527" t="s">
        <v>805</v>
      </c>
      <c r="F527">
        <v>34113.589999999997</v>
      </c>
      <c r="G527">
        <v>3699.8929020249998</v>
      </c>
      <c r="H527">
        <v>3631.96</v>
      </c>
      <c r="I527">
        <v>0</v>
      </c>
      <c r="J527">
        <v>834997.89021999994</v>
      </c>
      <c r="K527">
        <v>14477.789360000001</v>
      </c>
      <c r="L527">
        <v>28530.578379999999</v>
      </c>
      <c r="M527">
        <v>0</v>
      </c>
      <c r="N527">
        <v>140441.77901999999</v>
      </c>
      <c r="O527">
        <v>34280.582979999999</v>
      </c>
      <c r="P527">
        <v>0</v>
      </c>
      <c r="Q527">
        <v>60813.937539999999</v>
      </c>
      <c r="R527">
        <v>1497.22342</v>
      </c>
      <c r="S527">
        <v>0</v>
      </c>
    </row>
    <row r="528" spans="1:19">
      <c r="A528">
        <v>527</v>
      </c>
      <c r="B528" s="45">
        <f t="array" ref="B528">IFERROR(INDEX(baseline!$A$3:$A$201,MATCH($C528&amp;$D528,baseline!$C$3:$C$201&amp;baseline!$D$3:$D$201,0)),"NA")</f>
        <v>25</v>
      </c>
      <c r="C528" t="s">
        <v>547</v>
      </c>
      <c r="D528" t="s">
        <v>14</v>
      </c>
      <c r="E528" t="s">
        <v>877</v>
      </c>
      <c r="F528">
        <v>14063.11</v>
      </c>
      <c r="G528">
        <v>3699.8929020249998</v>
      </c>
      <c r="H528">
        <v>3631.96</v>
      </c>
      <c r="I528">
        <v>0</v>
      </c>
      <c r="J528">
        <v>1058523.06904</v>
      </c>
      <c r="K528">
        <v>21836.128580000001</v>
      </c>
      <c r="L528">
        <v>28530.578379999999</v>
      </c>
      <c r="M528">
        <v>0</v>
      </c>
      <c r="N528">
        <v>140441.77901999999</v>
      </c>
      <c r="O528">
        <v>34280.582979999999</v>
      </c>
      <c r="P528">
        <v>0</v>
      </c>
      <c r="Q528">
        <v>61255.60456</v>
      </c>
      <c r="R528">
        <v>980.55633999999998</v>
      </c>
      <c r="S528">
        <v>0</v>
      </c>
    </row>
    <row r="529" spans="1:19">
      <c r="A529">
        <v>528</v>
      </c>
      <c r="B529" s="45">
        <f t="array" ref="B529">IFERROR(INDEX(baseline!$A$3:$A$201,MATCH($C529&amp;$D529,baseline!$C$3:$C$201&amp;baseline!$D$3:$D$201,0)),"NA")</f>
        <v>25</v>
      </c>
      <c r="C529" t="s">
        <v>547</v>
      </c>
      <c r="D529" t="s">
        <v>14</v>
      </c>
      <c r="E529" t="s">
        <v>838</v>
      </c>
      <c r="F529">
        <v>5495.15</v>
      </c>
      <c r="G529">
        <v>3699.8929020249998</v>
      </c>
      <c r="H529">
        <v>3631.96</v>
      </c>
      <c r="I529">
        <v>0</v>
      </c>
      <c r="J529">
        <v>1111625.8892999999</v>
      </c>
      <c r="K529">
        <v>9547.2298599999995</v>
      </c>
      <c r="L529">
        <v>28530.578379999999</v>
      </c>
      <c r="M529">
        <v>0</v>
      </c>
      <c r="N529">
        <v>140441.77901999999</v>
      </c>
      <c r="O529">
        <v>34280.582979999999</v>
      </c>
      <c r="P529">
        <v>0</v>
      </c>
      <c r="Q529">
        <v>61255.60456</v>
      </c>
      <c r="R529">
        <v>2594.44652</v>
      </c>
      <c r="S529">
        <v>0</v>
      </c>
    </row>
    <row r="530" spans="1:19">
      <c r="A530">
        <v>529</v>
      </c>
      <c r="B530" s="45">
        <f t="array" ref="B530">IFERROR(INDEX(baseline!$A$3:$A$201,MATCH($C530&amp;$D530,baseline!$C$3:$C$201&amp;baseline!$D$3:$D$201,0)),"NA")</f>
        <v>25</v>
      </c>
      <c r="C530" t="s">
        <v>547</v>
      </c>
      <c r="D530" t="s">
        <v>14</v>
      </c>
      <c r="E530" t="s">
        <v>1013</v>
      </c>
      <c r="F530">
        <v>212413.59</v>
      </c>
      <c r="G530">
        <v>3699.8929020249998</v>
      </c>
      <c r="H530">
        <v>3631.96</v>
      </c>
      <c r="I530">
        <v>0</v>
      </c>
      <c r="J530">
        <v>881797.92766000004</v>
      </c>
      <c r="K530">
        <v>8094.4509200000002</v>
      </c>
      <c r="L530">
        <v>28530.578379999999</v>
      </c>
      <c r="M530">
        <v>0</v>
      </c>
      <c r="N530">
        <v>98308.411980000004</v>
      </c>
      <c r="O530">
        <v>34280.582979999999</v>
      </c>
      <c r="P530">
        <v>0</v>
      </c>
      <c r="Q530">
        <v>57797.268459999999</v>
      </c>
      <c r="R530">
        <v>1747.22362</v>
      </c>
      <c r="S530">
        <v>0</v>
      </c>
    </row>
    <row r="531" spans="1:19">
      <c r="A531">
        <v>530</v>
      </c>
      <c r="B531" s="45">
        <f t="array" ref="B531">IFERROR(INDEX(baseline!$A$3:$A$201,MATCH($C531&amp;$D531,baseline!$C$3:$C$201&amp;baseline!$D$3:$D$201,0)),"NA")</f>
        <v>25</v>
      </c>
      <c r="C531" t="s">
        <v>547</v>
      </c>
      <c r="D531" t="s">
        <v>14</v>
      </c>
      <c r="E531" t="s">
        <v>893</v>
      </c>
      <c r="F531">
        <v>507871.84</v>
      </c>
      <c r="G531">
        <v>3699.8929020249998</v>
      </c>
      <c r="H531">
        <v>3631.96</v>
      </c>
      <c r="I531">
        <v>0</v>
      </c>
      <c r="J531">
        <v>1020056.3716</v>
      </c>
      <c r="K531">
        <v>14091.67794</v>
      </c>
      <c r="L531">
        <v>28530.578379999999</v>
      </c>
      <c r="M531">
        <v>0</v>
      </c>
      <c r="N531">
        <v>140441.77901999999</v>
      </c>
      <c r="O531">
        <v>34280.582979999999</v>
      </c>
      <c r="P531">
        <v>0</v>
      </c>
      <c r="Q531">
        <v>56805.601000000002</v>
      </c>
      <c r="R531">
        <v>2547.22426</v>
      </c>
      <c r="S531">
        <v>0</v>
      </c>
    </row>
    <row r="532" spans="1:19">
      <c r="A532">
        <v>531</v>
      </c>
      <c r="B532" s="45">
        <f t="array" ref="B532">IFERROR(INDEX(baseline!$A$3:$A$201,MATCH($C532&amp;$D532,baseline!$C$3:$C$201&amp;baseline!$D$3:$D$201,0)),"NA")</f>
        <v>25</v>
      </c>
      <c r="C532" t="s">
        <v>547</v>
      </c>
      <c r="D532" t="s">
        <v>14</v>
      </c>
      <c r="E532" t="s">
        <v>892</v>
      </c>
      <c r="F532">
        <v>442216.5</v>
      </c>
      <c r="G532">
        <v>3699.8929020249998</v>
      </c>
      <c r="H532">
        <v>3631.96</v>
      </c>
      <c r="I532">
        <v>0</v>
      </c>
      <c r="J532">
        <v>1084511.97872</v>
      </c>
      <c r="K532">
        <v>14088.900159999999</v>
      </c>
      <c r="L532">
        <v>28530.578379999999</v>
      </c>
      <c r="M532">
        <v>0</v>
      </c>
      <c r="N532">
        <v>140441.77901999999</v>
      </c>
      <c r="O532">
        <v>34280.582979999999</v>
      </c>
      <c r="P532">
        <v>0</v>
      </c>
      <c r="Q532">
        <v>60050.048040000001</v>
      </c>
      <c r="R532">
        <v>2583.3353999999999</v>
      </c>
      <c r="S532">
        <v>0</v>
      </c>
    </row>
    <row r="533" spans="1:19">
      <c r="A533">
        <v>532</v>
      </c>
      <c r="B533" s="45">
        <f t="array" ref="B533">IFERROR(INDEX(baseline!$A$3:$A$201,MATCH($C533&amp;$D533,baseline!$C$3:$C$201&amp;baseline!$D$3:$D$201,0)),"NA")</f>
        <v>25</v>
      </c>
      <c r="C533" t="s">
        <v>547</v>
      </c>
      <c r="D533" t="s">
        <v>14</v>
      </c>
      <c r="E533" t="s">
        <v>894</v>
      </c>
      <c r="F533">
        <v>160545.63</v>
      </c>
      <c r="G533">
        <v>3699.8929020249998</v>
      </c>
      <c r="H533">
        <v>3631.96</v>
      </c>
      <c r="I533">
        <v>0</v>
      </c>
      <c r="J533">
        <v>1091878.6512800001</v>
      </c>
      <c r="K533">
        <v>13991.67786</v>
      </c>
      <c r="L533">
        <v>28530.578379999999</v>
      </c>
      <c r="M533">
        <v>0</v>
      </c>
      <c r="N533">
        <v>140441.77901999999</v>
      </c>
      <c r="O533">
        <v>34280.582979999999</v>
      </c>
      <c r="P533">
        <v>0</v>
      </c>
      <c r="Q533">
        <v>60741.715259999997</v>
      </c>
      <c r="R533">
        <v>2563.8909399999998</v>
      </c>
      <c r="S533">
        <v>0</v>
      </c>
    </row>
    <row r="534" spans="1:19">
      <c r="A534">
        <v>533</v>
      </c>
      <c r="B534" s="45">
        <f t="array" ref="B534">IFERROR(INDEX(baseline!$A$3:$A$201,MATCH($C534&amp;$D534,baseline!$C$3:$C$201&amp;baseline!$D$3:$D$201,0)),"NA")</f>
        <v>25</v>
      </c>
      <c r="C534" t="s">
        <v>547</v>
      </c>
      <c r="D534" t="s">
        <v>14</v>
      </c>
      <c r="E534" t="s">
        <v>837</v>
      </c>
      <c r="F534">
        <v>1464.08</v>
      </c>
      <c r="G534">
        <v>3699.8929020249998</v>
      </c>
      <c r="H534">
        <v>3631.96</v>
      </c>
      <c r="I534">
        <v>0</v>
      </c>
      <c r="J534">
        <v>1112281.4453799999</v>
      </c>
      <c r="K534">
        <v>13644.45536</v>
      </c>
      <c r="L534">
        <v>28530.578379999999</v>
      </c>
      <c r="M534">
        <v>0</v>
      </c>
      <c r="N534">
        <v>140441.77901999999</v>
      </c>
      <c r="O534">
        <v>34280.582979999999</v>
      </c>
      <c r="P534">
        <v>0</v>
      </c>
      <c r="Q534">
        <v>61180.604500000001</v>
      </c>
      <c r="R534">
        <v>2594.44652</v>
      </c>
      <c r="S534">
        <v>0</v>
      </c>
    </row>
    <row r="535" spans="1:19">
      <c r="A535">
        <v>534</v>
      </c>
      <c r="B535" s="45">
        <f t="array" ref="B535">IFERROR(INDEX(baseline!$A$3:$A$201,MATCH($C535&amp;$D535,baseline!$C$3:$C$201&amp;baseline!$D$3:$D$201,0)),"NA")</f>
        <v>25</v>
      </c>
      <c r="C535" t="s">
        <v>547</v>
      </c>
      <c r="D535" t="s">
        <v>14</v>
      </c>
      <c r="E535" t="s">
        <v>833</v>
      </c>
      <c r="F535">
        <v>7343.69</v>
      </c>
      <c r="G535">
        <v>3699.8929020249998</v>
      </c>
      <c r="H535">
        <v>3631.96</v>
      </c>
      <c r="I535">
        <v>0</v>
      </c>
      <c r="J535">
        <v>1121967.56424</v>
      </c>
      <c r="K535">
        <v>13597.233099999999</v>
      </c>
      <c r="L535">
        <v>28530.578379999999</v>
      </c>
      <c r="M535">
        <v>0</v>
      </c>
      <c r="N535">
        <v>140441.77901999999</v>
      </c>
      <c r="O535">
        <v>34280.582979999999</v>
      </c>
      <c r="P535">
        <v>0</v>
      </c>
      <c r="Q535">
        <v>56086.155980000003</v>
      </c>
      <c r="R535">
        <v>1755.5569599999999</v>
      </c>
      <c r="S535">
        <v>0</v>
      </c>
    </row>
    <row r="536" spans="1:19">
      <c r="A536">
        <v>535</v>
      </c>
      <c r="B536" s="45">
        <f t="array" ref="B536">IFERROR(INDEX(baseline!$A$3:$A$201,MATCH($C536&amp;$D536,baseline!$C$3:$C$201&amp;baseline!$D$3:$D$201,0)),"NA")</f>
        <v>25</v>
      </c>
      <c r="C536" t="s">
        <v>547</v>
      </c>
      <c r="D536" t="s">
        <v>14</v>
      </c>
      <c r="E536" t="s">
        <v>835</v>
      </c>
      <c r="F536">
        <v>246874.76</v>
      </c>
      <c r="G536">
        <v>3699.8929020249998</v>
      </c>
      <c r="H536">
        <v>3631.96</v>
      </c>
      <c r="I536">
        <v>0</v>
      </c>
      <c r="J536">
        <v>842484.00731999998</v>
      </c>
      <c r="K536">
        <v>16455.568719999999</v>
      </c>
      <c r="L536">
        <v>28530.578379999999</v>
      </c>
      <c r="M536">
        <v>0</v>
      </c>
      <c r="N536">
        <v>140441.77901999999</v>
      </c>
      <c r="O536">
        <v>34280.582979999999</v>
      </c>
      <c r="P536">
        <v>0</v>
      </c>
      <c r="Q536">
        <v>61225.04898</v>
      </c>
      <c r="R536">
        <v>1583.3345999999999</v>
      </c>
      <c r="S536">
        <v>4377.7812800000002</v>
      </c>
    </row>
    <row r="537" spans="1:19">
      <c r="A537">
        <v>536</v>
      </c>
      <c r="B537" s="45">
        <f t="array" ref="B537">IFERROR(INDEX(baseline!$A$3:$A$201,MATCH($C537&amp;$D537,baseline!$C$3:$C$201&amp;baseline!$D$3:$D$201,0)),"NA")</f>
        <v>25</v>
      </c>
      <c r="C537" t="s">
        <v>547</v>
      </c>
      <c r="D537" t="s">
        <v>14</v>
      </c>
      <c r="E537" t="s">
        <v>863</v>
      </c>
      <c r="F537">
        <v>100779.61</v>
      </c>
      <c r="G537">
        <v>3699.8929020249998</v>
      </c>
      <c r="H537">
        <v>3631.96</v>
      </c>
      <c r="I537">
        <v>0</v>
      </c>
      <c r="J537">
        <v>864270.13586000004</v>
      </c>
      <c r="K537">
        <v>16202.79074</v>
      </c>
      <c r="L537">
        <v>28530.578379999999</v>
      </c>
      <c r="M537">
        <v>0</v>
      </c>
      <c r="N537">
        <v>140441.77901999999</v>
      </c>
      <c r="O537">
        <v>34280.582979999999</v>
      </c>
      <c r="P537">
        <v>0</v>
      </c>
      <c r="Q537">
        <v>55686.155659999997</v>
      </c>
      <c r="R537">
        <v>1927.7793200000001</v>
      </c>
      <c r="S537">
        <v>0</v>
      </c>
    </row>
    <row r="538" spans="1:19">
      <c r="A538">
        <v>537</v>
      </c>
      <c r="B538" s="45">
        <f t="array" ref="B538">IFERROR(INDEX(baseline!$A$3:$A$201,MATCH($C538&amp;$D538,baseline!$C$3:$C$201&amp;baseline!$D$3:$D$201,0)),"NA")</f>
        <v>25</v>
      </c>
      <c r="C538" t="s">
        <v>547</v>
      </c>
      <c r="D538" t="s">
        <v>14</v>
      </c>
      <c r="E538" t="s">
        <v>1011</v>
      </c>
      <c r="F538">
        <v>120314.56</v>
      </c>
      <c r="G538">
        <v>3699.8929020249998</v>
      </c>
      <c r="H538">
        <v>3631.96</v>
      </c>
      <c r="I538">
        <v>0</v>
      </c>
      <c r="J538">
        <v>730039.47291999997</v>
      </c>
      <c r="K538">
        <v>15122.23432</v>
      </c>
      <c r="L538">
        <v>28530.578379999999</v>
      </c>
      <c r="M538">
        <v>0</v>
      </c>
      <c r="N538">
        <v>140441.77901999999</v>
      </c>
      <c r="O538">
        <v>34280.582979999999</v>
      </c>
      <c r="P538">
        <v>0</v>
      </c>
      <c r="Q538">
        <v>66425.053140000004</v>
      </c>
      <c r="R538">
        <v>1230.55654</v>
      </c>
      <c r="S538">
        <v>0</v>
      </c>
    </row>
    <row r="539" spans="1:19">
      <c r="A539">
        <v>538</v>
      </c>
      <c r="B539" s="45">
        <f t="array" ref="B539">IFERROR(INDEX(baseline!$A$3:$A$201,MATCH($C539&amp;$D539,baseline!$C$3:$C$201&amp;baseline!$D$3:$D$201,0)),"NA")</f>
        <v>25</v>
      </c>
      <c r="C539" t="s">
        <v>547</v>
      </c>
      <c r="D539" t="s">
        <v>14</v>
      </c>
      <c r="E539" t="s">
        <v>860</v>
      </c>
      <c r="F539">
        <v>155637.85999999999</v>
      </c>
      <c r="G539">
        <v>3699.8929020249998</v>
      </c>
      <c r="H539">
        <v>3631.96</v>
      </c>
      <c r="I539">
        <v>0</v>
      </c>
      <c r="J539">
        <v>1154195.3677999999</v>
      </c>
      <c r="K539">
        <v>7936.1174600000004</v>
      </c>
      <c r="L539">
        <v>28530.578379999999</v>
      </c>
      <c r="M539">
        <v>0</v>
      </c>
      <c r="N539">
        <v>98308.411980000004</v>
      </c>
      <c r="O539">
        <v>34280.582979999999</v>
      </c>
      <c r="P539">
        <v>0</v>
      </c>
      <c r="Q539">
        <v>58302.824419999997</v>
      </c>
      <c r="R539">
        <v>2788.8911199999998</v>
      </c>
      <c r="S539">
        <v>0</v>
      </c>
    </row>
    <row r="540" spans="1:19">
      <c r="A540">
        <v>539</v>
      </c>
      <c r="B540" s="45">
        <f t="array" ref="B540">IFERROR(INDEX(baseline!$A$3:$A$201,MATCH($C540&amp;$D540,baseline!$C$3:$C$201&amp;baseline!$D$3:$D$201,0)),"NA")</f>
        <v>25</v>
      </c>
      <c r="C540" t="s">
        <v>547</v>
      </c>
      <c r="D540" t="s">
        <v>14</v>
      </c>
      <c r="E540" t="s">
        <v>1019</v>
      </c>
      <c r="F540">
        <v>120314.56</v>
      </c>
      <c r="G540">
        <v>3699.8929020249998</v>
      </c>
      <c r="H540">
        <v>3631.96</v>
      </c>
      <c r="I540">
        <v>0</v>
      </c>
      <c r="J540">
        <v>453853.14085999998</v>
      </c>
      <c r="K540">
        <v>15122.23432</v>
      </c>
      <c r="L540">
        <v>28530.578379999999</v>
      </c>
      <c r="M540">
        <v>0</v>
      </c>
      <c r="N540">
        <v>140441.77901999999</v>
      </c>
      <c r="O540">
        <v>34280.582979999999</v>
      </c>
      <c r="P540">
        <v>0</v>
      </c>
      <c r="Q540">
        <v>66425.053140000004</v>
      </c>
      <c r="R540">
        <v>1230.55654</v>
      </c>
      <c r="S540">
        <v>0</v>
      </c>
    </row>
    <row r="541" spans="1:19">
      <c r="A541">
        <v>540</v>
      </c>
      <c r="B541" s="45">
        <f t="array" ref="B541">IFERROR(INDEX(baseline!$A$3:$A$201,MATCH($C541&amp;$D541,baseline!$C$3:$C$201&amp;baseline!$D$3:$D$201,0)),"NA")</f>
        <v>25</v>
      </c>
      <c r="C541" t="s">
        <v>547</v>
      </c>
      <c r="D541" t="s">
        <v>14</v>
      </c>
      <c r="E541" t="s">
        <v>836</v>
      </c>
      <c r="F541">
        <v>19534.95</v>
      </c>
      <c r="G541">
        <v>3699.8929020249998</v>
      </c>
      <c r="H541">
        <v>3631.96</v>
      </c>
      <c r="I541">
        <v>0</v>
      </c>
      <c r="J541">
        <v>953189.65144000005</v>
      </c>
      <c r="K541">
        <v>11627.78708</v>
      </c>
      <c r="L541">
        <v>28530.578379999999</v>
      </c>
      <c r="M541">
        <v>0</v>
      </c>
      <c r="N541">
        <v>140441.77901999999</v>
      </c>
      <c r="O541">
        <v>34280.582979999999</v>
      </c>
      <c r="P541">
        <v>0</v>
      </c>
      <c r="Q541">
        <v>78627.840679999994</v>
      </c>
      <c r="R541">
        <v>1455.55672</v>
      </c>
      <c r="S541">
        <v>0</v>
      </c>
    </row>
    <row r="542" spans="1:19">
      <c r="A542">
        <v>541</v>
      </c>
      <c r="B542" s="45">
        <f t="array" ref="B542">IFERROR(INDEX(baseline!$A$3:$A$201,MATCH($C542&amp;$D542,baseline!$C$3:$C$201&amp;baseline!$D$3:$D$201,0)),"NA")</f>
        <v>25</v>
      </c>
      <c r="C542" t="s">
        <v>547</v>
      </c>
      <c r="D542" t="s">
        <v>14</v>
      </c>
      <c r="E542" t="s">
        <v>1030</v>
      </c>
      <c r="F542">
        <v>376107.77</v>
      </c>
      <c r="G542">
        <v>3699.8929020249998</v>
      </c>
      <c r="H542">
        <v>3631.96</v>
      </c>
      <c r="I542">
        <v>0</v>
      </c>
      <c r="J542">
        <v>312333.58319999999</v>
      </c>
      <c r="K542">
        <v>23497.241020000001</v>
      </c>
      <c r="L542">
        <v>28530.578379999999</v>
      </c>
      <c r="M542">
        <v>0</v>
      </c>
      <c r="N542">
        <v>98308.411980000004</v>
      </c>
      <c r="O542">
        <v>34280.582979999999</v>
      </c>
      <c r="P542">
        <v>0</v>
      </c>
      <c r="Q542">
        <v>67752.831980000003</v>
      </c>
      <c r="R542">
        <v>430.55590000000001</v>
      </c>
      <c r="S542">
        <v>0</v>
      </c>
    </row>
    <row r="543" spans="1:19">
      <c r="A543">
        <v>542</v>
      </c>
      <c r="B543" s="45">
        <f t="array" ref="B543">IFERROR(INDEX(baseline!$A$3:$A$201,MATCH($C543&amp;$D543,baseline!$C$3:$C$201&amp;baseline!$D$3:$D$201,0)),"NA")</f>
        <v>25</v>
      </c>
      <c r="C543" t="s">
        <v>547</v>
      </c>
      <c r="D543" t="s">
        <v>14</v>
      </c>
      <c r="E543" t="s">
        <v>859</v>
      </c>
      <c r="F543">
        <v>11295.15</v>
      </c>
      <c r="G543">
        <v>3699.8929020249998</v>
      </c>
      <c r="H543">
        <v>3631.96</v>
      </c>
      <c r="I543">
        <v>0</v>
      </c>
      <c r="J543">
        <v>1111381.44466</v>
      </c>
      <c r="K543">
        <v>12922.23256</v>
      </c>
      <c r="L543">
        <v>28530.578379999999</v>
      </c>
      <c r="M543">
        <v>0</v>
      </c>
      <c r="N543">
        <v>140441.77901999999</v>
      </c>
      <c r="O543">
        <v>34280.582979999999</v>
      </c>
      <c r="P543">
        <v>0</v>
      </c>
      <c r="Q543">
        <v>60536.159540000001</v>
      </c>
      <c r="R543">
        <v>2613.8909800000001</v>
      </c>
      <c r="S543">
        <v>0</v>
      </c>
    </row>
    <row r="544" spans="1:19">
      <c r="A544">
        <v>543</v>
      </c>
      <c r="B544" s="45">
        <f t="array" ref="B544">IFERROR(INDEX(baseline!$A$3:$A$201,MATCH($C544&amp;$D544,baseline!$C$3:$C$201&amp;baseline!$D$3:$D$201,0)),"NA")</f>
        <v>25</v>
      </c>
      <c r="C544" t="s">
        <v>547</v>
      </c>
      <c r="D544" t="s">
        <v>14</v>
      </c>
      <c r="E544" t="s">
        <v>834</v>
      </c>
      <c r="F544">
        <v>8068.93</v>
      </c>
      <c r="G544">
        <v>3699.8929020249998</v>
      </c>
      <c r="H544">
        <v>3631.96</v>
      </c>
      <c r="I544">
        <v>0</v>
      </c>
      <c r="J544">
        <v>1112939.7792400001</v>
      </c>
      <c r="K544">
        <v>13669.455379999999</v>
      </c>
      <c r="L544">
        <v>28530.578379999999</v>
      </c>
      <c r="M544">
        <v>0</v>
      </c>
      <c r="N544">
        <v>140441.77901999999</v>
      </c>
      <c r="O544">
        <v>34280.582979999999</v>
      </c>
      <c r="P544">
        <v>0</v>
      </c>
      <c r="Q544">
        <v>61255.60456</v>
      </c>
      <c r="R544">
        <v>2597.2242999999999</v>
      </c>
      <c r="S544">
        <v>0</v>
      </c>
    </row>
    <row r="545" spans="1:19">
      <c r="A545">
        <v>544</v>
      </c>
      <c r="B545" s="45">
        <f t="array" ref="B545">IFERROR(INDEX(baseline!$A$3:$A$201,MATCH($C545&amp;$D545,baseline!$C$3:$C$201&amp;baseline!$D$3:$D$201,0)),"NA")</f>
        <v>25</v>
      </c>
      <c r="C545" t="s">
        <v>547</v>
      </c>
      <c r="D545" t="s">
        <v>14</v>
      </c>
      <c r="E545" t="s">
        <v>865</v>
      </c>
      <c r="F545">
        <v>19449.509999999998</v>
      </c>
      <c r="G545">
        <v>3699.8929020249998</v>
      </c>
      <c r="H545">
        <v>3631.96</v>
      </c>
      <c r="I545">
        <v>0</v>
      </c>
      <c r="J545">
        <v>1112939.7792400001</v>
      </c>
      <c r="K545">
        <v>13669.455379999999</v>
      </c>
      <c r="L545">
        <v>28530.578379999999</v>
      </c>
      <c r="M545">
        <v>0</v>
      </c>
      <c r="N545">
        <v>140441.77901999999</v>
      </c>
      <c r="O545">
        <v>34280.582979999999</v>
      </c>
      <c r="P545">
        <v>0</v>
      </c>
      <c r="Q545">
        <v>61255.60456</v>
      </c>
      <c r="R545">
        <v>2030.55718</v>
      </c>
      <c r="S545">
        <v>0</v>
      </c>
    </row>
    <row r="546" spans="1:19">
      <c r="A546">
        <v>545</v>
      </c>
      <c r="B546" s="45">
        <f t="array" ref="B546">IFERROR(INDEX(baseline!$A$3:$A$201,MATCH($C546&amp;$D546,baseline!$C$3:$C$201&amp;baseline!$D$3:$D$201,0)),"NA")</f>
        <v>26</v>
      </c>
      <c r="C546" t="s">
        <v>547</v>
      </c>
      <c r="D546" t="s">
        <v>546</v>
      </c>
      <c r="E546" t="s">
        <v>832</v>
      </c>
      <c r="F546">
        <v>14063.11</v>
      </c>
      <c r="G546">
        <v>3699.8929020249998</v>
      </c>
      <c r="H546">
        <v>3631.96</v>
      </c>
      <c r="I546">
        <v>0</v>
      </c>
      <c r="J546">
        <v>870828.47444000002</v>
      </c>
      <c r="K546">
        <v>27472.244200000001</v>
      </c>
      <c r="L546">
        <v>28530.578379999999</v>
      </c>
      <c r="M546">
        <v>0</v>
      </c>
      <c r="N546">
        <v>140441.77901999999</v>
      </c>
      <c r="O546">
        <v>34280.582979999999</v>
      </c>
      <c r="P546">
        <v>0</v>
      </c>
      <c r="Q546">
        <v>50002.817779999998</v>
      </c>
      <c r="R546">
        <v>1369.4455399999999</v>
      </c>
      <c r="S546">
        <v>0</v>
      </c>
    </row>
    <row r="547" spans="1:19">
      <c r="A547">
        <v>546</v>
      </c>
      <c r="B547" s="45">
        <f t="array" ref="B547">IFERROR(INDEX(baseline!$A$3:$A$201,MATCH($C547&amp;$D547,baseline!$C$3:$C$201&amp;baseline!$D$3:$D$201,0)),"NA")</f>
        <v>26</v>
      </c>
      <c r="C547" t="s">
        <v>547</v>
      </c>
      <c r="D547" t="s">
        <v>546</v>
      </c>
      <c r="E547" t="s">
        <v>869</v>
      </c>
      <c r="F547">
        <v>0</v>
      </c>
      <c r="G547">
        <v>3699.8929020249998</v>
      </c>
      <c r="H547">
        <v>3631.96</v>
      </c>
      <c r="I547">
        <v>0</v>
      </c>
      <c r="J547">
        <v>771503.39497999998</v>
      </c>
      <c r="K547">
        <v>6536.1163399999996</v>
      </c>
      <c r="L547">
        <v>28530.578379999999</v>
      </c>
      <c r="M547">
        <v>0</v>
      </c>
      <c r="N547">
        <v>140441.77901999999</v>
      </c>
      <c r="O547">
        <v>34280.582979999999</v>
      </c>
      <c r="P547">
        <v>0</v>
      </c>
      <c r="Q547">
        <v>35119.472540000002</v>
      </c>
      <c r="R547">
        <v>2636.1132200000002</v>
      </c>
      <c r="S547">
        <v>0</v>
      </c>
    </row>
    <row r="548" spans="1:19">
      <c r="A548">
        <v>547</v>
      </c>
      <c r="B548" s="45">
        <f t="array" ref="B548">IFERROR(INDEX(baseline!$A$3:$A$201,MATCH($C548&amp;$D548,baseline!$C$3:$C$201&amp;baseline!$D$3:$D$201,0)),"NA")</f>
        <v>26</v>
      </c>
      <c r="C548" t="s">
        <v>547</v>
      </c>
      <c r="D548" t="s">
        <v>546</v>
      </c>
      <c r="E548" t="s">
        <v>896</v>
      </c>
      <c r="F548">
        <v>32923.300000000003</v>
      </c>
      <c r="G548">
        <v>3699.8929020249998</v>
      </c>
      <c r="H548">
        <v>3631.96</v>
      </c>
      <c r="I548">
        <v>0</v>
      </c>
      <c r="J548">
        <v>778117.28916000004</v>
      </c>
      <c r="K548">
        <v>14130.566860000001</v>
      </c>
      <c r="L548">
        <v>28530.578379999999</v>
      </c>
      <c r="M548">
        <v>0</v>
      </c>
      <c r="N548">
        <v>140441.77901999999</v>
      </c>
      <c r="O548">
        <v>34280.582979999999</v>
      </c>
      <c r="P548">
        <v>0</v>
      </c>
      <c r="Q548">
        <v>50002.817779999998</v>
      </c>
      <c r="R548">
        <v>1694.4458</v>
      </c>
      <c r="S548">
        <v>0</v>
      </c>
    </row>
    <row r="549" spans="1:19">
      <c r="A549">
        <v>548</v>
      </c>
      <c r="B549" s="45">
        <f t="array" ref="B549">IFERROR(INDEX(baseline!$A$3:$A$201,MATCH($C549&amp;$D549,baseline!$C$3:$C$201&amp;baseline!$D$3:$D$201,0)),"NA")</f>
        <v>26</v>
      </c>
      <c r="C549" t="s">
        <v>547</v>
      </c>
      <c r="D549" t="s">
        <v>546</v>
      </c>
      <c r="E549" t="s">
        <v>840</v>
      </c>
      <c r="F549">
        <v>929.13</v>
      </c>
      <c r="G549">
        <v>3699.8929020249998</v>
      </c>
      <c r="H549">
        <v>3631.96</v>
      </c>
      <c r="I549">
        <v>0</v>
      </c>
      <c r="J549">
        <v>490464.28126000002</v>
      </c>
      <c r="K549">
        <v>14130.566860000001</v>
      </c>
      <c r="L549">
        <v>28530.578379999999</v>
      </c>
      <c r="M549">
        <v>0</v>
      </c>
      <c r="N549">
        <v>140441.77901999999</v>
      </c>
      <c r="O549">
        <v>34280.582979999999</v>
      </c>
      <c r="P549">
        <v>0</v>
      </c>
      <c r="Q549">
        <v>50002.817779999998</v>
      </c>
      <c r="R549">
        <v>1694.4458</v>
      </c>
      <c r="S549">
        <v>0</v>
      </c>
    </row>
    <row r="550" spans="1:19">
      <c r="A550">
        <v>549</v>
      </c>
      <c r="B550" s="45">
        <f t="array" ref="B550">IFERROR(INDEX(baseline!$A$3:$A$201,MATCH($C550&amp;$D550,baseline!$C$3:$C$201&amp;baseline!$D$3:$D$201,0)),"NA")</f>
        <v>26</v>
      </c>
      <c r="C550" t="s">
        <v>547</v>
      </c>
      <c r="D550" t="s">
        <v>546</v>
      </c>
      <c r="E550" t="s">
        <v>839</v>
      </c>
      <c r="F550">
        <v>19757.28</v>
      </c>
      <c r="G550">
        <v>3699.8929020249998</v>
      </c>
      <c r="H550">
        <v>3631.96</v>
      </c>
      <c r="I550">
        <v>0</v>
      </c>
      <c r="J550">
        <v>778117.28916000004</v>
      </c>
      <c r="K550">
        <v>14130.566860000001</v>
      </c>
      <c r="L550">
        <v>28530.578379999999</v>
      </c>
      <c r="M550">
        <v>0</v>
      </c>
      <c r="N550">
        <v>140441.77901999999</v>
      </c>
      <c r="O550">
        <v>34280.582979999999</v>
      </c>
      <c r="P550">
        <v>0</v>
      </c>
      <c r="Q550">
        <v>50002.817779999998</v>
      </c>
      <c r="R550">
        <v>1694.4458</v>
      </c>
      <c r="S550">
        <v>0</v>
      </c>
    </row>
    <row r="551" spans="1:19">
      <c r="A551">
        <v>550</v>
      </c>
      <c r="B551" s="45">
        <f t="array" ref="B551">IFERROR(INDEX(baseline!$A$3:$A$201,MATCH($C551&amp;$D551,baseline!$C$3:$C$201&amp;baseline!$D$3:$D$201,0)),"NA")</f>
        <v>26</v>
      </c>
      <c r="C551" t="s">
        <v>547</v>
      </c>
      <c r="D551" t="s">
        <v>546</v>
      </c>
      <c r="E551" t="s">
        <v>805</v>
      </c>
      <c r="F551">
        <v>34113.589999999997</v>
      </c>
      <c r="G551">
        <v>3699.8929020249998</v>
      </c>
      <c r="H551">
        <v>3631.96</v>
      </c>
      <c r="I551">
        <v>0</v>
      </c>
      <c r="J551">
        <v>490375.39230000001</v>
      </c>
      <c r="K551">
        <v>15372.23452</v>
      </c>
      <c r="L551">
        <v>28530.578379999999</v>
      </c>
      <c r="M551">
        <v>0</v>
      </c>
      <c r="N551">
        <v>140441.77901999999</v>
      </c>
      <c r="O551">
        <v>34280.582979999999</v>
      </c>
      <c r="P551">
        <v>0</v>
      </c>
      <c r="Q551">
        <v>49588.92856</v>
      </c>
      <c r="R551">
        <v>833.33399999999995</v>
      </c>
      <c r="S551">
        <v>0</v>
      </c>
    </row>
    <row r="552" spans="1:19">
      <c r="A552">
        <v>551</v>
      </c>
      <c r="B552" s="45">
        <f t="array" ref="B552">IFERROR(INDEX(baseline!$A$3:$A$201,MATCH($C552&amp;$D552,baseline!$C$3:$C$201&amp;baseline!$D$3:$D$201,0)),"NA")</f>
        <v>26</v>
      </c>
      <c r="C552" t="s">
        <v>547</v>
      </c>
      <c r="D552" t="s">
        <v>546</v>
      </c>
      <c r="E552" t="s">
        <v>877</v>
      </c>
      <c r="F552">
        <v>14063.11</v>
      </c>
      <c r="G552">
        <v>3699.8929020249998</v>
      </c>
      <c r="H552">
        <v>3631.96</v>
      </c>
      <c r="I552">
        <v>0</v>
      </c>
      <c r="J552">
        <v>742536.70513999998</v>
      </c>
      <c r="K552">
        <v>19525.015619999998</v>
      </c>
      <c r="L552">
        <v>28530.578379999999</v>
      </c>
      <c r="M552">
        <v>0</v>
      </c>
      <c r="N552">
        <v>140441.77901999999</v>
      </c>
      <c r="O552">
        <v>34280.582979999999</v>
      </c>
      <c r="P552">
        <v>0</v>
      </c>
      <c r="Q552">
        <v>50002.817779999998</v>
      </c>
      <c r="R552">
        <v>702.77833999999996</v>
      </c>
      <c r="S552">
        <v>0</v>
      </c>
    </row>
    <row r="553" spans="1:19">
      <c r="A553">
        <v>552</v>
      </c>
      <c r="B553" s="45">
        <f t="array" ref="B553">IFERROR(INDEX(baseline!$A$3:$A$201,MATCH($C553&amp;$D553,baseline!$C$3:$C$201&amp;baseline!$D$3:$D$201,0)),"NA")</f>
        <v>26</v>
      </c>
      <c r="C553" t="s">
        <v>547</v>
      </c>
      <c r="D553" t="s">
        <v>546</v>
      </c>
      <c r="E553" t="s">
        <v>838</v>
      </c>
      <c r="F553">
        <v>5495.15</v>
      </c>
      <c r="G553">
        <v>3699.8929020249998</v>
      </c>
      <c r="H553">
        <v>3631.96</v>
      </c>
      <c r="I553">
        <v>0</v>
      </c>
      <c r="J553">
        <v>776592.28793999995</v>
      </c>
      <c r="K553">
        <v>8830.5626200000006</v>
      </c>
      <c r="L553">
        <v>28530.578379999999</v>
      </c>
      <c r="M553">
        <v>0</v>
      </c>
      <c r="N553">
        <v>140441.77901999999</v>
      </c>
      <c r="O553">
        <v>34280.582979999999</v>
      </c>
      <c r="P553">
        <v>0</v>
      </c>
      <c r="Q553">
        <v>50002.817779999998</v>
      </c>
      <c r="R553">
        <v>1694.4458</v>
      </c>
      <c r="S553">
        <v>0</v>
      </c>
    </row>
    <row r="554" spans="1:19">
      <c r="A554">
        <v>553</v>
      </c>
      <c r="B554" s="45">
        <f t="array" ref="B554">IFERROR(INDEX(baseline!$A$3:$A$201,MATCH($C554&amp;$D554,baseline!$C$3:$C$201&amp;baseline!$D$3:$D$201,0)),"NA")</f>
        <v>26</v>
      </c>
      <c r="C554" t="s">
        <v>547</v>
      </c>
      <c r="D554" t="s">
        <v>546</v>
      </c>
      <c r="E554" t="s">
        <v>1013</v>
      </c>
      <c r="F554">
        <v>212413.59</v>
      </c>
      <c r="G554">
        <v>3699.8929020249998</v>
      </c>
      <c r="H554">
        <v>3631.96</v>
      </c>
      <c r="I554">
        <v>0</v>
      </c>
      <c r="J554">
        <v>547275.43781999999</v>
      </c>
      <c r="K554">
        <v>9297.2296600000009</v>
      </c>
      <c r="L554">
        <v>28530.578379999999</v>
      </c>
      <c r="M554">
        <v>0</v>
      </c>
      <c r="N554">
        <v>98308.411980000004</v>
      </c>
      <c r="O554">
        <v>34280.582979999999</v>
      </c>
      <c r="P554">
        <v>0</v>
      </c>
      <c r="Q554">
        <v>40388.921199999997</v>
      </c>
      <c r="R554">
        <v>1491.66786</v>
      </c>
      <c r="S554">
        <v>0</v>
      </c>
    </row>
    <row r="555" spans="1:19">
      <c r="A555">
        <v>554</v>
      </c>
      <c r="B555" s="45">
        <f t="array" ref="B555">IFERROR(INDEX(baseline!$A$3:$A$201,MATCH($C555&amp;$D555,baseline!$C$3:$C$201&amp;baseline!$D$3:$D$201,0)),"NA")</f>
        <v>26</v>
      </c>
      <c r="C555" t="s">
        <v>547</v>
      </c>
      <c r="D555" t="s">
        <v>546</v>
      </c>
      <c r="E555" t="s">
        <v>893</v>
      </c>
      <c r="F555">
        <v>0</v>
      </c>
      <c r="G555">
        <v>3699.8929020249998</v>
      </c>
      <c r="H555">
        <v>3631.96</v>
      </c>
      <c r="I555">
        <v>0</v>
      </c>
      <c r="J555">
        <v>724606.13523999997</v>
      </c>
      <c r="K555">
        <v>14311.12256</v>
      </c>
      <c r="L555">
        <v>28530.578379999999</v>
      </c>
      <c r="M555">
        <v>0</v>
      </c>
      <c r="N555">
        <v>140441.77901999999</v>
      </c>
      <c r="O555">
        <v>34280.582979999999</v>
      </c>
      <c r="P555">
        <v>0</v>
      </c>
      <c r="Q555">
        <v>48191.705220000003</v>
      </c>
      <c r="R555">
        <v>1566.6679200000001</v>
      </c>
      <c r="S555">
        <v>0</v>
      </c>
    </row>
    <row r="556" spans="1:19">
      <c r="A556">
        <v>555</v>
      </c>
      <c r="B556" s="45">
        <f t="array" ref="B556">IFERROR(INDEX(baseline!$A$3:$A$201,MATCH($C556&amp;$D556,baseline!$C$3:$C$201&amp;baseline!$D$3:$D$201,0)),"NA")</f>
        <v>26</v>
      </c>
      <c r="C556" t="s">
        <v>547</v>
      </c>
      <c r="D556" t="s">
        <v>546</v>
      </c>
      <c r="E556" t="s">
        <v>892</v>
      </c>
      <c r="F556">
        <v>0</v>
      </c>
      <c r="G556">
        <v>3699.8929020249998</v>
      </c>
      <c r="H556">
        <v>3631.96</v>
      </c>
      <c r="I556">
        <v>0</v>
      </c>
      <c r="J556">
        <v>762064.49853999994</v>
      </c>
      <c r="K556">
        <v>14230.566940000001</v>
      </c>
      <c r="L556">
        <v>28530.578379999999</v>
      </c>
      <c r="M556">
        <v>0</v>
      </c>
      <c r="N556">
        <v>140441.77901999999</v>
      </c>
      <c r="O556">
        <v>34280.582979999999</v>
      </c>
      <c r="P556">
        <v>0</v>
      </c>
      <c r="Q556">
        <v>49819.484299999996</v>
      </c>
      <c r="R556">
        <v>1641.6679799999999</v>
      </c>
      <c r="S556">
        <v>0</v>
      </c>
    </row>
    <row r="557" spans="1:19">
      <c r="A557">
        <v>556</v>
      </c>
      <c r="B557" s="45">
        <f t="array" ref="B557">IFERROR(INDEX(baseline!$A$3:$A$201,MATCH($C557&amp;$D557,baseline!$C$3:$C$201&amp;baseline!$D$3:$D$201,0)),"NA")</f>
        <v>26</v>
      </c>
      <c r="C557" t="s">
        <v>547</v>
      </c>
      <c r="D557" t="s">
        <v>546</v>
      </c>
      <c r="E557" t="s">
        <v>894</v>
      </c>
      <c r="F557">
        <v>160545.63</v>
      </c>
      <c r="G557">
        <v>3699.8929020249998</v>
      </c>
      <c r="H557">
        <v>3631.96</v>
      </c>
      <c r="I557">
        <v>0</v>
      </c>
      <c r="J557">
        <v>755695.049</v>
      </c>
      <c r="K557">
        <v>14383.34484</v>
      </c>
      <c r="L557">
        <v>28530.578379999999</v>
      </c>
      <c r="M557">
        <v>0</v>
      </c>
      <c r="N557">
        <v>140441.77901999999</v>
      </c>
      <c r="O557">
        <v>34280.582979999999</v>
      </c>
      <c r="P557">
        <v>0</v>
      </c>
      <c r="Q557">
        <v>49955.595520000003</v>
      </c>
      <c r="R557">
        <v>1613.8901800000001</v>
      </c>
      <c r="S557">
        <v>0</v>
      </c>
    </row>
    <row r="558" spans="1:19">
      <c r="A558">
        <v>557</v>
      </c>
      <c r="B558" s="45">
        <f t="array" ref="B558">IFERROR(INDEX(baseline!$A$3:$A$201,MATCH($C558&amp;$D558,baseline!$C$3:$C$201&amp;baseline!$D$3:$D$201,0)),"NA")</f>
        <v>26</v>
      </c>
      <c r="C558" t="s">
        <v>547</v>
      </c>
      <c r="D558" t="s">
        <v>546</v>
      </c>
      <c r="E558" t="s">
        <v>837</v>
      </c>
      <c r="F558">
        <v>1464.08</v>
      </c>
      <c r="G558">
        <v>3699.8929020249998</v>
      </c>
      <c r="H558">
        <v>3631.96</v>
      </c>
      <c r="I558">
        <v>0</v>
      </c>
      <c r="J558">
        <v>777781.17778000003</v>
      </c>
      <c r="K558">
        <v>14175.011339999999</v>
      </c>
      <c r="L558">
        <v>28530.578379999999</v>
      </c>
      <c r="M558">
        <v>0</v>
      </c>
      <c r="N558">
        <v>140441.77901999999</v>
      </c>
      <c r="O558">
        <v>34280.582979999999</v>
      </c>
      <c r="P558">
        <v>0</v>
      </c>
      <c r="Q558">
        <v>49927.817719999999</v>
      </c>
      <c r="R558">
        <v>1694.4458</v>
      </c>
      <c r="S558">
        <v>0</v>
      </c>
    </row>
    <row r="559" spans="1:19">
      <c r="A559">
        <v>558</v>
      </c>
      <c r="B559" s="45">
        <f t="array" ref="B559">IFERROR(INDEX(baseline!$A$3:$A$201,MATCH($C559&amp;$D559,baseline!$C$3:$C$201&amp;baseline!$D$3:$D$201,0)),"NA")</f>
        <v>26</v>
      </c>
      <c r="C559" t="s">
        <v>547</v>
      </c>
      <c r="D559" t="s">
        <v>546</v>
      </c>
      <c r="E559" t="s">
        <v>833</v>
      </c>
      <c r="F559">
        <v>7343.69</v>
      </c>
      <c r="G559">
        <v>3699.8929020249998</v>
      </c>
      <c r="H559">
        <v>3631.96</v>
      </c>
      <c r="I559">
        <v>0</v>
      </c>
      <c r="J559">
        <v>781103.40266000002</v>
      </c>
      <c r="K559">
        <v>14050.01124</v>
      </c>
      <c r="L559">
        <v>28530.578379999999</v>
      </c>
      <c r="M559">
        <v>0</v>
      </c>
      <c r="N559">
        <v>140441.77901999999</v>
      </c>
      <c r="O559">
        <v>34280.582979999999</v>
      </c>
      <c r="P559">
        <v>0</v>
      </c>
      <c r="Q559">
        <v>47100.037680000001</v>
      </c>
      <c r="R559">
        <v>1086.1119799999999</v>
      </c>
      <c r="S559">
        <v>0</v>
      </c>
    </row>
    <row r="560" spans="1:19">
      <c r="A560">
        <v>559</v>
      </c>
      <c r="B560" s="45">
        <f t="array" ref="B560">IFERROR(INDEX(baseline!$A$3:$A$201,MATCH($C560&amp;$D560,baseline!$C$3:$C$201&amp;baseline!$D$3:$D$201,0)),"NA")</f>
        <v>26</v>
      </c>
      <c r="C560" t="s">
        <v>547</v>
      </c>
      <c r="D560" t="s">
        <v>546</v>
      </c>
      <c r="E560" t="s">
        <v>835</v>
      </c>
      <c r="F560">
        <v>246874.76</v>
      </c>
      <c r="G560">
        <v>3699.8929020249998</v>
      </c>
      <c r="H560">
        <v>3631.96</v>
      </c>
      <c r="I560">
        <v>0</v>
      </c>
      <c r="J560">
        <v>507433.73927999998</v>
      </c>
      <c r="K560">
        <v>18169.458979999999</v>
      </c>
      <c r="L560">
        <v>28530.578379999999</v>
      </c>
      <c r="M560">
        <v>0</v>
      </c>
      <c r="N560">
        <v>140441.77901999999</v>
      </c>
      <c r="O560">
        <v>34280.582979999999</v>
      </c>
      <c r="P560">
        <v>0</v>
      </c>
      <c r="Q560">
        <v>49975.039980000001</v>
      </c>
      <c r="R560">
        <v>891.66737999999998</v>
      </c>
      <c r="S560">
        <v>4375.0034999999998</v>
      </c>
    </row>
    <row r="561" spans="1:19">
      <c r="A561">
        <v>560</v>
      </c>
      <c r="B561" s="45">
        <f t="array" ref="B561">IFERROR(INDEX(baseline!$A$3:$A$201,MATCH($C561&amp;$D561,baseline!$C$3:$C$201&amp;baseline!$D$3:$D$201,0)),"NA")</f>
        <v>26</v>
      </c>
      <c r="C561" t="s">
        <v>547</v>
      </c>
      <c r="D561" t="s">
        <v>546</v>
      </c>
      <c r="E561" t="s">
        <v>860</v>
      </c>
      <c r="F561">
        <v>155637.85999999999</v>
      </c>
      <c r="G561">
        <v>3699.8929020249998</v>
      </c>
      <c r="H561">
        <v>3631.96</v>
      </c>
      <c r="I561">
        <v>0</v>
      </c>
      <c r="J561">
        <v>814858.98522000003</v>
      </c>
      <c r="K561">
        <v>8702.7847399999991</v>
      </c>
      <c r="L561">
        <v>28530.578379999999</v>
      </c>
      <c r="M561">
        <v>0</v>
      </c>
      <c r="N561">
        <v>98308.411980000004</v>
      </c>
      <c r="O561">
        <v>34280.582979999999</v>
      </c>
      <c r="P561">
        <v>0</v>
      </c>
      <c r="Q561">
        <v>41391.699780000003</v>
      </c>
      <c r="R561">
        <v>2405.5574799999999</v>
      </c>
      <c r="S561">
        <v>0</v>
      </c>
    </row>
    <row r="562" spans="1:19">
      <c r="A562">
        <v>561</v>
      </c>
      <c r="B562" s="45">
        <f t="array" ref="B562">IFERROR(INDEX(baseline!$A$3:$A$201,MATCH($C562&amp;$D562,baseline!$C$3:$C$201&amp;baseline!$D$3:$D$201,0)),"NA")</f>
        <v>26</v>
      </c>
      <c r="C562" t="s">
        <v>547</v>
      </c>
      <c r="D562" t="s">
        <v>546</v>
      </c>
      <c r="E562" t="s">
        <v>1019</v>
      </c>
      <c r="F562">
        <v>19534.95</v>
      </c>
      <c r="G562">
        <v>3699.8929020249998</v>
      </c>
      <c r="H562">
        <v>3631.96</v>
      </c>
      <c r="I562">
        <v>0</v>
      </c>
      <c r="J562">
        <v>399986.43109999999</v>
      </c>
      <c r="K562">
        <v>13005.56596</v>
      </c>
      <c r="L562">
        <v>28530.578379999999</v>
      </c>
      <c r="M562">
        <v>0</v>
      </c>
      <c r="N562">
        <v>140441.77901999999</v>
      </c>
      <c r="O562">
        <v>34280.582979999999</v>
      </c>
      <c r="P562">
        <v>0</v>
      </c>
      <c r="Q562">
        <v>57994.490839999999</v>
      </c>
      <c r="R562">
        <v>1091.6675399999999</v>
      </c>
      <c r="S562">
        <v>0</v>
      </c>
    </row>
    <row r="563" spans="1:19">
      <c r="A563">
        <v>562</v>
      </c>
      <c r="B563" s="45">
        <f t="array" ref="B563">IFERROR(INDEX(baseline!$A$3:$A$201,MATCH($C563&amp;$D563,baseline!$C$3:$C$201&amp;baseline!$D$3:$D$201,0)),"NA")</f>
        <v>26</v>
      </c>
      <c r="C563" t="s">
        <v>547</v>
      </c>
      <c r="D563" t="s">
        <v>546</v>
      </c>
      <c r="E563" t="s">
        <v>836</v>
      </c>
      <c r="F563">
        <v>19534.95</v>
      </c>
      <c r="G563">
        <v>3699.8929020249998</v>
      </c>
      <c r="H563">
        <v>3631.96</v>
      </c>
      <c r="I563">
        <v>0</v>
      </c>
      <c r="J563">
        <v>640775.51262000005</v>
      </c>
      <c r="K563">
        <v>13005.56596</v>
      </c>
      <c r="L563">
        <v>28530.578379999999</v>
      </c>
      <c r="M563">
        <v>0</v>
      </c>
      <c r="N563">
        <v>140441.77901999999</v>
      </c>
      <c r="O563">
        <v>34280.582979999999</v>
      </c>
      <c r="P563">
        <v>0</v>
      </c>
      <c r="Q563">
        <v>57994.490839999999</v>
      </c>
      <c r="R563">
        <v>1091.6675399999999</v>
      </c>
      <c r="S563">
        <v>0</v>
      </c>
    </row>
    <row r="564" spans="1:19">
      <c r="A564">
        <v>563</v>
      </c>
      <c r="B564" s="45">
        <f t="array" ref="B564">IFERROR(INDEX(baseline!$A$3:$A$201,MATCH($C564&amp;$D564,baseline!$C$3:$C$201&amp;baseline!$D$3:$D$201,0)),"NA")</f>
        <v>26</v>
      </c>
      <c r="C564" t="s">
        <v>547</v>
      </c>
      <c r="D564" t="s">
        <v>546</v>
      </c>
      <c r="E564" t="s">
        <v>1030</v>
      </c>
      <c r="F564">
        <v>275328.15999999997</v>
      </c>
      <c r="G564">
        <v>3699.8929020249998</v>
      </c>
      <c r="H564">
        <v>3631.96</v>
      </c>
      <c r="I564">
        <v>0</v>
      </c>
      <c r="J564">
        <v>265680.76809999999</v>
      </c>
      <c r="K564">
        <v>18766.681680000002</v>
      </c>
      <c r="L564">
        <v>28530.578379999999</v>
      </c>
      <c r="M564">
        <v>0</v>
      </c>
      <c r="N564">
        <v>98308.411980000004</v>
      </c>
      <c r="O564">
        <v>34280.582979999999</v>
      </c>
      <c r="P564">
        <v>0</v>
      </c>
      <c r="Q564">
        <v>56141.711580000003</v>
      </c>
      <c r="R564">
        <v>400.00031999999999</v>
      </c>
      <c r="S564">
        <v>0</v>
      </c>
    </row>
    <row r="565" spans="1:19">
      <c r="A565">
        <v>564</v>
      </c>
      <c r="B565" s="45">
        <f t="array" ref="B565">IFERROR(INDEX(baseline!$A$3:$A$201,MATCH($C565&amp;$D565,baseline!$C$3:$C$201&amp;baseline!$D$3:$D$201,0)),"NA")</f>
        <v>26</v>
      </c>
      <c r="C565" t="s">
        <v>547</v>
      </c>
      <c r="D565" t="s">
        <v>546</v>
      </c>
      <c r="E565" t="s">
        <v>859</v>
      </c>
      <c r="F565">
        <v>11295.15</v>
      </c>
      <c r="G565">
        <v>3699.8929020249998</v>
      </c>
      <c r="H565">
        <v>3631.96</v>
      </c>
      <c r="I565">
        <v>0</v>
      </c>
      <c r="J565">
        <v>777039.51052000001</v>
      </c>
      <c r="K565">
        <v>13508.344139999999</v>
      </c>
      <c r="L565">
        <v>28530.578379999999</v>
      </c>
      <c r="M565">
        <v>0</v>
      </c>
      <c r="N565">
        <v>140441.77901999999</v>
      </c>
      <c r="O565">
        <v>34280.582979999999</v>
      </c>
      <c r="P565">
        <v>0</v>
      </c>
      <c r="Q565">
        <v>48880.594660000002</v>
      </c>
      <c r="R565">
        <v>1741.66806</v>
      </c>
      <c r="S565">
        <v>0</v>
      </c>
    </row>
    <row r="566" spans="1:19">
      <c r="A566">
        <v>565</v>
      </c>
      <c r="B566" s="45">
        <f t="array" ref="B566">IFERROR(INDEX(baseline!$A$3:$A$201,MATCH($C566&amp;$D566,baseline!$C$3:$C$201&amp;baseline!$D$3:$D$201,0)),"NA")</f>
        <v>26</v>
      </c>
      <c r="C566" t="s">
        <v>547</v>
      </c>
      <c r="D566" t="s">
        <v>546</v>
      </c>
      <c r="E566" t="s">
        <v>834</v>
      </c>
      <c r="F566">
        <v>8068.93</v>
      </c>
      <c r="G566">
        <v>3699.8929020249998</v>
      </c>
      <c r="H566">
        <v>3631.96</v>
      </c>
      <c r="I566">
        <v>0</v>
      </c>
      <c r="J566">
        <v>778117.28916000004</v>
      </c>
      <c r="K566">
        <v>14130.566860000001</v>
      </c>
      <c r="L566">
        <v>28530.578379999999</v>
      </c>
      <c r="M566">
        <v>0</v>
      </c>
      <c r="N566">
        <v>140441.77901999999</v>
      </c>
      <c r="O566">
        <v>34280.582979999999</v>
      </c>
      <c r="P566">
        <v>0</v>
      </c>
      <c r="Q566">
        <v>50002.817779999998</v>
      </c>
      <c r="R566">
        <v>1694.4458</v>
      </c>
      <c r="S566">
        <v>0</v>
      </c>
    </row>
    <row r="567" spans="1:19">
      <c r="A567">
        <v>566</v>
      </c>
      <c r="B567" s="45">
        <f t="array" ref="B567">IFERROR(INDEX(baseline!$A$3:$A$201,MATCH($C567&amp;$D567,baseline!$C$3:$C$201&amp;baseline!$D$3:$D$201,0)),"NA")</f>
        <v>26</v>
      </c>
      <c r="C567" t="s">
        <v>547</v>
      </c>
      <c r="D567" t="s">
        <v>546</v>
      </c>
      <c r="E567" t="s">
        <v>865</v>
      </c>
      <c r="F567">
        <v>19449.509999999998</v>
      </c>
      <c r="G567">
        <v>3699.8929020249998</v>
      </c>
      <c r="H567">
        <v>3631.96</v>
      </c>
      <c r="I567">
        <v>0</v>
      </c>
      <c r="J567">
        <v>778117.28916000004</v>
      </c>
      <c r="K567">
        <v>14130.566860000001</v>
      </c>
      <c r="L567">
        <v>28530.578379999999</v>
      </c>
      <c r="M567">
        <v>0</v>
      </c>
      <c r="N567">
        <v>140441.77901999999</v>
      </c>
      <c r="O567">
        <v>34280.582979999999</v>
      </c>
      <c r="P567">
        <v>0</v>
      </c>
      <c r="Q567">
        <v>50002.817779999998</v>
      </c>
      <c r="R567">
        <v>1325.0010600000001</v>
      </c>
      <c r="S567">
        <v>0</v>
      </c>
    </row>
    <row r="568" spans="1:19">
      <c r="A568">
        <v>567</v>
      </c>
      <c r="B568" s="45">
        <f t="array" ref="B568">IFERROR(INDEX(baseline!$A$3:$A$201,MATCH($C568&amp;$D568,baseline!$C$3:$C$201&amp;baseline!$D$3:$D$201,0)),"NA")</f>
        <v>27</v>
      </c>
      <c r="C568" t="s">
        <v>1</v>
      </c>
      <c r="D568" t="s">
        <v>881</v>
      </c>
      <c r="E568" t="s">
        <v>832</v>
      </c>
      <c r="F568">
        <v>9043.69</v>
      </c>
      <c r="G568">
        <v>3744.59714816727</v>
      </c>
      <c r="H568">
        <v>1890.42</v>
      </c>
      <c r="I568">
        <v>0</v>
      </c>
      <c r="J568">
        <v>728836.69417999999</v>
      </c>
      <c r="K568">
        <v>0</v>
      </c>
      <c r="L568">
        <v>4625.0037000000002</v>
      </c>
      <c r="M568">
        <v>0</v>
      </c>
      <c r="N568">
        <v>63900.051119999996</v>
      </c>
      <c r="O568">
        <v>13780.566580000001</v>
      </c>
      <c r="P568">
        <v>0</v>
      </c>
      <c r="Q568">
        <v>51663.930220000002</v>
      </c>
      <c r="R568">
        <v>46977.815360000001</v>
      </c>
      <c r="S568">
        <v>0</v>
      </c>
    </row>
    <row r="569" spans="1:19">
      <c r="A569">
        <v>568</v>
      </c>
      <c r="B569" s="45">
        <f t="array" ref="B569">IFERROR(INDEX(baseline!$A$3:$A$201,MATCH($C569&amp;$D569,baseline!$C$3:$C$201&amp;baseline!$D$3:$D$201,0)),"NA")</f>
        <v>27</v>
      </c>
      <c r="C569" t="s">
        <v>1</v>
      </c>
      <c r="D569" t="s">
        <v>881</v>
      </c>
      <c r="E569" t="s">
        <v>869</v>
      </c>
      <c r="F569">
        <v>0</v>
      </c>
      <c r="G569">
        <v>3744.5971479999998</v>
      </c>
      <c r="H569">
        <v>1890.42</v>
      </c>
      <c r="I569">
        <v>0</v>
      </c>
      <c r="J569">
        <v>748947.82140000002</v>
      </c>
      <c r="K569">
        <v>0</v>
      </c>
      <c r="L569">
        <v>4625.0037000000002</v>
      </c>
      <c r="M569">
        <v>0</v>
      </c>
      <c r="N569">
        <v>63900.051119999996</v>
      </c>
      <c r="O569">
        <v>13780.566580000001</v>
      </c>
      <c r="P569">
        <v>0</v>
      </c>
      <c r="Q569">
        <v>44172.257559999998</v>
      </c>
      <c r="R569">
        <v>46744.48184</v>
      </c>
      <c r="S569">
        <v>0</v>
      </c>
    </row>
    <row r="570" spans="1:19">
      <c r="A570">
        <v>569</v>
      </c>
      <c r="B570" s="45">
        <f t="array" ref="B570">IFERROR(INDEX(baseline!$A$3:$A$201,MATCH($C570&amp;$D570,baseline!$C$3:$C$201&amp;baseline!$D$3:$D$201,0)),"NA")</f>
        <v>27</v>
      </c>
      <c r="C570" t="s">
        <v>1</v>
      </c>
      <c r="D570" t="s">
        <v>881</v>
      </c>
      <c r="E570" t="s">
        <v>896</v>
      </c>
      <c r="F570">
        <v>65332.04</v>
      </c>
      <c r="G570">
        <v>3744.59714816727</v>
      </c>
      <c r="H570">
        <v>1890.42</v>
      </c>
      <c r="I570">
        <v>0</v>
      </c>
      <c r="J570">
        <v>728022.80463999999</v>
      </c>
      <c r="K570">
        <v>0</v>
      </c>
      <c r="L570">
        <v>4625.0037000000002</v>
      </c>
      <c r="M570">
        <v>0</v>
      </c>
      <c r="N570">
        <v>63900.051119999996</v>
      </c>
      <c r="O570">
        <v>13780.566580000001</v>
      </c>
      <c r="P570">
        <v>0</v>
      </c>
      <c r="Q570">
        <v>44130.590859999997</v>
      </c>
      <c r="R570">
        <v>46947.25978</v>
      </c>
      <c r="S570">
        <v>0</v>
      </c>
    </row>
    <row r="571" spans="1:19">
      <c r="A571">
        <v>570</v>
      </c>
      <c r="B571" s="45">
        <f t="array" ref="B571">IFERROR(INDEX(baseline!$A$3:$A$201,MATCH($C571&amp;$D571,baseline!$C$3:$C$201&amp;baseline!$D$3:$D$201,0)),"NA")</f>
        <v>27</v>
      </c>
      <c r="C571" t="s">
        <v>1</v>
      </c>
      <c r="D571" t="s">
        <v>881</v>
      </c>
      <c r="E571" t="s">
        <v>840</v>
      </c>
      <c r="F571">
        <v>929.13</v>
      </c>
      <c r="G571">
        <v>3744.59714816727</v>
      </c>
      <c r="H571">
        <v>1890.42</v>
      </c>
      <c r="I571">
        <v>0</v>
      </c>
      <c r="J571">
        <v>450008.69334</v>
      </c>
      <c r="K571">
        <v>0</v>
      </c>
      <c r="L571">
        <v>4625.0037000000002</v>
      </c>
      <c r="M571">
        <v>0</v>
      </c>
      <c r="N571">
        <v>63900.051119999996</v>
      </c>
      <c r="O571">
        <v>13780.566580000001</v>
      </c>
      <c r="P571">
        <v>0</v>
      </c>
      <c r="Q571">
        <v>44130.590859999997</v>
      </c>
      <c r="R571">
        <v>46947.25978</v>
      </c>
      <c r="S571">
        <v>0</v>
      </c>
    </row>
    <row r="572" spans="1:19">
      <c r="A572">
        <v>571</v>
      </c>
      <c r="B572" s="45">
        <f t="array" ref="B572">IFERROR(INDEX(baseline!$A$3:$A$201,MATCH($C572&amp;$D572,baseline!$C$3:$C$201&amp;baseline!$D$3:$D$201,0)),"NA")</f>
        <v>27</v>
      </c>
      <c r="C572" t="s">
        <v>1</v>
      </c>
      <c r="D572" t="s">
        <v>881</v>
      </c>
      <c r="E572" t="s">
        <v>805</v>
      </c>
      <c r="F572">
        <v>8495.15</v>
      </c>
      <c r="G572">
        <v>3744.59714816727</v>
      </c>
      <c r="H572">
        <v>1890.42</v>
      </c>
      <c r="I572">
        <v>0</v>
      </c>
      <c r="J572">
        <v>630967.17143999995</v>
      </c>
      <c r="K572">
        <v>0</v>
      </c>
      <c r="L572">
        <v>4625.0037000000002</v>
      </c>
      <c r="M572">
        <v>0</v>
      </c>
      <c r="N572">
        <v>63900.051119999996</v>
      </c>
      <c r="O572">
        <v>13780.566580000001</v>
      </c>
      <c r="P572">
        <v>0</v>
      </c>
      <c r="Q572">
        <v>44027.813000000002</v>
      </c>
      <c r="R572">
        <v>46947.25978</v>
      </c>
      <c r="S572">
        <v>0</v>
      </c>
    </row>
    <row r="573" spans="1:19">
      <c r="A573">
        <v>572</v>
      </c>
      <c r="B573" s="45">
        <f t="array" ref="B573">IFERROR(INDEX(baseline!$A$3:$A$201,MATCH($C573&amp;$D573,baseline!$C$3:$C$201&amp;baseline!$D$3:$D$201,0)),"NA")</f>
        <v>27</v>
      </c>
      <c r="C573" t="s">
        <v>1</v>
      </c>
      <c r="D573" t="s">
        <v>881</v>
      </c>
      <c r="E573" t="s">
        <v>877</v>
      </c>
      <c r="F573">
        <v>9043.69</v>
      </c>
      <c r="G573">
        <v>3744.59714816727</v>
      </c>
      <c r="H573">
        <v>1890.42</v>
      </c>
      <c r="I573">
        <v>0</v>
      </c>
      <c r="J573">
        <v>728022.80463999999</v>
      </c>
      <c r="K573">
        <v>0</v>
      </c>
      <c r="L573">
        <v>4625.0037000000002</v>
      </c>
      <c r="M573">
        <v>0</v>
      </c>
      <c r="N573">
        <v>63900.051119999996</v>
      </c>
      <c r="O573">
        <v>13780.566580000001</v>
      </c>
      <c r="P573">
        <v>0</v>
      </c>
      <c r="Q573">
        <v>44130.590859999997</v>
      </c>
      <c r="R573">
        <v>46947.25978</v>
      </c>
      <c r="S573">
        <v>0</v>
      </c>
    </row>
    <row r="574" spans="1:19">
      <c r="A574">
        <v>573</v>
      </c>
      <c r="B574" s="45">
        <f t="array" ref="B574">IFERROR(INDEX(baseline!$A$3:$A$201,MATCH($C574&amp;$D574,baseline!$C$3:$C$201&amp;baseline!$D$3:$D$201,0)),"NA")</f>
        <v>27</v>
      </c>
      <c r="C574" t="s">
        <v>1</v>
      </c>
      <c r="D574" t="s">
        <v>881</v>
      </c>
      <c r="E574" t="s">
        <v>838</v>
      </c>
      <c r="F574">
        <v>3517.48</v>
      </c>
      <c r="G574">
        <v>3744.59714816727</v>
      </c>
      <c r="H574">
        <v>1890.42</v>
      </c>
      <c r="I574">
        <v>0</v>
      </c>
      <c r="J574">
        <v>729228.36115999997</v>
      </c>
      <c r="K574">
        <v>0</v>
      </c>
      <c r="L574">
        <v>4625.0037000000002</v>
      </c>
      <c r="M574">
        <v>0</v>
      </c>
      <c r="N574">
        <v>63900.051119999996</v>
      </c>
      <c r="O574">
        <v>13780.566580000001</v>
      </c>
      <c r="P574">
        <v>0</v>
      </c>
      <c r="Q574">
        <v>44136.146419999997</v>
      </c>
      <c r="R574">
        <v>46077.814639999997</v>
      </c>
      <c r="S574">
        <v>0</v>
      </c>
    </row>
    <row r="575" spans="1:19">
      <c r="A575">
        <v>574</v>
      </c>
      <c r="B575" s="45">
        <f t="array" ref="B575">IFERROR(INDEX(baseline!$A$3:$A$201,MATCH($C575&amp;$D575,baseline!$C$3:$C$201&amp;baseline!$D$3:$D$201,0)),"NA")</f>
        <v>27</v>
      </c>
      <c r="C575" t="s">
        <v>1</v>
      </c>
      <c r="D575" t="s">
        <v>881</v>
      </c>
      <c r="E575" t="s">
        <v>1013</v>
      </c>
      <c r="F575">
        <v>47283.5</v>
      </c>
      <c r="G575">
        <v>3744.59714816727</v>
      </c>
      <c r="H575">
        <v>1890.42</v>
      </c>
      <c r="I575">
        <v>0</v>
      </c>
      <c r="J575">
        <v>659914.41682000004</v>
      </c>
      <c r="K575">
        <v>0</v>
      </c>
      <c r="L575">
        <v>4625.0037000000002</v>
      </c>
      <c r="M575">
        <v>0</v>
      </c>
      <c r="N575">
        <v>44730.591339999999</v>
      </c>
      <c r="O575">
        <v>13780.566580000001</v>
      </c>
      <c r="P575">
        <v>0</v>
      </c>
      <c r="Q575">
        <v>43908.368459999998</v>
      </c>
      <c r="R575">
        <v>36822.251680000001</v>
      </c>
      <c r="S575">
        <v>0</v>
      </c>
    </row>
    <row r="576" spans="1:19">
      <c r="A576">
        <v>575</v>
      </c>
      <c r="B576" s="45">
        <f t="array" ref="B576">IFERROR(INDEX(baseline!$A$3:$A$201,MATCH($C576&amp;$D576,baseline!$C$3:$C$201&amp;baseline!$D$3:$D$201,0)),"NA")</f>
        <v>27</v>
      </c>
      <c r="C576" t="s">
        <v>1</v>
      </c>
      <c r="D576" t="s">
        <v>881</v>
      </c>
      <c r="E576" t="s">
        <v>893</v>
      </c>
      <c r="F576">
        <v>346598.06</v>
      </c>
      <c r="G576">
        <v>3744.59714816727</v>
      </c>
      <c r="H576">
        <v>1890.42</v>
      </c>
      <c r="I576">
        <v>0</v>
      </c>
      <c r="J576">
        <v>713583.90419999999</v>
      </c>
      <c r="K576">
        <v>0</v>
      </c>
      <c r="L576">
        <v>4625.0037000000002</v>
      </c>
      <c r="M576">
        <v>0</v>
      </c>
      <c r="N576">
        <v>63900.051119999996</v>
      </c>
      <c r="O576">
        <v>13780.566580000001</v>
      </c>
      <c r="P576">
        <v>0</v>
      </c>
      <c r="Q576">
        <v>43025.034419999902</v>
      </c>
      <c r="R576">
        <v>45836.147779999999</v>
      </c>
      <c r="S576">
        <v>0</v>
      </c>
    </row>
    <row r="577" spans="1:19">
      <c r="A577">
        <v>576</v>
      </c>
      <c r="B577" s="45">
        <f t="array" ref="B577">IFERROR(INDEX(baseline!$A$3:$A$201,MATCH($C577&amp;$D577,baseline!$C$3:$C$201&amp;baseline!$D$3:$D$201,0)),"NA")</f>
        <v>27</v>
      </c>
      <c r="C577" t="s">
        <v>1</v>
      </c>
      <c r="D577" t="s">
        <v>881</v>
      </c>
      <c r="E577" t="s">
        <v>892</v>
      </c>
      <c r="F577">
        <v>369193.2</v>
      </c>
      <c r="G577">
        <v>3744.59714816727</v>
      </c>
      <c r="H577">
        <v>1890.42</v>
      </c>
      <c r="I577">
        <v>0</v>
      </c>
      <c r="J577">
        <v>686269.99346000003</v>
      </c>
      <c r="K577">
        <v>0</v>
      </c>
      <c r="L577">
        <v>4625.0037000000002</v>
      </c>
      <c r="M577">
        <v>0</v>
      </c>
      <c r="N577">
        <v>63900.051119999996</v>
      </c>
      <c r="O577">
        <v>13780.566580000001</v>
      </c>
      <c r="P577">
        <v>0</v>
      </c>
      <c r="Q577">
        <v>41461.14428</v>
      </c>
      <c r="R577">
        <v>43886.146220000002</v>
      </c>
      <c r="S577">
        <v>0</v>
      </c>
    </row>
    <row r="578" spans="1:19">
      <c r="A578">
        <v>577</v>
      </c>
      <c r="B578" s="45">
        <f t="array" ref="B578">IFERROR(INDEX(baseline!$A$3:$A$201,MATCH($C578&amp;$D578,baseline!$C$3:$C$201&amp;baseline!$D$3:$D$201,0)),"NA")</f>
        <v>27</v>
      </c>
      <c r="C578" t="s">
        <v>1</v>
      </c>
      <c r="D578" t="s">
        <v>881</v>
      </c>
      <c r="E578" t="s">
        <v>894</v>
      </c>
      <c r="F578">
        <v>4333.9799999999996</v>
      </c>
      <c r="G578">
        <v>3744.59714816727</v>
      </c>
      <c r="H578">
        <v>1890.42</v>
      </c>
      <c r="I578">
        <v>0</v>
      </c>
      <c r="J578">
        <v>727289.47071999998</v>
      </c>
      <c r="K578">
        <v>0</v>
      </c>
      <c r="L578">
        <v>4625.0037000000002</v>
      </c>
      <c r="M578">
        <v>0</v>
      </c>
      <c r="N578">
        <v>63900.051119999996</v>
      </c>
      <c r="O578">
        <v>13780.566580000001</v>
      </c>
      <c r="P578">
        <v>0</v>
      </c>
      <c r="Q578">
        <v>44091.701939999999</v>
      </c>
      <c r="R578">
        <v>46905.593079999999</v>
      </c>
      <c r="S578">
        <v>0</v>
      </c>
    </row>
    <row r="579" spans="1:19">
      <c r="A579">
        <v>578</v>
      </c>
      <c r="B579" s="45">
        <f t="array" ref="B579">IFERROR(INDEX(baseline!$A$3:$A$201,MATCH($C579&amp;$D579,baseline!$C$3:$C$201&amp;baseline!$D$3:$D$201,0)),"NA")</f>
        <v>27</v>
      </c>
      <c r="C579" t="s">
        <v>1</v>
      </c>
      <c r="D579" t="s">
        <v>881</v>
      </c>
      <c r="E579" t="s">
        <v>837</v>
      </c>
      <c r="F579">
        <v>732.04</v>
      </c>
      <c r="G579">
        <v>3744.59714816727</v>
      </c>
      <c r="H579">
        <v>1890.42</v>
      </c>
      <c r="I579">
        <v>0</v>
      </c>
      <c r="J579">
        <v>728022.80463999999</v>
      </c>
      <c r="K579">
        <v>0</v>
      </c>
      <c r="L579">
        <v>4625.0037000000002</v>
      </c>
      <c r="M579">
        <v>0</v>
      </c>
      <c r="N579">
        <v>63900.051119999996</v>
      </c>
      <c r="O579">
        <v>13780.566580000001</v>
      </c>
      <c r="P579">
        <v>0</v>
      </c>
      <c r="Q579">
        <v>43722.2572</v>
      </c>
      <c r="R579">
        <v>46947.25978</v>
      </c>
      <c r="S579">
        <v>0</v>
      </c>
    </row>
    <row r="580" spans="1:19">
      <c r="A580">
        <v>579</v>
      </c>
      <c r="B580" s="45">
        <f t="array" ref="B580">IFERROR(INDEX(baseline!$A$3:$A$201,MATCH($C580&amp;$D580,baseline!$C$3:$C$201&amp;baseline!$D$3:$D$201,0)),"NA")</f>
        <v>27</v>
      </c>
      <c r="C580" t="s">
        <v>1</v>
      </c>
      <c r="D580" t="s">
        <v>881</v>
      </c>
      <c r="E580" t="s">
        <v>833</v>
      </c>
      <c r="F580">
        <v>3029.13</v>
      </c>
      <c r="G580">
        <v>3744.59714816727</v>
      </c>
      <c r="H580">
        <v>1890.42</v>
      </c>
      <c r="I580">
        <v>0</v>
      </c>
      <c r="J580">
        <v>728725.58297999995</v>
      </c>
      <c r="K580">
        <v>0</v>
      </c>
      <c r="L580">
        <v>4625.0037000000002</v>
      </c>
      <c r="M580">
        <v>0</v>
      </c>
      <c r="N580">
        <v>63900.051119999996</v>
      </c>
      <c r="O580">
        <v>13780.566580000001</v>
      </c>
      <c r="P580">
        <v>0</v>
      </c>
      <c r="Q580">
        <v>43719.479419999901</v>
      </c>
      <c r="R580">
        <v>46947.25978</v>
      </c>
      <c r="S580">
        <v>0</v>
      </c>
    </row>
    <row r="581" spans="1:19">
      <c r="A581">
        <v>580</v>
      </c>
      <c r="B581" s="45">
        <f t="array" ref="B581">IFERROR(INDEX(baseline!$A$3:$A$201,MATCH($C581&amp;$D581,baseline!$C$3:$C$201&amp;baseline!$D$3:$D$201,0)),"NA")</f>
        <v>27</v>
      </c>
      <c r="C581" t="s">
        <v>1</v>
      </c>
      <c r="D581" t="s">
        <v>881</v>
      </c>
      <c r="E581" t="s">
        <v>835</v>
      </c>
      <c r="F581">
        <v>159105.82999999999</v>
      </c>
      <c r="G581">
        <v>3744.59714816727</v>
      </c>
      <c r="H581">
        <v>1890.42</v>
      </c>
      <c r="I581">
        <v>0</v>
      </c>
      <c r="J581">
        <v>647961.62948</v>
      </c>
      <c r="K581">
        <v>0</v>
      </c>
      <c r="L581">
        <v>4625.0037000000002</v>
      </c>
      <c r="M581">
        <v>0</v>
      </c>
      <c r="N581">
        <v>63900.051119999996</v>
      </c>
      <c r="O581">
        <v>13780.566580000001</v>
      </c>
      <c r="P581">
        <v>0</v>
      </c>
      <c r="Q581">
        <v>43980.59074</v>
      </c>
      <c r="R581">
        <v>46955.593119999998</v>
      </c>
      <c r="S581">
        <v>13138.8994</v>
      </c>
    </row>
    <row r="582" spans="1:19">
      <c r="A582">
        <v>581</v>
      </c>
      <c r="B582" s="45">
        <f t="array" ref="B582">IFERROR(INDEX(baseline!$A$3:$A$201,MATCH($C582&amp;$D582,baseline!$C$3:$C$201&amp;baseline!$D$3:$D$201,0)),"NA")</f>
        <v>27</v>
      </c>
      <c r="C582" t="s">
        <v>1</v>
      </c>
      <c r="D582" t="s">
        <v>881</v>
      </c>
      <c r="E582" t="s">
        <v>863</v>
      </c>
      <c r="F582">
        <v>65289.32</v>
      </c>
      <c r="G582">
        <v>3744.59714816727</v>
      </c>
      <c r="H582">
        <v>1890.42</v>
      </c>
      <c r="I582">
        <v>0</v>
      </c>
      <c r="J582">
        <v>458855.92264</v>
      </c>
      <c r="K582">
        <v>0</v>
      </c>
      <c r="L582">
        <v>4625.0037000000002</v>
      </c>
      <c r="M582">
        <v>0</v>
      </c>
      <c r="N582">
        <v>63900.051119999996</v>
      </c>
      <c r="O582">
        <v>13780.566580000001</v>
      </c>
      <c r="P582">
        <v>0</v>
      </c>
      <c r="Q582">
        <v>27636.13322</v>
      </c>
      <c r="R582">
        <v>30197.24638</v>
      </c>
      <c r="S582">
        <v>0</v>
      </c>
    </row>
    <row r="583" spans="1:19">
      <c r="A583">
        <v>582</v>
      </c>
      <c r="B583" s="45">
        <f t="array" ref="B583">IFERROR(INDEX(baseline!$A$3:$A$201,MATCH($C583&amp;$D583,baseline!$C$3:$C$201&amp;baseline!$D$3:$D$201,0)),"NA")</f>
        <v>27</v>
      </c>
      <c r="C583" t="s">
        <v>1</v>
      </c>
      <c r="D583" t="s">
        <v>881</v>
      </c>
      <c r="E583" t="s">
        <v>1011</v>
      </c>
      <c r="F583">
        <v>70054.37</v>
      </c>
      <c r="G583">
        <v>3744.5971479999998</v>
      </c>
      <c r="H583">
        <v>1890.42</v>
      </c>
      <c r="I583">
        <v>0</v>
      </c>
      <c r="J583">
        <v>418747.55719999998</v>
      </c>
      <c r="K583">
        <v>0</v>
      </c>
      <c r="L583">
        <v>4627.7814799999996</v>
      </c>
      <c r="M583">
        <v>0</v>
      </c>
      <c r="N583">
        <v>63900.051119999996</v>
      </c>
      <c r="O583">
        <v>13780.566580000001</v>
      </c>
      <c r="P583">
        <v>0</v>
      </c>
      <c r="Q583">
        <v>32633.35944</v>
      </c>
      <c r="R583">
        <v>433.33368000000002</v>
      </c>
      <c r="S583">
        <v>0</v>
      </c>
    </row>
    <row r="584" spans="1:19">
      <c r="A584">
        <v>583</v>
      </c>
      <c r="B584" s="45">
        <f t="array" ref="B584">IFERROR(INDEX(baseline!$A$3:$A$201,MATCH($C584&amp;$D584,baseline!$C$3:$C$201&amp;baseline!$D$3:$D$201,0)),"NA")</f>
        <v>27</v>
      </c>
      <c r="C584" t="s">
        <v>1</v>
      </c>
      <c r="D584" t="s">
        <v>881</v>
      </c>
      <c r="E584" t="s">
        <v>860</v>
      </c>
      <c r="F584">
        <v>25398.06</v>
      </c>
      <c r="G584">
        <v>3744.59714816727</v>
      </c>
      <c r="H584">
        <v>1890.42</v>
      </c>
      <c r="I584">
        <v>0</v>
      </c>
      <c r="J584">
        <v>756778.38320000004</v>
      </c>
      <c r="K584">
        <v>0</v>
      </c>
      <c r="L584">
        <v>4625.0037000000002</v>
      </c>
      <c r="M584">
        <v>0</v>
      </c>
      <c r="N584">
        <v>44730.591339999999</v>
      </c>
      <c r="O584">
        <v>13780.566580000001</v>
      </c>
      <c r="P584">
        <v>0</v>
      </c>
      <c r="Q584">
        <v>44291.702100000002</v>
      </c>
      <c r="R584">
        <v>47063.92654</v>
      </c>
      <c r="S584">
        <v>0</v>
      </c>
    </row>
    <row r="585" spans="1:19">
      <c r="A585">
        <v>584</v>
      </c>
      <c r="B585" s="45">
        <f t="array" ref="B585">IFERROR(INDEX(baseline!$A$3:$A$201,MATCH($C585&amp;$D585,baseline!$C$3:$C$201&amp;baseline!$D$3:$D$201,0)),"NA")</f>
        <v>27</v>
      </c>
      <c r="C585" t="s">
        <v>1</v>
      </c>
      <c r="D585" t="s">
        <v>881</v>
      </c>
      <c r="E585" t="s">
        <v>1019</v>
      </c>
      <c r="F585">
        <v>70983.5</v>
      </c>
      <c r="G585">
        <v>3744.5971479999998</v>
      </c>
      <c r="H585">
        <v>1890.42</v>
      </c>
      <c r="I585">
        <v>0</v>
      </c>
      <c r="J585">
        <v>263219.65500000003</v>
      </c>
      <c r="K585">
        <v>0</v>
      </c>
      <c r="L585">
        <v>4627.7814799999996</v>
      </c>
      <c r="M585">
        <v>0</v>
      </c>
      <c r="N585">
        <v>63900.051119999996</v>
      </c>
      <c r="O585">
        <v>13780.566580000001</v>
      </c>
      <c r="P585">
        <v>0</v>
      </c>
      <c r="Q585">
        <v>32633.35944</v>
      </c>
      <c r="R585">
        <v>433.33368000000002</v>
      </c>
      <c r="S585">
        <v>0</v>
      </c>
    </row>
    <row r="586" spans="1:19">
      <c r="A586">
        <v>585</v>
      </c>
      <c r="B586" s="45">
        <f t="array" ref="B586">IFERROR(INDEX(baseline!$A$3:$A$201,MATCH($C586&amp;$D586,baseline!$C$3:$C$201&amp;baseline!$D$3:$D$201,0)),"NA")</f>
        <v>27</v>
      </c>
      <c r="C586" t="s">
        <v>1</v>
      </c>
      <c r="D586" t="s">
        <v>881</v>
      </c>
      <c r="E586" t="s">
        <v>836</v>
      </c>
      <c r="F586">
        <v>4765.05</v>
      </c>
      <c r="G586">
        <v>3744.59714816727</v>
      </c>
      <c r="H586">
        <v>1890.42</v>
      </c>
      <c r="I586">
        <v>0</v>
      </c>
      <c r="J586">
        <v>617069.93810000003</v>
      </c>
      <c r="K586">
        <v>0</v>
      </c>
      <c r="L586">
        <v>4625.0037000000002</v>
      </c>
      <c r="M586">
        <v>0</v>
      </c>
      <c r="N586">
        <v>63900.051119999996</v>
      </c>
      <c r="O586">
        <v>13780.566580000001</v>
      </c>
      <c r="P586">
        <v>0</v>
      </c>
      <c r="Q586">
        <v>51405.596680000002</v>
      </c>
      <c r="R586">
        <v>53236.153700000003</v>
      </c>
      <c r="S586">
        <v>0</v>
      </c>
    </row>
    <row r="587" spans="1:19">
      <c r="A587">
        <v>586</v>
      </c>
      <c r="B587" s="45">
        <f t="array" ref="B587">IFERROR(INDEX(baseline!$A$3:$A$201,MATCH($C587&amp;$D587,baseline!$C$3:$C$201&amp;baseline!$D$3:$D$201,0)),"NA")</f>
        <v>27</v>
      </c>
      <c r="C587" t="s">
        <v>1</v>
      </c>
      <c r="D587" t="s">
        <v>881</v>
      </c>
      <c r="E587" t="s">
        <v>1030</v>
      </c>
      <c r="F587">
        <v>130204.85</v>
      </c>
      <c r="G587">
        <v>3744.5971479999998</v>
      </c>
      <c r="H587">
        <v>1890.42</v>
      </c>
      <c r="I587">
        <v>0</v>
      </c>
      <c r="J587">
        <v>202194.60620000001</v>
      </c>
      <c r="K587">
        <v>0</v>
      </c>
      <c r="L587">
        <v>4625.0037000000002</v>
      </c>
      <c r="M587">
        <v>0</v>
      </c>
      <c r="N587">
        <v>44730.591339999999</v>
      </c>
      <c r="O587">
        <v>13780.566580000001</v>
      </c>
      <c r="P587">
        <v>0</v>
      </c>
      <c r="Q587">
        <v>32177.803520000001</v>
      </c>
      <c r="R587">
        <v>26263.909899999999</v>
      </c>
      <c r="S587">
        <v>0</v>
      </c>
    </row>
    <row r="588" spans="1:19">
      <c r="A588">
        <v>587</v>
      </c>
      <c r="B588" s="45">
        <f t="array" ref="B588">IFERROR(INDEX(baseline!$A$3:$A$201,MATCH($C588&amp;$D588,baseline!$C$3:$C$201&amp;baseline!$D$3:$D$201,0)),"NA")</f>
        <v>27</v>
      </c>
      <c r="C588" t="s">
        <v>1</v>
      </c>
      <c r="D588" t="s">
        <v>881</v>
      </c>
      <c r="E588" t="s">
        <v>859</v>
      </c>
      <c r="F588">
        <v>2755.34</v>
      </c>
      <c r="G588">
        <v>3744.59714816727</v>
      </c>
      <c r="H588">
        <v>1890.42</v>
      </c>
      <c r="I588">
        <v>0</v>
      </c>
      <c r="J588">
        <v>728645.02735999995</v>
      </c>
      <c r="K588">
        <v>0</v>
      </c>
      <c r="L588">
        <v>4625.0037000000002</v>
      </c>
      <c r="M588">
        <v>0</v>
      </c>
      <c r="N588">
        <v>63900.051119999996</v>
      </c>
      <c r="O588">
        <v>13780.566580000001</v>
      </c>
      <c r="P588">
        <v>0</v>
      </c>
      <c r="Q588">
        <v>44211.146480000003</v>
      </c>
      <c r="R588">
        <v>46963.926460000002</v>
      </c>
      <c r="S588">
        <v>0</v>
      </c>
    </row>
    <row r="589" spans="1:19">
      <c r="A589">
        <v>588</v>
      </c>
      <c r="B589" s="45">
        <f t="array" ref="B589">IFERROR(INDEX(baseline!$A$3:$A$201,MATCH($C589&amp;$D589,baseline!$C$3:$C$201&amp;baseline!$D$3:$D$201,0)),"NA")</f>
        <v>27</v>
      </c>
      <c r="C589" t="s">
        <v>1</v>
      </c>
      <c r="D589" t="s">
        <v>881</v>
      </c>
      <c r="E589" t="s">
        <v>865</v>
      </c>
      <c r="F589">
        <v>3251.46</v>
      </c>
      <c r="G589">
        <v>3744.59714816727</v>
      </c>
      <c r="H589">
        <v>1890.42</v>
      </c>
      <c r="I589">
        <v>0</v>
      </c>
      <c r="J589">
        <v>728022.80463999999</v>
      </c>
      <c r="K589">
        <v>0</v>
      </c>
      <c r="L589">
        <v>4625.0037000000002</v>
      </c>
      <c r="M589">
        <v>0</v>
      </c>
      <c r="N589">
        <v>63900.051119999996</v>
      </c>
      <c r="O589">
        <v>13780.566580000001</v>
      </c>
      <c r="P589">
        <v>0</v>
      </c>
      <c r="Q589">
        <v>44130.590859999997</v>
      </c>
      <c r="R589">
        <v>36716.696040000003</v>
      </c>
      <c r="S589">
        <v>0</v>
      </c>
    </row>
    <row r="590" spans="1:19">
      <c r="A590">
        <v>589</v>
      </c>
      <c r="B590" s="45">
        <f t="array" ref="B590">IFERROR(INDEX(baseline!$A$3:$A$201,MATCH($C590&amp;$D590,baseline!$C$3:$C$201&amp;baseline!$D$3:$D$201,0)),"NA")</f>
        <v>28</v>
      </c>
      <c r="C590" t="s">
        <v>1</v>
      </c>
      <c r="D590" t="s">
        <v>14</v>
      </c>
      <c r="E590" t="s">
        <v>832</v>
      </c>
      <c r="F590">
        <v>9043.69</v>
      </c>
      <c r="G590">
        <v>3744.59714816727</v>
      </c>
      <c r="H590">
        <v>1890.42</v>
      </c>
      <c r="I590">
        <v>0</v>
      </c>
      <c r="J590">
        <v>512736.52130000002</v>
      </c>
      <c r="K590">
        <v>0</v>
      </c>
      <c r="L590">
        <v>4625.0037000000002</v>
      </c>
      <c r="M590">
        <v>0</v>
      </c>
      <c r="N590">
        <v>63900.051119999996</v>
      </c>
      <c r="O590">
        <v>13780.566580000001</v>
      </c>
      <c r="P590">
        <v>0</v>
      </c>
      <c r="Q590">
        <v>34919.472379999999</v>
      </c>
      <c r="R590">
        <v>32700.026160000001</v>
      </c>
      <c r="S590">
        <v>0</v>
      </c>
    </row>
    <row r="591" spans="1:19">
      <c r="A591">
        <v>590</v>
      </c>
      <c r="B591" s="45">
        <f t="array" ref="B591">IFERROR(INDEX(baseline!$A$3:$A$201,MATCH($C591&amp;$D591,baseline!$C$3:$C$201&amp;baseline!$D$3:$D$201,0)),"NA")</f>
        <v>28</v>
      </c>
      <c r="C591" t="s">
        <v>1</v>
      </c>
      <c r="D591" t="s">
        <v>14</v>
      </c>
      <c r="E591" t="s">
        <v>869</v>
      </c>
      <c r="F591">
        <v>0</v>
      </c>
      <c r="G591">
        <v>3744.5971479999998</v>
      </c>
      <c r="H591">
        <v>1890.42</v>
      </c>
      <c r="I591">
        <v>0</v>
      </c>
      <c r="J591">
        <v>512247.63199999998</v>
      </c>
      <c r="K591">
        <v>0</v>
      </c>
      <c r="L591">
        <v>4625.0037000000002</v>
      </c>
      <c r="M591">
        <v>0</v>
      </c>
      <c r="N591">
        <v>63900.051119999996</v>
      </c>
      <c r="O591">
        <v>13780.566580000001</v>
      </c>
      <c r="P591">
        <v>0</v>
      </c>
      <c r="Q591">
        <v>30052.801820000001</v>
      </c>
      <c r="R591">
        <v>32441.692620000002</v>
      </c>
      <c r="S591">
        <v>0</v>
      </c>
    </row>
    <row r="592" spans="1:19">
      <c r="A592">
        <v>591</v>
      </c>
      <c r="B592" s="45">
        <f t="array" ref="B592">IFERROR(INDEX(baseline!$A$3:$A$201,MATCH($C592&amp;$D592,baseline!$C$3:$C$201&amp;baseline!$D$3:$D$201,0)),"NA")</f>
        <v>28</v>
      </c>
      <c r="C592" t="s">
        <v>1</v>
      </c>
      <c r="D592" t="s">
        <v>14</v>
      </c>
      <c r="E592" t="s">
        <v>896</v>
      </c>
      <c r="F592">
        <v>32923.300000000003</v>
      </c>
      <c r="G592">
        <v>3744.59714816727</v>
      </c>
      <c r="H592">
        <v>1890.42</v>
      </c>
      <c r="I592">
        <v>0</v>
      </c>
      <c r="J592">
        <v>504333.73680000001</v>
      </c>
      <c r="K592">
        <v>0</v>
      </c>
      <c r="L592">
        <v>4625.0037000000002</v>
      </c>
      <c r="M592">
        <v>0</v>
      </c>
      <c r="N592">
        <v>63900.051119999996</v>
      </c>
      <c r="O592">
        <v>13780.566580000001</v>
      </c>
      <c r="P592">
        <v>0</v>
      </c>
      <c r="Q592">
        <v>30130.579659999999</v>
      </c>
      <c r="R592">
        <v>32655.581679999999</v>
      </c>
      <c r="S592">
        <v>0</v>
      </c>
    </row>
    <row r="593" spans="1:19">
      <c r="A593">
        <v>592</v>
      </c>
      <c r="B593" s="45">
        <f t="array" ref="B593">IFERROR(INDEX(baseline!$A$3:$A$201,MATCH($C593&amp;$D593,baseline!$C$3:$C$201&amp;baseline!$D$3:$D$201,0)),"NA")</f>
        <v>28</v>
      </c>
      <c r="C593" t="s">
        <v>1</v>
      </c>
      <c r="D593" t="s">
        <v>14</v>
      </c>
      <c r="E593" t="s">
        <v>840</v>
      </c>
      <c r="F593">
        <v>929.13</v>
      </c>
      <c r="G593">
        <v>3744.59714816727</v>
      </c>
      <c r="H593">
        <v>1890.42</v>
      </c>
      <c r="I593">
        <v>0</v>
      </c>
      <c r="J593">
        <v>313297.47285999998</v>
      </c>
      <c r="K593">
        <v>0</v>
      </c>
      <c r="L593">
        <v>4625.0037000000002</v>
      </c>
      <c r="M593">
        <v>0</v>
      </c>
      <c r="N593">
        <v>63900.051119999996</v>
      </c>
      <c r="O593">
        <v>13780.566580000001</v>
      </c>
      <c r="P593">
        <v>0</v>
      </c>
      <c r="Q593">
        <v>30130.579659999999</v>
      </c>
      <c r="R593">
        <v>32655.581679999999</v>
      </c>
      <c r="S593">
        <v>0</v>
      </c>
    </row>
    <row r="594" spans="1:19">
      <c r="A594">
        <v>593</v>
      </c>
      <c r="B594" s="45">
        <f t="array" ref="B594">IFERROR(INDEX(baseline!$A$3:$A$201,MATCH($C594&amp;$D594,baseline!$C$3:$C$201&amp;baseline!$D$3:$D$201,0)),"NA")</f>
        <v>28</v>
      </c>
      <c r="C594" t="s">
        <v>1</v>
      </c>
      <c r="D594" t="s">
        <v>14</v>
      </c>
      <c r="E594" t="s">
        <v>805</v>
      </c>
      <c r="F594">
        <v>8495.15</v>
      </c>
      <c r="G594">
        <v>3744.59714816727</v>
      </c>
      <c r="H594">
        <v>1890.42</v>
      </c>
      <c r="I594">
        <v>0</v>
      </c>
      <c r="J594">
        <v>409253.10518000001</v>
      </c>
      <c r="K594">
        <v>0</v>
      </c>
      <c r="L594">
        <v>4625.0037000000002</v>
      </c>
      <c r="M594">
        <v>0</v>
      </c>
      <c r="N594">
        <v>63900.051119999996</v>
      </c>
      <c r="O594">
        <v>13780.566580000001</v>
      </c>
      <c r="P594">
        <v>0</v>
      </c>
      <c r="Q594">
        <v>29891.690579999999</v>
      </c>
      <c r="R594">
        <v>32655.581679999999</v>
      </c>
      <c r="S594">
        <v>0</v>
      </c>
    </row>
    <row r="595" spans="1:19">
      <c r="A595">
        <v>594</v>
      </c>
      <c r="B595" s="45">
        <f t="array" ref="B595">IFERROR(INDEX(baseline!$A$3:$A$201,MATCH($C595&amp;$D595,baseline!$C$3:$C$201&amp;baseline!$D$3:$D$201,0)),"NA")</f>
        <v>28</v>
      </c>
      <c r="C595" t="s">
        <v>1</v>
      </c>
      <c r="D595" t="s">
        <v>14</v>
      </c>
      <c r="E595" t="s">
        <v>877</v>
      </c>
      <c r="F595">
        <v>9043.69</v>
      </c>
      <c r="G595">
        <v>3744.59714816727</v>
      </c>
      <c r="H595">
        <v>1890.42</v>
      </c>
      <c r="I595">
        <v>0</v>
      </c>
      <c r="J595">
        <v>504333.73680000001</v>
      </c>
      <c r="K595">
        <v>0</v>
      </c>
      <c r="L595">
        <v>4625.0037000000002</v>
      </c>
      <c r="M595">
        <v>0</v>
      </c>
      <c r="N595">
        <v>63900.051119999996</v>
      </c>
      <c r="O595">
        <v>13780.566580000001</v>
      </c>
      <c r="P595">
        <v>0</v>
      </c>
      <c r="Q595">
        <v>30130.579659999999</v>
      </c>
      <c r="R595">
        <v>32655.581679999999</v>
      </c>
      <c r="S595">
        <v>0</v>
      </c>
    </row>
    <row r="596" spans="1:19">
      <c r="A596">
        <v>595</v>
      </c>
      <c r="B596" s="45">
        <f t="array" ref="B596">IFERROR(INDEX(baseline!$A$3:$A$201,MATCH($C596&amp;$D596,baseline!$C$3:$C$201&amp;baseline!$D$3:$D$201,0)),"NA")</f>
        <v>28</v>
      </c>
      <c r="C596" t="s">
        <v>1</v>
      </c>
      <c r="D596" t="s">
        <v>14</v>
      </c>
      <c r="E596" t="s">
        <v>838</v>
      </c>
      <c r="F596">
        <v>3517.48</v>
      </c>
      <c r="G596">
        <v>3744.59714816727</v>
      </c>
      <c r="H596">
        <v>1890.42</v>
      </c>
      <c r="I596">
        <v>0</v>
      </c>
      <c r="J596">
        <v>505705.96012</v>
      </c>
      <c r="K596">
        <v>0</v>
      </c>
      <c r="L596">
        <v>4625.0037000000002</v>
      </c>
      <c r="M596">
        <v>0</v>
      </c>
      <c r="N596">
        <v>63900.051119999996</v>
      </c>
      <c r="O596">
        <v>13780.566580000001</v>
      </c>
      <c r="P596">
        <v>0</v>
      </c>
      <c r="Q596">
        <v>30133.35744</v>
      </c>
      <c r="R596">
        <v>31688.914239999998</v>
      </c>
      <c r="S596">
        <v>0</v>
      </c>
    </row>
    <row r="597" spans="1:19">
      <c r="A597">
        <v>596</v>
      </c>
      <c r="B597" s="45">
        <f t="array" ref="B597">IFERROR(INDEX(baseline!$A$3:$A$201,MATCH($C597&amp;$D597,baseline!$C$3:$C$201&amp;baseline!$D$3:$D$201,0)),"NA")</f>
        <v>28</v>
      </c>
      <c r="C597" t="s">
        <v>1</v>
      </c>
      <c r="D597" t="s">
        <v>14</v>
      </c>
      <c r="E597" t="s">
        <v>1013</v>
      </c>
      <c r="F597">
        <v>43322.33</v>
      </c>
      <c r="G597">
        <v>3744.59714816727</v>
      </c>
      <c r="H597">
        <v>1890.42</v>
      </c>
      <c r="I597">
        <v>0</v>
      </c>
      <c r="J597">
        <v>436653.12709999998</v>
      </c>
      <c r="K597">
        <v>0</v>
      </c>
      <c r="L597">
        <v>4625.0037000000002</v>
      </c>
      <c r="M597">
        <v>0</v>
      </c>
      <c r="N597">
        <v>44730.591339999999</v>
      </c>
      <c r="O597">
        <v>13780.566580000001</v>
      </c>
      <c r="P597">
        <v>0</v>
      </c>
      <c r="Q597">
        <v>29788.91272</v>
      </c>
      <c r="R597">
        <v>25666.6872</v>
      </c>
      <c r="S597">
        <v>0</v>
      </c>
    </row>
    <row r="598" spans="1:19">
      <c r="A598">
        <v>597</v>
      </c>
      <c r="B598" s="45">
        <f t="array" ref="B598">IFERROR(INDEX(baseline!$A$3:$A$201,MATCH($C598&amp;$D598,baseline!$C$3:$C$201&amp;baseline!$D$3:$D$201,0)),"NA")</f>
        <v>28</v>
      </c>
      <c r="C598" t="s">
        <v>1</v>
      </c>
      <c r="D598" t="s">
        <v>14</v>
      </c>
      <c r="E598" t="s">
        <v>893</v>
      </c>
      <c r="F598">
        <v>346598.06</v>
      </c>
      <c r="G598">
        <v>3744.59714816727</v>
      </c>
      <c r="H598">
        <v>1890.42</v>
      </c>
      <c r="I598">
        <v>0</v>
      </c>
      <c r="J598">
        <v>490936.50386</v>
      </c>
      <c r="K598">
        <v>0</v>
      </c>
      <c r="L598">
        <v>4625.0037000000002</v>
      </c>
      <c r="M598">
        <v>0</v>
      </c>
      <c r="N598">
        <v>63900.051119999996</v>
      </c>
      <c r="O598">
        <v>13780.566580000001</v>
      </c>
      <c r="P598">
        <v>0</v>
      </c>
      <c r="Q598">
        <v>29191.690019999998</v>
      </c>
      <c r="R598">
        <v>31669.469779999999</v>
      </c>
      <c r="S598">
        <v>0</v>
      </c>
    </row>
    <row r="599" spans="1:19">
      <c r="A599">
        <v>598</v>
      </c>
      <c r="B599" s="45">
        <f t="array" ref="B599">IFERROR(INDEX(baseline!$A$3:$A$201,MATCH($C599&amp;$D599,baseline!$C$3:$C$201&amp;baseline!$D$3:$D$201,0)),"NA")</f>
        <v>28</v>
      </c>
      <c r="C599" t="s">
        <v>1</v>
      </c>
      <c r="D599" t="s">
        <v>14</v>
      </c>
      <c r="E599" t="s">
        <v>892</v>
      </c>
      <c r="F599">
        <v>369193.2</v>
      </c>
      <c r="G599">
        <v>3744.59714816727</v>
      </c>
      <c r="H599">
        <v>1890.42</v>
      </c>
      <c r="I599">
        <v>0</v>
      </c>
      <c r="J599">
        <v>479783.71716</v>
      </c>
      <c r="K599">
        <v>0</v>
      </c>
      <c r="L599">
        <v>4625.0037000000002</v>
      </c>
      <c r="M599">
        <v>0</v>
      </c>
      <c r="N599">
        <v>63900.051119999996</v>
      </c>
      <c r="O599">
        <v>13780.566580000001</v>
      </c>
      <c r="P599">
        <v>0</v>
      </c>
      <c r="Q599">
        <v>28508.35614</v>
      </c>
      <c r="R599">
        <v>30827.802439999999</v>
      </c>
      <c r="S599">
        <v>0</v>
      </c>
    </row>
    <row r="600" spans="1:19">
      <c r="A600">
        <v>599</v>
      </c>
      <c r="B600" s="45">
        <f t="array" ref="B600">IFERROR(INDEX(baseline!$A$3:$A$201,MATCH($C600&amp;$D600,baseline!$C$3:$C$201&amp;baseline!$D$3:$D$201,0)),"NA")</f>
        <v>28</v>
      </c>
      <c r="C600" t="s">
        <v>1</v>
      </c>
      <c r="D600" t="s">
        <v>14</v>
      </c>
      <c r="E600" t="s">
        <v>894</v>
      </c>
      <c r="F600">
        <v>4333.9799999999996</v>
      </c>
      <c r="G600">
        <v>3744.59714816727</v>
      </c>
      <c r="H600">
        <v>1890.42</v>
      </c>
      <c r="I600">
        <v>0</v>
      </c>
      <c r="J600">
        <v>503764.29190000001</v>
      </c>
      <c r="K600">
        <v>0</v>
      </c>
      <c r="L600">
        <v>4625.0037000000002</v>
      </c>
      <c r="M600">
        <v>0</v>
      </c>
      <c r="N600">
        <v>63900.051119999996</v>
      </c>
      <c r="O600">
        <v>13780.566580000001</v>
      </c>
      <c r="P600">
        <v>0</v>
      </c>
      <c r="Q600">
        <v>30105.57964</v>
      </c>
      <c r="R600">
        <v>32625.026099999999</v>
      </c>
      <c r="S600">
        <v>0</v>
      </c>
    </row>
    <row r="601" spans="1:19">
      <c r="A601">
        <v>600</v>
      </c>
      <c r="B601" s="45">
        <f t="array" ref="B601">IFERROR(INDEX(baseline!$A$3:$A$201,MATCH($C601&amp;$D601,baseline!$C$3:$C$201&amp;baseline!$D$3:$D$201,0)),"NA")</f>
        <v>28</v>
      </c>
      <c r="C601" t="s">
        <v>1</v>
      </c>
      <c r="D601" t="s">
        <v>14</v>
      </c>
      <c r="E601" t="s">
        <v>837</v>
      </c>
      <c r="F601">
        <v>732.04</v>
      </c>
      <c r="G601">
        <v>3744.59714816727</v>
      </c>
      <c r="H601">
        <v>1890.42</v>
      </c>
      <c r="I601">
        <v>0</v>
      </c>
      <c r="J601">
        <v>504333.73680000001</v>
      </c>
      <c r="K601">
        <v>0</v>
      </c>
      <c r="L601">
        <v>4625.0037000000002</v>
      </c>
      <c r="M601">
        <v>0</v>
      </c>
      <c r="N601">
        <v>63900.051119999996</v>
      </c>
      <c r="O601">
        <v>13780.566580000001</v>
      </c>
      <c r="P601">
        <v>0</v>
      </c>
      <c r="Q601">
        <v>29722.245999999999</v>
      </c>
      <c r="R601">
        <v>32655.581679999999</v>
      </c>
      <c r="S601">
        <v>0</v>
      </c>
    </row>
    <row r="602" spans="1:19">
      <c r="A602">
        <v>601</v>
      </c>
      <c r="B602" s="45">
        <f t="array" ref="B602">IFERROR(INDEX(baseline!$A$3:$A$201,MATCH($C602&amp;$D602,baseline!$C$3:$C$201&amp;baseline!$D$3:$D$201,0)),"NA")</f>
        <v>28</v>
      </c>
      <c r="C602" t="s">
        <v>1</v>
      </c>
      <c r="D602" t="s">
        <v>14</v>
      </c>
      <c r="E602" t="s">
        <v>833</v>
      </c>
      <c r="F602">
        <v>3029.13</v>
      </c>
      <c r="G602">
        <v>3744.59714816727</v>
      </c>
      <c r="H602">
        <v>1890.42</v>
      </c>
      <c r="I602">
        <v>0</v>
      </c>
      <c r="J602">
        <v>504800.40383999998</v>
      </c>
      <c r="K602">
        <v>0</v>
      </c>
      <c r="L602">
        <v>4625.0037000000002</v>
      </c>
      <c r="M602">
        <v>0</v>
      </c>
      <c r="N602">
        <v>63900.051119999996</v>
      </c>
      <c r="O602">
        <v>13780.566580000001</v>
      </c>
      <c r="P602">
        <v>0</v>
      </c>
      <c r="Q602">
        <v>29847.2461</v>
      </c>
      <c r="R602">
        <v>32655.581679999999</v>
      </c>
      <c r="S602">
        <v>0</v>
      </c>
    </row>
    <row r="603" spans="1:19">
      <c r="A603">
        <v>602</v>
      </c>
      <c r="B603" s="45">
        <f t="array" ref="B603">IFERROR(INDEX(baseline!$A$3:$A$201,MATCH($C603&amp;$D603,baseline!$C$3:$C$201&amp;baseline!$D$3:$D$201,0)),"NA")</f>
        <v>28</v>
      </c>
      <c r="C603" t="s">
        <v>1</v>
      </c>
      <c r="D603" t="s">
        <v>14</v>
      </c>
      <c r="E603" t="s">
        <v>835</v>
      </c>
      <c r="F603">
        <v>159105.82999999999</v>
      </c>
      <c r="G603">
        <v>3744.59714816727</v>
      </c>
      <c r="H603">
        <v>1890.42</v>
      </c>
      <c r="I603">
        <v>0</v>
      </c>
      <c r="J603">
        <v>425486.45150000002</v>
      </c>
      <c r="K603">
        <v>0</v>
      </c>
      <c r="L603">
        <v>4625.0037000000002</v>
      </c>
      <c r="M603">
        <v>0</v>
      </c>
      <c r="N603">
        <v>63900.051119999996</v>
      </c>
      <c r="O603">
        <v>13780.566580000001</v>
      </c>
      <c r="P603">
        <v>0</v>
      </c>
      <c r="Q603">
        <v>29922.246159999999</v>
      </c>
      <c r="R603">
        <v>32700.026160000001</v>
      </c>
      <c r="S603">
        <v>13138.8994</v>
      </c>
    </row>
    <row r="604" spans="1:19">
      <c r="A604">
        <v>603</v>
      </c>
      <c r="B604" s="45">
        <f t="array" ref="B604">IFERROR(INDEX(baseline!$A$3:$A$201,MATCH($C604&amp;$D604,baseline!$C$3:$C$201&amp;baseline!$D$3:$D$201,0)),"NA")</f>
        <v>28</v>
      </c>
      <c r="C604" t="s">
        <v>1</v>
      </c>
      <c r="D604" t="s">
        <v>14</v>
      </c>
      <c r="E604" t="s">
        <v>863</v>
      </c>
      <c r="F604">
        <v>60330.1</v>
      </c>
      <c r="G604">
        <v>3744.59714816727</v>
      </c>
      <c r="H604">
        <v>1890.42</v>
      </c>
      <c r="I604">
        <v>0</v>
      </c>
      <c r="J604">
        <v>417328.11164000002</v>
      </c>
      <c r="K604">
        <v>0</v>
      </c>
      <c r="L604">
        <v>4625.0037000000002</v>
      </c>
      <c r="M604">
        <v>0</v>
      </c>
      <c r="N604">
        <v>63900.051119999996</v>
      </c>
      <c r="O604">
        <v>13780.566580000001</v>
      </c>
      <c r="P604">
        <v>0</v>
      </c>
      <c r="Q604">
        <v>24838.908759999998</v>
      </c>
      <c r="R604">
        <v>27200.02176</v>
      </c>
      <c r="S604">
        <v>0</v>
      </c>
    </row>
    <row r="605" spans="1:19">
      <c r="A605">
        <v>604</v>
      </c>
      <c r="B605" s="45">
        <f t="array" ref="B605">IFERROR(INDEX(baseline!$A$3:$A$201,MATCH($C605&amp;$D605,baseline!$C$3:$C$201&amp;baseline!$D$3:$D$201,0)),"NA")</f>
        <v>28</v>
      </c>
      <c r="C605" t="s">
        <v>1</v>
      </c>
      <c r="D605" t="s">
        <v>14</v>
      </c>
      <c r="E605" t="s">
        <v>1011</v>
      </c>
      <c r="F605">
        <v>65095.15</v>
      </c>
      <c r="G605">
        <v>3744.5971479999998</v>
      </c>
      <c r="H605">
        <v>1890.42</v>
      </c>
      <c r="I605">
        <v>0</v>
      </c>
      <c r="J605">
        <v>378111.41360000003</v>
      </c>
      <c r="K605">
        <v>0</v>
      </c>
      <c r="L605">
        <v>4627.7814799999996</v>
      </c>
      <c r="M605">
        <v>0</v>
      </c>
      <c r="N605">
        <v>63900.051119999996</v>
      </c>
      <c r="O605">
        <v>13780.566580000001</v>
      </c>
      <c r="P605">
        <v>0</v>
      </c>
      <c r="Q605">
        <v>29444.468000000001</v>
      </c>
      <c r="R605">
        <v>397.22253999999998</v>
      </c>
      <c r="S605">
        <v>0</v>
      </c>
    </row>
    <row r="606" spans="1:19">
      <c r="A606">
        <v>605</v>
      </c>
      <c r="B606" s="45">
        <f t="array" ref="B606">IFERROR(INDEX(baseline!$A$3:$A$201,MATCH($C606&amp;$D606,baseline!$C$3:$C$201&amp;baseline!$D$3:$D$201,0)),"NA")</f>
        <v>28</v>
      </c>
      <c r="C606" t="s">
        <v>1</v>
      </c>
      <c r="D606" t="s">
        <v>14</v>
      </c>
      <c r="E606" t="s">
        <v>860</v>
      </c>
      <c r="F606">
        <v>25398.06</v>
      </c>
      <c r="G606">
        <v>3744.59714816727</v>
      </c>
      <c r="H606">
        <v>1890.42</v>
      </c>
      <c r="I606">
        <v>0</v>
      </c>
      <c r="J606">
        <v>531978.20336000004</v>
      </c>
      <c r="K606">
        <v>0</v>
      </c>
      <c r="L606">
        <v>4625.0037000000002</v>
      </c>
      <c r="M606">
        <v>0</v>
      </c>
      <c r="N606">
        <v>44730.591339999999</v>
      </c>
      <c r="O606">
        <v>13780.566580000001</v>
      </c>
      <c r="P606">
        <v>0</v>
      </c>
      <c r="Q606">
        <v>30341.69094</v>
      </c>
      <c r="R606">
        <v>32800.026239999999</v>
      </c>
      <c r="S606">
        <v>0</v>
      </c>
    </row>
    <row r="607" spans="1:19">
      <c r="A607">
        <v>606</v>
      </c>
      <c r="B607" s="45">
        <f t="array" ref="B607">IFERROR(INDEX(baseline!$A$3:$A$201,MATCH($C607&amp;$D607,baseline!$C$3:$C$201&amp;baseline!$D$3:$D$201,0)),"NA")</f>
        <v>28</v>
      </c>
      <c r="C607" t="s">
        <v>1</v>
      </c>
      <c r="D607" t="s">
        <v>14</v>
      </c>
      <c r="E607" t="s">
        <v>1019</v>
      </c>
      <c r="F607">
        <v>66024.27</v>
      </c>
      <c r="G607">
        <v>3744.5971479999998</v>
      </c>
      <c r="H607">
        <v>1890.42</v>
      </c>
      <c r="I607">
        <v>0</v>
      </c>
      <c r="J607">
        <v>238408.52410000001</v>
      </c>
      <c r="K607">
        <v>0</v>
      </c>
      <c r="L607">
        <v>4627.7814799999996</v>
      </c>
      <c r="M607">
        <v>0</v>
      </c>
      <c r="N607">
        <v>63900.051119999996</v>
      </c>
      <c r="O607">
        <v>13780.566580000001</v>
      </c>
      <c r="P607">
        <v>0</v>
      </c>
      <c r="Q607">
        <v>29444.468000000001</v>
      </c>
      <c r="R607">
        <v>397.22253999999998</v>
      </c>
      <c r="S607">
        <v>0</v>
      </c>
    </row>
    <row r="608" spans="1:19">
      <c r="A608">
        <v>607</v>
      </c>
      <c r="B608" s="45">
        <f t="array" ref="B608">IFERROR(INDEX(baseline!$A$3:$A$201,MATCH($C608&amp;$D608,baseline!$C$3:$C$201&amp;baseline!$D$3:$D$201,0)),"NA")</f>
        <v>28</v>
      </c>
      <c r="C608" t="s">
        <v>1</v>
      </c>
      <c r="D608" t="s">
        <v>14</v>
      </c>
      <c r="E608" t="s">
        <v>836</v>
      </c>
      <c r="F608">
        <v>4765.05</v>
      </c>
      <c r="G608">
        <v>3744.59714816727</v>
      </c>
      <c r="H608">
        <v>1890.42</v>
      </c>
      <c r="I608">
        <v>0</v>
      </c>
      <c r="J608">
        <v>422378.11567999999</v>
      </c>
      <c r="K608">
        <v>0</v>
      </c>
      <c r="L608">
        <v>4625.0037000000002</v>
      </c>
      <c r="M608">
        <v>0</v>
      </c>
      <c r="N608">
        <v>63900.051119999996</v>
      </c>
      <c r="O608">
        <v>13780.566580000001</v>
      </c>
      <c r="P608">
        <v>0</v>
      </c>
      <c r="Q608">
        <v>35436.139459999999</v>
      </c>
      <c r="R608">
        <v>37194.474199999997</v>
      </c>
      <c r="S608">
        <v>0</v>
      </c>
    </row>
    <row r="609" spans="1:19">
      <c r="A609">
        <v>608</v>
      </c>
      <c r="B609" s="45">
        <f t="array" ref="B609">IFERROR(INDEX(baseline!$A$3:$A$201,MATCH($C609&amp;$D609,baseline!$C$3:$C$201&amp;baseline!$D$3:$D$201,0)),"NA")</f>
        <v>28</v>
      </c>
      <c r="C609" t="s">
        <v>1</v>
      </c>
      <c r="D609" t="s">
        <v>14</v>
      </c>
      <c r="E609" t="s">
        <v>1030</v>
      </c>
      <c r="F609">
        <v>125245.63</v>
      </c>
      <c r="G609">
        <v>3744.5971479999998</v>
      </c>
      <c r="H609">
        <v>1890.42</v>
      </c>
      <c r="I609">
        <v>0</v>
      </c>
      <c r="J609">
        <v>180005.69959999999</v>
      </c>
      <c r="K609">
        <v>0</v>
      </c>
      <c r="L609">
        <v>4625.0037000000002</v>
      </c>
      <c r="M609">
        <v>0</v>
      </c>
      <c r="N609">
        <v>44730.591339999999</v>
      </c>
      <c r="O609">
        <v>13780.566580000001</v>
      </c>
      <c r="P609">
        <v>0</v>
      </c>
      <c r="Q609">
        <v>28955.578720000001</v>
      </c>
      <c r="R609">
        <v>23708.352299999999</v>
      </c>
      <c r="S609">
        <v>0</v>
      </c>
    </row>
    <row r="610" spans="1:19">
      <c r="A610">
        <v>609</v>
      </c>
      <c r="B610" s="45">
        <f t="array" ref="B610">IFERROR(INDEX(baseline!$A$3:$A$201,MATCH($C610&amp;$D610,baseline!$C$3:$C$201&amp;baseline!$D$3:$D$201,0)),"NA")</f>
        <v>28</v>
      </c>
      <c r="C610" t="s">
        <v>1</v>
      </c>
      <c r="D610" t="s">
        <v>14</v>
      </c>
      <c r="E610" t="s">
        <v>859</v>
      </c>
      <c r="F610">
        <v>2755.34</v>
      </c>
      <c r="G610">
        <v>3744.59714816727</v>
      </c>
      <c r="H610">
        <v>1890.42</v>
      </c>
      <c r="I610">
        <v>0</v>
      </c>
      <c r="J610">
        <v>505042.07069999998</v>
      </c>
      <c r="K610">
        <v>0</v>
      </c>
      <c r="L610">
        <v>4625.0037000000002</v>
      </c>
      <c r="M610">
        <v>0</v>
      </c>
      <c r="N610">
        <v>63900.051119999996</v>
      </c>
      <c r="O610">
        <v>13780.566580000001</v>
      </c>
      <c r="P610">
        <v>0</v>
      </c>
      <c r="Q610">
        <v>30125.024099999999</v>
      </c>
      <c r="R610">
        <v>32677.803919999998</v>
      </c>
      <c r="S610">
        <v>0</v>
      </c>
    </row>
    <row r="611" spans="1:19">
      <c r="A611">
        <v>610</v>
      </c>
      <c r="B611" s="45">
        <f t="array" ref="B611">IFERROR(INDEX(baseline!$A$3:$A$201,MATCH($C611&amp;$D611,baseline!$C$3:$C$201&amp;baseline!$D$3:$D$201,0)),"NA")</f>
        <v>28</v>
      </c>
      <c r="C611" t="s">
        <v>1</v>
      </c>
      <c r="D611" t="s">
        <v>14</v>
      </c>
      <c r="E611" t="s">
        <v>865</v>
      </c>
      <c r="F611">
        <v>3251.46</v>
      </c>
      <c r="G611">
        <v>3744.59714816727</v>
      </c>
      <c r="H611">
        <v>1890.42</v>
      </c>
      <c r="I611">
        <v>0</v>
      </c>
      <c r="J611">
        <v>504333.73680000001</v>
      </c>
      <c r="K611">
        <v>0</v>
      </c>
      <c r="L611">
        <v>4625.0037000000002</v>
      </c>
      <c r="M611">
        <v>0</v>
      </c>
      <c r="N611">
        <v>63900.051119999996</v>
      </c>
      <c r="O611">
        <v>13780.566580000001</v>
      </c>
      <c r="P611">
        <v>0</v>
      </c>
      <c r="Q611">
        <v>30130.579659999999</v>
      </c>
      <c r="R611">
        <v>25538.909319999999</v>
      </c>
      <c r="S611">
        <v>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sheetPr>
    <tabColor rgb="FF7030A0"/>
  </sheetPr>
  <dimension ref="A1:AT33"/>
  <sheetViews>
    <sheetView workbookViewId="0">
      <selection activeCell="D1" sqref="D1:Y1048576"/>
    </sheetView>
  </sheetViews>
  <sheetFormatPr defaultRowHeight="14.4"/>
  <cols>
    <col min="2" max="2" width="20" customWidth="1"/>
    <col min="3" max="3" width="15.6640625" customWidth="1"/>
    <col min="4" max="17" width="15.6640625" hidden="1" customWidth="1"/>
    <col min="18" max="18" width="9.109375" hidden="1" customWidth="1"/>
    <col min="19" max="19" width="12.6640625" hidden="1" customWidth="1"/>
    <col min="20" max="20" width="11.33203125" hidden="1" customWidth="1"/>
    <col min="21" max="21" width="11.109375" hidden="1" customWidth="1"/>
    <col min="22" max="24" width="12.6640625" hidden="1" customWidth="1"/>
    <col min="25" max="25" width="15.88671875" hidden="1" customWidth="1"/>
    <col min="26" max="26" width="15.44140625" customWidth="1"/>
    <col min="27" max="28" width="12.6640625" customWidth="1"/>
    <col min="29" max="30" width="12.6640625" hidden="1" customWidth="1"/>
    <col min="31" max="31" width="12.6640625" customWidth="1"/>
    <col min="32" max="32" width="12.6640625" hidden="1" customWidth="1"/>
    <col min="33" max="46" width="12.6640625" customWidth="1"/>
  </cols>
  <sheetData>
    <row r="1" spans="1:46" ht="72">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5" t="s">
        <v>1079</v>
      </c>
      <c r="H1" s="175" t="s">
        <v>1080</v>
      </c>
      <c r="I1" s="175" t="s">
        <v>1081</v>
      </c>
      <c r="J1" s="175" t="s">
        <v>1082</v>
      </c>
      <c r="K1" s="175" t="s">
        <v>1083</v>
      </c>
      <c r="L1" s="175" t="s">
        <v>1084</v>
      </c>
      <c r="M1" s="175" t="s">
        <v>1085</v>
      </c>
      <c r="N1" s="175" t="s">
        <v>1086</v>
      </c>
      <c r="O1" s="175" t="s">
        <v>1087</v>
      </c>
      <c r="P1" s="175" t="s">
        <v>1088</v>
      </c>
      <c r="Q1" s="175" t="s">
        <v>1089</v>
      </c>
      <c r="R1" s="175" t="s">
        <v>1023</v>
      </c>
      <c r="S1" s="181" t="s">
        <v>983</v>
      </c>
      <c r="T1" s="181" t="s">
        <v>982</v>
      </c>
      <c r="U1" s="202" t="s">
        <v>1024</v>
      </c>
      <c r="V1" s="190" t="s">
        <v>1025</v>
      </c>
      <c r="W1" s="176" t="s">
        <v>985</v>
      </c>
      <c r="X1" s="176" t="s">
        <v>986</v>
      </c>
      <c r="Y1" s="176" t="s">
        <v>1026</v>
      </c>
      <c r="Z1" t="s">
        <v>1049</v>
      </c>
      <c r="AA1" t="s">
        <v>1056</v>
      </c>
      <c r="AB1" s="191" t="s">
        <v>1010</v>
      </c>
      <c r="AC1" s="189" t="s">
        <v>1021</v>
      </c>
      <c r="AD1" s="189" t="s">
        <v>1022</v>
      </c>
      <c r="AE1" s="189" t="s">
        <v>1027</v>
      </c>
      <c r="AF1" s="131" t="s">
        <v>1057</v>
      </c>
      <c r="AG1" s="181" t="s">
        <v>1058</v>
      </c>
      <c r="AH1" s="181" t="s">
        <v>1059</v>
      </c>
      <c r="AI1" s="181" t="s">
        <v>1060</v>
      </c>
      <c r="AJ1" s="181" t="s">
        <v>1061</v>
      </c>
      <c r="AK1" s="181" t="s">
        <v>1062</v>
      </c>
      <c r="AL1" s="181" t="s">
        <v>1063</v>
      </c>
      <c r="AM1" s="181" t="s">
        <v>1064</v>
      </c>
      <c r="AN1" s="181" t="s">
        <v>1065</v>
      </c>
      <c r="AO1" s="181" t="s">
        <v>1066</v>
      </c>
      <c r="AP1" s="181" t="s">
        <v>1067</v>
      </c>
      <c r="AQ1" s="181" t="s">
        <v>1068</v>
      </c>
      <c r="AR1" s="204" t="s">
        <v>1076</v>
      </c>
      <c r="AS1" s="181" t="s">
        <v>1077</v>
      </c>
      <c r="AT1" s="181" t="s">
        <v>1078</v>
      </c>
    </row>
    <row r="2" spans="1:46">
      <c r="A2">
        <f>model_eui_end_uses!A3</f>
        <v>1</v>
      </c>
      <c r="B2" t="str">
        <f>model_eui_end_uses!B3</f>
        <v>Barracks</v>
      </c>
      <c r="C2" t="str">
        <f>model_eui_end_uses!C3</f>
        <v>1959-pre</v>
      </c>
      <c r="D2" t="s">
        <v>1090</v>
      </c>
      <c r="E2" s="45">
        <f>model_eui_end_uses!E3</f>
        <v>3989</v>
      </c>
      <c r="F2">
        <f>model_eui_end_uses!F21</f>
        <v>5495.7245916000002</v>
      </c>
      <c r="G2">
        <f>model_eui_end_uses!G21</f>
        <v>0</v>
      </c>
      <c r="H2">
        <f>model_eui_end_uses!H21</f>
        <v>34.071565086379557</v>
      </c>
      <c r="I2">
        <f>model_eui_end_uses!I21</f>
        <v>2.2437756895941403</v>
      </c>
      <c r="J2">
        <f>model_eui_end_uses!J21</f>
        <v>0</v>
      </c>
      <c r="K2">
        <f>model_eui_end_uses!K21</f>
        <v>22.259825043512826</v>
      </c>
      <c r="L2">
        <f>model_eui_end_uses!L21</f>
        <v>7.2882354233939157</v>
      </c>
      <c r="M2">
        <f>model_eui_end_uses!M21</f>
        <v>2.875525483165283</v>
      </c>
      <c r="N2">
        <f>model_eui_end_uses!N21</f>
        <v>0</v>
      </c>
      <c r="O2">
        <f>model_eui_end_uses!O21</f>
        <v>3.4151909572321535</v>
      </c>
      <c r="P2">
        <f>model_eui_end_uses!P21</f>
        <v>8.0711355740796409E-2</v>
      </c>
      <c r="Q2">
        <f>model_eui_end_uses!Q21</f>
        <v>0</v>
      </c>
      <c r="R2">
        <f>SUM(G2:Q2)</f>
        <v>72.234829039018678</v>
      </c>
      <c r="S2">
        <f>H2*0.12</f>
        <v>4.0885878103655466</v>
      </c>
      <c r="T2">
        <f>(G2+I2+O2+P2)*0.12</f>
        <v>0.6887613603080508</v>
      </c>
      <c r="U2">
        <f>((S2+T2)/R2)*100</f>
        <v>6.6136367099215301</v>
      </c>
      <c r="V2">
        <f>(H2+K2)*constants!$O$2+(G2+I2+J2+M2+N2+O2+P2+Q2)*constants!$N$2</f>
        <v>1.8860865139920149</v>
      </c>
      <c r="W2">
        <f>S2*constants!$O$2</f>
        <v>6.6235122527921853E-2</v>
      </c>
      <c r="X2">
        <f>T2*constants!$N$2</f>
        <v>7.7830033714809746E-2</v>
      </c>
      <c r="Y2">
        <f>((W2+X2)/V2)*100</f>
        <v>7.6383111365241172</v>
      </c>
      <c r="Z2">
        <f>(W2+X2)*E2</f>
        <v>574.67590825225625</v>
      </c>
      <c r="AA2">
        <v>34414</v>
      </c>
      <c r="AB2">
        <f>(AA2/E2)/(W2+X2)</f>
        <v>59.884187775788639</v>
      </c>
      <c r="AC2">
        <f>model_eui_end_uses!AN3</f>
        <v>40399.36362543251</v>
      </c>
      <c r="AD2">
        <f>S2*constants!$F$2+T2*constants!$G$2</f>
        <v>1331.0796015234371</v>
      </c>
      <c r="AE2">
        <f>(AD2/AC2)*100</f>
        <v>3.2948033881540795</v>
      </c>
      <c r="AF2">
        <f>'solar dhw ecm'!AQ2</f>
        <v>8.6709848029832295E-2</v>
      </c>
    </row>
    <row r="3" spans="1:46">
      <c r="A3">
        <f>model_eui_end_uses!A25</f>
        <v>2</v>
      </c>
      <c r="B3" t="str">
        <f>model_eui_end_uses!B25</f>
        <v>Fire Hall</v>
      </c>
      <c r="C3" t="str">
        <f>model_eui_end_uses!C25</f>
        <v>1959-pre</v>
      </c>
      <c r="D3" t="s">
        <v>1090</v>
      </c>
      <c r="E3">
        <f>model_eui_end_uses!E25</f>
        <v>911.73353310000005</v>
      </c>
      <c r="F3">
        <f>model_eui_end_uses!F43</f>
        <v>911.73353307153502</v>
      </c>
      <c r="G3">
        <f>model_eui_end_uses!G43</f>
        <v>0</v>
      </c>
      <c r="H3">
        <f>model_eui_end_uses!H43</f>
        <v>184.86471205840567</v>
      </c>
      <c r="I3">
        <f>model_eui_end_uses!I43</f>
        <v>3.1929432608271529</v>
      </c>
      <c r="J3">
        <f>model_eui_end_uses!J43</f>
        <v>23.654591104066807</v>
      </c>
      <c r="K3">
        <f>model_eui_end_uses!K43</f>
        <v>0</v>
      </c>
      <c r="L3">
        <f>model_eui_end_uses!L43</f>
        <v>64.529139565189979</v>
      </c>
      <c r="M3">
        <f>model_eui_end_uses!M43</f>
        <v>26.469743368383877</v>
      </c>
      <c r="N3">
        <f>model_eui_end_uses!N43</f>
        <v>0</v>
      </c>
      <c r="O3">
        <f>model_eui_end_uses!O43</f>
        <v>31.335325799243574</v>
      </c>
      <c r="P3">
        <f>model_eui_end_uses!P43</f>
        <v>6.0598894520851205</v>
      </c>
      <c r="Q3">
        <f>model_eui_end_uses!Q43</f>
        <v>0</v>
      </c>
      <c r="R3">
        <f t="shared" ref="R3:R29" si="0">SUM(G3:Q3)</f>
        <v>340.10634460820216</v>
      </c>
      <c r="S3">
        <f t="shared" ref="S3:S29" si="1">H3*0.12</f>
        <v>22.183765447008678</v>
      </c>
      <c r="T3">
        <f t="shared" ref="T3:T29" si="2">(G3+I3+O3+P3)*0.12</f>
        <v>4.8705790214587017</v>
      </c>
      <c r="U3">
        <f t="shared" ref="U3:U29" si="3">((S3+T3)/R3)*100</f>
        <v>7.9546720892941929</v>
      </c>
      <c r="V3">
        <f>(H3+K3)*constants!$O$2+(G3+I3+J3+M3+N3+O3+P3+Q3)*constants!$N$2</f>
        <v>13.245320042606709</v>
      </c>
      <c r="W3">
        <f>S3*constants!$O$2</f>
        <v>0.35937700024154057</v>
      </c>
      <c r="X3">
        <f>T3*constants!$N$2</f>
        <v>0.55037542942483331</v>
      </c>
      <c r="Y3">
        <f t="shared" ref="Y3:Y29" si="4">((W3+X3)/V3)*100</f>
        <v>6.8684820505653308</v>
      </c>
      <c r="Z3">
        <f t="shared" ref="Z3:Z29" si="5">(W3+X3)*E3</f>
        <v>829.45179694603235</v>
      </c>
      <c r="AA3">
        <v>11902</v>
      </c>
      <c r="AB3">
        <f t="shared" ref="AB3:AB29" si="6">(AA3/E3)/(W3+X3)</f>
        <v>14.349236500327208</v>
      </c>
      <c r="AC3">
        <f>model_eui_end_uses!AN25</f>
        <v>269748.407906131</v>
      </c>
      <c r="AD3">
        <f>S3*constants!$F$2+T3*constants!$G$2</f>
        <v>8208.297763683624</v>
      </c>
      <c r="AE3">
        <f t="shared" ref="AE3:AE29" si="7">(AD3/AC3)*100</f>
        <v>3.0429457683917107</v>
      </c>
      <c r="AF3">
        <f>'solar dhw ecm'!AQ3</f>
        <v>5.5697909059876328E-3</v>
      </c>
    </row>
    <row r="4" spans="1:46">
      <c r="A4">
        <f>model_eui_end_uses!A47</f>
        <v>3</v>
      </c>
      <c r="B4" t="str">
        <f>model_eui_end_uses!B47</f>
        <v>Food Service</v>
      </c>
      <c r="C4" t="str">
        <f>model_eui_end_uses!C47</f>
        <v>1959-pre</v>
      </c>
      <c r="D4" t="s">
        <v>1090</v>
      </c>
      <c r="E4">
        <f>model_eui_end_uses!E47</f>
        <v>2568</v>
      </c>
      <c r="F4">
        <f>model_eui_end_uses!F66</f>
        <v>2693.60503738445</v>
      </c>
      <c r="G4">
        <f>model_eui_end_uses!G66</f>
        <v>0</v>
      </c>
      <c r="H4">
        <f>model_eui_end_uses!H66</f>
        <v>143.930967766512</v>
      </c>
      <c r="I4">
        <f>model_eui_end_uses!I66</f>
        <v>7.1721659735013592</v>
      </c>
      <c r="J4">
        <f>model_eui_end_uses!J66</f>
        <v>51.870638052907225</v>
      </c>
      <c r="K4">
        <f>model_eui_end_uses!K66</f>
        <v>0</v>
      </c>
      <c r="L4">
        <f>model_eui_end_uses!L66</f>
        <v>54.000166702475958</v>
      </c>
      <c r="M4">
        <f>model_eui_end_uses!M66</f>
        <v>11.925753702340163</v>
      </c>
      <c r="N4">
        <f>model_eui_end_uses!N66</f>
        <v>0</v>
      </c>
      <c r="O4">
        <f>model_eui_end_uses!O66</f>
        <v>14.817232815166415</v>
      </c>
      <c r="P4">
        <f>model_eui_end_uses!P66</f>
        <v>0.17401965418913509</v>
      </c>
      <c r="Q4">
        <f>model_eui_end_uses!Q66</f>
        <v>0</v>
      </c>
      <c r="R4">
        <f t="shared" si="0"/>
        <v>283.89094466709224</v>
      </c>
      <c r="S4">
        <f t="shared" si="1"/>
        <v>17.271716131981439</v>
      </c>
      <c r="T4">
        <f t="shared" si="2"/>
        <v>2.659610213142829</v>
      </c>
      <c r="U4">
        <f t="shared" si="3"/>
        <v>7.0207686153910096</v>
      </c>
      <c r="V4">
        <f>(H4+K4)*constants!$O$2+(G4+I4+J4+M4+N4+O4+P4+Q4)*constants!$N$2</f>
        <v>12.04514023020328</v>
      </c>
      <c r="W4">
        <f>S4*constants!$O$2</f>
        <v>0.27980180133809929</v>
      </c>
      <c r="X4">
        <f>T4*constants!$N$2</f>
        <v>0.30053595408513967</v>
      </c>
      <c r="Y4">
        <f t="shared" si="4"/>
        <v>4.818024068894089</v>
      </c>
      <c r="Z4">
        <f t="shared" si="5"/>
        <v>1490.3073559268776</v>
      </c>
      <c r="AA4">
        <v>16046</v>
      </c>
      <c r="AB4">
        <f t="shared" si="6"/>
        <v>10.766906528499549</v>
      </c>
      <c r="AC4">
        <f>model_eui_end_uses!AN47</f>
        <v>272626.08516702015</v>
      </c>
      <c r="AD4">
        <f>S4*constants!$F$2+T4*constants!$G$2</f>
        <v>5405.4980730589386</v>
      </c>
      <c r="AE4">
        <f t="shared" si="7"/>
        <v>1.9827516027115835</v>
      </c>
      <c r="AF4">
        <f>'solar dhw ecm'!AQ4</f>
        <v>4.3262022149533112E-2</v>
      </c>
    </row>
    <row r="5" spans="1:46">
      <c r="A5">
        <f>model_eui_end_uses!A70</f>
        <v>4</v>
      </c>
      <c r="B5" t="str">
        <f>model_eui_end_uses!B70</f>
        <v>Food Service</v>
      </c>
      <c r="C5" t="str">
        <f>model_eui_end_uses!C70</f>
        <v>2005-2014</v>
      </c>
      <c r="D5" t="s">
        <v>1090</v>
      </c>
      <c r="E5">
        <f>model_eui_end_uses!E70</f>
        <v>2568</v>
      </c>
      <c r="F5">
        <f>model_eui_end_uses!F87</f>
        <v>2693.60503738445</v>
      </c>
      <c r="G5">
        <f>model_eui_end_uses!G87</f>
        <v>0</v>
      </c>
      <c r="H5">
        <f>model_eui_end_uses!H87</f>
        <v>131.73877719250373</v>
      </c>
      <c r="I5">
        <f>model_eui_end_uses!I87</f>
        <v>5.1291555700831521</v>
      </c>
      <c r="J5">
        <f>model_eui_end_uses!J87</f>
        <v>51.870638052907225</v>
      </c>
      <c r="K5">
        <f>model_eui_end_uses!K87</f>
        <v>0</v>
      </c>
      <c r="L5">
        <f>model_eui_end_uses!L87</f>
        <v>54.000166702475958</v>
      </c>
      <c r="M5">
        <f>model_eui_end_uses!M87</f>
        <v>11.925753702340163</v>
      </c>
      <c r="N5">
        <f>model_eui_end_uses!N87</f>
        <v>0</v>
      </c>
      <c r="O5">
        <f>model_eui_end_uses!O87</f>
        <v>13.832104603316054</v>
      </c>
      <c r="P5">
        <f>model_eui_end_uses!P87</f>
        <v>0.16812068286068985</v>
      </c>
      <c r="Q5">
        <f>model_eui_end_uses!Q87</f>
        <v>0</v>
      </c>
      <c r="R5">
        <f t="shared" si="0"/>
        <v>268.66471650648703</v>
      </c>
      <c r="S5">
        <f t="shared" si="1"/>
        <v>15.808653263100448</v>
      </c>
      <c r="T5">
        <f t="shared" si="2"/>
        <v>2.2955257027511875</v>
      </c>
      <c r="U5">
        <f t="shared" si="3"/>
        <v>6.7385770641060345</v>
      </c>
      <c r="V5">
        <f>(H5+K5)*constants!$O$2+(G5+I5+J5+M5+N5+O5+P5+Q5)*constants!$N$2</f>
        <v>11.504780495618883</v>
      </c>
      <c r="W5">
        <f>S5*constants!$O$2</f>
        <v>0.25610018286222724</v>
      </c>
      <c r="X5">
        <f>T5*constants!$N$2</f>
        <v>0.25939440441088418</v>
      </c>
      <c r="Y5">
        <f t="shared" si="4"/>
        <v>4.4806990230662462</v>
      </c>
      <c r="Z5">
        <f t="shared" si="5"/>
        <v>1323.79010011735</v>
      </c>
      <c r="AA5">
        <v>16046</v>
      </c>
      <c r="AB5">
        <f t="shared" si="6"/>
        <v>12.121256986721361</v>
      </c>
      <c r="AC5">
        <f>model_eui_end_uses!AN70</f>
        <v>207371.26615119402</v>
      </c>
      <c r="AD5">
        <f>S5*constants!$F$2+T5*constants!$G$2</f>
        <v>4826.8562954885128</v>
      </c>
      <c r="AE5">
        <f t="shared" si="7"/>
        <v>2.3276398823592372</v>
      </c>
      <c r="AF5">
        <f>'solar dhw ecm'!AQ5</f>
        <v>0</v>
      </c>
    </row>
    <row r="6" spans="1:46">
      <c r="A6">
        <f>model_eui_end_uses!A91</f>
        <v>5</v>
      </c>
      <c r="B6" t="str">
        <f>model_eui_end_uses!B91</f>
        <v>Hangar</v>
      </c>
      <c r="C6" t="str">
        <f>model_eui_end_uses!C91</f>
        <v>1959-pre</v>
      </c>
      <c r="D6" t="s">
        <v>1090</v>
      </c>
      <c r="E6">
        <f>model_eui_end_uses!E91</f>
        <v>6423</v>
      </c>
      <c r="F6">
        <f>model_eui_end_uses!F110</f>
        <v>6276.5798484957804</v>
      </c>
      <c r="G6">
        <f>model_eui_end_uses!G110</f>
        <v>0</v>
      </c>
      <c r="H6">
        <f>model_eui_end_uses!H110</f>
        <v>154.43077201944917</v>
      </c>
      <c r="I6">
        <f>model_eui_end_uses!I110</f>
        <v>1.8971427599165744</v>
      </c>
      <c r="J6">
        <f>model_eui_end_uses!J110</f>
        <v>0</v>
      </c>
      <c r="K6">
        <f>model_eui_end_uses!K110</f>
        <v>5.8426924673391563</v>
      </c>
      <c r="L6">
        <f>model_eui_end_uses!L110</f>
        <v>40.04198546622677</v>
      </c>
      <c r="M6">
        <f>model_eui_end_uses!M110</f>
        <v>6.3657767088535149</v>
      </c>
      <c r="N6">
        <f>model_eui_end_uses!N110</f>
        <v>0</v>
      </c>
      <c r="O6">
        <f>model_eui_end_uses!O110</f>
        <v>5.3264015276626484</v>
      </c>
      <c r="P6">
        <f>model_eui_end_uses!P110</f>
        <v>0.11095726335153037</v>
      </c>
      <c r="Q6">
        <f>model_eui_end_uses!Q110</f>
        <v>0</v>
      </c>
      <c r="R6">
        <f t="shared" si="0"/>
        <v>214.01572821279936</v>
      </c>
      <c r="S6">
        <f t="shared" si="1"/>
        <v>18.531692642333898</v>
      </c>
      <c r="T6">
        <f t="shared" si="2"/>
        <v>0.88014018611169043</v>
      </c>
      <c r="U6">
        <f t="shared" si="3"/>
        <v>9.0702832873778725</v>
      </c>
      <c r="V6">
        <f>(H6+K6)*constants!$O$2+(G6+I6+J6+M6+N6+O6+P6+Q6)*constants!$N$2</f>
        <v>4.1445615680415928</v>
      </c>
      <c r="W6">
        <f>S6*constants!$O$2</f>
        <v>0.30021342080580915</v>
      </c>
      <c r="X6">
        <f>T6*constants!$N$2</f>
        <v>9.9455841030621023E-2</v>
      </c>
      <c r="Y6">
        <f t="shared" si="4"/>
        <v>9.6432217322635569</v>
      </c>
      <c r="Z6">
        <f t="shared" si="5"/>
        <v>2567.075668775391</v>
      </c>
      <c r="AA6">
        <v>33120</v>
      </c>
      <c r="AB6">
        <f t="shared" si="6"/>
        <v>12.901840176686225</v>
      </c>
      <c r="AC6">
        <f>model_eui_end_uses!AN91</f>
        <v>155159.98632440294</v>
      </c>
      <c r="AD6">
        <f>S6*constants!$F$2+T6*constants!$G$2</f>
        <v>4082.8949448949384</v>
      </c>
      <c r="AE6">
        <f t="shared" si="7"/>
        <v>2.6314097091749979</v>
      </c>
      <c r="AF6">
        <f>'solar dhw ecm'!AQ6</f>
        <v>0.26866355265375258</v>
      </c>
    </row>
    <row r="7" spans="1:46">
      <c r="A7">
        <f>model_eui_end_uses!A115</f>
        <v>6</v>
      </c>
      <c r="B7" t="str">
        <f>model_eui_end_uses!B115</f>
        <v>Hangar</v>
      </c>
      <c r="C7" t="str">
        <f>model_eui_end_uses!C115</f>
        <v>1960-1979</v>
      </c>
      <c r="D7" t="s">
        <v>1090</v>
      </c>
      <c r="E7">
        <f>model_eui_end_uses!E115</f>
        <v>6423</v>
      </c>
      <c r="F7">
        <f>model_eui_end_uses!F134</f>
        <v>6276.5798484957804</v>
      </c>
      <c r="G7">
        <f>model_eui_end_uses!G134</f>
        <v>0</v>
      </c>
      <c r="H7">
        <f>model_eui_end_uses!H134</f>
        <v>156.44475957097674</v>
      </c>
      <c r="I7">
        <f>model_eui_end_uses!I134</f>
        <v>1.7264044403919747</v>
      </c>
      <c r="J7">
        <f>model_eui_end_uses!J134</f>
        <v>0</v>
      </c>
      <c r="K7">
        <f>model_eui_end_uses!K134</f>
        <v>5.8426924673391563</v>
      </c>
      <c r="L7">
        <f>model_eui_end_uses!L134</f>
        <v>40.04198546622677</v>
      </c>
      <c r="M7">
        <f>model_eui_end_uses!M134</f>
        <v>6.3657767088535149</v>
      </c>
      <c r="N7">
        <f>model_eui_end_uses!N134</f>
        <v>0</v>
      </c>
      <c r="O7">
        <f>model_eui_end_uses!O134</f>
        <v>5.128037113997463</v>
      </c>
      <c r="P7">
        <f>model_eui_end_uses!P134</f>
        <v>0.10869282940558077</v>
      </c>
      <c r="Q7">
        <f>model_eui_end_uses!Q134</f>
        <v>0</v>
      </c>
      <c r="R7">
        <f t="shared" si="0"/>
        <v>215.65834859719121</v>
      </c>
      <c r="S7">
        <f t="shared" si="1"/>
        <v>18.77337114851721</v>
      </c>
      <c r="T7">
        <f t="shared" si="2"/>
        <v>0.83557612605540221</v>
      </c>
      <c r="U7">
        <f t="shared" si="3"/>
        <v>9.0925982704237427</v>
      </c>
      <c r="V7">
        <f>(H7+K7)*constants!$O$2+(G7+I7+J7+M7+N7+O7+P7+Q7)*constants!$N$2</f>
        <v>4.1352236764900017</v>
      </c>
      <c r="W7">
        <f>S7*constants!$O$2</f>
        <v>0.30412861260597879</v>
      </c>
      <c r="X7">
        <f>T7*constants!$N$2</f>
        <v>9.4420102244260451E-2</v>
      </c>
      <c r="Y7">
        <f t="shared" si="4"/>
        <v>9.6378998097759343</v>
      </c>
      <c r="Z7">
        <f t="shared" si="5"/>
        <v>2559.8783954830865</v>
      </c>
      <c r="AA7">
        <v>33120</v>
      </c>
      <c r="AB7">
        <f t="shared" si="6"/>
        <v>12.938114583270965</v>
      </c>
      <c r="AC7">
        <f>model_eui_end_uses!AN115</f>
        <v>151811.63396999851</v>
      </c>
      <c r="AD7">
        <f>S7*constants!$F$2+T7*constants!$G$2</f>
        <v>4087.3846652527809</v>
      </c>
      <c r="AE7">
        <f t="shared" si="7"/>
        <v>2.6924054226704013</v>
      </c>
      <c r="AF7">
        <f>'solar dhw ecm'!AQ7</f>
        <v>2.692425689310236E-2</v>
      </c>
    </row>
    <row r="8" spans="1:46">
      <c r="A8">
        <f>model_eui_end_uses!A139</f>
        <v>7</v>
      </c>
      <c r="B8" t="str">
        <f>model_eui_end_uses!B139</f>
        <v>Hangar</v>
      </c>
      <c r="C8" t="str">
        <f>model_eui_end_uses!C139</f>
        <v>1980-2004</v>
      </c>
      <c r="D8" t="s">
        <v>1090</v>
      </c>
      <c r="E8">
        <f>model_eui_end_uses!E139</f>
        <v>6423</v>
      </c>
      <c r="F8">
        <f>model_eui_end_uses!F158</f>
        <v>6276.5798484957804</v>
      </c>
      <c r="G8">
        <f>model_eui_end_uses!G158</f>
        <v>0</v>
      </c>
      <c r="H8">
        <f>model_eui_end_uses!H158</f>
        <v>125.37446139860228</v>
      </c>
      <c r="I8">
        <f>model_eui_end_uses!I158</f>
        <v>1.3713411976670775</v>
      </c>
      <c r="J8">
        <f>model_eui_end_uses!J158</f>
        <v>0</v>
      </c>
      <c r="K8">
        <f>model_eui_end_uses!K158</f>
        <v>5.8426924673391563</v>
      </c>
      <c r="L8">
        <f>model_eui_end_uses!L158</f>
        <v>40.04198546622677</v>
      </c>
      <c r="M8">
        <f>model_eui_end_uses!M158</f>
        <v>6.3657767088535149</v>
      </c>
      <c r="N8">
        <f>model_eui_end_uses!N158</f>
        <v>0</v>
      </c>
      <c r="O8">
        <f>model_eui_end_uses!O158</f>
        <v>4.4224394964395684</v>
      </c>
      <c r="P8">
        <f>model_eui_end_uses!P158</f>
        <v>9.5106225729883184E-2</v>
      </c>
      <c r="Q8">
        <f>model_eui_end_uses!Q158</f>
        <v>0</v>
      </c>
      <c r="R8">
        <f t="shared" si="0"/>
        <v>183.51380296085827</v>
      </c>
      <c r="S8">
        <f t="shared" si="1"/>
        <v>15.044935367832274</v>
      </c>
      <c r="T8">
        <f t="shared" si="2"/>
        <v>0.70666643038038346</v>
      </c>
      <c r="U8">
        <f t="shared" si="3"/>
        <v>8.583333538988521</v>
      </c>
      <c r="V8">
        <f>(H8+K8)*constants!$O$2+(G8+I8+J8+M8+N8+O8+P8+Q8)*constants!$N$2</f>
        <v>3.5104948826702262</v>
      </c>
      <c r="W8">
        <f>S8*constants!$O$2</f>
        <v>0.24372795295888283</v>
      </c>
      <c r="X8">
        <f>T8*constants!$N$2</f>
        <v>7.9853306632983331E-2</v>
      </c>
      <c r="Y8">
        <f t="shared" si="4"/>
        <v>9.2175397032835722</v>
      </c>
      <c r="Z8">
        <f t="shared" si="5"/>
        <v>2078.3624303585566</v>
      </c>
      <c r="AA8">
        <v>33120</v>
      </c>
      <c r="AB8">
        <f t="shared" si="6"/>
        <v>15.935622929002896</v>
      </c>
      <c r="AC8">
        <f>model_eui_end_uses!AN139</f>
        <v>117407.8014460751</v>
      </c>
      <c r="AD8">
        <f>S8*constants!$F$2+T8*constants!$G$2</f>
        <v>3307.8432252729108</v>
      </c>
      <c r="AE8">
        <f t="shared" si="7"/>
        <v>2.8173964460037939</v>
      </c>
      <c r="AF8">
        <f>'solar dhw ecm'!AQ8</f>
        <v>3.1409472533455475E-2</v>
      </c>
    </row>
    <row r="9" spans="1:46">
      <c r="A9">
        <f>model_eui_end_uses!A163</f>
        <v>10</v>
      </c>
      <c r="B9" t="str">
        <f>model_eui_end_uses!B163</f>
        <v>Maintenance Shop-Small</v>
      </c>
      <c r="C9" t="str">
        <f>model_eui_end_uses!C163</f>
        <v>1959-pre</v>
      </c>
      <c r="D9" t="s">
        <v>1090</v>
      </c>
      <c r="E9">
        <f>model_eui_end_uses!E163</f>
        <v>927</v>
      </c>
      <c r="F9">
        <f>model_eui_end_uses!F182</f>
        <v>923.71795399999996</v>
      </c>
      <c r="G9">
        <f>model_eui_end_uses!G182</f>
        <v>0</v>
      </c>
      <c r="H9">
        <f>model_eui_end_uses!H182</f>
        <v>251.93380948125287</v>
      </c>
      <c r="I9">
        <f>model_eui_end_uses!I182</f>
        <v>5.3627337891039444</v>
      </c>
      <c r="J9">
        <f>model_eui_end_uses!J182</f>
        <v>0</v>
      </c>
      <c r="K9">
        <f>model_eui_end_uses!K182</f>
        <v>4.8406443431191484</v>
      </c>
      <c r="L9">
        <f>model_eui_end_uses!L182</f>
        <v>38.601422564112866</v>
      </c>
      <c r="M9">
        <f>model_eui_end_uses!M182</f>
        <v>6.60609131364577</v>
      </c>
      <c r="N9">
        <f>model_eui_end_uses!N182</f>
        <v>0</v>
      </c>
      <c r="O9">
        <f>model_eui_end_uses!O182</f>
        <v>18.921970094362258</v>
      </c>
      <c r="P9">
        <f>model_eui_end_uses!P182</f>
        <v>18.44816637748588</v>
      </c>
      <c r="Q9">
        <f>model_eui_end_uses!Q182</f>
        <v>0</v>
      </c>
      <c r="R9">
        <f t="shared" si="0"/>
        <v>344.7148379630828</v>
      </c>
      <c r="S9">
        <f t="shared" si="1"/>
        <v>30.232057137750342</v>
      </c>
      <c r="T9">
        <f t="shared" si="2"/>
        <v>5.1279444313142495</v>
      </c>
      <c r="U9">
        <f t="shared" si="3"/>
        <v>10.25775443204202</v>
      </c>
      <c r="V9">
        <f>(H9+K9)*constants!$O$2+(G9+I9+J9+M9+N9+O9+P9+Q9)*constants!$N$2</f>
        <v>9.7350488098843844</v>
      </c>
      <c r="W9">
        <f>S9*constants!$O$2</f>
        <v>0.4897593256315555</v>
      </c>
      <c r="X9">
        <f>T9*constants!$N$2</f>
        <v>0.57945772073851021</v>
      </c>
      <c r="Y9">
        <f t="shared" si="4"/>
        <v>10.983170883380131</v>
      </c>
      <c r="Z9">
        <f t="shared" si="5"/>
        <v>991.16420198505091</v>
      </c>
      <c r="AA9">
        <v>10609</v>
      </c>
      <c r="AB9">
        <f t="shared" si="6"/>
        <v>10.70357462341039</v>
      </c>
      <c r="AC9">
        <f>model_eui_end_uses!AN163</f>
        <v>249946.60728193779</v>
      </c>
      <c r="AD9">
        <f>S9*constants!$F$2+T9*constants!$G$2</f>
        <v>9872.8498829007076</v>
      </c>
      <c r="AE9">
        <f t="shared" si="7"/>
        <v>3.9499835545934059</v>
      </c>
      <c r="AF9">
        <f>'solar dhw ecm'!AQ9</f>
        <v>6.758070579491589E-3</v>
      </c>
    </row>
    <row r="10" spans="1:46">
      <c r="A10">
        <f>model_eui_end_uses!A186</f>
        <v>11</v>
      </c>
      <c r="B10" t="str">
        <f>model_eui_end_uses!B186</f>
        <v>Maintenance Shop-Small</v>
      </c>
      <c r="C10" t="str">
        <f>model_eui_end_uses!C186</f>
        <v>1960-1979</v>
      </c>
      <c r="D10" t="s">
        <v>1090</v>
      </c>
      <c r="E10">
        <f>model_eui_end_uses!E186</f>
        <v>927</v>
      </c>
      <c r="F10">
        <f>model_eui_end_uses!F205</f>
        <v>923.71795399999996</v>
      </c>
      <c r="G10">
        <f>model_eui_end_uses!G205</f>
        <v>0</v>
      </c>
      <c r="H10">
        <f>model_eui_end_uses!H205</f>
        <v>235.4593222810737</v>
      </c>
      <c r="I10">
        <f>model_eui_end_uses!I205</f>
        <v>5.0881087047998035</v>
      </c>
      <c r="J10">
        <f>model_eui_end_uses!J205</f>
        <v>0</v>
      </c>
      <c r="K10">
        <f>model_eui_end_uses!K205</f>
        <v>4.8406443431191484</v>
      </c>
      <c r="L10">
        <f>model_eui_end_uses!L205</f>
        <v>38.601422564112866</v>
      </c>
      <c r="M10">
        <f>model_eui_end_uses!M205</f>
        <v>6.60609131364577</v>
      </c>
      <c r="N10">
        <f>model_eui_end_uses!N205</f>
        <v>0</v>
      </c>
      <c r="O10">
        <f>model_eui_end_uses!O205</f>
        <v>18.073951976895625</v>
      </c>
      <c r="P10">
        <f>model_eui_end_uses!P205</f>
        <v>17.572987537395761</v>
      </c>
      <c r="Q10">
        <f>model_eui_end_uses!Q205</f>
        <v>0</v>
      </c>
      <c r="R10">
        <f t="shared" si="0"/>
        <v>326.24252872104267</v>
      </c>
      <c r="S10">
        <f t="shared" si="1"/>
        <v>28.255118673728841</v>
      </c>
      <c r="T10">
        <f t="shared" si="2"/>
        <v>4.8882057862909427</v>
      </c>
      <c r="U10">
        <f t="shared" si="3"/>
        <v>10.159106046029748</v>
      </c>
      <c r="V10">
        <f>(H10+K10)*constants!$O$2+(G10+I10+J10+M10+N10+O10+P10+Q10)*constants!$N$2</f>
        <v>9.242408226511202</v>
      </c>
      <c r="W10">
        <f>S10*constants!$O$2</f>
        <v>0.45773292251440723</v>
      </c>
      <c r="X10">
        <f>T10*constants!$N$2</f>
        <v>0.55236725385087659</v>
      </c>
      <c r="Y10">
        <f t="shared" si="4"/>
        <v>10.928971666365936</v>
      </c>
      <c r="Z10">
        <f t="shared" si="5"/>
        <v>936.362863490618</v>
      </c>
      <c r="AA10">
        <v>10609</v>
      </c>
      <c r="AB10">
        <f t="shared" si="6"/>
        <v>11.330009351771242</v>
      </c>
      <c r="AC10">
        <f>model_eui_end_uses!AN186</f>
        <v>236287.93557115487</v>
      </c>
      <c r="AD10">
        <f>S10*constants!$F$2+T10*constants!$G$2</f>
        <v>9310.4052766705827</v>
      </c>
      <c r="AE10">
        <f t="shared" si="7"/>
        <v>3.9402795805742192</v>
      </c>
      <c r="AF10">
        <f>'solar dhw ecm'!AQ10</f>
        <v>3.128416304061324E-3</v>
      </c>
    </row>
    <row r="11" spans="1:46">
      <c r="A11">
        <f>model_eui_end_uses!A209</f>
        <v>12</v>
      </c>
      <c r="B11" t="str">
        <f>model_eui_end_uses!B209</f>
        <v>Maintenance Shop-Small</v>
      </c>
      <c r="C11" t="str">
        <f>model_eui_end_uses!C209</f>
        <v>1980-2004</v>
      </c>
      <c r="D11" t="s">
        <v>1090</v>
      </c>
      <c r="E11">
        <f>model_eui_end_uses!E209</f>
        <v>927</v>
      </c>
      <c r="F11">
        <f>model_eui_end_uses!F228</f>
        <v>923.71795399999996</v>
      </c>
      <c r="G11">
        <f>model_eui_end_uses!G228</f>
        <v>0</v>
      </c>
      <c r="H11">
        <f>model_eui_end_uses!H228</f>
        <v>163.06996077334361</v>
      </c>
      <c r="I11">
        <f>model_eui_end_uses!I228</f>
        <v>2.8579115916046343</v>
      </c>
      <c r="J11">
        <f>model_eui_end_uses!J228</f>
        <v>0</v>
      </c>
      <c r="K11">
        <f>model_eui_end_uses!K228</f>
        <v>4.8406443431191484</v>
      </c>
      <c r="L11">
        <f>model_eui_end_uses!L228</f>
        <v>38.601422564112866</v>
      </c>
      <c r="M11">
        <f>model_eui_end_uses!M228</f>
        <v>6.60609131364577</v>
      </c>
      <c r="N11">
        <f>model_eui_end_uses!N228</f>
        <v>0</v>
      </c>
      <c r="O11">
        <f>model_eui_end_uses!O228</f>
        <v>13.013003994719307</v>
      </c>
      <c r="P11">
        <f>model_eui_end_uses!P228</f>
        <v>12.355110935617079</v>
      </c>
      <c r="Q11">
        <f>model_eui_end_uses!Q228</f>
        <v>0</v>
      </c>
      <c r="R11">
        <f t="shared" si="0"/>
        <v>241.34414551616243</v>
      </c>
      <c r="S11">
        <f t="shared" si="1"/>
        <v>19.568395292801231</v>
      </c>
      <c r="T11">
        <f t="shared" si="2"/>
        <v>3.3871231826329224</v>
      </c>
      <c r="U11">
        <f t="shared" si="3"/>
        <v>9.5115290351623063</v>
      </c>
      <c r="V11">
        <f>(H11+K11)*constants!$O$2+(G11+I11+J11+M11+N11+O11+P11+Q11)*constants!$N$2</f>
        <v>6.6561811183080035</v>
      </c>
      <c r="W11">
        <f>S11*constants!$O$2</f>
        <v>0.31700800374337995</v>
      </c>
      <c r="X11">
        <f>T11*constants!$N$2</f>
        <v>0.38274491963752022</v>
      </c>
      <c r="Y11">
        <f t="shared" si="4"/>
        <v>10.512828766876718</v>
      </c>
      <c r="Z11">
        <f t="shared" si="5"/>
        <v>648.67095997409444</v>
      </c>
      <c r="AA11">
        <v>6210</v>
      </c>
      <c r="AB11">
        <f t="shared" si="6"/>
        <v>9.5734207066214356</v>
      </c>
      <c r="AC11">
        <f>model_eui_end_uses!AN209</f>
        <v>153410.4338616429</v>
      </c>
      <c r="AD11">
        <f>S11*constants!$F$2+T11*constants!$G$2</f>
        <v>6449.5399263020627</v>
      </c>
      <c r="AE11">
        <f t="shared" si="7"/>
        <v>4.2041077415365011</v>
      </c>
      <c r="AF11">
        <f>'solar dhw ecm'!AQ11</f>
        <v>2.1039031746511859E-2</v>
      </c>
    </row>
    <row r="12" spans="1:46">
      <c r="A12">
        <f>model_eui_end_uses!A232</f>
        <v>8</v>
      </c>
      <c r="B12" t="str">
        <f>model_eui_end_uses!B232</f>
        <v>Maintenance Shop</v>
      </c>
      <c r="C12" t="str">
        <f>model_eui_end_uses!C232</f>
        <v>1959-pre</v>
      </c>
      <c r="D12" t="s">
        <v>1090</v>
      </c>
      <c r="E12">
        <f>model_eui_end_uses!E232</f>
        <v>1927</v>
      </c>
      <c r="F12">
        <f>model_eui_end_uses!F251</f>
        <v>2388.5449741513999</v>
      </c>
      <c r="G12">
        <f>model_eui_end_uses!G251</f>
        <v>0</v>
      </c>
      <c r="H12">
        <f>model_eui_end_uses!H251</f>
        <v>136.20391532578441</v>
      </c>
      <c r="I12">
        <f>model_eui_end_uses!I251</f>
        <v>0.71399861929408248</v>
      </c>
      <c r="J12">
        <f>model_eui_end_uses!J251</f>
        <v>2.1701429782223558</v>
      </c>
      <c r="K12">
        <f>model_eui_end_uses!K251</f>
        <v>0</v>
      </c>
      <c r="L12">
        <f>model_eui_end_uses!L251</f>
        <v>19.898137605767278</v>
      </c>
      <c r="M12">
        <f>model_eui_end_uses!M251</f>
        <v>4.074764787903022</v>
      </c>
      <c r="N12">
        <f>model_eui_end_uses!N251</f>
        <v>0</v>
      </c>
      <c r="O12">
        <f>model_eui_end_uses!O251</f>
        <v>20.9771105521381</v>
      </c>
      <c r="P12">
        <f>model_eui_end_uses!P251</f>
        <v>15.66199599458097</v>
      </c>
      <c r="Q12">
        <f>model_eui_end_uses!Q251</f>
        <v>0</v>
      </c>
      <c r="R12">
        <f t="shared" si="0"/>
        <v>199.70006586369021</v>
      </c>
      <c r="S12">
        <f t="shared" si="1"/>
        <v>16.344469839094128</v>
      </c>
      <c r="T12">
        <f t="shared" si="2"/>
        <v>4.4823726199215779</v>
      </c>
      <c r="U12">
        <f t="shared" si="3"/>
        <v>10.42906138710617</v>
      </c>
      <c r="V12">
        <f>(H12+K12)*constants!$O$2+(G12+I12+J12+M12+N12+O12+P12+Q12)*constants!$N$2</f>
        <v>7.1330788896093615</v>
      </c>
      <c r="W12">
        <f>S12*constants!$O$2</f>
        <v>0.26478041139332487</v>
      </c>
      <c r="X12">
        <f>T12*constants!$N$2</f>
        <v>0.50650810605113827</v>
      </c>
      <c r="Y12">
        <f t="shared" si="4"/>
        <v>10.812841542632963</v>
      </c>
      <c r="Z12">
        <f t="shared" si="5"/>
        <v>1486.2729731154805</v>
      </c>
      <c r="AA12">
        <v>6210</v>
      </c>
      <c r="AB12">
        <f t="shared" si="6"/>
        <v>4.1782365099345018</v>
      </c>
      <c r="AC12">
        <f>model_eui_end_uses!AN232</f>
        <v>182748.53675961017</v>
      </c>
      <c r="AD12">
        <f>S12*constants!$F$2+T12*constants!$G$2</f>
        <v>6825.3242805296213</v>
      </c>
      <c r="AE12">
        <f t="shared" si="7"/>
        <v>3.7348174718945866</v>
      </c>
      <c r="AF12">
        <f>'solar dhw ecm'!AQ12</f>
        <v>1.7210610689331843E-2</v>
      </c>
    </row>
    <row r="13" spans="1:46">
      <c r="A13">
        <f>model_eui_end_uses!A255</f>
        <v>9</v>
      </c>
      <c r="B13" t="str">
        <f>model_eui_end_uses!B255</f>
        <v>Maintenance Shop</v>
      </c>
      <c r="C13" t="str">
        <f>model_eui_end_uses!C255</f>
        <v>1980-2004</v>
      </c>
      <c r="D13" t="s">
        <v>1090</v>
      </c>
      <c r="E13">
        <f>model_eui_end_uses!E255</f>
        <v>1927</v>
      </c>
      <c r="F13">
        <f>model_eui_end_uses!F274</f>
        <v>2388.5449741513999</v>
      </c>
      <c r="G13">
        <f>model_eui_end_uses!G274</f>
        <v>0</v>
      </c>
      <c r="H13">
        <f>model_eui_end_uses!H274</f>
        <v>92.694096704044881</v>
      </c>
      <c r="I13">
        <f>model_eui_end_uses!I274</f>
        <v>0.59953366324430835</v>
      </c>
      <c r="J13">
        <f>model_eui_end_uses!J274</f>
        <v>2.1701429782223558</v>
      </c>
      <c r="K13">
        <f>model_eui_end_uses!K274</f>
        <v>0</v>
      </c>
      <c r="L13">
        <f>model_eui_end_uses!L274</f>
        <v>19.898137605767278</v>
      </c>
      <c r="M13">
        <f>model_eui_end_uses!M274</f>
        <v>4.074764787903022</v>
      </c>
      <c r="N13">
        <f>model_eui_end_uses!N274</f>
        <v>0</v>
      </c>
      <c r="O13">
        <f>model_eui_end_uses!O274</f>
        <v>14.434781547752243</v>
      </c>
      <c r="P13">
        <f>model_eui_end_uses!P274</f>
        <v>11.087150701968687</v>
      </c>
      <c r="Q13">
        <f>model_eui_end_uses!Q274</f>
        <v>0</v>
      </c>
      <c r="R13">
        <f t="shared" si="0"/>
        <v>144.95860798890277</v>
      </c>
      <c r="S13">
        <f t="shared" si="1"/>
        <v>11.123291604485384</v>
      </c>
      <c r="T13">
        <f t="shared" si="2"/>
        <v>3.1345759095558283</v>
      </c>
      <c r="U13">
        <f t="shared" si="3"/>
        <v>9.835819832881338</v>
      </c>
      <c r="V13">
        <f>(H13+K13)*constants!$O$2+(G13+I13+J13+M13+N13+O13+P13+Q13)*constants!$N$2</f>
        <v>5.1590445923427666</v>
      </c>
      <c r="W13">
        <f>S13*constants!$O$2</f>
        <v>0.18019732399266322</v>
      </c>
      <c r="X13">
        <f>T13*constants!$N$2</f>
        <v>0.35420707777980859</v>
      </c>
      <c r="Y13">
        <f t="shared" si="4"/>
        <v>10.358592413906511</v>
      </c>
      <c r="Z13">
        <f t="shared" si="5"/>
        <v>1029.7972822155532</v>
      </c>
      <c r="AA13">
        <v>6210</v>
      </c>
      <c r="AB13">
        <f t="shared" si="6"/>
        <v>6.0303130599058488</v>
      </c>
      <c r="AC13">
        <f>model_eui_end_uses!AN255</f>
        <v>118045.0276918009</v>
      </c>
      <c r="AD13">
        <f>S13*constants!$F$2+T13*constants!$G$2</f>
        <v>4718.150238516454</v>
      </c>
      <c r="AE13">
        <f t="shared" si="7"/>
        <v>3.9969072232630465</v>
      </c>
      <c r="AF13">
        <f>'solar dhw ecm'!AQ13</f>
        <v>4.7470692702234397E-2</v>
      </c>
    </row>
    <row r="14" spans="1:46">
      <c r="A14">
        <f>model_eui_end_uses!A278</f>
        <v>16</v>
      </c>
      <c r="B14" t="str">
        <f>model_eui_end_uses!B278</f>
        <v>Office-Small</v>
      </c>
      <c r="C14" t="str">
        <f>model_eui_end_uses!C278</f>
        <v>1960-1979</v>
      </c>
      <c r="D14" t="s">
        <v>1090</v>
      </c>
      <c r="E14">
        <f>model_eui_end_uses!E278</f>
        <v>584</v>
      </c>
      <c r="F14">
        <f>model_eui_end_uses!F296</f>
        <v>1211.46221507992</v>
      </c>
      <c r="G14">
        <f>model_eui_end_uses!G296</f>
        <v>3.9570721957172972</v>
      </c>
      <c r="H14">
        <f>model_eui_end_uses!H296</f>
        <v>22.892436381424844</v>
      </c>
      <c r="I14">
        <f>model_eui_end_uses!I296</f>
        <v>2.5068826089069356</v>
      </c>
      <c r="J14">
        <f>model_eui_end_uses!J296</f>
        <v>2.8086369970161043</v>
      </c>
      <c r="K14">
        <f>model_eui_end_uses!K296</f>
        <v>0</v>
      </c>
      <c r="L14">
        <f>model_eui_end_uses!L296</f>
        <v>9.0150505106900223</v>
      </c>
      <c r="M14">
        <f>model_eui_end_uses!M296</f>
        <v>3.0838635268299606</v>
      </c>
      <c r="N14">
        <f>model_eui_end_uses!N296</f>
        <v>0</v>
      </c>
      <c r="O14">
        <f>model_eui_end_uses!O296</f>
        <v>6.5402223972232534</v>
      </c>
      <c r="P14">
        <f>model_eui_end_uses!P296</f>
        <v>4.4213097158852478E-3</v>
      </c>
      <c r="Q14">
        <f>model_eui_end_uses!Q296</f>
        <v>0</v>
      </c>
      <c r="R14">
        <f t="shared" si="0"/>
        <v>50.808585927524305</v>
      </c>
      <c r="S14">
        <f t="shared" si="1"/>
        <v>2.7470923657709809</v>
      </c>
      <c r="T14">
        <f t="shared" si="2"/>
        <v>1.5610318213876047</v>
      </c>
      <c r="U14">
        <f t="shared" si="3"/>
        <v>8.479126329758305</v>
      </c>
      <c r="V14">
        <f>(H14+K14)*constants!$O$2+(G14+I14+J14+M14+N14+O14+P14+Q14)*constants!$N$2</f>
        <v>2.5066816603803486</v>
      </c>
      <c r="W14">
        <f>S14*constants!$O$2</f>
        <v>4.4502896325489885E-2</v>
      </c>
      <c r="X14">
        <f>T14*constants!$N$2</f>
        <v>0.17639659581679934</v>
      </c>
      <c r="Y14">
        <f t="shared" si="4"/>
        <v>8.8124270278808066</v>
      </c>
      <c r="Z14">
        <f t="shared" si="5"/>
        <v>129.00530341109689</v>
      </c>
      <c r="AA14">
        <v>29239</v>
      </c>
      <c r="AB14">
        <f t="shared" si="6"/>
        <v>226.64959677529734</v>
      </c>
      <c r="AC14">
        <f>model_eui_end_uses!AN278</f>
        <v>36744.463830284207</v>
      </c>
      <c r="AD14">
        <f>S14*constants!$F$2+T14*constants!$G$2</f>
        <v>1849.8272180802217</v>
      </c>
      <c r="AE14">
        <f t="shared" si="7"/>
        <v>5.0343018382965852</v>
      </c>
      <c r="AF14">
        <f>'solar dhw ecm'!AQ14</f>
        <v>4.9605275097546961E-3</v>
      </c>
    </row>
    <row r="15" spans="1:46">
      <c r="A15">
        <f>model_eui_end_uses!A300</f>
        <v>17</v>
      </c>
      <c r="B15" t="str">
        <f>model_eui_end_uses!B300</f>
        <v>Office-Small</v>
      </c>
      <c r="C15" t="str">
        <f>model_eui_end_uses!C300</f>
        <v>1980-2004</v>
      </c>
      <c r="D15" t="s">
        <v>1090</v>
      </c>
      <c r="E15">
        <f>model_eui_end_uses!E300</f>
        <v>584</v>
      </c>
      <c r="F15">
        <f>model_eui_end_uses!F318</f>
        <v>1211.46221507992</v>
      </c>
      <c r="G15">
        <f>model_eui_end_uses!G318</f>
        <v>2.8760619701833541</v>
      </c>
      <c r="H15">
        <f>model_eui_end_uses!H318</f>
        <v>13.6817429158069</v>
      </c>
      <c r="I15">
        <f>model_eui_end_uses!I318</f>
        <v>1.8768459743932879</v>
      </c>
      <c r="J15">
        <f>model_eui_end_uses!J318</f>
        <v>2.7633185724282803</v>
      </c>
      <c r="K15">
        <f>model_eui_end_uses!K318</f>
        <v>0</v>
      </c>
      <c r="L15">
        <f>model_eui_end_uses!L318</f>
        <v>9.0150505106900223</v>
      </c>
      <c r="M15">
        <f>model_eui_end_uses!M318</f>
        <v>3.0838635268299606</v>
      </c>
      <c r="N15">
        <f>model_eui_end_uses!N318</f>
        <v>0</v>
      </c>
      <c r="O15">
        <f>model_eui_end_uses!O318</f>
        <v>4.7086948474177897</v>
      </c>
      <c r="P15">
        <f>model_eui_end_uses!P318</f>
        <v>4.4213097158852478E-3</v>
      </c>
      <c r="Q15">
        <f>model_eui_end_uses!Q318</f>
        <v>0</v>
      </c>
      <c r="R15">
        <f t="shared" si="0"/>
        <v>38.009999627465476</v>
      </c>
      <c r="S15">
        <f t="shared" si="1"/>
        <v>1.6418091498968279</v>
      </c>
      <c r="T15">
        <f t="shared" si="2"/>
        <v>1.135922892205238</v>
      </c>
      <c r="U15">
        <f t="shared" si="3"/>
        <v>7.3078981039897641</v>
      </c>
      <c r="V15">
        <f>(H15+K15)*constants!$O$2+(G15+I15+J15+M15+N15+O15+P15+Q15)*constants!$N$2</f>
        <v>1.9520365359455187</v>
      </c>
      <c r="W15">
        <f>S15*constants!$O$2</f>
        <v>2.659730822832861E-2</v>
      </c>
      <c r="X15">
        <f>T15*constants!$N$2</f>
        <v>0.1283592868191919</v>
      </c>
      <c r="Y15">
        <f t="shared" si="4"/>
        <v>7.9382015753339026</v>
      </c>
      <c r="Z15">
        <f t="shared" si="5"/>
        <v>90.494651507751982</v>
      </c>
      <c r="AA15">
        <v>29239</v>
      </c>
      <c r="AB15">
        <f t="shared" si="6"/>
        <v>323.10196804830304</v>
      </c>
      <c r="AC15">
        <f>model_eui_end_uses!AN300</f>
        <v>28981.775824476979</v>
      </c>
      <c r="AD15">
        <f>S15*constants!$F$2+T15*constants!$G$2</f>
        <v>1282.1367540500892</v>
      </c>
      <c r="AE15">
        <f t="shared" si="7"/>
        <v>4.4239413133795686</v>
      </c>
      <c r="AF15">
        <f>'solar dhw ecm'!AQ15</f>
        <v>1.882235002830266E-2</v>
      </c>
    </row>
    <row r="16" spans="1:46">
      <c r="A16">
        <f>model_eui_end_uses!A322</f>
        <v>18</v>
      </c>
      <c r="B16" t="str">
        <f>model_eui_end_uses!B322</f>
        <v>Office-Small</v>
      </c>
      <c r="C16" t="str">
        <f>model_eui_end_uses!C322</f>
        <v>2005-2014</v>
      </c>
      <c r="D16" t="s">
        <v>1090</v>
      </c>
      <c r="E16">
        <f>model_eui_end_uses!E322</f>
        <v>584</v>
      </c>
      <c r="F16">
        <f>model_eui_end_uses!F338</f>
        <v>1211.46221507992</v>
      </c>
      <c r="G16">
        <f>model_eui_end_uses!G338</f>
        <v>2.5588329980685875</v>
      </c>
      <c r="H16">
        <f>model_eui_end_uses!H338</f>
        <v>11.184808253760707</v>
      </c>
      <c r="I16">
        <f>model_eui_end_uses!I338</f>
        <v>1.5308784891252671</v>
      </c>
      <c r="J16">
        <f>model_eui_end_uses!J338</f>
        <v>2.7456333335647392</v>
      </c>
      <c r="K16">
        <f>model_eui_end_uses!K338</f>
        <v>0</v>
      </c>
      <c r="L16">
        <f>model_eui_end_uses!L338</f>
        <v>9.0150505106900223</v>
      </c>
      <c r="M16">
        <f>model_eui_end_uses!M338</f>
        <v>3.0838635268299606</v>
      </c>
      <c r="N16">
        <f>model_eui_end_uses!N338</f>
        <v>0</v>
      </c>
      <c r="O16">
        <f>model_eui_end_uses!O338</f>
        <v>3.9338603197088995</v>
      </c>
      <c r="P16">
        <f>model_eui_end_uses!P338</f>
        <v>4.4213097158852478E-3</v>
      </c>
      <c r="Q16">
        <f>model_eui_end_uses!Q338</f>
        <v>0</v>
      </c>
      <c r="R16">
        <f t="shared" si="0"/>
        <v>34.057348741464075</v>
      </c>
      <c r="S16">
        <f t="shared" si="1"/>
        <v>1.3421769904512848</v>
      </c>
      <c r="T16">
        <f t="shared" si="2"/>
        <v>0.96335917399423687</v>
      </c>
      <c r="U16">
        <f t="shared" si="3"/>
        <v>6.7695702972867702</v>
      </c>
      <c r="V16">
        <f>(H16+K16)*constants!$O$2+(G16+I16+J16+M16+N16+O16+P16+Q16)*constants!$N$2</f>
        <v>1.7470902611134307</v>
      </c>
      <c r="W16">
        <f>S16*constants!$O$2</f>
        <v>2.1743267245310813E-2</v>
      </c>
      <c r="X16">
        <f>T16*constants!$N$2</f>
        <v>0.10885958666134878</v>
      </c>
      <c r="Y16">
        <f t="shared" si="4"/>
        <v>7.4754497127942114</v>
      </c>
      <c r="Z16">
        <f t="shared" si="5"/>
        <v>76.272066681489207</v>
      </c>
      <c r="AA16">
        <v>29239</v>
      </c>
      <c r="AB16">
        <f t="shared" si="6"/>
        <v>383.35135354469344</v>
      </c>
      <c r="AC16">
        <f>model_eui_end_uses!AN322</f>
        <v>24325.314330042656</v>
      </c>
      <c r="AD16">
        <f>S16*constants!$F$2+T16*constants!$G$2</f>
        <v>1078.3721626657659</v>
      </c>
      <c r="AE16">
        <f t="shared" si="7"/>
        <v>4.4331273505228124</v>
      </c>
      <c r="AF16">
        <f>'solar dhw ecm'!AQ16</f>
        <v>2.1648295142744798E-3</v>
      </c>
    </row>
    <row r="17" spans="1:32">
      <c r="A17">
        <f>model_eui_end_uses!A342</f>
        <v>13</v>
      </c>
      <c r="B17" t="str">
        <f>model_eui_end_uses!B342</f>
        <v>Office</v>
      </c>
      <c r="C17" t="str">
        <f>model_eui_end_uses!C342</f>
        <v>1959-pre</v>
      </c>
      <c r="D17" t="s">
        <v>1090</v>
      </c>
      <c r="E17">
        <f>model_eui_end_uses!E342</f>
        <v>3418.6207140000001</v>
      </c>
      <c r="F17">
        <f>model_eui_end_uses!F361</f>
        <v>3418.6207139712501</v>
      </c>
      <c r="G17">
        <f>model_eui_end_uses!G361</f>
        <v>0</v>
      </c>
      <c r="H17">
        <f>model_eui_end_uses!H361</f>
        <v>73.304476117503285</v>
      </c>
      <c r="I17">
        <f>model_eui_end_uses!I361</f>
        <v>2.5140113628131946</v>
      </c>
      <c r="J17">
        <f>model_eui_end_uses!J361</f>
        <v>0</v>
      </c>
      <c r="K17">
        <f>model_eui_end_uses!K361</f>
        <v>45.388711934953143</v>
      </c>
      <c r="L17">
        <f>model_eui_end_uses!L361</f>
        <v>26.425558352104304</v>
      </c>
      <c r="M17">
        <f>model_eui_end_uses!M361</f>
        <v>11.425994758849107</v>
      </c>
      <c r="N17">
        <f>model_eui_end_uses!N361</f>
        <v>0</v>
      </c>
      <c r="O17">
        <f>model_eui_end_uses!O361</f>
        <v>10.843400658287679</v>
      </c>
      <c r="P17">
        <f>model_eui_end_uses!P361</f>
        <v>5.5415505799566853</v>
      </c>
      <c r="Q17">
        <f>model_eui_end_uses!Q361</f>
        <v>0</v>
      </c>
      <c r="R17">
        <f t="shared" si="0"/>
        <v>175.44370376446741</v>
      </c>
      <c r="S17">
        <f t="shared" si="1"/>
        <v>8.7965371341003937</v>
      </c>
      <c r="T17">
        <f t="shared" si="2"/>
        <v>2.2678755121269067</v>
      </c>
      <c r="U17">
        <f t="shared" si="3"/>
        <v>6.3065316160226743</v>
      </c>
      <c r="V17">
        <f>(H17+K17)*constants!$O$2+(G17+I17+J17+M17+N17+O17+P17+Q17)*constants!$N$2</f>
        <v>5.3495498281192475</v>
      </c>
      <c r="W17">
        <f>S17*constants!$O$2</f>
        <v>0.14250390157242637</v>
      </c>
      <c r="X17">
        <f>T17*constants!$N$2</f>
        <v>0.25626993287034044</v>
      </c>
      <c r="Y17">
        <f t="shared" si="4"/>
        <v>7.4543437720060375</v>
      </c>
      <c r="Z17">
        <f t="shared" si="5"/>
        <v>1363.2564906272494</v>
      </c>
      <c r="AA17">
        <v>12161</v>
      </c>
      <c r="AB17">
        <f t="shared" si="6"/>
        <v>8.9205516963316196</v>
      </c>
      <c r="AC17">
        <f>model_eui_end_uses!AN342</f>
        <v>185950.53079162154</v>
      </c>
      <c r="AD17">
        <f>S17*constants!$F$2+T17*constants!$G$2</f>
        <v>3547.6318425543795</v>
      </c>
      <c r="AE17">
        <f t="shared" si="7"/>
        <v>1.9078363624193679</v>
      </c>
      <c r="AF17">
        <f>'solar dhw ecm'!AQ17</f>
        <v>7.135295363116663E-2</v>
      </c>
    </row>
    <row r="18" spans="1:32">
      <c r="A18">
        <f>model_eui_end_uses!A366</f>
        <v>14</v>
      </c>
      <c r="B18" t="str">
        <f>model_eui_end_uses!B366</f>
        <v>Office</v>
      </c>
      <c r="C18" t="str">
        <f>model_eui_end_uses!C366</f>
        <v>1960-1979</v>
      </c>
      <c r="D18" t="s">
        <v>1090</v>
      </c>
      <c r="E18">
        <f>model_eui_end_uses!E366</f>
        <v>3418.6207140000001</v>
      </c>
      <c r="F18">
        <f>model_eui_end_uses!F385</f>
        <v>3418.6207139712501</v>
      </c>
      <c r="G18">
        <f>model_eui_end_uses!G385</f>
        <v>0</v>
      </c>
      <c r="H18">
        <f>model_eui_end_uses!H385</f>
        <v>95.362610075580136</v>
      </c>
      <c r="I18">
        <f>model_eui_end_uses!I385</f>
        <v>2.4002551925501541</v>
      </c>
      <c r="J18">
        <f>model_eui_end_uses!J385</f>
        <v>0</v>
      </c>
      <c r="K18">
        <f>model_eui_end_uses!K385</f>
        <v>45.388711934953143</v>
      </c>
      <c r="L18">
        <f>model_eui_end_uses!L385</f>
        <v>26.425558352104304</v>
      </c>
      <c r="M18">
        <f>model_eui_end_uses!M385</f>
        <v>11.425994758849107</v>
      </c>
      <c r="N18">
        <f>model_eui_end_uses!N385</f>
        <v>0</v>
      </c>
      <c r="O18">
        <f>model_eui_end_uses!O385</f>
        <v>11.748574755952159</v>
      </c>
      <c r="P18">
        <f>model_eui_end_uses!P385</f>
        <v>6.2175872489484698</v>
      </c>
      <c r="Q18">
        <f>model_eui_end_uses!Q385</f>
        <v>0</v>
      </c>
      <c r="R18">
        <f t="shared" si="0"/>
        <v>198.96929231893745</v>
      </c>
      <c r="S18">
        <f t="shared" si="1"/>
        <v>11.443513209069616</v>
      </c>
      <c r="T18">
        <f t="shared" si="2"/>
        <v>2.4439700636940938</v>
      </c>
      <c r="U18">
        <f t="shared" si="3"/>
        <v>6.9797118494560424</v>
      </c>
      <c r="V18">
        <f>(H18+K18)*constants!$O$2+(G18+I18+J18+M18+N18+O18+P18+Q18)*constants!$N$2</f>
        <v>5.8727139676325262</v>
      </c>
      <c r="W18">
        <f>S18*constants!$O$2</f>
        <v>0.18538491398692777</v>
      </c>
      <c r="X18">
        <f>T18*constants!$N$2</f>
        <v>0.27616861719743258</v>
      </c>
      <c r="Y18">
        <f t="shared" si="4"/>
        <v>7.8592884606369982</v>
      </c>
      <c r="Z18">
        <f t="shared" si="5"/>
        <v>1577.8764623266993</v>
      </c>
      <c r="AA18">
        <v>12161</v>
      </c>
      <c r="AB18">
        <f t="shared" si="6"/>
        <v>7.7071939979811077</v>
      </c>
      <c r="AC18">
        <f>model_eui_end_uses!AN366</f>
        <v>178219.90359867914</v>
      </c>
      <c r="AD18">
        <f>S18*constants!$F$2+T18*constants!$G$2</f>
        <v>4174.6428198373233</v>
      </c>
      <c r="AE18">
        <f t="shared" si="7"/>
        <v>2.342411108715392</v>
      </c>
      <c r="AF18">
        <f>'solar dhw ecm'!AQ18</f>
        <v>1.5037139141068242E-2</v>
      </c>
    </row>
    <row r="19" spans="1:32">
      <c r="A19">
        <f>model_eui_end_uses!A390</f>
        <v>15</v>
      </c>
      <c r="B19" t="str">
        <f>model_eui_end_uses!B390</f>
        <v>Office</v>
      </c>
      <c r="C19" t="str">
        <f>model_eui_end_uses!C390</f>
        <v>1980-2004</v>
      </c>
      <c r="D19" t="s">
        <v>1090</v>
      </c>
      <c r="E19">
        <f>model_eui_end_uses!E390</f>
        <v>3418.6207140000001</v>
      </c>
      <c r="F19">
        <f>model_eui_end_uses!F409</f>
        <v>3418.6207140000001</v>
      </c>
      <c r="G19">
        <f>model_eui_end_uses!G409</f>
        <v>0</v>
      </c>
      <c r="H19">
        <f>model_eui_end_uses!H409</f>
        <v>66.987758502185216</v>
      </c>
      <c r="I19">
        <f>model_eui_end_uses!I409</f>
        <v>2.1231776635166089</v>
      </c>
      <c r="J19">
        <f>model_eui_end_uses!J409</f>
        <v>0</v>
      </c>
      <c r="K19">
        <f>model_eui_end_uses!K409</f>
        <v>45.388711934189722</v>
      </c>
      <c r="L19">
        <f>model_eui_end_uses!L409</f>
        <v>26.425558351659838</v>
      </c>
      <c r="M19">
        <f>model_eui_end_uses!M409</f>
        <v>11.425994758656927</v>
      </c>
      <c r="N19">
        <f>model_eui_end_uses!N409</f>
        <v>0</v>
      </c>
      <c r="O19">
        <f>model_eui_end_uses!O409</f>
        <v>10.391626153353965</v>
      </c>
      <c r="P19">
        <f>model_eui_end_uses!P409</f>
        <v>0.15194574170593408</v>
      </c>
      <c r="Q19">
        <f>model_eui_end_uses!Q409</f>
        <v>0</v>
      </c>
      <c r="R19">
        <f t="shared" si="0"/>
        <v>162.89477310526823</v>
      </c>
      <c r="S19">
        <f t="shared" si="1"/>
        <v>8.0385310202622264</v>
      </c>
      <c r="T19">
        <f t="shared" si="2"/>
        <v>1.5200099470291808</v>
      </c>
      <c r="U19">
        <f t="shared" si="3"/>
        <v>5.8679236816974765</v>
      </c>
      <c r="V19">
        <f>(H19+K19)*constants!$O$2+(G19+I19+J19+M19+N19+O19+P19+Q19)*constants!$N$2</f>
        <v>4.5429789289166518</v>
      </c>
      <c r="W19">
        <f>S19*constants!$O$2</f>
        <v>0.13022420252824807</v>
      </c>
      <c r="X19">
        <f>T19*constants!$N$2</f>
        <v>0.17176112401429744</v>
      </c>
      <c r="Y19">
        <f t="shared" si="4"/>
        <v>6.6472975390744082</v>
      </c>
      <c r="Z19">
        <f t="shared" si="5"/>
        <v>1032.3732926424002</v>
      </c>
      <c r="AA19">
        <v>12161</v>
      </c>
      <c r="AB19">
        <f t="shared" si="6"/>
        <v>11.779653819669669</v>
      </c>
      <c r="AC19">
        <f>model_eui_end_uses!AN390</f>
        <v>138472.74691377184</v>
      </c>
      <c r="AD19">
        <f>S19*constants!$F$2+T19*constants!$G$2</f>
        <v>2761.3057065423259</v>
      </c>
      <c r="AE19">
        <f t="shared" si="7"/>
        <v>1.9941149201451274</v>
      </c>
      <c r="AF19">
        <f>'solar dhw ecm'!AQ19</f>
        <v>7.6404222497807081E-2</v>
      </c>
    </row>
    <row r="20" spans="1:32">
      <c r="A20">
        <f>model_eui_end_uses!A414</f>
        <v>19</v>
      </c>
      <c r="B20" t="str">
        <f>model_eui_end_uses!B414</f>
        <v>Recreation Center</v>
      </c>
      <c r="C20" t="str">
        <f>model_eui_end_uses!C414</f>
        <v>1980-2004</v>
      </c>
      <c r="D20" t="s">
        <v>1090</v>
      </c>
      <c r="E20">
        <f>model_eui_end_uses!E414</f>
        <v>12612.73388</v>
      </c>
      <c r="F20">
        <f>model_eui_end_uses!F432</f>
        <v>12612.733881903199</v>
      </c>
      <c r="G20">
        <f>model_eui_end_uses!G432</f>
        <v>10.810071375172194</v>
      </c>
      <c r="H20">
        <f>model_eui_end_uses!H432</f>
        <v>274.06054842384543</v>
      </c>
      <c r="I20">
        <f>model_eui_end_uses!I432</f>
        <v>4.9731525899022762</v>
      </c>
      <c r="J20">
        <f>model_eui_end_uses!J432</f>
        <v>0</v>
      </c>
      <c r="K20">
        <f>model_eui_end_uses!K432</f>
        <v>23.388198593386573</v>
      </c>
      <c r="L20">
        <f>model_eui_end_uses!L432</f>
        <v>37.280034469267441</v>
      </c>
      <c r="M20">
        <f>model_eui_end_uses!M432</f>
        <v>6.608185796023994</v>
      </c>
      <c r="N20">
        <f>model_eui_end_uses!N432</f>
        <v>5.0845920837462408</v>
      </c>
      <c r="O20">
        <f>model_eui_end_uses!O432</f>
        <v>10.859184037478922</v>
      </c>
      <c r="P20">
        <f>model_eui_end_uses!P432</f>
        <v>2.6432743184095977</v>
      </c>
      <c r="Q20">
        <f>model_eui_end_uses!Q432</f>
        <v>0</v>
      </c>
      <c r="R20">
        <f t="shared" si="0"/>
        <v>375.70724168723268</v>
      </c>
      <c r="S20">
        <f t="shared" si="1"/>
        <v>32.88726581086145</v>
      </c>
      <c r="T20">
        <f t="shared" si="2"/>
        <v>3.514281878515559</v>
      </c>
      <c r="U20">
        <f t="shared" si="3"/>
        <v>9.688806509532343</v>
      </c>
      <c r="V20">
        <f>(H20+K20)*constants!$O$2+(G20+I20+J20+M20+N20+O20+P20+Q20)*constants!$N$2</f>
        <v>9.4492357043620139</v>
      </c>
      <c r="W20">
        <f>S20*constants!$O$2</f>
        <v>0.53277370613595543</v>
      </c>
      <c r="X20">
        <f>T20*constants!$N$2</f>
        <v>0.39711385227225815</v>
      </c>
      <c r="Y20">
        <f t="shared" si="4"/>
        <v>9.8408758919936048</v>
      </c>
      <c r="Z20">
        <f t="shared" si="5"/>
        <v>11728.424312525754</v>
      </c>
      <c r="AA20">
        <v>28980</v>
      </c>
      <c r="AB20">
        <f t="shared" si="6"/>
        <v>2.4709201532766731</v>
      </c>
      <c r="AC20">
        <f>model_eui_end_uses!AN414</f>
        <v>143044.525606613</v>
      </c>
      <c r="AD20">
        <f>S20*constants!$F$2+T20*constants!$G$2</f>
        <v>8944.2458144527372</v>
      </c>
      <c r="AE20">
        <f t="shared" si="7"/>
        <v>6.2527704408977689</v>
      </c>
      <c r="AF20">
        <f>'solar dhw ecm'!AQ20</f>
        <v>6.8406020040876828E-2</v>
      </c>
    </row>
    <row r="21" spans="1:32">
      <c r="A21">
        <f>model_eui_end_uses!A436</f>
        <v>20</v>
      </c>
      <c r="B21" t="str">
        <f>model_eui_end_uses!B436</f>
        <v>Storage Building</v>
      </c>
      <c r="C21" t="str">
        <f>model_eui_end_uses!C436</f>
        <v>1959-pre</v>
      </c>
      <c r="D21" t="s">
        <v>1090</v>
      </c>
      <c r="E21">
        <f>model_eui_end_uses!E436</f>
        <v>1171</v>
      </c>
      <c r="F21">
        <f>model_eui_end_uses!F450</f>
        <v>965.15690399999903</v>
      </c>
      <c r="G21">
        <f>model_eui_end_uses!G450</f>
        <v>0</v>
      </c>
      <c r="H21">
        <f>model_eui_end_uses!H450</f>
        <v>188.73244303259202</v>
      </c>
      <c r="I21">
        <f>model_eui_end_uses!I450</f>
        <v>0</v>
      </c>
      <c r="J21">
        <f>model_eui_end_uses!J450</f>
        <v>0</v>
      </c>
      <c r="K21">
        <f>model_eui_end_uses!K450</f>
        <v>0</v>
      </c>
      <c r="L21">
        <f>model_eui_end_uses!L450</f>
        <v>24.408218039146298</v>
      </c>
      <c r="M21">
        <f>model_eui_end_uses!M450</f>
        <v>3.229985935080161</v>
      </c>
      <c r="N21">
        <f>model_eui_end_uses!N450</f>
        <v>0</v>
      </c>
      <c r="O21">
        <f>model_eui_end_uses!O450</f>
        <v>9.1731600556276582</v>
      </c>
      <c r="P21">
        <f>model_eui_end_uses!P450</f>
        <v>0</v>
      </c>
      <c r="Q21">
        <f>model_eui_end_uses!Q450</f>
        <v>0</v>
      </c>
      <c r="R21">
        <f t="shared" si="0"/>
        <v>225.54380706244612</v>
      </c>
      <c r="S21">
        <f t="shared" si="1"/>
        <v>22.647893163911043</v>
      </c>
      <c r="T21">
        <f t="shared" si="2"/>
        <v>1.100779206675319</v>
      </c>
      <c r="U21">
        <f t="shared" si="3"/>
        <v>10.52951649610627</v>
      </c>
      <c r="V21">
        <f>(H21+K21)*constants!$O$2+(G21+I21+J21+M21+N21+O21+P21+Q21)*constants!$N$2</f>
        <v>4.4590210740779739</v>
      </c>
      <c r="W21">
        <f>S21*constants!$O$2</f>
        <v>0.36689586925535889</v>
      </c>
      <c r="X21">
        <f>T21*constants!$N$2</f>
        <v>0.12438805035431105</v>
      </c>
      <c r="Y21">
        <f t="shared" si="4"/>
        <v>11.017752808249655</v>
      </c>
      <c r="Z21">
        <f t="shared" si="5"/>
        <v>575.29346986292353</v>
      </c>
      <c r="AA21">
        <v>259</v>
      </c>
      <c r="AB21">
        <f t="shared" si="6"/>
        <v>0.45020500591065726</v>
      </c>
      <c r="AC21">
        <f>model_eui_end_uses!AN436</f>
        <v>118625.87766181206</v>
      </c>
      <c r="AD21">
        <f>S21*constants!$F$2+T21*constants!$G$2</f>
        <v>5011.6507861476039</v>
      </c>
      <c r="AE21">
        <f t="shared" si="7"/>
        <v>4.2247533884935375</v>
      </c>
      <c r="AF21">
        <f>'solar dhw ecm'!AQ21</f>
        <v>1.4259356082047471E-3</v>
      </c>
    </row>
    <row r="22" spans="1:32">
      <c r="A22">
        <f>model_eui_end_uses!A452</f>
        <v>21</v>
      </c>
      <c r="B22" t="str">
        <f>model_eui_end_uses!B452</f>
        <v>Storage Building</v>
      </c>
      <c r="C22" t="str">
        <f>model_eui_end_uses!C452</f>
        <v>1960-1979</v>
      </c>
      <c r="D22" t="s">
        <v>1090</v>
      </c>
      <c r="E22">
        <f>model_eui_end_uses!E452</f>
        <v>1171</v>
      </c>
      <c r="F22">
        <f>model_eui_end_uses!F466</f>
        <v>965.15690399999903</v>
      </c>
      <c r="G22">
        <f>model_eui_end_uses!G466</f>
        <v>0</v>
      </c>
      <c r="H22">
        <f>model_eui_end_uses!H466</f>
        <v>239.75574517679885</v>
      </c>
      <c r="I22">
        <f>model_eui_end_uses!I466</f>
        <v>0</v>
      </c>
      <c r="J22">
        <f>model_eui_end_uses!J466</f>
        <v>0</v>
      </c>
      <c r="K22">
        <f>model_eui_end_uses!K466</f>
        <v>0</v>
      </c>
      <c r="L22">
        <f>model_eui_end_uses!L466</f>
        <v>24.408218039146298</v>
      </c>
      <c r="M22">
        <f>model_eui_end_uses!M466</f>
        <v>3.229985935080161</v>
      </c>
      <c r="N22">
        <f>model_eui_end_uses!N466</f>
        <v>0</v>
      </c>
      <c r="O22">
        <f>model_eui_end_uses!O466</f>
        <v>11.792067570557519</v>
      </c>
      <c r="P22">
        <f>model_eui_end_uses!P466</f>
        <v>0</v>
      </c>
      <c r="Q22">
        <f>model_eui_end_uses!Q466</f>
        <v>0</v>
      </c>
      <c r="R22">
        <f t="shared" si="0"/>
        <v>279.1860167215828</v>
      </c>
      <c r="S22">
        <f t="shared" si="1"/>
        <v>28.770689421215863</v>
      </c>
      <c r="T22">
        <f t="shared" si="2"/>
        <v>1.4150481084669022</v>
      </c>
      <c r="U22">
        <f t="shared" si="3"/>
        <v>10.812052080597352</v>
      </c>
      <c r="V22">
        <f>(H22+K22)*constants!$O$2+(G22+I22+J22+M22+N22+O22+P22+Q22)*constants!$N$2</f>
        <v>5.5815351180011987</v>
      </c>
      <c r="W22">
        <f>S22*constants!$O$2</f>
        <v>0.46608516862369698</v>
      </c>
      <c r="X22">
        <f>T22*constants!$N$2</f>
        <v>0.15990043625675995</v>
      </c>
      <c r="Y22">
        <f t="shared" si="4"/>
        <v>11.215294567646264</v>
      </c>
      <c r="Z22">
        <f t="shared" si="5"/>
        <v>733.02914331501506</v>
      </c>
      <c r="AA22">
        <v>259</v>
      </c>
      <c r="AB22">
        <f t="shared" si="6"/>
        <v>0.35332838040887582</v>
      </c>
      <c r="AC22">
        <f>model_eui_end_uses!AN452</f>
        <v>111139.22770014219</v>
      </c>
      <c r="AD22">
        <f>S22*constants!$F$2+T22*constants!$G$2</f>
        <v>6381.0452607638445</v>
      </c>
      <c r="AE22">
        <f t="shared" si="7"/>
        <v>5.7414878551973958</v>
      </c>
      <c r="AF22">
        <f>'solar dhw ecm'!AQ22</f>
        <v>3.5950861394737866E-3</v>
      </c>
    </row>
    <row r="23" spans="1:32">
      <c r="A23">
        <f>model_eui_end_uses!A468</f>
        <v>22</v>
      </c>
      <c r="B23" t="str">
        <f>model_eui_end_uses!B468</f>
        <v>Storage Building</v>
      </c>
      <c r="C23" t="str">
        <f>model_eui_end_uses!C468</f>
        <v>1980-2004</v>
      </c>
      <c r="D23" t="s">
        <v>1090</v>
      </c>
      <c r="E23">
        <f>model_eui_end_uses!E468</f>
        <v>1171</v>
      </c>
      <c r="F23">
        <f>model_eui_end_uses!F482</f>
        <v>965.15690399999903</v>
      </c>
      <c r="G23">
        <f>model_eui_end_uses!G482</f>
        <v>0</v>
      </c>
      <c r="H23">
        <f>model_eui_end_uses!H482</f>
        <v>178.19395919251428</v>
      </c>
      <c r="I23">
        <f>model_eui_end_uses!I482</f>
        <v>0</v>
      </c>
      <c r="J23">
        <f>model_eui_end_uses!J482</f>
        <v>0</v>
      </c>
      <c r="K23">
        <f>model_eui_end_uses!K482</f>
        <v>0</v>
      </c>
      <c r="L23">
        <f>model_eui_end_uses!L482</f>
        <v>24.408218039146298</v>
      </c>
      <c r="M23">
        <f>model_eui_end_uses!M482</f>
        <v>3.229985935080161</v>
      </c>
      <c r="N23">
        <f>model_eui_end_uses!N482</f>
        <v>0</v>
      </c>
      <c r="O23">
        <f>model_eui_end_uses!O482</f>
        <v>8.6598541827014053</v>
      </c>
      <c r="P23">
        <f>model_eui_end_uses!P482</f>
        <v>0</v>
      </c>
      <c r="Q23">
        <f>model_eui_end_uses!Q482</f>
        <v>0</v>
      </c>
      <c r="R23">
        <f t="shared" si="0"/>
        <v>214.49201734944214</v>
      </c>
      <c r="S23">
        <f t="shared" si="1"/>
        <v>21.383275103101713</v>
      </c>
      <c r="T23">
        <f t="shared" si="2"/>
        <v>1.0391825019241685</v>
      </c>
      <c r="U23">
        <f t="shared" si="3"/>
        <v>10.453749226711817</v>
      </c>
      <c r="V23">
        <f>(H23+K23)*constants!$O$2+(G23+I23+J23+M23+N23+O23+P23+Q23)*constants!$N$2</f>
        <v>4.2302940722280482</v>
      </c>
      <c r="W23">
        <f>S23*constants!$O$2</f>
        <v>0.34640905667024774</v>
      </c>
      <c r="X23">
        <f>T23*constants!$N$2</f>
        <v>0.11742762271743104</v>
      </c>
      <c r="Y23">
        <f t="shared" si="4"/>
        <v>10.964643863242852</v>
      </c>
      <c r="Z23">
        <f t="shared" si="5"/>
        <v>543.15275156297184</v>
      </c>
      <c r="AA23">
        <v>259</v>
      </c>
      <c r="AB23">
        <f t="shared" si="6"/>
        <v>0.47684560053263791</v>
      </c>
      <c r="AC23">
        <f>model_eui_end_uses!AN468</f>
        <v>80588.438906014999</v>
      </c>
      <c r="AD23">
        <f>S23*constants!$F$2+T23*constants!$G$2</f>
        <v>4731.6950201292329</v>
      </c>
      <c r="AE23">
        <f t="shared" si="7"/>
        <v>5.8714315407542488</v>
      </c>
      <c r="AF23">
        <f>'solar dhw ecm'!AQ23</f>
        <v>4.3745976052923817E-2</v>
      </c>
    </row>
    <row r="24" spans="1:32">
      <c r="A24">
        <f>model_eui_end_uses!A484</f>
        <v>23</v>
      </c>
      <c r="B24" t="str">
        <f>model_eui_end_uses!B484</f>
        <v>Storage Building</v>
      </c>
      <c r="C24" t="str">
        <f>model_eui_end_uses!C484</f>
        <v>2005-2014</v>
      </c>
      <c r="D24" t="s">
        <v>1090</v>
      </c>
      <c r="E24">
        <f>model_eui_end_uses!E484</f>
        <v>1171</v>
      </c>
      <c r="F24">
        <f>model_eui_end_uses!F496</f>
        <v>965.15690399999903</v>
      </c>
      <c r="G24">
        <f>model_eui_end_uses!G496</f>
        <v>0</v>
      </c>
      <c r="H24">
        <f>model_eui_end_uses!H496</f>
        <v>162.6236810470846</v>
      </c>
      <c r="I24">
        <f>model_eui_end_uses!I496</f>
        <v>0</v>
      </c>
      <c r="J24">
        <f>model_eui_end_uses!J496</f>
        <v>0</v>
      </c>
      <c r="K24">
        <f>model_eui_end_uses!K496</f>
        <v>0</v>
      </c>
      <c r="L24">
        <f>model_eui_end_uses!L496</f>
        <v>24.408218039146298</v>
      </c>
      <c r="M24">
        <f>model_eui_end_uses!M496</f>
        <v>3.229985935080161</v>
      </c>
      <c r="N24">
        <f>model_eui_end_uses!N496</f>
        <v>0</v>
      </c>
      <c r="O24">
        <f>model_eui_end_uses!O496</f>
        <v>7.4062704522216443</v>
      </c>
      <c r="P24">
        <f>model_eui_end_uses!P496</f>
        <v>0</v>
      </c>
      <c r="Q24">
        <f>model_eui_end_uses!Q496</f>
        <v>0</v>
      </c>
      <c r="R24">
        <f t="shared" si="0"/>
        <v>197.66815547353269</v>
      </c>
      <c r="S24">
        <f t="shared" si="1"/>
        <v>19.51484172565015</v>
      </c>
      <c r="T24">
        <f t="shared" si="2"/>
        <v>0.88875245426659732</v>
      </c>
      <c r="U24">
        <f t="shared" si="3"/>
        <v>10.322145279819107</v>
      </c>
      <c r="V24">
        <f>(H24+K24)*constants!$O$2+(G24+I24+J24+M24+N24+O24+P24+Q24)*constants!$N$2</f>
        <v>3.8364006047278743</v>
      </c>
      <c r="W24">
        <f>S24*constants!$O$2</f>
        <v>0.31614043595553243</v>
      </c>
      <c r="X24">
        <f>T24*constants!$N$2</f>
        <v>0.1004290273321255</v>
      </c>
      <c r="Y24">
        <f t="shared" si="4"/>
        <v>10.858341091237689</v>
      </c>
      <c r="Z24">
        <f t="shared" si="5"/>
        <v>487.80284150984744</v>
      </c>
      <c r="AA24">
        <v>259</v>
      </c>
      <c r="AB24">
        <f t="shared" si="6"/>
        <v>0.53095221667496473</v>
      </c>
      <c r="AC24">
        <f>model_eui_end_uses!AN484</f>
        <v>61422.194721862135</v>
      </c>
      <c r="AD24">
        <f>S24*constants!$F$2+T24*constants!$G$2</f>
        <v>4266.3713041033161</v>
      </c>
      <c r="AE24">
        <f t="shared" si="7"/>
        <v>6.9459766513109908</v>
      </c>
      <c r="AF24">
        <f>'solar dhw ecm'!AQ24</f>
        <v>2.1648295142744798E-3</v>
      </c>
    </row>
    <row r="25" spans="1:32">
      <c r="A25">
        <f>model_eui_end_uses!A499</f>
        <v>24</v>
      </c>
      <c r="B25" t="str">
        <f>model_eui_end_uses!B499</f>
        <v>Training Building</v>
      </c>
      <c r="C25" t="str">
        <f>model_eui_end_uses!C499</f>
        <v>1959-pre</v>
      </c>
      <c r="D25" t="s">
        <v>1090</v>
      </c>
      <c r="E25">
        <f>model_eui_end_uses!E499</f>
        <v>3699.892902</v>
      </c>
      <c r="F25">
        <f>model_eui_end_uses!F518</f>
        <v>3699.8929020249998</v>
      </c>
      <c r="G25">
        <f>model_eui_end_uses!G518</f>
        <v>0</v>
      </c>
      <c r="H25">
        <f>model_eui_end_uses!H518</f>
        <v>111.64371127367779</v>
      </c>
      <c r="I25">
        <f>model_eui_end_uses!I518</f>
        <v>8.2449899950070904</v>
      </c>
      <c r="J25">
        <f>model_eui_end_uses!J518</f>
        <v>7.7111903331558764</v>
      </c>
      <c r="K25">
        <f>model_eui_end_uses!K518</f>
        <v>0</v>
      </c>
      <c r="L25">
        <f>model_eui_end_uses!L518</f>
        <v>26.570610172399924</v>
      </c>
      <c r="M25">
        <f>model_eui_end_uses!M518</f>
        <v>9.2652906144948552</v>
      </c>
      <c r="N25">
        <f>model_eui_end_uses!N518</f>
        <v>0</v>
      </c>
      <c r="O25">
        <f>model_eui_end_uses!O518</f>
        <v>22.09975646448996</v>
      </c>
      <c r="P25">
        <f>model_eui_end_uses!P518</f>
        <v>0.13588992798181421</v>
      </c>
      <c r="Q25">
        <f>model_eui_end_uses!Q518</f>
        <v>0</v>
      </c>
      <c r="R25">
        <f t="shared" si="0"/>
        <v>185.67143878120731</v>
      </c>
      <c r="S25">
        <f t="shared" si="1"/>
        <v>13.397245352841335</v>
      </c>
      <c r="T25">
        <f t="shared" si="2"/>
        <v>3.6576763664974639</v>
      </c>
      <c r="U25">
        <f t="shared" si="3"/>
        <v>9.1855386220365798</v>
      </c>
      <c r="V25">
        <f>(H25+K25)*constants!$O$2+(G25+I25+J25+M25+N25+O25+P25+Q25)*constants!$N$2</f>
        <v>7.1712823815032252</v>
      </c>
      <c r="W25">
        <f>S25*constants!$O$2</f>
        <v>0.2170353747160296</v>
      </c>
      <c r="X25">
        <f>T25*constants!$N$2</f>
        <v>0.41331742941421346</v>
      </c>
      <c r="Y25">
        <f t="shared" si="4"/>
        <v>8.7899593210288582</v>
      </c>
      <c r="Z25">
        <f t="shared" si="5"/>
        <v>2332.2378657572826</v>
      </c>
      <c r="AA25">
        <v>19406</v>
      </c>
      <c r="AB25">
        <f t="shared" si="6"/>
        <v>8.3207636257542834</v>
      </c>
      <c r="AC25">
        <f>model_eui_end_uses!AN499</f>
        <v>166065.63938327122</v>
      </c>
      <c r="AD25">
        <f>S25*constants!$F$2+T25*constants!$G$2</f>
        <v>5580.285357011393</v>
      </c>
      <c r="AE25">
        <f t="shared" si="7"/>
        <v>3.3602889662998696</v>
      </c>
      <c r="AF25">
        <f>'solar dhw ecm'!AQ25</f>
        <v>2.9521188106832824E-2</v>
      </c>
    </row>
    <row r="26" spans="1:32">
      <c r="A26">
        <f>model_eui_end_uses!A523</f>
        <v>25</v>
      </c>
      <c r="B26" t="str">
        <f>model_eui_end_uses!B523</f>
        <v>Training Building</v>
      </c>
      <c r="C26" t="str">
        <f>model_eui_end_uses!C523</f>
        <v>1980-2004</v>
      </c>
      <c r="D26" t="s">
        <v>1090</v>
      </c>
      <c r="E26">
        <f>model_eui_end_uses!E542</f>
        <v>3699.892902</v>
      </c>
      <c r="F26">
        <f>model_eui_end_uses!F542</f>
        <v>3699.8929020249998</v>
      </c>
      <c r="G26">
        <f>model_eui_end_uses!G542</f>
        <v>0</v>
      </c>
      <c r="H26">
        <f>model_eui_end_uses!H542</f>
        <v>84.416925426934739</v>
      </c>
      <c r="I26">
        <f>model_eui_end_uses!I542</f>
        <v>6.3507895071721894</v>
      </c>
      <c r="J26">
        <f>model_eui_end_uses!J542</f>
        <v>7.7111903331558764</v>
      </c>
      <c r="K26">
        <f>model_eui_end_uses!K542</f>
        <v>0</v>
      </c>
      <c r="L26">
        <f>model_eui_end_uses!L542</f>
        <v>26.570610172399924</v>
      </c>
      <c r="M26">
        <f>model_eui_end_uses!M542</f>
        <v>9.2652906144948552</v>
      </c>
      <c r="N26">
        <f>model_eui_end_uses!N542</f>
        <v>0</v>
      </c>
      <c r="O26">
        <f>model_eui_end_uses!O542</f>
        <v>18.31210626190293</v>
      </c>
      <c r="P26">
        <f>model_eui_end_uses!P542</f>
        <v>0.11636982782973039</v>
      </c>
      <c r="Q26">
        <f>model_eui_end_uses!Q542</f>
        <v>0</v>
      </c>
      <c r="R26">
        <f t="shared" si="0"/>
        <v>152.74328214389024</v>
      </c>
      <c r="S26">
        <f t="shared" si="1"/>
        <v>10.130031051232168</v>
      </c>
      <c r="T26">
        <f t="shared" si="2"/>
        <v>2.973511871628582</v>
      </c>
      <c r="U26">
        <f t="shared" si="3"/>
        <v>8.5788014627816445</v>
      </c>
      <c r="V26">
        <f>(H26+K26)*constants!$O$2+(G26+I26+J26+M26+N26+O26+P26+Q26)*constants!$N$2</f>
        <v>6.0859535514511229</v>
      </c>
      <c r="W26">
        <f>S26*constants!$O$2</f>
        <v>0.1641065030299611</v>
      </c>
      <c r="X26">
        <f>T26*constants!$N$2</f>
        <v>0.33600684149402976</v>
      </c>
      <c r="Y26">
        <f t="shared" si="4"/>
        <v>8.2175018309948307</v>
      </c>
      <c r="Z26">
        <f t="shared" si="5"/>
        <v>1850.3658135997946</v>
      </c>
      <c r="AA26">
        <v>19406</v>
      </c>
      <c r="AB26">
        <f t="shared" si="6"/>
        <v>10.487655931259665</v>
      </c>
      <c r="AC26">
        <f>model_eui_end_uses!AN523</f>
        <v>117304.56359174766</v>
      </c>
      <c r="AD26">
        <f>S26*constants!$F$2+T26*constants!$G$2</f>
        <v>4400.230886487424</v>
      </c>
      <c r="AE26">
        <f t="shared" si="7"/>
        <v>3.7511165395077422</v>
      </c>
      <c r="AF26">
        <f>'solar dhw ecm'!AQ26</f>
        <v>2.0874833100718585E-2</v>
      </c>
    </row>
    <row r="27" spans="1:32">
      <c r="A27">
        <f>model_eui_end_uses!A547</f>
        <v>26</v>
      </c>
      <c r="B27" t="str">
        <f>model_eui_end_uses!B547</f>
        <v>Training Building</v>
      </c>
      <c r="C27" t="str">
        <f>model_eui_end_uses!C547</f>
        <v>2005-2014</v>
      </c>
      <c r="D27" t="s">
        <v>1090</v>
      </c>
      <c r="E27">
        <f>model_eui_end_uses!E564</f>
        <v>3699.892902</v>
      </c>
      <c r="F27">
        <f>model_eui_end_uses!F564</f>
        <v>3699.8929020249998</v>
      </c>
      <c r="G27">
        <f>model_eui_end_uses!G564</f>
        <v>0</v>
      </c>
      <c r="H27">
        <f>model_eui_end_uses!H564</f>
        <v>71.807691501771373</v>
      </c>
      <c r="I27">
        <f>model_eui_end_uses!I564</f>
        <v>5.0722229472107001</v>
      </c>
      <c r="J27">
        <f>model_eui_end_uses!J564</f>
        <v>7.7111903331558764</v>
      </c>
      <c r="K27">
        <f>model_eui_end_uses!K564</f>
        <v>0</v>
      </c>
      <c r="L27">
        <f>model_eui_end_uses!L564</f>
        <v>26.570610172399924</v>
      </c>
      <c r="M27">
        <f>model_eui_end_uses!M564</f>
        <v>9.2652906144948552</v>
      </c>
      <c r="N27">
        <f>model_eui_end_uses!N564</f>
        <v>0</v>
      </c>
      <c r="O27">
        <f>model_eui_end_uses!O564</f>
        <v>15.17387477591407</v>
      </c>
      <c r="P27">
        <f>model_eui_end_uses!P564</f>
        <v>0.10811132391923339</v>
      </c>
      <c r="Q27">
        <f>model_eui_end_uses!Q564</f>
        <v>0</v>
      </c>
      <c r="R27">
        <f t="shared" si="0"/>
        <v>135.70899166886605</v>
      </c>
      <c r="S27">
        <f t="shared" si="1"/>
        <v>8.6169229802125642</v>
      </c>
      <c r="T27">
        <f t="shared" si="2"/>
        <v>2.4425050856452799</v>
      </c>
      <c r="U27">
        <f t="shared" si="3"/>
        <v>8.1493701558428615</v>
      </c>
      <c r="V27">
        <f>(H27+K27)*constants!$O$2+(G27+I27+J27+M27+N27+O27+P27+Q27)*constants!$N$2</f>
        <v>5.3816525717292016</v>
      </c>
      <c r="W27">
        <f>S27*constants!$O$2</f>
        <v>0.13959415227944352</v>
      </c>
      <c r="X27">
        <f>T27*constants!$N$2</f>
        <v>0.27600307467791663</v>
      </c>
      <c r="Y27">
        <f t="shared" si="4"/>
        <v>7.722483408545691</v>
      </c>
      <c r="Z27">
        <f t="shared" si="5"/>
        <v>1537.6652301104198</v>
      </c>
      <c r="AA27">
        <v>19406</v>
      </c>
      <c r="AB27">
        <f t="shared" si="6"/>
        <v>12.620432341184209</v>
      </c>
      <c r="AC27">
        <f>model_eui_end_uses!AN547</f>
        <v>95533.29137261695</v>
      </c>
      <c r="AD27">
        <f>S27*constants!$F$2+T27*constants!$G$2</f>
        <v>3667.4086379694427</v>
      </c>
      <c r="AE27">
        <f t="shared" si="7"/>
        <v>3.8388802325098634</v>
      </c>
      <c r="AF27">
        <f>'solar dhw ecm'!AQ27</f>
        <v>8.0759807628323407E-3</v>
      </c>
    </row>
    <row r="28" spans="1:32">
      <c r="A28">
        <f>model_eui_end_uses!A569</f>
        <v>27</v>
      </c>
      <c r="B28" t="str">
        <f>model_eui_end_uses!B569</f>
        <v>Vehicle Garage</v>
      </c>
      <c r="C28" t="str">
        <f>model_eui_end_uses!C569</f>
        <v>1959-pre</v>
      </c>
      <c r="D28" t="s">
        <v>1090</v>
      </c>
      <c r="E28">
        <f>model_eui_end_uses!E587</f>
        <v>2270</v>
      </c>
      <c r="F28">
        <f>model_eui_end_uses!F587</f>
        <v>3744.5971479999998</v>
      </c>
      <c r="G28">
        <f>model_eui_end_uses!G587</f>
        <v>0</v>
      </c>
      <c r="H28">
        <f>model_eui_end_uses!H587</f>
        <v>32.732955407961974</v>
      </c>
      <c r="I28">
        <f>model_eui_end_uses!I587</f>
        <v>0</v>
      </c>
      <c r="J28">
        <f>model_eui_end_uses!J587</f>
        <v>0.74873431452475192</v>
      </c>
      <c r="K28">
        <f>model_eui_end_uses!K587</f>
        <v>0</v>
      </c>
      <c r="L28">
        <f>model_eui_end_uses!L587</f>
        <v>7.2413625626378852</v>
      </c>
      <c r="M28">
        <f>model_eui_end_uses!M587</f>
        <v>2.2309134740884651</v>
      </c>
      <c r="N28">
        <f>model_eui_end_uses!N587</f>
        <v>0</v>
      </c>
      <c r="O28">
        <f>model_eui_end_uses!O587</f>
        <v>5.2092121918647001</v>
      </c>
      <c r="P28">
        <f>model_eui_end_uses!P587</f>
        <v>4.2518215878868038</v>
      </c>
      <c r="Q28">
        <f>model_eui_end_uses!Q587</f>
        <v>0</v>
      </c>
      <c r="R28">
        <f t="shared" si="0"/>
        <v>52.41499953896458</v>
      </c>
      <c r="S28">
        <f t="shared" si="1"/>
        <v>3.9279546489554367</v>
      </c>
      <c r="T28">
        <f t="shared" si="2"/>
        <v>1.1353240535701803</v>
      </c>
      <c r="U28">
        <f t="shared" si="3"/>
        <v>9.6599804389231103</v>
      </c>
      <c r="V28">
        <f>(H28+K28)*constants!$O$2+(G28+I28+J28+M28+N28+O28+P28+Q28)*constants!$N$2</f>
        <v>1.9360708948341974</v>
      </c>
      <c r="W28">
        <f>S28*constants!$O$2</f>
        <v>6.3632865313078074E-2</v>
      </c>
      <c r="X28">
        <f>T28*constants!$N$2</f>
        <v>0.12829161805343037</v>
      </c>
      <c r="Y28">
        <f t="shared" si="4"/>
        <v>9.9130917095339424</v>
      </c>
      <c r="Z28">
        <f t="shared" si="5"/>
        <v>435.66857724197416</v>
      </c>
      <c r="AA28">
        <v>9832</v>
      </c>
      <c r="AB28">
        <f t="shared" si="6"/>
        <v>22.567613350134319</v>
      </c>
      <c r="AC28">
        <f>model_eui_end_uses!AN569</f>
        <v>46100.160390443736</v>
      </c>
      <c r="AD28">
        <f>S28*constants!$F$2+T28*constants!$G$2</f>
        <v>1690.8358087690799</v>
      </c>
      <c r="AE28">
        <f t="shared" si="7"/>
        <v>3.6677438743132424</v>
      </c>
      <c r="AF28">
        <f>'solar dhw ecm'!AQ28</f>
        <v>2.2560029728596921E-2</v>
      </c>
    </row>
    <row r="29" spans="1:32">
      <c r="A29">
        <f>model_eui_end_uses!A591</f>
        <v>28</v>
      </c>
      <c r="B29" t="str">
        <f>model_eui_end_uses!B591</f>
        <v>Vehicle Garage</v>
      </c>
      <c r="C29" t="str">
        <f>model_eui_end_uses!C591</f>
        <v>1980-2004</v>
      </c>
      <c r="D29" t="s">
        <v>1090</v>
      </c>
      <c r="E29">
        <f>model_eui_end_uses!E609</f>
        <v>2270</v>
      </c>
      <c r="F29">
        <f>model_eui_end_uses!F609</f>
        <v>3744.5971479999998</v>
      </c>
      <c r="G29">
        <f>model_eui_end_uses!G609</f>
        <v>0</v>
      </c>
      <c r="H29">
        <f>model_eui_end_uses!H609</f>
        <v>29.140829465834674</v>
      </c>
      <c r="I29">
        <f>model_eui_end_uses!I609</f>
        <v>0</v>
      </c>
      <c r="J29">
        <f>model_eui_end_uses!J609</f>
        <v>0.74873431452475192</v>
      </c>
      <c r="K29">
        <f>model_eui_end_uses!K609</f>
        <v>0</v>
      </c>
      <c r="L29">
        <f>model_eui_end_uses!L609</f>
        <v>7.2413625626378852</v>
      </c>
      <c r="M29">
        <f>model_eui_end_uses!M609</f>
        <v>2.2309134740884651</v>
      </c>
      <c r="N29">
        <f>model_eui_end_uses!N609</f>
        <v>0</v>
      </c>
      <c r="O29">
        <f>model_eui_end_uses!O609</f>
        <v>4.6875714682318401</v>
      </c>
      <c r="P29">
        <f>model_eui_end_uses!P609</f>
        <v>3.8381065312124667</v>
      </c>
      <c r="Q29">
        <f>model_eui_end_uses!Q609</f>
        <v>0</v>
      </c>
      <c r="R29">
        <f t="shared" si="0"/>
        <v>47.887517816530085</v>
      </c>
      <c r="S29">
        <f t="shared" si="1"/>
        <v>3.4968995359001607</v>
      </c>
      <c r="T29">
        <f t="shared" si="2"/>
        <v>1.0230813599333168</v>
      </c>
      <c r="U29">
        <f t="shared" si="3"/>
        <v>9.4387454224517029</v>
      </c>
      <c r="V29">
        <f>(H29+K29)*constants!$O$2+(G29+I29+J29+M29+N29+O29+P29+Q29)*constants!$N$2</f>
        <v>1.7721832513970217</v>
      </c>
      <c r="W29">
        <f>S29*constants!$O$2</f>
        <v>5.6649772481582601E-2</v>
      </c>
      <c r="X29">
        <f>T29*constants!$N$2</f>
        <v>0.1156081936724648</v>
      </c>
      <c r="Y29">
        <f t="shared" si="4"/>
        <v>9.7200989806362017</v>
      </c>
      <c r="Z29">
        <f t="shared" si="5"/>
        <v>391.02558316968759</v>
      </c>
      <c r="AA29">
        <v>9832</v>
      </c>
      <c r="AB29">
        <f t="shared" si="6"/>
        <v>25.144134867854294</v>
      </c>
      <c r="AC29">
        <f>model_eui_end_uses!AN591</f>
        <v>35237.987034527439</v>
      </c>
      <c r="AD29">
        <f>S29*constants!$F$2+T29*constants!$G$2</f>
        <v>1516.0258000681144</v>
      </c>
      <c r="AE29">
        <f t="shared" si="7"/>
        <v>4.3022485892359805</v>
      </c>
      <c r="AF29">
        <f>'solar dhw ecm'!AQ29</f>
        <v>5.1035531722746268E-2</v>
      </c>
    </row>
    <row r="31" spans="1:32">
      <c r="A31" t="s">
        <v>1072</v>
      </c>
      <c r="B31" t="s">
        <v>1074</v>
      </c>
      <c r="C31">
        <f>SUM(AA2:ALA9)</f>
        <v>1694143.6656971588</v>
      </c>
    </row>
    <row r="32" spans="1:32">
      <c r="B32" t="s">
        <v>1073</v>
      </c>
      <c r="C32">
        <f>SUM(Z2:Z29)</f>
        <v>41399.753792492702</v>
      </c>
    </row>
    <row r="33" spans="2:3">
      <c r="B33" t="s">
        <v>1075</v>
      </c>
      <c r="C33">
        <f>C31/C32</f>
        <v>40.921587944428047</v>
      </c>
    </row>
  </sheetData>
  <pageMargins left="0.7" right="0.7" top="0.75" bottom="0.75" header="0.3" footer="0.3"/>
  <pageSetup orientation="portrait" r:id="rId1"/>
  <legacyDrawing r:id="rId2"/>
</worksheet>
</file>

<file path=xl/worksheets/sheet36.xml><?xml version="1.0" encoding="utf-8"?>
<worksheet xmlns="http://schemas.openxmlformats.org/spreadsheetml/2006/main" xmlns:r="http://schemas.openxmlformats.org/officeDocument/2006/relationships">
  <sheetPr>
    <tabColor rgb="FF7030A0"/>
  </sheetPr>
  <dimension ref="A1:BE33"/>
  <sheetViews>
    <sheetView topLeftCell="AV1" workbookViewId="0">
      <selection activeCell="BK6" sqref="BK6"/>
    </sheetView>
  </sheetViews>
  <sheetFormatPr defaultRowHeight="14.4"/>
  <cols>
    <col min="1" max="6" width="20.6640625" customWidth="1"/>
    <col min="7" max="17" width="15.6640625" style="192" customWidth="1"/>
    <col min="18" max="31" width="20.6640625" customWidth="1"/>
    <col min="32" max="32" width="20.6640625" style="191" customWidth="1"/>
    <col min="33" max="43" width="20.6640625" customWidth="1"/>
    <col min="44" max="44" width="13.88671875" customWidth="1"/>
    <col min="45" max="54" width="9.109375" customWidth="1"/>
  </cols>
  <sheetData>
    <row r="1" spans="1:57" ht="86.4">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81" t="str">
        <f>sim_annual_output!I1&amp;"/m2"</f>
        <v>Electricity-Heating KWh/m2</v>
      </c>
      <c r="H1" s="181" t="str">
        <f>sim_annual_output!J1&amp;"/m2"</f>
        <v>Natural Gas-Heating KWh/m2</v>
      </c>
      <c r="I1" s="181" t="str">
        <f>sim_annual_output!K1&amp;"/m2"</f>
        <v>Electricity-Cooling KWh/m2</v>
      </c>
      <c r="J1" s="181" t="str">
        <f>sim_annual_output!L1&amp;"/m2"</f>
        <v>Electricity-Water Systems KWh/m2</v>
      </c>
      <c r="K1" s="181" t="str">
        <f>sim_annual_output!M1&amp;"/m2"</f>
        <v>Natural Gas-Water Systems KWh/m2</v>
      </c>
      <c r="L1" s="181" t="str">
        <f>sim_annual_output!N1&amp;"/m2"</f>
        <v>Electricity-Interior Lighting KWh/m2</v>
      </c>
      <c r="M1" s="181" t="str">
        <f>sim_annual_output!O1&amp;"/m2"</f>
        <v>Electricity-Interior Equipment KWh/m2</v>
      </c>
      <c r="N1" s="181" t="str">
        <f>sim_annual_output!P1&amp;"/m2"</f>
        <v>District Heating-Interior Equipment KWh/m2</v>
      </c>
      <c r="O1" s="181" t="str">
        <f>sim_annual_output!Q1&amp;"/m2"</f>
        <v>Electricity-Fans KWh/m2</v>
      </c>
      <c r="P1" s="181" t="str">
        <f>sim_annual_output!R1&amp;"/m2"</f>
        <v>Electricity-Pumps KWh/m2</v>
      </c>
      <c r="Q1" s="181" t="str">
        <f>sim_annual_output!S1&amp;"/m2"</f>
        <v>Electricity-Heat Recovery KWh/m2</v>
      </c>
      <c r="R1" s="175" t="str">
        <f>"baseline-"&amp;G1</f>
        <v>baseline-Electricity-Heating KWh/m2</v>
      </c>
      <c r="S1" s="175" t="str">
        <f t="shared" ref="S1:AB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si="0"/>
        <v>baseline-Electricity-Interior Equipment KWh/m2</v>
      </c>
      <c r="Y1" s="175" t="str">
        <f t="shared" si="0"/>
        <v>baseline-District Heating-Interior Equipment KWh/m2</v>
      </c>
      <c r="Z1" s="175" t="str">
        <f t="shared" si="0"/>
        <v>baseline-Electricity-Fans KWh/m2</v>
      </c>
      <c r="AA1" s="175" t="str">
        <f t="shared" si="0"/>
        <v>baseline-Electricity-Pumps KWh/m2</v>
      </c>
      <c r="AB1" s="175" t="str">
        <f t="shared" si="0"/>
        <v>baseline-Electricity-Heat Recovery KWh/m2</v>
      </c>
      <c r="AC1" s="181" t="s">
        <v>1023</v>
      </c>
      <c r="AD1" s="181" t="s">
        <v>983</v>
      </c>
      <c r="AE1" s="177" t="s">
        <v>982</v>
      </c>
      <c r="AF1" s="198" t="s">
        <v>1024</v>
      </c>
      <c r="AG1" s="190" t="s">
        <v>1025</v>
      </c>
      <c r="AH1" s="176" t="s">
        <v>985</v>
      </c>
      <c r="AI1" s="176" t="s">
        <v>986</v>
      </c>
      <c r="AJ1" s="176" t="s">
        <v>1026</v>
      </c>
      <c r="AK1" t="s">
        <v>988</v>
      </c>
      <c r="AL1" t="s">
        <v>1056</v>
      </c>
      <c r="AM1" s="191" t="s">
        <v>1010</v>
      </c>
      <c r="AN1" s="189" t="s">
        <v>1021</v>
      </c>
      <c r="AO1" s="189" t="s">
        <v>1022</v>
      </c>
      <c r="AP1" s="189" t="s">
        <v>1027</v>
      </c>
      <c r="AQ1" s="131" t="s">
        <v>1057</v>
      </c>
      <c r="AR1" s="181" t="s">
        <v>1058</v>
      </c>
      <c r="AS1" s="181" t="s">
        <v>1059</v>
      </c>
      <c r="AT1" s="181" t="s">
        <v>1060</v>
      </c>
      <c r="AU1" s="181" t="s">
        <v>1061</v>
      </c>
      <c r="AV1" s="181" t="s">
        <v>1062</v>
      </c>
      <c r="AW1" s="181" t="s">
        <v>1063</v>
      </c>
      <c r="AX1" s="181" t="s">
        <v>1064</v>
      </c>
      <c r="AY1" s="181" t="s">
        <v>1065</v>
      </c>
      <c r="AZ1" s="181" t="s">
        <v>1066</v>
      </c>
      <c r="BA1" s="181" t="s">
        <v>1067</v>
      </c>
      <c r="BB1" s="181" t="s">
        <v>1068</v>
      </c>
      <c r="BC1" s="204" t="s">
        <v>1076</v>
      </c>
      <c r="BD1" s="181" t="s">
        <v>1077</v>
      </c>
      <c r="BE1" s="181" t="s">
        <v>1078</v>
      </c>
    </row>
    <row r="2" spans="1:57">
      <c r="A2">
        <f>model_eui_end_uses!A3</f>
        <v>1</v>
      </c>
      <c r="B2" t="str">
        <f>model_eui_end_uses!B3</f>
        <v>Barracks</v>
      </c>
      <c r="C2" t="str">
        <f>model_eui_end_uses!C3</f>
        <v>1959-pre</v>
      </c>
      <c r="D2" t="s">
        <v>1055</v>
      </c>
      <c r="E2" s="45">
        <f>model_eui_end_uses!E3</f>
        <v>3989</v>
      </c>
      <c r="F2">
        <f>model_eui_end_uses!F3</f>
        <v>5495.7245916000002</v>
      </c>
      <c r="G2" s="192">
        <f>model_eui_end_uses!G3</f>
        <v>0</v>
      </c>
      <c r="H2" s="192">
        <f>model_eui_end_uses!H3</f>
        <v>87.284195056487818</v>
      </c>
      <c r="I2" s="192">
        <f>model_eui_end_uses!I3</f>
        <v>0.88158812656878982</v>
      </c>
      <c r="J2" s="192">
        <f>model_eui_end_uses!J3</f>
        <v>0</v>
      </c>
      <c r="K2" s="192">
        <f>model_eui_end_uses!K3-9.58</f>
        <v>12.680558783110472</v>
      </c>
      <c r="L2" s="192">
        <f>model_eui_end_uses!L3</f>
        <v>10.412131760361559</v>
      </c>
      <c r="M2" s="192">
        <f>model_eui_end_uses!M3</f>
        <v>2.875525483165283</v>
      </c>
      <c r="N2" s="192">
        <f>model_eui_end_uses!N3</f>
        <v>0</v>
      </c>
      <c r="O2" s="192">
        <f>model_eui_end_uses!O3</f>
        <v>5.7884716858103893</v>
      </c>
      <c r="P2" s="192">
        <f>model_eui_end_uses!P3+0.28</f>
        <v>4.2198147695473303</v>
      </c>
      <c r="Q2" s="192">
        <f>model_eui_end_uses!Q3</f>
        <v>0</v>
      </c>
      <c r="R2">
        <f>model_eui_end_uses!R3</f>
        <v>0</v>
      </c>
      <c r="S2">
        <f>model_eui_end_uses!S3</f>
        <v>87.284195056487818</v>
      </c>
      <c r="T2">
        <f>model_eui_end_uses!T3</f>
        <v>0.88158812656878982</v>
      </c>
      <c r="U2">
        <f>model_eui_end_uses!U3</f>
        <v>0</v>
      </c>
      <c r="V2">
        <f>model_eui_end_uses!V3</f>
        <v>22.260558783110472</v>
      </c>
      <c r="W2">
        <f>model_eui_end_uses!W3</f>
        <v>10.412131760361559</v>
      </c>
      <c r="X2">
        <f>model_eui_end_uses!X3</f>
        <v>2.875525483165283</v>
      </c>
      <c r="Y2">
        <f>model_eui_end_uses!Y3</f>
        <v>0</v>
      </c>
      <c r="Z2">
        <f>model_eui_end_uses!Z3</f>
        <v>5.7884716858103893</v>
      </c>
      <c r="AA2">
        <f>model_eui_end_uses!AA3</f>
        <v>3.93981476954733</v>
      </c>
      <c r="AB2">
        <f>model_eui_end_uses!AB3</f>
        <v>0</v>
      </c>
      <c r="AC2">
        <f>model_eui_end_uses!AC3</f>
        <v>133.44228566505163</v>
      </c>
      <c r="AD2">
        <f t="shared" ref="AD2:AD29" si="1">(S2+V2+Y2)-(H2+K2+N2)</f>
        <v>9.5799999999999983</v>
      </c>
      <c r="AE2">
        <f t="shared" ref="AE2:AE29" si="2">(R2+T2+U2+W2+X2+Z2+AA2+AB2)-(G2+I2+J2+L2+M2+O2+P2+Q2)</f>
        <v>-0.28000000000000114</v>
      </c>
      <c r="AF2" s="191">
        <f t="shared" ref="AF2:AF29" si="3">(AD2+AE2)/AC2*100</f>
        <v>6.9693050847042377</v>
      </c>
      <c r="AG2">
        <f>model_eui_end_uses!AG3</f>
        <v>4.4750461084777209</v>
      </c>
      <c r="AH2">
        <f>((S2+V2+Y2)-(H2+K2+N2))*constants!$O$2</f>
        <v>0.15519599999999997</v>
      </c>
      <c r="AI2">
        <f>((R2+T2+U2+W2+X2+Z2+AA2+AB2)-(G2+I2+J2+L2+M2+O2+P2+Q2))*constants!$N$2</f>
        <v>-3.1640000000000126E-2</v>
      </c>
      <c r="AJ2">
        <f>(AH2+AI2)/AG2*100</f>
        <v>2.7609994848082127</v>
      </c>
      <c r="AK2">
        <f>model_eui_end_uses!AK3</f>
        <v>0</v>
      </c>
      <c r="AL2">
        <v>126230</v>
      </c>
      <c r="AM2" s="191">
        <f>AL2/((AH2+AI2)*E2)</f>
        <v>256.11481786963776</v>
      </c>
      <c r="AN2">
        <f>model_eui_end_uses!AN3</f>
        <v>40399.36362543251</v>
      </c>
      <c r="AO2">
        <f>(AD2*constants!$F$2+AE2*constants!$G$2)</f>
        <v>1471.2199999999987</v>
      </c>
      <c r="AP2">
        <f>AO2/AN2*100</f>
        <v>3.6416910267215821</v>
      </c>
      <c r="AQ2">
        <f>base_scenario_arch_measures!F3</f>
        <v>8.6709848029832295E-2</v>
      </c>
      <c r="AR2">
        <f>G2*$AQ$2</f>
        <v>0</v>
      </c>
      <c r="AS2">
        <f>H2*$AQ$2</f>
        <v>7.5683992887542981</v>
      </c>
      <c r="AT2">
        <f t="shared" ref="AT2:BB2" si="4">I2*$AQ$2</f>
        <v>7.6442372479684328E-2</v>
      </c>
      <c r="AU2">
        <f t="shared" si="4"/>
        <v>0</v>
      </c>
      <c r="AV2">
        <f t="shared" si="4"/>
        <v>1.0995293250168641</v>
      </c>
      <c r="AW2">
        <f t="shared" si="4"/>
        <v>0.90283436260754102</v>
      </c>
      <c r="AX2">
        <f t="shared" si="4"/>
        <v>0.24933637765117178</v>
      </c>
      <c r="AY2">
        <f t="shared" si="4"/>
        <v>0</v>
      </c>
      <c r="AZ2">
        <f t="shared" si="4"/>
        <v>0.50191750020160597</v>
      </c>
      <c r="BA2">
        <f t="shared" si="4"/>
        <v>0.3658994973814908</v>
      </c>
      <c r="BB2">
        <f t="shared" si="4"/>
        <v>0</v>
      </c>
      <c r="BC2">
        <f>base_building_arch_areas!M43</f>
        <v>8.6502028165856976E-2</v>
      </c>
      <c r="BD2">
        <f>base_building_arch_areas!$P$2*BC2</f>
        <v>20018.904872339783</v>
      </c>
      <c r="BE2">
        <f>BD2*(AH2+AI2)</f>
        <v>2473.455810406811</v>
      </c>
    </row>
    <row r="3" spans="1:57">
      <c r="A3">
        <f>model_eui_end_uses!A25</f>
        <v>2</v>
      </c>
      <c r="B3" t="str">
        <f>model_eui_end_uses!B25</f>
        <v>Fire Hall</v>
      </c>
      <c r="C3" t="str">
        <f>model_eui_end_uses!C25</f>
        <v>1959-pre</v>
      </c>
      <c r="D3" t="s">
        <v>1055</v>
      </c>
      <c r="E3">
        <f>model_eui_end_uses!E25</f>
        <v>911.73353310000005</v>
      </c>
      <c r="F3">
        <f>model_eui_end_uses!F25</f>
        <v>911.73353307153502</v>
      </c>
      <c r="G3" s="192">
        <f>model_eui_end_uses!G25</f>
        <v>0</v>
      </c>
      <c r="H3" s="192">
        <f>model_eui_end_uses!H25</f>
        <v>536.82881923448883</v>
      </c>
      <c r="I3" s="192">
        <f>model_eui_end_uses!I25</f>
        <v>1.4776502686079858</v>
      </c>
      <c r="J3" s="192">
        <f>model_eui_end_uses!J25-3.4</f>
        <v>20.254591104066808</v>
      </c>
      <c r="K3" s="192">
        <f>model_eui_end_uses!K25</f>
        <v>0</v>
      </c>
      <c r="L3" s="192">
        <f>model_eui_end_uses!L25</f>
        <v>92.187096551629764</v>
      </c>
      <c r="M3" s="192">
        <f>model_eui_end_uses!M25</f>
        <v>26.469743368383877</v>
      </c>
      <c r="N3" s="192">
        <f>model_eui_end_uses!N25</f>
        <v>0</v>
      </c>
      <c r="O3" s="192">
        <f>model_eui_end_uses!O25</f>
        <v>40.374889401222738</v>
      </c>
      <c r="P3" s="192">
        <f>model_eui_end_uses!P25+0.11</f>
        <v>15.550683631557259</v>
      </c>
      <c r="Q3" s="192">
        <f>model_eui_end_uses!Q25</f>
        <v>0</v>
      </c>
      <c r="R3">
        <f>model_eui_end_uses!R25</f>
        <v>0</v>
      </c>
      <c r="S3">
        <f>model_eui_end_uses!S25</f>
        <v>536.82881923448883</v>
      </c>
      <c r="T3">
        <f>model_eui_end_uses!T25</f>
        <v>1.4776502686079858</v>
      </c>
      <c r="U3">
        <f>model_eui_end_uses!U25</f>
        <v>23.654591104066807</v>
      </c>
      <c r="V3">
        <f>model_eui_end_uses!V25</f>
        <v>0</v>
      </c>
      <c r="W3">
        <f>model_eui_end_uses!W25</f>
        <v>92.187096551629764</v>
      </c>
      <c r="X3">
        <f>model_eui_end_uses!X25</f>
        <v>26.469743368383877</v>
      </c>
      <c r="Y3">
        <f>model_eui_end_uses!Y25</f>
        <v>0</v>
      </c>
      <c r="Z3">
        <f>model_eui_end_uses!Z25</f>
        <v>40.374889401222738</v>
      </c>
      <c r="AA3">
        <f>model_eui_end_uses!AA25</f>
        <v>15.44068363155726</v>
      </c>
      <c r="AB3">
        <f>model_eui_end_uses!AB25</f>
        <v>0</v>
      </c>
      <c r="AC3">
        <f>model_eui_end_uses!AC25</f>
        <v>736.43347355995718</v>
      </c>
      <c r="AD3">
        <f t="shared" si="1"/>
        <v>0</v>
      </c>
      <c r="AE3">
        <f t="shared" si="2"/>
        <v>3.289999999999992</v>
      </c>
      <c r="AF3" s="191">
        <f t="shared" si="3"/>
        <v>0.44674775361526725</v>
      </c>
      <c r="AG3">
        <f>model_eui_end_uses!AG25</f>
        <v>31.25195281037665</v>
      </c>
      <c r="AH3">
        <f>((S3+V3+Y3)-(H3+K3+N3))*constants!$O$2</f>
        <v>0</v>
      </c>
      <c r="AI3">
        <f>((R3+T3+U3+W3+X3+Z3+AA3+AB3)-(G3+I3+J3+L3+M3+O3+P3+Q3))*constants!$N$2</f>
        <v>0.3717699999999991</v>
      </c>
      <c r="AJ3">
        <f t="shared" ref="AJ3:AJ29" si="5">(AH3+AI3)/AG3*100</f>
        <v>1.1895896626228091</v>
      </c>
      <c r="AK3">
        <f>model_eui_end_uses!AK25</f>
        <v>0</v>
      </c>
      <c r="AL3">
        <v>11619</v>
      </c>
      <c r="AM3" s="191">
        <f t="shared" ref="AM3:AM29" si="6">AL3/((AH3+AI3)*E3)</f>
        <v>34.278868819195885</v>
      </c>
      <c r="AN3">
        <f>model_eui_end_uses!AN25</f>
        <v>269748.407906131</v>
      </c>
      <c r="AO3">
        <f>(AD3*constants!$F$2+AE3*constants!$G$2)</f>
        <v>2862.2999999999929</v>
      </c>
      <c r="AP3">
        <f t="shared" ref="AP3:AP29" si="7">AO3/AN3*100</f>
        <v>1.0610998679169357</v>
      </c>
      <c r="AQ3">
        <f>base_scenario_arch_measures!F25</f>
        <v>5.5697909059876328E-3</v>
      </c>
      <c r="AR3">
        <f>G3*$AQ$3</f>
        <v>0</v>
      </c>
      <c r="AS3">
        <f>H3*$AQ$3</f>
        <v>2.9900242754443349</v>
      </c>
      <c r="AT3">
        <f t="shared" ref="AT3:BB3" si="8">I3*$AQ$3</f>
        <v>8.2302030283229414E-3</v>
      </c>
      <c r="AU3">
        <f t="shared" si="8"/>
        <v>0.11281383733592931</v>
      </c>
      <c r="AV3">
        <f t="shared" si="8"/>
        <v>0</v>
      </c>
      <c r="AW3">
        <f t="shared" si="8"/>
        <v>0.51346285202267128</v>
      </c>
      <c r="AX3">
        <f t="shared" si="8"/>
        <v>0.14743093589705097</v>
      </c>
      <c r="AY3">
        <f t="shared" si="8"/>
        <v>0</v>
      </c>
      <c r="AZ3">
        <f t="shared" si="8"/>
        <v>0.22487969181718687</v>
      </c>
      <c r="BA3">
        <f t="shared" si="8"/>
        <v>8.6614056272938361E-2</v>
      </c>
      <c r="BB3">
        <f t="shared" si="8"/>
        <v>0</v>
      </c>
      <c r="BC3">
        <f>base_building_arch_areas!M63</f>
        <v>5.5564416358095201E-3</v>
      </c>
      <c r="BD3">
        <f>base_building_arch_areas!$P$2*BC3</f>
        <v>1285.9106184504899</v>
      </c>
      <c r="BE3">
        <f t="shared" ref="BE3:BE29" si="9">BD3*(AH3+AI3)</f>
        <v>478.06299062133746</v>
      </c>
    </row>
    <row r="4" spans="1:57">
      <c r="A4">
        <f>model_eui_end_uses!A47</f>
        <v>3</v>
      </c>
      <c r="B4" t="str">
        <f>model_eui_end_uses!B47</f>
        <v>Food Service</v>
      </c>
      <c r="C4" t="str">
        <f>model_eui_end_uses!C47</f>
        <v>1959-pre</v>
      </c>
      <c r="D4" t="s">
        <v>1055</v>
      </c>
      <c r="E4">
        <f>model_eui_end_uses!E47</f>
        <v>2568</v>
      </c>
      <c r="F4">
        <f>model_eui_end_uses!F47</f>
        <v>2693.60503738445</v>
      </c>
      <c r="G4" s="192">
        <f>model_eui_end_uses!G47</f>
        <v>0</v>
      </c>
      <c r="H4" s="192">
        <f>model_eui_end_uses!H47</f>
        <v>593.73834634123182</v>
      </c>
      <c r="I4" s="192">
        <f>model_eui_end_uses!I47</f>
        <v>2.8796811701693601</v>
      </c>
      <c r="J4" s="192">
        <f>model_eui_end_uses!J47-16.24</f>
        <v>35.633587538571447</v>
      </c>
      <c r="K4" s="192">
        <f>model_eui_end_uses!K47</f>
        <v>0</v>
      </c>
      <c r="L4" s="192">
        <f>model_eui_end_uses!L47</f>
        <v>77.142814385854791</v>
      </c>
      <c r="M4" s="192">
        <f>model_eui_end_uses!M47</f>
        <v>11.925753702340163</v>
      </c>
      <c r="N4" s="192">
        <f>model_eui_end_uses!N47</f>
        <v>0</v>
      </c>
      <c r="O4" s="192">
        <f>model_eui_end_uses!O47</f>
        <v>33.777509826677544</v>
      </c>
      <c r="P4" s="192">
        <f>model_eui_end_uses!P47+0.47</f>
        <v>14.074011045282841</v>
      </c>
      <c r="Q4" s="192">
        <f>model_eui_end_uses!Q47</f>
        <v>0</v>
      </c>
      <c r="R4">
        <f>model_eui_end_uses!R47</f>
        <v>0</v>
      </c>
      <c r="S4">
        <f>model_eui_end_uses!S47</f>
        <v>593.73834634123182</v>
      </c>
      <c r="T4">
        <f>model_eui_end_uses!T47</f>
        <v>2.8796811701693601</v>
      </c>
      <c r="U4">
        <f>model_eui_end_uses!U47</f>
        <v>51.873587538571449</v>
      </c>
      <c r="V4">
        <f>model_eui_end_uses!V47</f>
        <v>0</v>
      </c>
      <c r="W4">
        <f>model_eui_end_uses!W47</f>
        <v>77.142814385854791</v>
      </c>
      <c r="X4">
        <f>model_eui_end_uses!X47</f>
        <v>11.925753702340163</v>
      </c>
      <c r="Y4">
        <f>model_eui_end_uses!Y47</f>
        <v>0</v>
      </c>
      <c r="Z4">
        <f>model_eui_end_uses!Z47</f>
        <v>33.777509826677544</v>
      </c>
      <c r="AA4">
        <f>model_eui_end_uses!AA47</f>
        <v>13.60401104528284</v>
      </c>
      <c r="AB4">
        <f>model_eui_end_uses!AB47</f>
        <v>0</v>
      </c>
      <c r="AC4">
        <f>model_eui_end_uses!AC47</f>
        <v>784.94170401012786</v>
      </c>
      <c r="AD4">
        <f t="shared" si="1"/>
        <v>0</v>
      </c>
      <c r="AE4">
        <f t="shared" si="2"/>
        <v>15.77000000000001</v>
      </c>
      <c r="AF4" s="191">
        <f t="shared" si="3"/>
        <v>2.0090663955595529</v>
      </c>
      <c r="AG4">
        <f>model_eui_end_uses!AG47</f>
        <v>31.224540627313225</v>
      </c>
      <c r="AH4">
        <f>((S4+V4+Y4)-(H4+K4+N4))*constants!$O$2</f>
        <v>0</v>
      </c>
      <c r="AI4">
        <f>((R4+T4+U4+W4+X4+Z4+AA4+AB4)-(G4+I4+J4+L4+M4+O4+P4+Q4))*constants!$N$2</f>
        <v>1.7820100000000012</v>
      </c>
      <c r="AJ4">
        <f t="shared" si="5"/>
        <v>5.7070815589236021</v>
      </c>
      <c r="AK4">
        <f>model_eui_end_uses!AK47</f>
        <v>0</v>
      </c>
      <c r="AL4">
        <v>138243</v>
      </c>
      <c r="AM4" s="191">
        <f t="shared" si="6"/>
        <v>30.209114385011091</v>
      </c>
      <c r="AN4">
        <f>model_eui_end_uses!AN47</f>
        <v>272626.08516702015</v>
      </c>
      <c r="AO4">
        <f>(AD4*constants!$F$2+AE4*constants!$G$2)</f>
        <v>13719.900000000009</v>
      </c>
      <c r="AP4">
        <f t="shared" si="7"/>
        <v>5.0324971624027555</v>
      </c>
      <c r="AQ4">
        <f>base_scenario_arch_measures!F47</f>
        <v>4.3262022149533112E-2</v>
      </c>
      <c r="AR4">
        <f>G4*$AQ$4</f>
        <v>0</v>
      </c>
      <c r="AS4">
        <f>H4*$AQ$4</f>
        <v>25.686321490441532</v>
      </c>
      <c r="AT4">
        <f t="shared" ref="AT4:BB4" si="10">I4*$AQ$4</f>
        <v>0.12458083056746029</v>
      </c>
      <c r="AU4">
        <f t="shared" si="10"/>
        <v>1.541581053361005</v>
      </c>
      <c r="AV4">
        <f t="shared" si="10"/>
        <v>0</v>
      </c>
      <c r="AW4">
        <f t="shared" si="10"/>
        <v>3.3373541446381716</v>
      </c>
      <c r="AX4">
        <f t="shared" si="10"/>
        <v>0.51593222082051671</v>
      </c>
      <c r="AY4">
        <f t="shared" si="10"/>
        <v>0</v>
      </c>
      <c r="AZ4">
        <f t="shared" si="10"/>
        <v>1.4612833782777963</v>
      </c>
      <c r="BA4">
        <f t="shared" si="10"/>
        <v>0.60887017757379991</v>
      </c>
      <c r="BB4">
        <f t="shared" si="10"/>
        <v>0</v>
      </c>
      <c r="BC4">
        <f>base_building_arch_areas!M22</f>
        <v>4.3262022149533112E-2</v>
      </c>
      <c r="BD4">
        <f>base_building_arch_areas!$P$2*BC4</f>
        <v>10012</v>
      </c>
      <c r="BE4">
        <f t="shared" si="9"/>
        <v>17841.484120000012</v>
      </c>
    </row>
    <row r="5" spans="1:57">
      <c r="A5">
        <f>model_eui_end_uses!A70</f>
        <v>4</v>
      </c>
      <c r="B5" t="str">
        <f>model_eui_end_uses!B70</f>
        <v>Food Service</v>
      </c>
      <c r="C5" t="str">
        <f>model_eui_end_uses!C70</f>
        <v>2005-2014</v>
      </c>
      <c r="D5" t="s">
        <v>1055</v>
      </c>
      <c r="E5">
        <f>model_eui_end_uses!E70</f>
        <v>2568</v>
      </c>
      <c r="F5">
        <f>model_eui_end_uses!F70</f>
        <v>2693.60503738445</v>
      </c>
      <c r="G5" s="192">
        <f>model_eui_end_uses!G70</f>
        <v>0</v>
      </c>
      <c r="H5" s="192">
        <f>model_eui_end_uses!H70</f>
        <v>312.99155339220079</v>
      </c>
      <c r="I5" s="192">
        <f>model_eui_end_uses!I70</f>
        <v>2.0616904792916175</v>
      </c>
      <c r="J5" s="192">
        <f>model_eui_end_uses!J70-16.24</f>
        <v>35.631621214795302</v>
      </c>
      <c r="K5" s="192">
        <f>model_eui_end_uses!K70</f>
        <v>0</v>
      </c>
      <c r="L5" s="192">
        <f>model_eui_end_uses!L70</f>
        <v>77.142814385854791</v>
      </c>
      <c r="M5" s="192">
        <f>model_eui_end_uses!M70</f>
        <v>11.925753702340163</v>
      </c>
      <c r="N5" s="192">
        <f>model_eui_end_uses!N70</f>
        <v>0</v>
      </c>
      <c r="O5" s="192">
        <f>model_eui_end_uses!O70</f>
        <v>24.540703888220349</v>
      </c>
      <c r="P5" s="192">
        <f>model_eui_end_uses!P70+0.47</f>
        <v>6.8880808053484399</v>
      </c>
      <c r="Q5" s="192">
        <f>model_eui_end_uses!Q70</f>
        <v>0</v>
      </c>
      <c r="R5">
        <f>model_eui_end_uses!R70</f>
        <v>0</v>
      </c>
      <c r="S5">
        <f>model_eui_end_uses!S70</f>
        <v>312.99155339220079</v>
      </c>
      <c r="T5">
        <f>model_eui_end_uses!T70</f>
        <v>2.0616904792916175</v>
      </c>
      <c r="U5">
        <f>model_eui_end_uses!U70</f>
        <v>51.871621214795304</v>
      </c>
      <c r="V5">
        <f>model_eui_end_uses!V70</f>
        <v>0</v>
      </c>
      <c r="W5">
        <f>model_eui_end_uses!W70</f>
        <v>77.142814385854791</v>
      </c>
      <c r="X5">
        <f>model_eui_end_uses!X70</f>
        <v>11.925753702340163</v>
      </c>
      <c r="Y5">
        <f>model_eui_end_uses!Y70</f>
        <v>0</v>
      </c>
      <c r="Z5">
        <f>model_eui_end_uses!Z70</f>
        <v>24.540703888220349</v>
      </c>
      <c r="AA5">
        <f>model_eui_end_uses!AA70</f>
        <v>6.4180808053484402</v>
      </c>
      <c r="AB5">
        <f>model_eui_end_uses!AB70</f>
        <v>0</v>
      </c>
      <c r="AC5">
        <f>model_eui_end_uses!AC70</f>
        <v>486.95221786805138</v>
      </c>
      <c r="AD5">
        <f t="shared" si="1"/>
        <v>0</v>
      </c>
      <c r="AE5">
        <f t="shared" si="2"/>
        <v>15.77000000000001</v>
      </c>
      <c r="AF5" s="191">
        <f t="shared" si="3"/>
        <v>3.2385107658084804</v>
      </c>
      <c r="AG5">
        <f>model_eui_end_uses!AG70</f>
        <v>24.72801825072478</v>
      </c>
      <c r="AH5">
        <f>((S5+V5+Y5)-(H5+K5+N5))*constants!$O$2</f>
        <v>0</v>
      </c>
      <c r="AI5">
        <f>((R5+T5+U5+W5+X5+Z5+AA5+AB5)-(G5+I5+J5+L5+M5+O5+P5+Q5))*constants!$N$2</f>
        <v>1.7820100000000012</v>
      </c>
      <c r="AJ5">
        <f t="shared" si="5"/>
        <v>7.2064408151582073</v>
      </c>
      <c r="AK5">
        <f>model_eui_end_uses!AK70</f>
        <v>0</v>
      </c>
      <c r="AL5">
        <v>138243</v>
      </c>
      <c r="AM5" s="191">
        <f t="shared" si="6"/>
        <v>30.209114385011091</v>
      </c>
      <c r="AN5">
        <f>model_eui_end_uses!AN70</f>
        <v>207371.26615119402</v>
      </c>
      <c r="AO5">
        <f>(AD5*constants!$F$2+AE5*constants!$G$2)</f>
        <v>13719.900000000009</v>
      </c>
      <c r="AP5">
        <f t="shared" si="7"/>
        <v>6.6161046583941161</v>
      </c>
      <c r="AQ5">
        <f>base_scenario_arch_measures!F70</f>
        <v>0</v>
      </c>
      <c r="AR5">
        <f>G5*$AQ$5</f>
        <v>0</v>
      </c>
      <c r="AS5">
        <f>H5*$AQ$5</f>
        <v>0</v>
      </c>
      <c r="AT5">
        <f t="shared" ref="AT5:BB5" si="11">I5*$AQ$5</f>
        <v>0</v>
      </c>
      <c r="AU5">
        <f t="shared" si="11"/>
        <v>0</v>
      </c>
      <c r="AV5">
        <f t="shared" si="11"/>
        <v>0</v>
      </c>
      <c r="AW5">
        <f t="shared" si="11"/>
        <v>0</v>
      </c>
      <c r="AX5">
        <f t="shared" si="11"/>
        <v>0</v>
      </c>
      <c r="AY5">
        <f t="shared" si="11"/>
        <v>0</v>
      </c>
      <c r="AZ5">
        <f t="shared" si="11"/>
        <v>0</v>
      </c>
      <c r="BA5">
        <f t="shared" si="11"/>
        <v>0</v>
      </c>
      <c r="BB5">
        <f t="shared" si="11"/>
        <v>0</v>
      </c>
      <c r="BC5">
        <f>base_building_arch_areas!M23</f>
        <v>0</v>
      </c>
      <c r="BD5">
        <f>base_building_arch_areas!$P$2*BC5</f>
        <v>0</v>
      </c>
      <c r="BE5">
        <f t="shared" si="9"/>
        <v>0</v>
      </c>
    </row>
    <row r="6" spans="1:57">
      <c r="A6">
        <f>model_eui_end_uses!A91</f>
        <v>5</v>
      </c>
      <c r="B6" t="str">
        <f>model_eui_end_uses!B91</f>
        <v>Hangar</v>
      </c>
      <c r="C6" t="str">
        <f>model_eui_end_uses!C91</f>
        <v>1959-pre</v>
      </c>
      <c r="D6" t="s">
        <v>1055</v>
      </c>
      <c r="E6">
        <f>model_eui_end_uses!E91</f>
        <v>6423</v>
      </c>
      <c r="F6">
        <f>model_eui_end_uses!F91</f>
        <v>6276.5798484957804</v>
      </c>
      <c r="G6" s="192">
        <f>model_eui_end_uses!G91</f>
        <v>0</v>
      </c>
      <c r="H6" s="192">
        <f>model_eui_end_uses!H91</f>
        <v>454.51808740458199</v>
      </c>
      <c r="I6" s="192">
        <f>model_eui_end_uses!I91</f>
        <v>0.35415746914651736</v>
      </c>
      <c r="J6" s="192">
        <f>model_eui_end_uses!J91</f>
        <v>0</v>
      </c>
      <c r="K6" s="192">
        <f>model_eui_end_uses!K91-2.82</f>
        <v>3.0226924673391564</v>
      </c>
      <c r="L6" s="192">
        <f>model_eui_end_uses!L91</f>
        <v>57.202771682211207</v>
      </c>
      <c r="M6" s="192">
        <f>model_eui_end_uses!M91</f>
        <v>6.3657767088535149</v>
      </c>
      <c r="N6" s="192">
        <f>model_eui_end_uses!N91</f>
        <v>0</v>
      </c>
      <c r="O6" s="192">
        <f>model_eui_end_uses!O91</f>
        <v>10.585322923735998</v>
      </c>
      <c r="P6" s="192">
        <f>model_eui_end_uses!P91+0.08</f>
        <v>9.198875500339037</v>
      </c>
      <c r="Q6" s="192">
        <f>model_eui_end_uses!Q91</f>
        <v>0</v>
      </c>
      <c r="R6">
        <f>model_eui_end_uses!R91</f>
        <v>0</v>
      </c>
      <c r="S6">
        <f>model_eui_end_uses!S91</f>
        <v>454.51808740458199</v>
      </c>
      <c r="T6">
        <f>model_eui_end_uses!T91</f>
        <v>0.35415746914651736</v>
      </c>
      <c r="U6">
        <f>model_eui_end_uses!U91</f>
        <v>0</v>
      </c>
      <c r="V6">
        <f>model_eui_end_uses!V91</f>
        <v>5.8426924673391563</v>
      </c>
      <c r="W6">
        <f>model_eui_end_uses!W91</f>
        <v>57.202771682211207</v>
      </c>
      <c r="X6">
        <f>model_eui_end_uses!X91</f>
        <v>6.3657767088535149</v>
      </c>
      <c r="Y6">
        <f>model_eui_end_uses!Y91</f>
        <v>0</v>
      </c>
      <c r="Z6">
        <f>model_eui_end_uses!Z91</f>
        <v>10.585322923735998</v>
      </c>
      <c r="AA6">
        <f>model_eui_end_uses!AA91</f>
        <v>9.1188755003390369</v>
      </c>
      <c r="AB6">
        <f>model_eui_end_uses!AB91</f>
        <v>0</v>
      </c>
      <c r="AC6">
        <f>model_eui_end_uses!AC91</f>
        <v>543.98768415620748</v>
      </c>
      <c r="AD6">
        <f t="shared" si="1"/>
        <v>2.8199999999999932</v>
      </c>
      <c r="AE6">
        <f t="shared" si="2"/>
        <v>-8.0000000000012506E-2</v>
      </c>
      <c r="AF6" s="191">
        <f t="shared" si="3"/>
        <v>0.50368787378891877</v>
      </c>
      <c r="AG6">
        <f>model_eui_end_uses!AG91</f>
        <v>16.907684818049468</v>
      </c>
      <c r="AH6">
        <f>((S6+V6+Y6)-(H6+K6+N6))*constants!$O$2</f>
        <v>4.5683999999999884E-2</v>
      </c>
      <c r="AI6">
        <f>((R6+T6+U6+W6+X6+Z6+AA6+AB6)-(G6+I6+J6+L6+M6+O6+P6+Q6))*constants!$N$2</f>
        <v>-9.0400000000014132E-3</v>
      </c>
      <c r="AJ6">
        <f t="shared" si="5"/>
        <v>0.216729850327467</v>
      </c>
      <c r="AK6">
        <f>model_eui_end_uses!AK91</f>
        <v>0</v>
      </c>
      <c r="AL6">
        <v>58447</v>
      </c>
      <c r="AM6" s="191">
        <f t="shared" si="6"/>
        <v>248.32556248989096</v>
      </c>
      <c r="AN6">
        <f>model_eui_end_uses!AN91</f>
        <v>155159.98632440294</v>
      </c>
      <c r="AO6">
        <f>(AD6*constants!$F$2+AE6*constants!$G$2)</f>
        <v>435.1799999999879</v>
      </c>
      <c r="AP6">
        <f t="shared" si="7"/>
        <v>0.28047179579542447</v>
      </c>
      <c r="AQ6">
        <f>base_scenario_arch_measures!F91</f>
        <v>0.26866355265375258</v>
      </c>
      <c r="AR6">
        <f>G6*$AQ$6</f>
        <v>0</v>
      </c>
      <c r="AS6">
        <f>H6*$AQ$6</f>
        <v>122.11244410750383</v>
      </c>
      <c r="AT6">
        <f t="shared" ref="AT6:BB6" si="12">I6*$AQ$6</f>
        <v>9.5149203859765122E-2</v>
      </c>
      <c r="AU6">
        <f t="shared" si="12"/>
        <v>0</v>
      </c>
      <c r="AV6">
        <f t="shared" si="12"/>
        <v>0.81208729685507475</v>
      </c>
      <c r="AW6">
        <f t="shared" si="12"/>
        <v>15.368299861784338</v>
      </c>
      <c r="AX6">
        <f t="shared" si="12"/>
        <v>1.7102521860010982</v>
      </c>
      <c r="AY6">
        <f t="shared" si="12"/>
        <v>0</v>
      </c>
      <c r="AZ6">
        <f t="shared" si="12"/>
        <v>2.8438904626781203</v>
      </c>
      <c r="BA6">
        <f t="shared" si="12"/>
        <v>2.4714025723406516</v>
      </c>
      <c r="BB6">
        <f t="shared" si="12"/>
        <v>0</v>
      </c>
      <c r="BC6">
        <f>base_building_arch_areas!M32</f>
        <v>0.24428083092295555</v>
      </c>
      <c r="BD6">
        <f>base_building_arch_areas!$P$2*BC6</f>
        <v>56533.179858006835</v>
      </c>
      <c r="BE6">
        <f t="shared" si="9"/>
        <v>2071.601842716716</v>
      </c>
    </row>
    <row r="7" spans="1:57">
      <c r="A7">
        <f>model_eui_end_uses!A115</f>
        <v>6</v>
      </c>
      <c r="B7" t="str">
        <f>model_eui_end_uses!B115</f>
        <v>Hangar</v>
      </c>
      <c r="C7" t="str">
        <f>model_eui_end_uses!C115</f>
        <v>1960-1979</v>
      </c>
      <c r="D7" t="s">
        <v>1055</v>
      </c>
      <c r="E7">
        <f>model_eui_end_uses!E115</f>
        <v>6423</v>
      </c>
      <c r="F7">
        <f>model_eui_end_uses!F115</f>
        <v>6276.5798484957804</v>
      </c>
      <c r="G7" s="192">
        <f>model_eui_end_uses!G115</f>
        <v>0</v>
      </c>
      <c r="H7" s="192">
        <f>model_eui_end_uses!H115</f>
        <v>441.28654697160931</v>
      </c>
      <c r="I7" s="192">
        <f>model_eui_end_uses!I115</f>
        <v>0.2866773375572193</v>
      </c>
      <c r="J7" s="192">
        <f>model_eui_end_uses!J115</f>
        <v>0</v>
      </c>
      <c r="K7" s="192">
        <f>model_eui_end_uses!K115-2.82</f>
        <v>3.0226924673391564</v>
      </c>
      <c r="L7" s="192">
        <f>model_eui_end_uses!L115</f>
        <v>57.202771682211207</v>
      </c>
      <c r="M7" s="192">
        <f>model_eui_end_uses!M115</f>
        <v>6.3657767088535149</v>
      </c>
      <c r="N7" s="192">
        <f>model_eui_end_uses!N115</f>
        <v>0</v>
      </c>
      <c r="O7" s="192">
        <f>model_eui_end_uses!O115</f>
        <v>10.044123210654044</v>
      </c>
      <c r="P7" s="192">
        <f>model_eui_end_uses!P115+0.08</f>
        <v>8.6812259002949581</v>
      </c>
      <c r="Q7" s="192">
        <f>model_eui_end_uses!Q115</f>
        <v>0</v>
      </c>
      <c r="R7">
        <f>model_eui_end_uses!R115</f>
        <v>0</v>
      </c>
      <c r="S7">
        <f>model_eui_end_uses!S115</f>
        <v>441.28654697160931</v>
      </c>
      <c r="T7">
        <f>model_eui_end_uses!T115</f>
        <v>0.2866773375572193</v>
      </c>
      <c r="U7">
        <f>model_eui_end_uses!U115</f>
        <v>0</v>
      </c>
      <c r="V7">
        <f>model_eui_end_uses!V115</f>
        <v>5.8426924673391563</v>
      </c>
      <c r="W7">
        <f>model_eui_end_uses!W115</f>
        <v>57.202771682211207</v>
      </c>
      <c r="X7">
        <f>model_eui_end_uses!X115</f>
        <v>6.3657767088535149</v>
      </c>
      <c r="Y7">
        <f>model_eui_end_uses!Y115</f>
        <v>0</v>
      </c>
      <c r="Z7">
        <f>model_eui_end_uses!Z115</f>
        <v>10.044123210654044</v>
      </c>
      <c r="AA7">
        <f>model_eui_end_uses!AA115</f>
        <v>8.601225900294958</v>
      </c>
      <c r="AB7">
        <f>model_eui_end_uses!AB115</f>
        <v>0</v>
      </c>
      <c r="AC7">
        <f>model_eui_end_uses!AC115</f>
        <v>529.62981427851935</v>
      </c>
      <c r="AD7">
        <f t="shared" si="1"/>
        <v>2.8199999999999932</v>
      </c>
      <c r="AE7">
        <f t="shared" si="2"/>
        <v>-7.9999999999998295E-2</v>
      </c>
      <c r="AF7" s="191">
        <f t="shared" si="3"/>
        <v>0.51734247697753211</v>
      </c>
      <c r="AG7">
        <f>model_eui_end_uses!AG115</f>
        <v>16.566058635782483</v>
      </c>
      <c r="AH7">
        <f>((S7+V7+Y7)-(H7+K7+N7))*constants!$O$2</f>
        <v>4.5683999999999884E-2</v>
      </c>
      <c r="AI7">
        <f>((R7+T7+U7+W7+X7+Z7+AA7+AB7)-(G7+I7+J7+L7+M7+O7+P7+Q7))*constants!$N$2</f>
        <v>-9.0399999999998069E-3</v>
      </c>
      <c r="AJ7">
        <f t="shared" si="5"/>
        <v>0.22119926535120121</v>
      </c>
      <c r="AK7">
        <f>model_eui_end_uses!AK115</f>
        <v>0</v>
      </c>
      <c r="AL7">
        <v>58447</v>
      </c>
      <c r="AM7" s="191">
        <f t="shared" si="6"/>
        <v>248.32556248988007</v>
      </c>
      <c r="AN7">
        <f>model_eui_end_uses!AN115</f>
        <v>151811.63396999851</v>
      </c>
      <c r="AO7">
        <f>(AD7*constants!$F$2+AE7*constants!$G$2)</f>
        <v>435.18000000000029</v>
      </c>
      <c r="AP7">
        <f t="shared" si="7"/>
        <v>0.28665787240390411</v>
      </c>
      <c r="AQ7">
        <f>base_scenario_arch_measures!F115</f>
        <v>2.692425689310236E-2</v>
      </c>
      <c r="AR7">
        <f>G7*$AQ$7</f>
        <v>0</v>
      </c>
      <c r="AS7">
        <f>H7*$AQ$7</f>
        <v>11.881312354133691</v>
      </c>
      <c r="AT7">
        <f t="shared" ref="AT7:BB7" si="13">I7*$AQ$7</f>
        <v>7.7185742818211937E-3</v>
      </c>
      <c r="AU7">
        <f t="shared" si="13"/>
        <v>0</v>
      </c>
      <c r="AV7">
        <f t="shared" si="13"/>
        <v>8.1383748499484862E-2</v>
      </c>
      <c r="AW7">
        <f t="shared" si="13"/>
        <v>1.5401421197693355</v>
      </c>
      <c r="AX7">
        <f t="shared" si="13"/>
        <v>0.17139380743329971</v>
      </c>
      <c r="AY7">
        <f t="shared" si="13"/>
        <v>0</v>
      </c>
      <c r="AZ7">
        <f t="shared" si="13"/>
        <v>0.27043055358962154</v>
      </c>
      <c r="BA7">
        <f t="shared" si="13"/>
        <v>0.23373555628659526</v>
      </c>
      <c r="BB7">
        <f t="shared" si="13"/>
        <v>0</v>
      </c>
      <c r="BC7">
        <f>base_building_arch_areas!M33</f>
        <v>2.6859726790325153E-2</v>
      </c>
      <c r="BD7">
        <f>base_building_arch_areas!$P$2*BC7</f>
        <v>6216.0659919045793</v>
      </c>
      <c r="BE7">
        <f t="shared" si="9"/>
        <v>227.78152220735188</v>
      </c>
    </row>
    <row r="8" spans="1:57">
      <c r="A8">
        <f>model_eui_end_uses!A139</f>
        <v>7</v>
      </c>
      <c r="B8" t="str">
        <f>model_eui_end_uses!B139</f>
        <v>Hangar</v>
      </c>
      <c r="C8" t="str">
        <f>model_eui_end_uses!C139</f>
        <v>1980-2004</v>
      </c>
      <c r="D8" t="s">
        <v>1055</v>
      </c>
      <c r="E8">
        <f>model_eui_end_uses!E139</f>
        <v>6423</v>
      </c>
      <c r="F8">
        <f>model_eui_end_uses!F139</f>
        <v>6276.5798484957804</v>
      </c>
      <c r="G8" s="192">
        <f>model_eui_end_uses!G139</f>
        <v>0</v>
      </c>
      <c r="H8" s="192">
        <f>model_eui_end_uses!H139</f>
        <v>279.44065955275357</v>
      </c>
      <c r="I8" s="192">
        <f>model_eui_end_uses!I139</f>
        <v>0.22916071533009946</v>
      </c>
      <c r="J8" s="192">
        <f>model_eui_end_uses!J139</f>
        <v>0</v>
      </c>
      <c r="K8" s="192">
        <f>model_eui_end_uses!K139-2.82</f>
        <v>3.0226924673391564</v>
      </c>
      <c r="L8" s="192">
        <f>model_eui_end_uses!L139</f>
        <v>57.202771682211207</v>
      </c>
      <c r="M8" s="192">
        <f>model_eui_end_uses!M139</f>
        <v>6.3657767088535149</v>
      </c>
      <c r="N8" s="192">
        <f>model_eui_end_uses!N139</f>
        <v>0</v>
      </c>
      <c r="O8" s="192">
        <f>model_eui_end_uses!O139</f>
        <v>7.0682041188870803</v>
      </c>
      <c r="P8" s="192">
        <f>model_eui_end_uses!P139+0.08</f>
        <v>5.4693527913600475</v>
      </c>
      <c r="Q8" s="192">
        <f>model_eui_end_uses!Q139</f>
        <v>0</v>
      </c>
      <c r="R8">
        <f>model_eui_end_uses!R139</f>
        <v>0</v>
      </c>
      <c r="S8">
        <f>model_eui_end_uses!S139</f>
        <v>279.44065955275357</v>
      </c>
      <c r="T8">
        <f>model_eui_end_uses!T139</f>
        <v>0.22916071533009946</v>
      </c>
      <c r="U8">
        <f>model_eui_end_uses!U139</f>
        <v>0</v>
      </c>
      <c r="V8">
        <f>model_eui_end_uses!V139</f>
        <v>5.8426924673391563</v>
      </c>
      <c r="W8">
        <f>model_eui_end_uses!W139</f>
        <v>57.202771682211207</v>
      </c>
      <c r="X8">
        <f>model_eui_end_uses!X139</f>
        <v>6.3657767088535149</v>
      </c>
      <c r="Y8">
        <f>model_eui_end_uses!Y139</f>
        <v>0</v>
      </c>
      <c r="Z8">
        <f>model_eui_end_uses!Z139</f>
        <v>7.0682041188870803</v>
      </c>
      <c r="AA8">
        <f>model_eui_end_uses!AA139</f>
        <v>5.3893527913600474</v>
      </c>
      <c r="AB8">
        <f>model_eui_end_uses!AB139</f>
        <v>0</v>
      </c>
      <c r="AC8">
        <f>model_eui_end_uses!AC139</f>
        <v>361.5386180367347</v>
      </c>
      <c r="AD8">
        <f t="shared" si="1"/>
        <v>2.8199999999999932</v>
      </c>
      <c r="AE8">
        <f t="shared" si="2"/>
        <v>-7.9999999999998295E-2</v>
      </c>
      <c r="AF8" s="191">
        <f t="shared" si="3"/>
        <v>0.7578720123673186</v>
      </c>
      <c r="AG8">
        <f>model_eui_end_uses!AG139</f>
        <v>13.238435362606044</v>
      </c>
      <c r="AH8">
        <f>((S8+V8+Y8)-(H8+K8+N8))*constants!$O$2</f>
        <v>4.5683999999999884E-2</v>
      </c>
      <c r="AI8">
        <f>((R8+T8+U8+W8+X8+Z8+AA8+AB8)-(G8+I8+J8+L8+M8+O8+P8+Q8))*constants!$N$2</f>
        <v>-9.0399999999998069E-3</v>
      </c>
      <c r="AJ8">
        <f t="shared" si="5"/>
        <v>0.27680008245918986</v>
      </c>
      <c r="AK8">
        <f>model_eui_end_uses!AK139</f>
        <v>0</v>
      </c>
      <c r="AL8">
        <v>58447</v>
      </c>
      <c r="AM8" s="191">
        <f t="shared" si="6"/>
        <v>248.32556248988007</v>
      </c>
      <c r="AN8">
        <f>model_eui_end_uses!AN139</f>
        <v>117407.8014460751</v>
      </c>
      <c r="AO8">
        <f>(AD8*constants!$F$2+AE8*constants!$G$2)</f>
        <v>435.18000000000029</v>
      </c>
      <c r="AP8">
        <f t="shared" si="7"/>
        <v>0.37065680017854402</v>
      </c>
      <c r="AQ8">
        <f>base_scenario_arch_measures!F139</f>
        <v>3.1409472533455475E-2</v>
      </c>
      <c r="AR8">
        <f>G8*$AQ$8</f>
        <v>0</v>
      </c>
      <c r="AS8">
        <f>H8*$AQ$8</f>
        <v>8.7770837209528949</v>
      </c>
      <c r="AT8">
        <f t="shared" ref="AT8:BB8" si="14">I8*$AQ$8</f>
        <v>7.1978171939077679E-3</v>
      </c>
      <c r="AU8">
        <f t="shared" si="14"/>
        <v>0</v>
      </c>
      <c r="AV8">
        <f t="shared" si="14"/>
        <v>9.4941176029971999E-2</v>
      </c>
      <c r="AW8">
        <f t="shared" si="14"/>
        <v>1.7967088859899376</v>
      </c>
      <c r="AX8">
        <f t="shared" si="14"/>
        <v>0.19994568869084506</v>
      </c>
      <c r="AY8">
        <f t="shared" si="14"/>
        <v>0</v>
      </c>
      <c r="AZ8">
        <f t="shared" si="14"/>
        <v>0.2220085631330406</v>
      </c>
      <c r="BA8">
        <f t="shared" si="14"/>
        <v>0.17178948627600144</v>
      </c>
      <c r="BB8">
        <f t="shared" si="14"/>
        <v>0</v>
      </c>
      <c r="BC8">
        <f>base_building_arch_areas!M34</f>
        <v>2.8239138212713864E-2</v>
      </c>
      <c r="BD8">
        <f>base_building_arch_areas!$P$2*BC8</f>
        <v>6535.2990391537314</v>
      </c>
      <c r="BE8">
        <f t="shared" si="9"/>
        <v>239.47949799074985</v>
      </c>
    </row>
    <row r="9" spans="1:57">
      <c r="A9">
        <f>model_eui_end_uses!A163</f>
        <v>10</v>
      </c>
      <c r="B9" t="str">
        <f>model_eui_end_uses!B163</f>
        <v>Maintenance Shop-Small</v>
      </c>
      <c r="C9" t="str">
        <f>model_eui_end_uses!C163</f>
        <v>1959-pre</v>
      </c>
      <c r="D9" t="s">
        <v>1055</v>
      </c>
      <c r="E9">
        <f>model_eui_end_uses!E163</f>
        <v>927</v>
      </c>
      <c r="F9">
        <f>model_eui_end_uses!F163</f>
        <v>923.71795399999996</v>
      </c>
      <c r="G9" s="192">
        <f>model_eui_end_uses!G163</f>
        <v>0</v>
      </c>
      <c r="H9" s="192">
        <f>model_eui_end_uses!H163</f>
        <v>757.1413574265174</v>
      </c>
      <c r="I9" s="192">
        <f>model_eui_end_uses!I163</f>
        <v>0.8781966981593966</v>
      </c>
      <c r="J9" s="192">
        <f>model_eui_end_uses!J163</f>
        <v>0</v>
      </c>
      <c r="K9" s="192">
        <f>model_eui_end_uses!K163-3.02</f>
        <v>1.8206443431191484</v>
      </c>
      <c r="L9" s="192">
        <f>model_eui_end_uses!L163</f>
        <v>55.142302641816137</v>
      </c>
      <c r="M9" s="192">
        <f>model_eui_end_uses!M163</f>
        <v>6.60609131364577</v>
      </c>
      <c r="N9" s="192">
        <f>model_eui_end_uses!N163</f>
        <v>0</v>
      </c>
      <c r="O9" s="192">
        <f>model_eui_end_uses!O163</f>
        <v>27.148651191209389</v>
      </c>
      <c r="P9" s="192">
        <f>model_eui_end_uses!P163+0.11</f>
        <v>40.854101793299016</v>
      </c>
      <c r="Q9" s="192">
        <f>model_eui_end_uses!Q163</f>
        <v>0</v>
      </c>
      <c r="R9">
        <f>model_eui_end_uses!R163</f>
        <v>0</v>
      </c>
      <c r="S9">
        <f>model_eui_end_uses!S163</f>
        <v>757.1413574265174</v>
      </c>
      <c r="T9">
        <f>model_eui_end_uses!T163</f>
        <v>0.8781966981593966</v>
      </c>
      <c r="U9">
        <f>model_eui_end_uses!U163</f>
        <v>0</v>
      </c>
      <c r="V9">
        <f>model_eui_end_uses!V163</f>
        <v>4.8406443431191484</v>
      </c>
      <c r="W9">
        <f>model_eui_end_uses!W163</f>
        <v>55.142302641816137</v>
      </c>
      <c r="X9">
        <f>model_eui_end_uses!X163</f>
        <v>6.60609131364577</v>
      </c>
      <c r="Y9">
        <f>model_eui_end_uses!Y163</f>
        <v>0</v>
      </c>
      <c r="Z9">
        <f>model_eui_end_uses!Z163</f>
        <v>27.148651191209389</v>
      </c>
      <c r="AA9">
        <f>model_eui_end_uses!AA163</f>
        <v>40.744101793299016</v>
      </c>
      <c r="AB9">
        <f>model_eui_end_uses!AB163</f>
        <v>0</v>
      </c>
      <c r="AC9">
        <f>model_eui_end_uses!AC163</f>
        <v>892.50134540776628</v>
      </c>
      <c r="AD9">
        <f t="shared" si="1"/>
        <v>3.0199999999999818</v>
      </c>
      <c r="AE9">
        <f t="shared" si="2"/>
        <v>-0.10999999999998522</v>
      </c>
      <c r="AF9" s="191">
        <f t="shared" si="3"/>
        <v>0.32604992866094501</v>
      </c>
      <c r="AG9">
        <f>model_eui_end_uses!AG163</f>
        <v>27.09279425977677</v>
      </c>
      <c r="AH9">
        <f>((S9+V9+Y9)-(H9+K9+N9))*constants!$O$2</f>
        <v>4.8923999999999704E-2</v>
      </c>
      <c r="AI9">
        <f>((R9+T9+U9+W9+X9+Z9+AA9+AB9)-(G9+I9+J9+L9+M9+O9+P9+Q9))*constants!$N$2</f>
        <v>-1.242999999999833E-2</v>
      </c>
      <c r="AJ9">
        <f t="shared" si="5"/>
        <v>0.13470002263362726</v>
      </c>
      <c r="AK9">
        <f>model_eui_end_uses!AK163</f>
        <v>0</v>
      </c>
      <c r="AL9">
        <v>11619</v>
      </c>
      <c r="AM9" s="191">
        <f t="shared" si="6"/>
        <v>343.45318634635288</v>
      </c>
      <c r="AN9">
        <f>model_eui_end_uses!AN163</f>
        <v>249946.60728193779</v>
      </c>
      <c r="AO9">
        <f>(AD9*constants!$F$2+AE9*constants!$G$2)</f>
        <v>444.8800000000096</v>
      </c>
      <c r="AP9">
        <f t="shared" si="7"/>
        <v>0.17799001348243487</v>
      </c>
      <c r="AQ9">
        <f>base_scenario_arch_measures!F163</f>
        <v>6.758070579491589E-3</v>
      </c>
      <c r="AR9">
        <f>G9*$AQ$9</f>
        <v>0</v>
      </c>
      <c r="AS9">
        <f>H9*$AQ$9</f>
        <v>5.1168147321404724</v>
      </c>
      <c r="AT9">
        <f t="shared" ref="AT9:BB9" si="15">I9*$AQ$9</f>
        <v>5.9349152688376733E-3</v>
      </c>
      <c r="AU9">
        <f t="shared" si="15"/>
        <v>0</v>
      </c>
      <c r="AV9">
        <f t="shared" si="15"/>
        <v>1.2304042970951307E-2</v>
      </c>
      <c r="AW9">
        <f t="shared" si="15"/>
        <v>0.37265557316907894</v>
      </c>
      <c r="AX9">
        <f t="shared" si="15"/>
        <v>4.4644431352184419E-2</v>
      </c>
      <c r="AY9">
        <f t="shared" si="15"/>
        <v>0</v>
      </c>
      <c r="AZ9">
        <f t="shared" si="15"/>
        <v>0.18347250088819145</v>
      </c>
      <c r="BA9">
        <f t="shared" si="15"/>
        <v>0.27609490338084863</v>
      </c>
      <c r="BB9">
        <f t="shared" si="15"/>
        <v>0</v>
      </c>
      <c r="BC9">
        <f>base_building_arch_areas!M28</f>
        <v>6.758070579491589E-3</v>
      </c>
      <c r="BD9">
        <f>base_building_arch_areas!$P$2*BC9</f>
        <v>1564</v>
      </c>
      <c r="BE9">
        <f t="shared" si="9"/>
        <v>57.076616000002147</v>
      </c>
    </row>
    <row r="10" spans="1:57">
      <c r="A10">
        <f>model_eui_end_uses!A186</f>
        <v>11</v>
      </c>
      <c r="B10" t="str">
        <f>model_eui_end_uses!B186</f>
        <v>Maintenance Shop-Small</v>
      </c>
      <c r="C10" t="str">
        <f>model_eui_end_uses!C186</f>
        <v>1960-1979</v>
      </c>
      <c r="D10" t="s">
        <v>1055</v>
      </c>
      <c r="E10">
        <f>model_eui_end_uses!E186</f>
        <v>927</v>
      </c>
      <c r="F10">
        <f>model_eui_end_uses!F186</f>
        <v>923.71795399999996</v>
      </c>
      <c r="G10" s="192">
        <f>model_eui_end_uses!G186</f>
        <v>0</v>
      </c>
      <c r="H10" s="192">
        <f>model_eui_end_uses!H186</f>
        <v>704.08439471057113</v>
      </c>
      <c r="I10" s="192">
        <f>model_eui_end_uses!I186</f>
        <v>0.72428593662630647</v>
      </c>
      <c r="J10" s="192">
        <f>model_eui_end_uses!J186</f>
        <v>0</v>
      </c>
      <c r="K10" s="192">
        <f>model_eui_end_uses!K186-3.02</f>
        <v>1.8206443431191484</v>
      </c>
      <c r="L10" s="192">
        <f>model_eui_end_uses!L186</f>
        <v>55.142302641816137</v>
      </c>
      <c r="M10" s="192">
        <f>model_eui_end_uses!M186</f>
        <v>6.60609131364577</v>
      </c>
      <c r="N10" s="192">
        <f>model_eui_end_uses!N186</f>
        <v>0</v>
      </c>
      <c r="O10" s="192">
        <f>model_eui_end_uses!O186</f>
        <v>25.211186310734021</v>
      </c>
      <c r="P10" s="192">
        <f>model_eui_end_uses!P186+0.11</f>
        <v>38.162172395504577</v>
      </c>
      <c r="Q10" s="192">
        <f>model_eui_end_uses!Q186</f>
        <v>0</v>
      </c>
      <c r="R10">
        <f>model_eui_end_uses!R186</f>
        <v>0</v>
      </c>
      <c r="S10">
        <f>model_eui_end_uses!S186</f>
        <v>704.08439471057113</v>
      </c>
      <c r="T10">
        <f>model_eui_end_uses!T186</f>
        <v>0.72428593662630647</v>
      </c>
      <c r="U10">
        <f>model_eui_end_uses!U186</f>
        <v>0</v>
      </c>
      <c r="V10">
        <f>model_eui_end_uses!V186</f>
        <v>4.8406443431191484</v>
      </c>
      <c r="W10">
        <f>model_eui_end_uses!W186</f>
        <v>55.142302641816137</v>
      </c>
      <c r="X10">
        <f>model_eui_end_uses!X186</f>
        <v>6.60609131364577</v>
      </c>
      <c r="Y10">
        <f>model_eui_end_uses!Y186</f>
        <v>0</v>
      </c>
      <c r="Z10">
        <f>model_eui_end_uses!Z186</f>
        <v>25.211186310734021</v>
      </c>
      <c r="AA10">
        <f>model_eui_end_uses!AA186</f>
        <v>38.052172395504577</v>
      </c>
      <c r="AB10">
        <f>model_eui_end_uses!AB186</f>
        <v>0</v>
      </c>
      <c r="AC10">
        <f>model_eui_end_uses!AC186</f>
        <v>834.66107765201707</v>
      </c>
      <c r="AD10">
        <f t="shared" si="1"/>
        <v>3.0199999999999818</v>
      </c>
      <c r="AE10">
        <f t="shared" si="2"/>
        <v>-0.10999999999998522</v>
      </c>
      <c r="AF10" s="191">
        <f t="shared" si="3"/>
        <v>0.34864450708377465</v>
      </c>
      <c r="AG10">
        <f>model_eui_end_uses!AG186</f>
        <v>25.692757994280711</v>
      </c>
      <c r="AH10">
        <f>((S10+V10+Y10)-(H10+K10+N10))*constants!$O$2</f>
        <v>4.8923999999999704E-2</v>
      </c>
      <c r="AI10">
        <f>((R10+T10+U10+W10+X10+Z10+AA10+AB10)-(G10+I10+J10+L10+M10+O10+P10+Q10))*constants!$N$2</f>
        <v>-1.242999999999833E-2</v>
      </c>
      <c r="AJ10">
        <f t="shared" si="5"/>
        <v>0.14204002547381273</v>
      </c>
      <c r="AK10">
        <f>model_eui_end_uses!AK186</f>
        <v>0</v>
      </c>
      <c r="AL10">
        <v>11619</v>
      </c>
      <c r="AM10" s="191">
        <f t="shared" si="6"/>
        <v>343.45318634635288</v>
      </c>
      <c r="AN10">
        <f>model_eui_end_uses!AN186</f>
        <v>236287.93557115487</v>
      </c>
      <c r="AO10">
        <f>(AD10*constants!$F$2+AE10*constants!$G$2)</f>
        <v>444.8800000000096</v>
      </c>
      <c r="AP10">
        <f t="shared" si="7"/>
        <v>0.18827876206402425</v>
      </c>
      <c r="AQ10">
        <f>base_scenario_arch_measures!F186</f>
        <v>3.128416304061324E-3</v>
      </c>
      <c r="AR10">
        <f>G10*$AQ$10</f>
        <v>0</v>
      </c>
      <c r="AS10">
        <f>H10*$AQ$10</f>
        <v>2.2026690998476992</v>
      </c>
      <c r="AT10">
        <f t="shared" ref="AT10:BB10" si="16">I10*$AQ$10</f>
        <v>2.265867932944064E-3</v>
      </c>
      <c r="AU10">
        <f t="shared" si="16"/>
        <v>0</v>
      </c>
      <c r="AV10">
        <f t="shared" si="16"/>
        <v>5.6957334469109628E-3</v>
      </c>
      <c r="AW10">
        <f t="shared" si="16"/>
        <v>0.17250807862814144</v>
      </c>
      <c r="AX10">
        <f t="shared" si="16"/>
        <v>2.0666603771727316E-2</v>
      </c>
      <c r="AY10">
        <f t="shared" si="16"/>
        <v>0</v>
      </c>
      <c r="AZ10">
        <f t="shared" si="16"/>
        <v>7.8871086299227969E-2</v>
      </c>
      <c r="BA10">
        <f t="shared" si="16"/>
        <v>0.11938716232049551</v>
      </c>
      <c r="BB10">
        <f t="shared" si="16"/>
        <v>0</v>
      </c>
      <c r="BC10">
        <f>base_building_arch_areas!M29</f>
        <v>3.128416304061324E-3</v>
      </c>
      <c r="BD10">
        <f>base_building_arch_areas!$P$2*BC10</f>
        <v>724</v>
      </c>
      <c r="BE10">
        <f t="shared" si="9"/>
        <v>26.421656000000993</v>
      </c>
    </row>
    <row r="11" spans="1:57">
      <c r="A11">
        <f>model_eui_end_uses!A209</f>
        <v>12</v>
      </c>
      <c r="B11" t="str">
        <f>model_eui_end_uses!B209</f>
        <v>Maintenance Shop-Small</v>
      </c>
      <c r="C11" t="str">
        <f>model_eui_end_uses!C209</f>
        <v>1980-2004</v>
      </c>
      <c r="D11" t="s">
        <v>1055</v>
      </c>
      <c r="E11">
        <f>model_eui_end_uses!E209</f>
        <v>927</v>
      </c>
      <c r="F11">
        <f>model_eui_end_uses!F209</f>
        <v>923.71795399999996</v>
      </c>
      <c r="G11" s="192">
        <f>model_eui_end_uses!G209</f>
        <v>0</v>
      </c>
      <c r="H11" s="192">
        <f>model_eui_end_uses!H209</f>
        <v>374.98395439792381</v>
      </c>
      <c r="I11" s="192">
        <f>model_eui_end_uses!I209</f>
        <v>0.56132160088538763</v>
      </c>
      <c r="J11" s="192">
        <f>model_eui_end_uses!J209</f>
        <v>0</v>
      </c>
      <c r="K11" s="192">
        <f>model_eui_end_uses!K209-3.02</f>
        <v>1.8206443431191484</v>
      </c>
      <c r="L11" s="192">
        <f>model_eui_end_uses!L209</f>
        <v>55.142302641816137</v>
      </c>
      <c r="M11" s="192">
        <f>model_eui_end_uses!M209</f>
        <v>6.60609131364577</v>
      </c>
      <c r="N11" s="192">
        <f>model_eui_end_uses!N209</f>
        <v>0</v>
      </c>
      <c r="O11" s="192">
        <f>model_eui_end_uses!O209</f>
        <v>14.552111610050208</v>
      </c>
      <c r="P11" s="192">
        <f>model_eui_end_uses!P209+0.11</f>
        <v>21.434185117506175</v>
      </c>
      <c r="Q11" s="192">
        <f>model_eui_end_uses!Q209</f>
        <v>0</v>
      </c>
      <c r="R11">
        <f>model_eui_end_uses!R209</f>
        <v>0</v>
      </c>
      <c r="S11">
        <f>model_eui_end_uses!S209</f>
        <v>374.98395439792381</v>
      </c>
      <c r="T11">
        <f>model_eui_end_uses!T209</f>
        <v>0.56132160088538763</v>
      </c>
      <c r="U11">
        <f>model_eui_end_uses!U209</f>
        <v>0</v>
      </c>
      <c r="V11">
        <f>model_eui_end_uses!V209</f>
        <v>4.8406443431191484</v>
      </c>
      <c r="W11">
        <f>model_eui_end_uses!W209</f>
        <v>55.142302641816137</v>
      </c>
      <c r="X11">
        <f>model_eui_end_uses!X209</f>
        <v>6.60609131364577</v>
      </c>
      <c r="Y11">
        <f>model_eui_end_uses!Y209</f>
        <v>0</v>
      </c>
      <c r="Z11">
        <f>model_eui_end_uses!Z209</f>
        <v>14.552111610050208</v>
      </c>
      <c r="AA11">
        <f>model_eui_end_uses!AA209</f>
        <v>21.324185117506175</v>
      </c>
      <c r="AB11">
        <f>model_eui_end_uses!AB209</f>
        <v>0</v>
      </c>
      <c r="AC11">
        <f>model_eui_end_uses!AC209</f>
        <v>478.01061102494657</v>
      </c>
      <c r="AD11">
        <f t="shared" si="1"/>
        <v>3.0199999999999818</v>
      </c>
      <c r="AE11">
        <f t="shared" si="2"/>
        <v>-0.10999999999999943</v>
      </c>
      <c r="AF11" s="191">
        <f t="shared" si="3"/>
        <v>0.60877309684828607</v>
      </c>
      <c r="AG11">
        <f>model_eui_end_uses!AG209</f>
        <v>17.248177887686012</v>
      </c>
      <c r="AH11">
        <f>((S11+V11+Y11)-(H11+K11+N11))*constants!$O$2</f>
        <v>4.8923999999999704E-2</v>
      </c>
      <c r="AI11">
        <f>((R11+T11+U11+W11+X11+Z11+AA11+AB11)-(G11+I11+J11+L11+M11+O11+P11+Q11))*constants!$N$2</f>
        <v>-1.2429999999999936E-2</v>
      </c>
      <c r="AJ11">
        <f t="shared" si="5"/>
        <v>0.21158176960856789</v>
      </c>
      <c r="AK11">
        <f>model_eui_end_uses!AK209</f>
        <v>0</v>
      </c>
      <c r="AL11">
        <v>11619</v>
      </c>
      <c r="AM11" s="191">
        <f t="shared" si="6"/>
        <v>343.45318634636794</v>
      </c>
      <c r="AN11">
        <f>model_eui_end_uses!AN209</f>
        <v>153410.4338616429</v>
      </c>
      <c r="AO11">
        <f>(AD11*constants!$F$2+AE11*constants!$G$2)</f>
        <v>444.87999999999727</v>
      </c>
      <c r="AP11">
        <f t="shared" si="7"/>
        <v>0.2899933132326733</v>
      </c>
      <c r="AQ11">
        <f>base_scenario_arch_measures!F209</f>
        <v>2.1039031746511859E-2</v>
      </c>
      <c r="AR11">
        <f>G11*$AQ$11</f>
        <v>0</v>
      </c>
      <c r="AS11">
        <f>H11*$AQ$11</f>
        <v>7.8892993210104745</v>
      </c>
      <c r="AT11">
        <f t="shared" ref="AT11:BB11" si="17">I11*$AQ$11</f>
        <v>1.180966298103053E-2</v>
      </c>
      <c r="AU11">
        <f t="shared" si="17"/>
        <v>0</v>
      </c>
      <c r="AV11">
        <f t="shared" si="17"/>
        <v>3.8304594133990989E-2</v>
      </c>
      <c r="AW11">
        <f t="shared" si="17"/>
        <v>1.1601406558569345</v>
      </c>
      <c r="AX11">
        <f t="shared" si="17"/>
        <v>0.13898576486814959</v>
      </c>
      <c r="AY11">
        <f t="shared" si="17"/>
        <v>0</v>
      </c>
      <c r="AZ11">
        <f t="shared" si="17"/>
        <v>0.30616233814263011</v>
      </c>
      <c r="BA11">
        <f t="shared" si="17"/>
        <v>0.45095450114782443</v>
      </c>
      <c r="BB11">
        <f t="shared" si="17"/>
        <v>0</v>
      </c>
      <c r="BC11">
        <f>base_building_arch_areas!M30</f>
        <v>2.1039031746511859E-2</v>
      </c>
      <c r="BD11">
        <f>base_building_arch_areas!$P$2*BC11</f>
        <v>4869</v>
      </c>
      <c r="BE11">
        <f t="shared" si="9"/>
        <v>177.68928599999887</v>
      </c>
    </row>
    <row r="12" spans="1:57">
      <c r="A12">
        <f>model_eui_end_uses!A232</f>
        <v>8</v>
      </c>
      <c r="B12" t="str">
        <f>model_eui_end_uses!B232</f>
        <v>Maintenance Shop</v>
      </c>
      <c r="C12" t="str">
        <f>model_eui_end_uses!C232</f>
        <v>1959-pre</v>
      </c>
      <c r="D12" t="s">
        <v>1055</v>
      </c>
      <c r="E12">
        <f>model_eui_end_uses!E232</f>
        <v>1927</v>
      </c>
      <c r="F12">
        <f>model_eui_end_uses!F232</f>
        <v>2388.5449741513999</v>
      </c>
      <c r="G12" s="192">
        <f>model_eui_end_uses!G232</f>
        <v>0</v>
      </c>
      <c r="H12" s="192">
        <f>model_eui_end_uses!H232</f>
        <v>558.03636372688652</v>
      </c>
      <c r="I12" s="192">
        <f>model_eui_end_uses!I232</f>
        <v>0.38186259928080357</v>
      </c>
      <c r="J12" s="192">
        <f>model_eui_end_uses!J232-1.68</f>
        <v>0.49108121556702566</v>
      </c>
      <c r="K12" s="192">
        <f>model_eui_end_uses!K232</f>
        <v>0</v>
      </c>
      <c r="L12" s="192">
        <f>model_eui_end_uses!L232</f>
        <v>28.425776831475446</v>
      </c>
      <c r="M12" s="192">
        <f>model_eui_end_uses!M232</f>
        <v>4.074764787903022</v>
      </c>
      <c r="N12" s="192">
        <f>model_eui_end_uses!N232</f>
        <v>0</v>
      </c>
      <c r="O12" s="192">
        <f>model_eui_end_uses!O232</f>
        <v>31.39529802735688</v>
      </c>
      <c r="P12" s="192">
        <f>model_eui_end_uses!P232+0.1</f>
        <v>28.892627633241528</v>
      </c>
      <c r="Q12" s="192">
        <f>model_eui_end_uses!Q232</f>
        <v>0</v>
      </c>
      <c r="R12">
        <f>model_eui_end_uses!R232</f>
        <v>0</v>
      </c>
      <c r="S12">
        <f>model_eui_end_uses!S232</f>
        <v>558.03636372688652</v>
      </c>
      <c r="T12">
        <f>model_eui_end_uses!T232</f>
        <v>0.38186259928080357</v>
      </c>
      <c r="U12">
        <f>model_eui_end_uses!U232</f>
        <v>2.1710812155670256</v>
      </c>
      <c r="V12">
        <f>model_eui_end_uses!V232</f>
        <v>0</v>
      </c>
      <c r="W12">
        <f>model_eui_end_uses!W232</f>
        <v>28.425776831475446</v>
      </c>
      <c r="X12">
        <f>model_eui_end_uses!X232</f>
        <v>4.074764787903022</v>
      </c>
      <c r="Y12">
        <f>model_eui_end_uses!Y232</f>
        <v>0</v>
      </c>
      <c r="Z12">
        <f>model_eui_end_uses!Z232</f>
        <v>31.39529802735688</v>
      </c>
      <c r="AA12">
        <f>model_eui_end_uses!AA232</f>
        <v>28.792627633241526</v>
      </c>
      <c r="AB12">
        <f>model_eui_end_uses!AB232</f>
        <v>0</v>
      </c>
      <c r="AC12">
        <f>model_eui_end_uses!AC232</f>
        <v>653.2777748217112</v>
      </c>
      <c r="AD12">
        <f t="shared" si="1"/>
        <v>0</v>
      </c>
      <c r="AE12">
        <f t="shared" si="2"/>
        <v>1.5799999999999841</v>
      </c>
      <c r="AF12" s="191">
        <f t="shared" si="3"/>
        <v>0.24185730188527976</v>
      </c>
      <c r="AG12">
        <f>model_eui_end_uses!AG232</f>
        <v>19.802468546090751</v>
      </c>
      <c r="AH12">
        <f>((S12+V12+Y12)-(H12+K12+N12))*constants!$O$2</f>
        <v>0</v>
      </c>
      <c r="AI12">
        <f>((R12+T12+U12+W12+X12+Z12+AA12+AB12)-(G12+I12+J12+L12+M12+O12+P12+Q12))*constants!$N$2</f>
        <v>0.1785399999999982</v>
      </c>
      <c r="AJ12">
        <f t="shared" si="5"/>
        <v>0.90160476500412956</v>
      </c>
      <c r="AK12">
        <f>model_eui_end_uses!AK232</f>
        <v>0</v>
      </c>
      <c r="AL12">
        <v>24608</v>
      </c>
      <c r="AM12" s="191">
        <f t="shared" si="6"/>
        <v>71.525198710012603</v>
      </c>
      <c r="AN12">
        <f>model_eui_end_uses!AN232</f>
        <v>182748.53675961017</v>
      </c>
      <c r="AO12">
        <f>(AD12*constants!$F$2+AE12*constants!$G$2)</f>
        <v>1374.5999999999863</v>
      </c>
      <c r="AP12">
        <f t="shared" si="7"/>
        <v>0.75218112515349611</v>
      </c>
      <c r="AQ12">
        <f>base_scenario_arch_measures!F232</f>
        <v>1.7210610689331843E-2</v>
      </c>
      <c r="AR12">
        <f>G12*$AQ$12</f>
        <v>0</v>
      </c>
      <c r="AS12">
        <f>H12*$AQ$12</f>
        <v>9.6041466065938259</v>
      </c>
      <c r="AT12">
        <f t="shared" ref="AT12:BB12" si="18">I12*$AQ$12</f>
        <v>6.5720885330382397E-3</v>
      </c>
      <c r="AU12">
        <f t="shared" si="18"/>
        <v>8.4518076179679272E-3</v>
      </c>
      <c r="AV12">
        <f t="shared" si="18"/>
        <v>0</v>
      </c>
      <c r="AW12">
        <f t="shared" si="18"/>
        <v>0.48922497858835273</v>
      </c>
      <c r="AX12">
        <f t="shared" si="18"/>
        <v>7.0129190415196746E-2</v>
      </c>
      <c r="AY12">
        <f t="shared" si="18"/>
        <v>0</v>
      </c>
      <c r="AZ12">
        <f t="shared" si="18"/>
        <v>0.54033225182438727</v>
      </c>
      <c r="BA12">
        <f t="shared" si="18"/>
        <v>0.49725976598755123</v>
      </c>
      <c r="BB12">
        <f t="shared" si="18"/>
        <v>0</v>
      </c>
      <c r="BC12">
        <f>base_building_arch_areas!M26</f>
        <v>1.7210610689331843E-2</v>
      </c>
      <c r="BD12">
        <f>base_building_arch_areas!$P$2*BC12</f>
        <v>3983.0000000000005</v>
      </c>
      <c r="BE12">
        <f t="shared" si="9"/>
        <v>711.12481999999295</v>
      </c>
    </row>
    <row r="13" spans="1:57">
      <c r="A13">
        <f>model_eui_end_uses!A255</f>
        <v>9</v>
      </c>
      <c r="B13" t="str">
        <f>model_eui_end_uses!B255</f>
        <v>Maintenance Shop</v>
      </c>
      <c r="C13" t="str">
        <f>model_eui_end_uses!C255</f>
        <v>1980-2004</v>
      </c>
      <c r="D13" t="s">
        <v>1055</v>
      </c>
      <c r="E13">
        <f>model_eui_end_uses!E255</f>
        <v>1927</v>
      </c>
      <c r="F13">
        <f>model_eui_end_uses!F255</f>
        <v>2388.5449741513999</v>
      </c>
      <c r="G13" s="192">
        <f>model_eui_end_uses!G255</f>
        <v>0</v>
      </c>
      <c r="H13" s="192">
        <f>model_eui_end_uses!H255</f>
        <v>324.25294984335915</v>
      </c>
      <c r="I13" s="192">
        <f>model_eui_end_uses!I255</f>
        <v>0.35277724159602492</v>
      </c>
      <c r="J13" s="192">
        <f>model_eui_end_uses!J255-1.68</f>
        <v>0.49014297822235586</v>
      </c>
      <c r="K13" s="192">
        <f>model_eui_end_uses!K255</f>
        <v>0</v>
      </c>
      <c r="L13" s="192">
        <f>model_eui_end_uses!L255</f>
        <v>28.425776831475446</v>
      </c>
      <c r="M13" s="192">
        <f>model_eui_end_uses!M255</f>
        <v>4.074764787903022</v>
      </c>
      <c r="N13" s="192">
        <f>model_eui_end_uses!N255</f>
        <v>0</v>
      </c>
      <c r="O13" s="192">
        <f>model_eui_end_uses!O255</f>
        <v>17.85559490642008</v>
      </c>
      <c r="P13" s="192">
        <f>model_eui_end_uses!P255+0.1</f>
        <v>16.19077046109529</v>
      </c>
      <c r="Q13" s="192">
        <f>model_eui_end_uses!Q255</f>
        <v>0</v>
      </c>
      <c r="R13">
        <f>model_eui_end_uses!R255</f>
        <v>0</v>
      </c>
      <c r="S13">
        <f>model_eui_end_uses!S255</f>
        <v>324.25294984335915</v>
      </c>
      <c r="T13">
        <f>model_eui_end_uses!T255</f>
        <v>0.35277724159602492</v>
      </c>
      <c r="U13">
        <f>model_eui_end_uses!U255</f>
        <v>2.1701429782223558</v>
      </c>
      <c r="V13">
        <f>model_eui_end_uses!V255</f>
        <v>0</v>
      </c>
      <c r="W13">
        <f>model_eui_end_uses!W255</f>
        <v>28.425776831475446</v>
      </c>
      <c r="X13">
        <f>model_eui_end_uses!X255</f>
        <v>4.074764787903022</v>
      </c>
      <c r="Y13">
        <f>model_eui_end_uses!Y255</f>
        <v>0</v>
      </c>
      <c r="Z13">
        <f>model_eui_end_uses!Z255</f>
        <v>17.85559490642008</v>
      </c>
      <c r="AA13">
        <f>model_eui_end_uses!AA255</f>
        <v>16.090770461095289</v>
      </c>
      <c r="AB13">
        <f>model_eui_end_uses!AB255</f>
        <v>0</v>
      </c>
      <c r="AC13">
        <f>model_eui_end_uses!AC255</f>
        <v>393.22277705007139</v>
      </c>
      <c r="AD13">
        <f t="shared" si="1"/>
        <v>0</v>
      </c>
      <c r="AE13">
        <f t="shared" si="2"/>
        <v>1.5799999999999841</v>
      </c>
      <c r="AF13" s="191">
        <f t="shared" si="3"/>
        <v>0.40180785351576753</v>
      </c>
      <c r="AG13">
        <f>model_eui_end_uses!AG255</f>
        <v>13.046488261820897</v>
      </c>
      <c r="AH13">
        <f>((S13+V13+Y13)-(H13+K13+N13))*constants!$O$2</f>
        <v>0</v>
      </c>
      <c r="AI13">
        <f>((R13+T13+U13+W13+X13+Z13+AA13+AB13)-(G13+I13+J13+L13+M13+O13+P13+Q13))*constants!$N$2</f>
        <v>0.1785399999999982</v>
      </c>
      <c r="AJ13">
        <f t="shared" si="5"/>
        <v>1.3684908644916787</v>
      </c>
      <c r="AK13">
        <f>model_eui_end_uses!AK255</f>
        <v>0</v>
      </c>
      <c r="AL13">
        <v>24608</v>
      </c>
      <c r="AM13" s="191">
        <f t="shared" si="6"/>
        <v>71.525198710012603</v>
      </c>
      <c r="AN13">
        <f>model_eui_end_uses!AN255</f>
        <v>118045.0276918009</v>
      </c>
      <c r="AO13">
        <f>(AD13*constants!$F$2+AE13*constants!$G$2)</f>
        <v>1374.5999999999863</v>
      </c>
      <c r="AP13">
        <f t="shared" si="7"/>
        <v>1.1644709030768114</v>
      </c>
      <c r="AQ13">
        <f>base_scenario_arch_measures!F255</f>
        <v>4.7470692702234397E-2</v>
      </c>
      <c r="AR13">
        <f>G13*$AQ$13</f>
        <v>0</v>
      </c>
      <c r="AS13">
        <f>H13*$AQ$13</f>
        <v>15.392512139807126</v>
      </c>
      <c r="AT13">
        <f t="shared" ref="AT13:BB13" si="19">I13*$AQ$13</f>
        <v>1.6746580028146801E-2</v>
      </c>
      <c r="AU13">
        <f t="shared" si="19"/>
        <v>2.3267426699351421E-2</v>
      </c>
      <c r="AV13">
        <f t="shared" si="19"/>
        <v>0</v>
      </c>
      <c r="AW13">
        <f t="shared" si="19"/>
        <v>1.349391316789265</v>
      </c>
      <c r="AX13">
        <f t="shared" si="19"/>
        <v>0.19343190708042968</v>
      </c>
      <c r="AY13">
        <f t="shared" si="19"/>
        <v>0</v>
      </c>
      <c r="AZ13">
        <f t="shared" si="19"/>
        <v>0.84761745881824935</v>
      </c>
      <c r="BA13">
        <f t="shared" si="19"/>
        <v>0.76858708917106844</v>
      </c>
      <c r="BB13">
        <f t="shared" si="19"/>
        <v>0</v>
      </c>
      <c r="BC13">
        <f>base_building_arch_areas!M27</f>
        <v>4.7470692702234397E-2</v>
      </c>
      <c r="BD13">
        <f>base_building_arch_areas!$P$2*BC13</f>
        <v>10986</v>
      </c>
      <c r="BE13">
        <f t="shared" si="9"/>
        <v>1961.4404399999803</v>
      </c>
    </row>
    <row r="14" spans="1:57">
      <c r="A14">
        <f>model_eui_end_uses!A278</f>
        <v>16</v>
      </c>
      <c r="B14" t="str">
        <f>model_eui_end_uses!B278</f>
        <v>Office-Small</v>
      </c>
      <c r="C14" t="str">
        <f>model_eui_end_uses!C278</f>
        <v>1960-1979</v>
      </c>
      <c r="D14" t="s">
        <v>1055</v>
      </c>
      <c r="E14">
        <f>model_eui_end_uses!E278</f>
        <v>584</v>
      </c>
      <c r="F14">
        <f>model_eui_end_uses!F278</f>
        <v>1211.46221507992</v>
      </c>
      <c r="G14" s="192">
        <f>model_eui_end_uses!G278</f>
        <v>0.28849045896151243</v>
      </c>
      <c r="H14" s="192">
        <f>model_eui_end_uses!H278</f>
        <v>64.431746489595724</v>
      </c>
      <c r="I14" s="192">
        <f>model_eui_end_uses!I278</f>
        <v>1.0489557300937753</v>
      </c>
      <c r="J14" s="192">
        <f>model_eui_end_uses!J278-2</f>
        <v>0.85063943931701402</v>
      </c>
      <c r="K14" s="192">
        <f>model_eui_end_uses!K278</f>
        <v>0</v>
      </c>
      <c r="L14" s="192">
        <f>model_eui_end_uses!L278</f>
        <v>12.878169874944756</v>
      </c>
      <c r="M14" s="192">
        <f>model_eui_end_uses!M278</f>
        <v>3.0838635268299606</v>
      </c>
      <c r="N14" s="192">
        <f>model_eui_end_uses!N278</f>
        <v>0</v>
      </c>
      <c r="O14" s="192">
        <f>model_eui_end_uses!O278</f>
        <v>9.1101086695815532</v>
      </c>
      <c r="P14" s="192">
        <f>model_eui_end_uses!P278+0.17</f>
        <v>0.17663196457382788</v>
      </c>
      <c r="Q14" s="192">
        <f>model_eui_end_uses!Q278</f>
        <v>0</v>
      </c>
      <c r="R14">
        <f>model_eui_end_uses!R278</f>
        <v>0.28849045896151243</v>
      </c>
      <c r="S14">
        <f>model_eui_end_uses!S278</f>
        <v>64.431746489595724</v>
      </c>
      <c r="T14">
        <f>model_eui_end_uses!T278</f>
        <v>1.0489557300937753</v>
      </c>
      <c r="U14">
        <f>model_eui_end_uses!U278</f>
        <v>2.850639439317014</v>
      </c>
      <c r="V14">
        <f>model_eui_end_uses!V278</f>
        <v>0</v>
      </c>
      <c r="W14">
        <f>model_eui_end_uses!W278</f>
        <v>12.878169874944756</v>
      </c>
      <c r="X14">
        <f>model_eui_end_uses!X278</f>
        <v>3.0838635268299606</v>
      </c>
      <c r="Y14">
        <f>model_eui_end_uses!Y278</f>
        <v>0</v>
      </c>
      <c r="Z14">
        <f>model_eui_end_uses!Z278</f>
        <v>9.1101086695815532</v>
      </c>
      <c r="AA14">
        <f>model_eui_end_uses!AA278</f>
        <v>6.6319645738278721E-3</v>
      </c>
      <c r="AB14">
        <f>model_eui_end_uses!AB278</f>
        <v>0</v>
      </c>
      <c r="AC14">
        <f>model_eui_end_uses!AC278</f>
        <v>93.698606153898126</v>
      </c>
      <c r="AD14">
        <f t="shared" si="1"/>
        <v>0</v>
      </c>
      <c r="AE14">
        <f t="shared" si="2"/>
        <v>1.8299999999999983</v>
      </c>
      <c r="AF14" s="191">
        <f t="shared" si="3"/>
        <v>1.9530706753462899</v>
      </c>
      <c r="AG14">
        <f>model_eui_end_uses!AG278</f>
        <v>4.3509494351976219</v>
      </c>
      <c r="AH14">
        <f>((S14+V14+Y14)-(H14+K14+N14))*constants!$O$2</f>
        <v>0</v>
      </c>
      <c r="AI14">
        <f>((R14+T14+U14+W14+X14+Z14+AA14+AB14)-(G14+I14+J14+L14+M14+O14+P14+Q14))*constants!$N$2</f>
        <v>0.20678999999999981</v>
      </c>
      <c r="AJ14">
        <f t="shared" si="5"/>
        <v>4.7527557623893033</v>
      </c>
      <c r="AK14">
        <f>model_eui_end_uses!AK278</f>
        <v>0</v>
      </c>
      <c r="AL14">
        <v>11619</v>
      </c>
      <c r="AM14" s="191">
        <f t="shared" si="6"/>
        <v>96.211363920912504</v>
      </c>
      <c r="AN14">
        <f>model_eui_end_uses!AN278</f>
        <v>36744.463830284207</v>
      </c>
      <c r="AO14">
        <f>(AD14*constants!$F$2+AE14*constants!$G$2)</f>
        <v>1592.0999999999985</v>
      </c>
      <c r="AP14">
        <f t="shared" si="7"/>
        <v>4.3328976233089431</v>
      </c>
      <c r="AQ14">
        <f>base_scenario_arch_measures!F278</f>
        <v>4.9605275097546961E-3</v>
      </c>
      <c r="AR14">
        <f>G14*$AQ$14</f>
        <v>1.4310648579803405E-3</v>
      </c>
      <c r="AS14">
        <f>H14*$AQ$14</f>
        <v>0.31961545096318017</v>
      </c>
      <c r="AT14">
        <f t="shared" ref="AT14:BB14" si="20">I14*$AQ$14</f>
        <v>5.2033737556449943E-3</v>
      </c>
      <c r="AU14">
        <f t="shared" si="20"/>
        <v>4.2196203396143587E-3</v>
      </c>
      <c r="AV14">
        <f t="shared" si="20"/>
        <v>0</v>
      </c>
      <c r="AW14">
        <f t="shared" si="20"/>
        <v>6.3882515939957654E-2</v>
      </c>
      <c r="AX14">
        <f t="shared" si="20"/>
        <v>1.5297589861169159E-2</v>
      </c>
      <c r="AY14">
        <f t="shared" si="20"/>
        <v>0</v>
      </c>
      <c r="AZ14">
        <f t="shared" si="20"/>
        <v>4.5190944672314048E-2</v>
      </c>
      <c r="BA14">
        <f t="shared" si="20"/>
        <v>8.761877193704901E-4</v>
      </c>
      <c r="BB14">
        <f t="shared" si="20"/>
        <v>0</v>
      </c>
      <c r="BC14">
        <f>base_building_arch_areas!M19</f>
        <v>4.9605275097546961E-3</v>
      </c>
      <c r="BD14">
        <f>base_building_arch_areas!$P$2*BC14</f>
        <v>1148</v>
      </c>
      <c r="BE14">
        <f t="shared" si="9"/>
        <v>237.39491999999979</v>
      </c>
    </row>
    <row r="15" spans="1:57">
      <c r="A15">
        <f>model_eui_end_uses!A300</f>
        <v>17</v>
      </c>
      <c r="B15" t="str">
        <f>model_eui_end_uses!B300</f>
        <v>Office-Small</v>
      </c>
      <c r="C15" t="str">
        <f>model_eui_end_uses!C300</f>
        <v>1980-2004</v>
      </c>
      <c r="D15" t="s">
        <v>1055</v>
      </c>
      <c r="E15">
        <f>model_eui_end_uses!E300</f>
        <v>584</v>
      </c>
      <c r="F15">
        <f>model_eui_end_uses!F300</f>
        <v>1211.46221507992</v>
      </c>
      <c r="G15" s="192">
        <f>model_eui_end_uses!G300</f>
        <v>0.31833429954373788</v>
      </c>
      <c r="H15" s="192">
        <f>model_eui_end_uses!H300</f>
        <v>35.854611140971421</v>
      </c>
      <c r="I15" s="192">
        <f>model_eui_end_uses!I300</f>
        <v>0.89752587232470527</v>
      </c>
      <c r="J15" s="192">
        <f>model_eui_end_uses!J300-2</f>
        <v>0.77768782900490718</v>
      </c>
      <c r="K15" s="192">
        <f>model_eui_end_uses!K300</f>
        <v>0</v>
      </c>
      <c r="L15" s="192">
        <f>model_eui_end_uses!L300</f>
        <v>12.878169874944756</v>
      </c>
      <c r="M15" s="192">
        <f>model_eui_end_uses!M300</f>
        <v>3.0838635268299606</v>
      </c>
      <c r="N15" s="192">
        <f>model_eui_end_uses!N300</f>
        <v>0</v>
      </c>
      <c r="O15" s="192">
        <f>model_eui_end_uses!O300</f>
        <v>6.2915237257047085</v>
      </c>
      <c r="P15" s="192">
        <f>model_eui_end_uses!P300+0.17</f>
        <v>0.17663196457382788</v>
      </c>
      <c r="Q15" s="192">
        <f>model_eui_end_uses!Q300</f>
        <v>0</v>
      </c>
      <c r="R15">
        <f>model_eui_end_uses!R300</f>
        <v>0.31833429954373788</v>
      </c>
      <c r="S15">
        <f>model_eui_end_uses!S300</f>
        <v>35.854611140971421</v>
      </c>
      <c r="T15">
        <f>model_eui_end_uses!T300</f>
        <v>0.89752587232470527</v>
      </c>
      <c r="U15">
        <f>model_eui_end_uses!U300</f>
        <v>2.7776878290049072</v>
      </c>
      <c r="V15">
        <f>model_eui_end_uses!V300</f>
        <v>0</v>
      </c>
      <c r="W15">
        <f>model_eui_end_uses!W300</f>
        <v>12.878169874944756</v>
      </c>
      <c r="X15">
        <f>model_eui_end_uses!X300</f>
        <v>3.0838635268299606</v>
      </c>
      <c r="Y15">
        <f>model_eui_end_uses!Y300</f>
        <v>0</v>
      </c>
      <c r="Z15">
        <f>model_eui_end_uses!Z300</f>
        <v>6.2915237257047085</v>
      </c>
      <c r="AA15">
        <f>model_eui_end_uses!AA300</f>
        <v>6.6319645738278721E-3</v>
      </c>
      <c r="AB15">
        <f>model_eui_end_uses!AB300</f>
        <v>0</v>
      </c>
      <c r="AC15">
        <f>model_eui_end_uses!AC300</f>
        <v>62.108348233898013</v>
      </c>
      <c r="AD15">
        <f t="shared" si="1"/>
        <v>0</v>
      </c>
      <c r="AE15">
        <f t="shared" si="2"/>
        <v>1.8299999999999983</v>
      </c>
      <c r="AF15" s="191">
        <f t="shared" si="3"/>
        <v>2.9464638040417337</v>
      </c>
      <c r="AG15">
        <f>model_eui_end_uses!AG300</f>
        <v>3.5475169919844438</v>
      </c>
      <c r="AH15">
        <f>((S15+V15+Y15)-(H15+K15+N15))*constants!$O$2</f>
        <v>0</v>
      </c>
      <c r="AI15">
        <f>((R15+T15+U15+W15+X15+Z15+AA15+AB15)-(G15+I15+J15+L15+M15+O15+P15+Q15))*constants!$N$2</f>
        <v>0.20678999999999981</v>
      </c>
      <c r="AJ15">
        <f t="shared" si="5"/>
        <v>5.8291475549585359</v>
      </c>
      <c r="AK15">
        <f>model_eui_end_uses!AK300</f>
        <v>0</v>
      </c>
      <c r="AL15">
        <v>11619</v>
      </c>
      <c r="AM15" s="191">
        <f t="shared" si="6"/>
        <v>96.211363920912504</v>
      </c>
      <c r="AN15">
        <f>model_eui_end_uses!AN300</f>
        <v>28981.775824476979</v>
      </c>
      <c r="AO15">
        <f>(AD15*constants!$F$2+AE15*constants!$G$2)</f>
        <v>1592.0999999999985</v>
      </c>
      <c r="AP15">
        <f t="shared" si="7"/>
        <v>5.4934521943799153</v>
      </c>
      <c r="AQ15">
        <f>base_scenario_arch_measures!F300</f>
        <v>1.882235002830266E-2</v>
      </c>
      <c r="AR15">
        <f>G15*$AQ$15</f>
        <v>5.9917996120267825E-3</v>
      </c>
      <c r="AS15">
        <f>H15*$AQ$15</f>
        <v>0.6748680410240443</v>
      </c>
      <c r="AT15">
        <f t="shared" ref="AT15:BB15" si="21">I15*$AQ$15</f>
        <v>1.6893546128353285E-2</v>
      </c>
      <c r="AU15">
        <f t="shared" si="21"/>
        <v>1.463791253028115E-2</v>
      </c>
      <c r="AV15">
        <f t="shared" si="21"/>
        <v>0</v>
      </c>
      <c r="AW15">
        <f t="shared" si="21"/>
        <v>0.24239742111015292</v>
      </c>
      <c r="AX15">
        <f t="shared" si="21"/>
        <v>5.8045558741509448E-2</v>
      </c>
      <c r="AY15">
        <f t="shared" si="21"/>
        <v>0</v>
      </c>
      <c r="AZ15">
        <f t="shared" si="21"/>
        <v>0.11842126177658488</v>
      </c>
      <c r="BA15">
        <f t="shared" si="21"/>
        <v>3.3246286633953435E-3</v>
      </c>
      <c r="BB15">
        <f t="shared" si="21"/>
        <v>0</v>
      </c>
      <c r="BC15">
        <f>base_building_arch_areas!M20</f>
        <v>1.882235002830266E-2</v>
      </c>
      <c r="BD15">
        <f>base_building_arch_areas!$P$2*BC15</f>
        <v>4356</v>
      </c>
      <c r="BE15">
        <f t="shared" si="9"/>
        <v>900.77723999999921</v>
      </c>
    </row>
    <row r="16" spans="1:57">
      <c r="A16">
        <f>model_eui_end_uses!A322</f>
        <v>18</v>
      </c>
      <c r="B16" t="str">
        <f>model_eui_end_uses!B322</f>
        <v>Office-Small</v>
      </c>
      <c r="C16" t="str">
        <f>model_eui_end_uses!C322</f>
        <v>2005-2014</v>
      </c>
      <c r="D16" t="s">
        <v>1055</v>
      </c>
      <c r="E16">
        <f>model_eui_end_uses!E322</f>
        <v>584</v>
      </c>
      <c r="F16">
        <f>model_eui_end_uses!F322</f>
        <v>1211.46221507992</v>
      </c>
      <c r="G16" s="192">
        <f>model_eui_end_uses!G322</f>
        <v>0.68751366082015608</v>
      </c>
      <c r="H16" s="192">
        <f>model_eui_end_uses!H322</f>
        <v>18.538551638706846</v>
      </c>
      <c r="I16" s="192">
        <f>model_eui_end_uses!I322</f>
        <v>1.0180065620825784</v>
      </c>
      <c r="J16" s="192">
        <f>model_eui_end_uses!J322-2</f>
        <v>0.71247351069559972</v>
      </c>
      <c r="K16" s="192">
        <f>model_eui_end_uses!K322</f>
        <v>0</v>
      </c>
      <c r="L16" s="192">
        <f>model_eui_end_uses!L322</f>
        <v>12.878169874944756</v>
      </c>
      <c r="M16" s="192">
        <f>model_eui_end_uses!M322</f>
        <v>3.0838635268299606</v>
      </c>
      <c r="N16" s="192">
        <f>model_eui_end_uses!N322</f>
        <v>0</v>
      </c>
      <c r="O16" s="192">
        <f>model_eui_end_uses!O322</f>
        <v>4.446732246751588</v>
      </c>
      <c r="P16" s="192">
        <f>model_eui_end_uses!P322+0.17</f>
        <v>0.17663196457382788</v>
      </c>
      <c r="Q16" s="192">
        <f>model_eui_end_uses!Q322</f>
        <v>0</v>
      </c>
      <c r="R16">
        <f>model_eui_end_uses!R322</f>
        <v>0.68751366082015608</v>
      </c>
      <c r="S16">
        <f>model_eui_end_uses!S322</f>
        <v>18.538551638706846</v>
      </c>
      <c r="T16">
        <f>model_eui_end_uses!T322</f>
        <v>1.0180065620825784</v>
      </c>
      <c r="U16">
        <f>model_eui_end_uses!U322</f>
        <v>2.7124735106955997</v>
      </c>
      <c r="V16">
        <f>model_eui_end_uses!V322</f>
        <v>0</v>
      </c>
      <c r="W16">
        <f>model_eui_end_uses!W322</f>
        <v>12.878169874944756</v>
      </c>
      <c r="X16">
        <f>model_eui_end_uses!X322</f>
        <v>3.0838635268299606</v>
      </c>
      <c r="Y16">
        <f>model_eui_end_uses!Y322</f>
        <v>0</v>
      </c>
      <c r="Z16">
        <f>model_eui_end_uses!Z322</f>
        <v>4.446732246751588</v>
      </c>
      <c r="AA16">
        <f>model_eui_end_uses!AA322</f>
        <v>6.6319645738278721E-3</v>
      </c>
      <c r="AB16">
        <f>model_eui_end_uses!AB322</f>
        <v>0</v>
      </c>
      <c r="AC16">
        <f>model_eui_end_uses!AC322</f>
        <v>43.371942985405305</v>
      </c>
      <c r="AD16">
        <f t="shared" si="1"/>
        <v>0</v>
      </c>
      <c r="AE16">
        <f t="shared" si="2"/>
        <v>1.8299999999999983</v>
      </c>
      <c r="AF16" s="191">
        <f t="shared" si="3"/>
        <v>4.2193175450216627</v>
      </c>
      <c r="AG16">
        <f>model_eui_end_uses!AG322</f>
        <v>3.1064977587239779</v>
      </c>
      <c r="AH16">
        <f>((S16+V16+Y16)-(H16+K16+N16))*constants!$O$2</f>
        <v>0</v>
      </c>
      <c r="AI16">
        <f>((R16+T16+U16+W16+X16+Z16+AA16+AB16)-(G16+I16+J16+L16+M16+O16+P16+Q16))*constants!$N$2</f>
        <v>0.20678999999999981</v>
      </c>
      <c r="AJ16">
        <f t="shared" si="5"/>
        <v>6.6566923932029702</v>
      </c>
      <c r="AK16">
        <f>model_eui_end_uses!AK322</f>
        <v>0</v>
      </c>
      <c r="AL16">
        <v>11619</v>
      </c>
      <c r="AM16" s="191">
        <f t="shared" si="6"/>
        <v>96.211363920912504</v>
      </c>
      <c r="AN16">
        <f>model_eui_end_uses!AN322</f>
        <v>24325.314330042656</v>
      </c>
      <c r="AO16">
        <f>(AD16*constants!$F$2+AE16*constants!$G$2)</f>
        <v>1592.0999999999985</v>
      </c>
      <c r="AP16">
        <f t="shared" si="7"/>
        <v>6.5450336155931872</v>
      </c>
      <c r="AQ16">
        <f>base_scenario_arch_measures!F322</f>
        <v>2.1648295142744798E-3</v>
      </c>
      <c r="AR16">
        <f>G16*$AQ$16</f>
        <v>1.4883498644103679E-3</v>
      </c>
      <c r="AS16">
        <f>H16*$AQ$16</f>
        <v>4.0132803739374105E-2</v>
      </c>
      <c r="AT16">
        <f t="shared" ref="AT16:BB16" si="22">I16*$AQ$16</f>
        <v>2.2038106513214612E-3</v>
      </c>
      <c r="AU16">
        <f t="shared" si="22"/>
        <v>1.5423836840925886E-3</v>
      </c>
      <c r="AV16">
        <f t="shared" si="22"/>
        <v>0</v>
      </c>
      <c r="AW16">
        <f t="shared" si="22"/>
        <v>2.7879042235120895E-2</v>
      </c>
      <c r="AX16">
        <f t="shared" si="22"/>
        <v>6.6760387808760882E-3</v>
      </c>
      <c r="AY16">
        <f t="shared" si="22"/>
        <v>0</v>
      </c>
      <c r="AZ16">
        <f t="shared" si="22"/>
        <v>9.6264172098439061E-3</v>
      </c>
      <c r="BA16">
        <f t="shared" si="22"/>
        <v>3.8237809007370691E-4</v>
      </c>
      <c r="BB16">
        <f t="shared" si="22"/>
        <v>0</v>
      </c>
      <c r="BC16">
        <f>base_building_arch_areas!M21</f>
        <v>2.1648295142744798E-3</v>
      </c>
      <c r="BD16">
        <f>base_building_arch_areas!$P$2*BC16</f>
        <v>501.00000000000006</v>
      </c>
      <c r="BE16">
        <f t="shared" si="9"/>
        <v>103.60178999999991</v>
      </c>
    </row>
    <row r="17" spans="1:57">
      <c r="A17">
        <f>model_eui_end_uses!A342</f>
        <v>13</v>
      </c>
      <c r="B17" t="str">
        <f>model_eui_end_uses!B342</f>
        <v>Office</v>
      </c>
      <c r="C17" t="str">
        <f>model_eui_end_uses!C342</f>
        <v>1959-pre</v>
      </c>
      <c r="D17" t="s">
        <v>1055</v>
      </c>
      <c r="E17">
        <f>model_eui_end_uses!E342</f>
        <v>3418.6207140000001</v>
      </c>
      <c r="F17">
        <f>model_eui_end_uses!F342</f>
        <v>3418.6207139712501</v>
      </c>
      <c r="G17" s="192">
        <f>model_eui_end_uses!G342</f>
        <v>0</v>
      </c>
      <c r="H17" s="192">
        <f>model_eui_end_uses!H342</f>
        <v>440.8685382069998</v>
      </c>
      <c r="I17" s="192">
        <f>model_eui_end_uses!I342</f>
        <v>20.910009182493454</v>
      </c>
      <c r="J17" s="192">
        <f>model_eui_end_uses!J342</f>
        <v>0</v>
      </c>
      <c r="K17" s="192">
        <f>model_eui_end_uses!K342-3.16</f>
        <v>42.231962111246375</v>
      </c>
      <c r="L17" s="192">
        <f>model_eui_end_uses!L342</f>
        <v>37.749985101789981</v>
      </c>
      <c r="M17" s="192">
        <f>model_eui_end_uses!M342</f>
        <v>11.425994758849107</v>
      </c>
      <c r="N17" s="192">
        <f>model_eui_end_uses!N342</f>
        <v>0</v>
      </c>
      <c r="O17" s="192">
        <f>model_eui_end_uses!O342</f>
        <v>30.927865062300786</v>
      </c>
      <c r="P17" s="192">
        <f>model_eui_end_uses!P342+0.09</f>
        <v>12.76568754359594</v>
      </c>
      <c r="Q17" s="192">
        <f>model_eui_end_uses!Q342</f>
        <v>0</v>
      </c>
      <c r="R17">
        <f>model_eui_end_uses!R342</f>
        <v>0</v>
      </c>
      <c r="S17">
        <f>model_eui_end_uses!S342</f>
        <v>440.8685382069998</v>
      </c>
      <c r="T17">
        <f>model_eui_end_uses!T342</f>
        <v>20.910009182493454</v>
      </c>
      <c r="U17">
        <f>model_eui_end_uses!U342</f>
        <v>0</v>
      </c>
      <c r="V17">
        <f>model_eui_end_uses!V342</f>
        <v>45.391962111246379</v>
      </c>
      <c r="W17">
        <f>model_eui_end_uses!W342</f>
        <v>37.749985101789981</v>
      </c>
      <c r="X17">
        <f>model_eui_end_uses!X342</f>
        <v>11.425994758849107</v>
      </c>
      <c r="Y17">
        <f>model_eui_end_uses!Y342</f>
        <v>0</v>
      </c>
      <c r="Z17">
        <f>model_eui_end_uses!Z342</f>
        <v>30.927865062300786</v>
      </c>
      <c r="AA17">
        <f>model_eui_end_uses!AA342</f>
        <v>12.67568754359594</v>
      </c>
      <c r="AB17">
        <f>model_eui_end_uses!AB342</f>
        <v>0</v>
      </c>
      <c r="AC17">
        <f>model_eui_end_uses!AC342</f>
        <v>599.95004196727552</v>
      </c>
      <c r="AD17">
        <f t="shared" si="1"/>
        <v>3.1599999999999682</v>
      </c>
      <c r="AE17">
        <f t="shared" si="2"/>
        <v>-9.0000000000003411E-2</v>
      </c>
      <c r="AF17" s="191">
        <f t="shared" si="3"/>
        <v>0.51170927331436356</v>
      </c>
      <c r="AG17">
        <f>model_eui_end_uses!AG342</f>
        <v>20.724338311495895</v>
      </c>
      <c r="AH17">
        <f>((S17+V17+Y17)-(H17+K17+N17))*constants!$O$2</f>
        <v>5.1191999999999481E-2</v>
      </c>
      <c r="AI17">
        <f>((R17+T17+U17+W17+X17+Z17+AA17+AB17)-(G17+I17+J17+L17+M17+O17+P17+Q17))*constants!$N$2</f>
        <v>-1.0170000000000385E-2</v>
      </c>
      <c r="AJ17">
        <f t="shared" si="5"/>
        <v>0.19794118096037827</v>
      </c>
      <c r="AK17">
        <f>model_eui_end_uses!AK342</f>
        <v>0</v>
      </c>
      <c r="AL17">
        <v>36060</v>
      </c>
      <c r="AM17" s="191">
        <f t="shared" si="6"/>
        <v>257.13309208180033</v>
      </c>
      <c r="AN17">
        <f>model_eui_end_uses!AN342</f>
        <v>185950.53079162154</v>
      </c>
      <c r="AO17">
        <f>(AD17*constants!$F$2+AE17*constants!$G$2)</f>
        <v>487.33999999999133</v>
      </c>
      <c r="AP17">
        <f t="shared" si="7"/>
        <v>0.26208045651997119</v>
      </c>
      <c r="AQ17">
        <f>base_scenario_arch_measures!F342</f>
        <v>7.135295363116663E-2</v>
      </c>
      <c r="AR17">
        <f>G17*$AQ$17</f>
        <v>0</v>
      </c>
      <c r="AS17">
        <f>H17*$AQ$17</f>
        <v>31.457272364124272</v>
      </c>
      <c r="AT17">
        <f t="shared" ref="AT17:BB17" si="23">I17*$AQ$17</f>
        <v>1.4919909156257238</v>
      </c>
      <c r="AU17">
        <f t="shared" si="23"/>
        <v>0</v>
      </c>
      <c r="AV17">
        <f t="shared" si="23"/>
        <v>3.0133752342769484</v>
      </c>
      <c r="AW17">
        <f t="shared" si="23"/>
        <v>2.6935729365452517</v>
      </c>
      <c r="AX17">
        <f t="shared" si="23"/>
        <v>0.81527847421811328</v>
      </c>
      <c r="AY17">
        <f t="shared" si="23"/>
        <v>0</v>
      </c>
      <c r="AZ17">
        <f t="shared" si="23"/>
        <v>2.2067945217013265</v>
      </c>
      <c r="BA17">
        <f t="shared" si="23"/>
        <v>0.91086951136816252</v>
      </c>
      <c r="BB17">
        <f t="shared" si="23"/>
        <v>0</v>
      </c>
      <c r="BC17">
        <f>base_building_arch_areas!M16</f>
        <v>7.135295363116663E-2</v>
      </c>
      <c r="BD17">
        <f>base_building_arch_areas!$P$2*BC17</f>
        <v>16513</v>
      </c>
      <c r="BE17">
        <f t="shared" si="9"/>
        <v>677.39628599998503</v>
      </c>
    </row>
    <row r="18" spans="1:57">
      <c r="A18">
        <f>model_eui_end_uses!A366</f>
        <v>14</v>
      </c>
      <c r="B18" t="str">
        <f>model_eui_end_uses!B366</f>
        <v>Office</v>
      </c>
      <c r="C18" t="str">
        <f>model_eui_end_uses!C366</f>
        <v>1960-1979</v>
      </c>
      <c r="D18" t="s">
        <v>1055</v>
      </c>
      <c r="E18">
        <f>model_eui_end_uses!E366</f>
        <v>3418.6207140000001</v>
      </c>
      <c r="F18">
        <f>model_eui_end_uses!F366</f>
        <v>3418.6207139712501</v>
      </c>
      <c r="G18" s="192">
        <f>model_eui_end_uses!G366</f>
        <v>0</v>
      </c>
      <c r="H18" s="192">
        <f>model_eui_end_uses!H366</f>
        <v>411.43981695995126</v>
      </c>
      <c r="I18" s="192">
        <f>model_eui_end_uses!I366</f>
        <v>19.71150667436499</v>
      </c>
      <c r="J18" s="192">
        <f>model_eui_end_uses!J366</f>
        <v>0</v>
      </c>
      <c r="K18" s="192">
        <f>model_eui_end_uses!K366-3.16</f>
        <v>42.231962111246375</v>
      </c>
      <c r="L18" s="192">
        <f>model_eui_end_uses!L366</f>
        <v>37.749985101789981</v>
      </c>
      <c r="M18" s="192">
        <f>model_eui_end_uses!M366</f>
        <v>11.425994758849107</v>
      </c>
      <c r="N18" s="192">
        <f>model_eui_end_uses!N366</f>
        <v>0</v>
      </c>
      <c r="O18" s="192">
        <f>model_eui_end_uses!O366</f>
        <v>30.13075932638619</v>
      </c>
      <c r="P18" s="192">
        <f>model_eui_end_uses!P366+0.09</f>
        <v>11.9303922362359</v>
      </c>
      <c r="Q18" s="192">
        <f>model_eui_end_uses!Q366</f>
        <v>0</v>
      </c>
      <c r="R18">
        <f>model_eui_end_uses!R366</f>
        <v>0</v>
      </c>
      <c r="S18">
        <f>model_eui_end_uses!S366</f>
        <v>411.43981695995126</v>
      </c>
      <c r="T18">
        <f>model_eui_end_uses!T366</f>
        <v>19.71150667436499</v>
      </c>
      <c r="U18">
        <f>model_eui_end_uses!U366</f>
        <v>0</v>
      </c>
      <c r="V18">
        <f>model_eui_end_uses!V366</f>
        <v>45.391962111246379</v>
      </c>
      <c r="W18">
        <f>model_eui_end_uses!W366</f>
        <v>37.749985101789981</v>
      </c>
      <c r="X18">
        <f>model_eui_end_uses!X366</f>
        <v>11.425994758849107</v>
      </c>
      <c r="Y18">
        <f>model_eui_end_uses!Y366</f>
        <v>0</v>
      </c>
      <c r="Z18">
        <f>model_eui_end_uses!Z366</f>
        <v>30.13075932638619</v>
      </c>
      <c r="AA18">
        <f>model_eui_end_uses!AA366</f>
        <v>11.8403922362359</v>
      </c>
      <c r="AB18">
        <f>model_eui_end_uses!AB366</f>
        <v>0</v>
      </c>
      <c r="AC18">
        <f>model_eui_end_uses!AC366</f>
        <v>567.69041716882373</v>
      </c>
      <c r="AD18">
        <f t="shared" si="1"/>
        <v>3.1599999999999682</v>
      </c>
      <c r="AE18">
        <f t="shared" si="2"/>
        <v>-9.0000000000003411E-2</v>
      </c>
      <c r="AF18" s="191">
        <f t="shared" si="3"/>
        <v>0.54078770878511884</v>
      </c>
      <c r="AG18">
        <f>model_eui_end_uses!AG366</f>
        <v>19.92770092598516</v>
      </c>
      <c r="AH18">
        <f>((S18+V18+Y18)-(H18+K18+N18))*constants!$O$2</f>
        <v>5.1191999999999481E-2</v>
      </c>
      <c r="AI18">
        <f>((R18+T18+U18+W18+X18+Z18+AA18+AB18)-(G18+I18+J18+L18+M18+O18+P18+Q18))*constants!$N$2</f>
        <v>-1.0170000000000385E-2</v>
      </c>
      <c r="AJ18">
        <f t="shared" si="5"/>
        <v>0.20585415323303835</v>
      </c>
      <c r="AK18">
        <f>model_eui_end_uses!AK366</f>
        <v>0</v>
      </c>
      <c r="AL18">
        <v>36060</v>
      </c>
      <c r="AM18" s="191">
        <f t="shared" si="6"/>
        <v>257.13309208180033</v>
      </c>
      <c r="AN18">
        <f>model_eui_end_uses!AN366</f>
        <v>178219.90359867914</v>
      </c>
      <c r="AO18">
        <f>(AD18*constants!$F$2+AE18*constants!$G$2)</f>
        <v>487.33999999999133</v>
      </c>
      <c r="AP18">
        <f t="shared" si="7"/>
        <v>0.27344869465163552</v>
      </c>
      <c r="AQ18">
        <f>base_scenario_arch_measures!F366</f>
        <v>1.5037139141068242E-2</v>
      </c>
      <c r="AR18">
        <f>G18*$AQ$18</f>
        <v>0</v>
      </c>
      <c r="AS18">
        <f>H18*$AQ$18</f>
        <v>6.1868777758024365</v>
      </c>
      <c r="AT18">
        <f t="shared" ref="AT18:BB18" si="24">I18*$AQ$18</f>
        <v>0.29640466854252168</v>
      </c>
      <c r="AU18">
        <f t="shared" si="24"/>
        <v>0</v>
      </c>
      <c r="AV18">
        <f t="shared" si="24"/>
        <v>0.63504789046713384</v>
      </c>
      <c r="AW18">
        <f t="shared" si="24"/>
        <v>0.56765177854886917</v>
      </c>
      <c r="AX18">
        <f t="shared" si="24"/>
        <v>0.17181427301393049</v>
      </c>
      <c r="AY18">
        <f t="shared" si="24"/>
        <v>0</v>
      </c>
      <c r="AZ18">
        <f t="shared" si="24"/>
        <v>0.45308042041690877</v>
      </c>
      <c r="BA18">
        <f t="shared" si="24"/>
        <v>0.17939896806379951</v>
      </c>
      <c r="BB18">
        <f t="shared" si="24"/>
        <v>0</v>
      </c>
      <c r="BC18">
        <f>base_building_arch_areas!M17</f>
        <v>1.5037139141068242E-2</v>
      </c>
      <c r="BD18">
        <f>base_building_arch_areas!$P$2*BC18</f>
        <v>3480</v>
      </c>
      <c r="BE18">
        <f t="shared" si="9"/>
        <v>142.75655999999685</v>
      </c>
    </row>
    <row r="19" spans="1:57">
      <c r="A19">
        <f>model_eui_end_uses!A390</f>
        <v>15</v>
      </c>
      <c r="B19" t="str">
        <f>model_eui_end_uses!B390</f>
        <v>Office</v>
      </c>
      <c r="C19" t="str">
        <f>model_eui_end_uses!C390</f>
        <v>1980-2004</v>
      </c>
      <c r="D19" t="s">
        <v>1055</v>
      </c>
      <c r="E19">
        <f>model_eui_end_uses!E390</f>
        <v>3418.6207140000001</v>
      </c>
      <c r="F19">
        <f>model_eui_end_uses!F390</f>
        <v>3418.6207140000001</v>
      </c>
      <c r="G19" s="192">
        <f>model_eui_end_uses!G390</f>
        <v>0</v>
      </c>
      <c r="H19" s="192">
        <f>model_eui_end_uses!H390</f>
        <v>269.3307338042415</v>
      </c>
      <c r="I19" s="192">
        <f>model_eui_end_uses!I390</f>
        <v>9.7887184509699896</v>
      </c>
      <c r="J19" s="192">
        <f>model_eui_end_uses!J390</f>
        <v>0</v>
      </c>
      <c r="K19" s="192">
        <f>model_eui_end_uses!K390-3.16</f>
        <v>42.23033703403695</v>
      </c>
      <c r="L19" s="192">
        <f>model_eui_end_uses!L390</f>
        <v>37.74998509530473</v>
      </c>
      <c r="M19" s="192">
        <f>model_eui_end_uses!M390</f>
        <v>11.425994758656927</v>
      </c>
      <c r="N19" s="192">
        <f>model_eui_end_uses!N390</f>
        <v>0</v>
      </c>
      <c r="O19" s="192">
        <f>model_eui_end_uses!O390</f>
        <v>27.082093962881196</v>
      </c>
      <c r="P19" s="192">
        <f>model_eui_end_uses!P390+0.09</f>
        <v>8.4543286904860189</v>
      </c>
      <c r="Q19" s="192">
        <f>model_eui_end_uses!Q390</f>
        <v>0</v>
      </c>
      <c r="R19">
        <f>model_eui_end_uses!R390</f>
        <v>0</v>
      </c>
      <c r="S19">
        <f>model_eui_end_uses!S390</f>
        <v>269.3307338042415</v>
      </c>
      <c r="T19">
        <f>model_eui_end_uses!T390</f>
        <v>9.7887184509699896</v>
      </c>
      <c r="U19">
        <f>model_eui_end_uses!U390</f>
        <v>0</v>
      </c>
      <c r="V19">
        <f>model_eui_end_uses!V390</f>
        <v>45.390337034036946</v>
      </c>
      <c r="W19">
        <f>model_eui_end_uses!W390</f>
        <v>37.74998509530473</v>
      </c>
      <c r="X19">
        <f>model_eui_end_uses!X390</f>
        <v>11.425994758656927</v>
      </c>
      <c r="Y19">
        <f>model_eui_end_uses!Y390</f>
        <v>0</v>
      </c>
      <c r="Z19">
        <f>model_eui_end_uses!Z390</f>
        <v>27.082093962881196</v>
      </c>
      <c r="AA19">
        <f>model_eui_end_uses!AA390</f>
        <v>8.364328690486019</v>
      </c>
      <c r="AB19">
        <f>model_eui_end_uses!AB390</f>
        <v>0</v>
      </c>
      <c r="AC19">
        <f>model_eui_end_uses!AC390</f>
        <v>409.13219179657733</v>
      </c>
      <c r="AD19">
        <f t="shared" si="1"/>
        <v>3.160000000000025</v>
      </c>
      <c r="AE19">
        <f t="shared" si="2"/>
        <v>-9.0000000000003411E-2</v>
      </c>
      <c r="AF19" s="191">
        <f t="shared" si="3"/>
        <v>0.75036872227508356</v>
      </c>
      <c r="AG19">
        <f>model_eui_end_uses!AG390</f>
        <v>15.766938015867883</v>
      </c>
      <c r="AH19">
        <f>((S19+V19+Y19)-(H19+K19+N19))*constants!$O$2</f>
        <v>5.1192000000000404E-2</v>
      </c>
      <c r="AI19">
        <f>((R19+T19+U19+W19+X19+Z19+AA19+AB19)-(G19+I19+J19+L19+M19+O19+P19+Q19))*constants!$N$2</f>
        <v>-1.0170000000000385E-2</v>
      </c>
      <c r="AJ19">
        <f t="shared" si="5"/>
        <v>0.26017734044946067</v>
      </c>
      <c r="AK19">
        <f>model_eui_end_uses!AK390</f>
        <v>0</v>
      </c>
      <c r="AL19">
        <v>36060</v>
      </c>
      <c r="AM19" s="191">
        <f t="shared" si="6"/>
        <v>257.13309208179453</v>
      </c>
      <c r="AN19">
        <f>model_eui_end_uses!AN390</f>
        <v>138472.74691377184</v>
      </c>
      <c r="AO19">
        <f>(AD19*constants!$F$2+AE19*constants!$G$2)</f>
        <v>487.34000000000145</v>
      </c>
      <c r="AP19">
        <f t="shared" si="7"/>
        <v>0.35193928831604115</v>
      </c>
      <c r="AQ19">
        <f>base_scenario_arch_measures!F390</f>
        <v>7.6404222497807081E-2</v>
      </c>
      <c r="AR19">
        <f>G19*$AQ$19</f>
        <v>0</v>
      </c>
      <c r="AS19">
        <f>H19*$AQ$19</f>
        <v>20.578005311076918</v>
      </c>
      <c r="AT19">
        <f t="shared" ref="AT19:BB19" si="25">I19*$AQ$19</f>
        <v>0.74789942249630059</v>
      </c>
      <c r="AU19">
        <f t="shared" si="25"/>
        <v>0</v>
      </c>
      <c r="AV19">
        <f t="shared" si="25"/>
        <v>3.2265760669059413</v>
      </c>
      <c r="AW19">
        <f t="shared" si="25"/>
        <v>2.8842582605105638</v>
      </c>
      <c r="AX19">
        <f t="shared" si="25"/>
        <v>0.87299424579920137</v>
      </c>
      <c r="AY19">
        <f t="shared" si="25"/>
        <v>0</v>
      </c>
      <c r="AZ19">
        <f t="shared" si="25"/>
        <v>2.0691863328464928</v>
      </c>
      <c r="BA19">
        <f t="shared" si="25"/>
        <v>0.64594641033748779</v>
      </c>
      <c r="BB19">
        <f t="shared" si="25"/>
        <v>0</v>
      </c>
      <c r="BC19">
        <f>base_building_arch_areas!M18</f>
        <v>7.6404222497807081E-2</v>
      </c>
      <c r="BD19">
        <f>base_building_arch_areas!$P$2*BC19</f>
        <v>17682</v>
      </c>
      <c r="BE19">
        <f t="shared" si="9"/>
        <v>725.35100400000033</v>
      </c>
    </row>
    <row r="20" spans="1:57">
      <c r="A20">
        <f>model_eui_end_uses!A414</f>
        <v>19</v>
      </c>
      <c r="B20" t="str">
        <f>model_eui_end_uses!B414</f>
        <v>Recreation Center</v>
      </c>
      <c r="C20" t="str">
        <f>model_eui_end_uses!C414</f>
        <v>1980-2004</v>
      </c>
      <c r="D20" t="s">
        <v>1055</v>
      </c>
      <c r="E20">
        <f>model_eui_end_uses!E414</f>
        <v>12612.73388</v>
      </c>
      <c r="F20">
        <f>model_eui_end_uses!F414</f>
        <v>12612.733881903199</v>
      </c>
      <c r="G20" s="192">
        <f>model_eui_end_uses!G414</f>
        <v>12.284111952835538</v>
      </c>
      <c r="H20" s="192">
        <f>model_eui_end_uses!H414</f>
        <v>352.31662049615386</v>
      </c>
      <c r="I20" s="192">
        <f>model_eui_end_uses!I414</f>
        <v>1.3458631361273996</v>
      </c>
      <c r="J20" s="192">
        <f>model_eui_end_uses!J414</f>
        <v>0</v>
      </c>
      <c r="K20" s="192">
        <f>model_eui_end_uses!K414-7.37</f>
        <v>16.024585441847986</v>
      </c>
      <c r="L20" s="192">
        <f>model_eui_end_uses!L414</f>
        <v>53.257286485876563</v>
      </c>
      <c r="M20" s="192">
        <f>model_eui_end_uses!M414</f>
        <v>6.608185796023994</v>
      </c>
      <c r="N20" s="192">
        <f>model_eui_end_uses!N414</f>
        <v>5.0845920837462408</v>
      </c>
      <c r="O20" s="192">
        <f>model_eui_end_uses!O414</f>
        <v>16.655579370441945</v>
      </c>
      <c r="P20" s="192">
        <f>model_eui_end_uses!P414+0.22</f>
        <v>4.3859870860719834</v>
      </c>
      <c r="Q20" s="192">
        <f>model_eui_end_uses!Q414</f>
        <v>0</v>
      </c>
      <c r="R20">
        <f>model_eui_end_uses!R414</f>
        <v>12.284111952835538</v>
      </c>
      <c r="S20">
        <f>model_eui_end_uses!S414</f>
        <v>352.31662049615386</v>
      </c>
      <c r="T20">
        <f>model_eui_end_uses!T414</f>
        <v>1.3458631361273996</v>
      </c>
      <c r="U20">
        <f>model_eui_end_uses!U414</f>
        <v>0</v>
      </c>
      <c r="V20">
        <f>model_eui_end_uses!V414</f>
        <v>23.394585441847987</v>
      </c>
      <c r="W20">
        <f>model_eui_end_uses!W414</f>
        <v>53.257286485876563</v>
      </c>
      <c r="X20">
        <f>model_eui_end_uses!X414</f>
        <v>6.608185796023994</v>
      </c>
      <c r="Y20">
        <f>model_eui_end_uses!Y414</f>
        <v>5.0845920837462408</v>
      </c>
      <c r="Z20">
        <f>model_eui_end_uses!Z414</f>
        <v>16.655579370441945</v>
      </c>
      <c r="AA20">
        <f>model_eui_end_uses!AA414</f>
        <v>4.1659870860719836</v>
      </c>
      <c r="AB20">
        <f>model_eui_end_uses!AB414</f>
        <v>0</v>
      </c>
      <c r="AC20">
        <f>model_eui_end_uses!AC414</f>
        <v>475.11281184912553</v>
      </c>
      <c r="AD20">
        <f t="shared" si="1"/>
        <v>7.3700000000000045</v>
      </c>
      <c r="AE20">
        <f t="shared" si="2"/>
        <v>-0.21999999999999886</v>
      </c>
      <c r="AF20" s="191">
        <f t="shared" si="3"/>
        <v>1.5049057448424532</v>
      </c>
      <c r="AG20">
        <f>model_eui_end_uses!AG414</f>
        <v>16.826714490445966</v>
      </c>
      <c r="AH20">
        <f>((S20+V20+Y20)-(H20+K20+N20))*constants!$O$2</f>
        <v>0.11939400000000007</v>
      </c>
      <c r="AI20">
        <f>((R20+T20+U20+W20+X20+Z20+AA20+AB20)-(G20+I20+J20+L20+M20+O20+P20+Q20))*constants!$N$2</f>
        <v>-2.4859999999999872E-2</v>
      </c>
      <c r="AJ20">
        <f t="shared" si="5"/>
        <v>0.56180902132543842</v>
      </c>
      <c r="AK20">
        <f>model_eui_end_uses!AK414</f>
        <v>0</v>
      </c>
      <c r="AL20">
        <v>306550</v>
      </c>
      <c r="AM20" s="191">
        <f t="shared" si="6"/>
        <v>257.10117025799752</v>
      </c>
      <c r="AN20">
        <f>model_eui_end_uses!AN414</f>
        <v>143044.525606613</v>
      </c>
      <c r="AO20">
        <f>(AD20*constants!$F$2+AE20*constants!$G$2)</f>
        <v>1127.830000000002</v>
      </c>
      <c r="AP20">
        <f t="shared" si="7"/>
        <v>0.78844681068162592</v>
      </c>
      <c r="AQ20">
        <f>base_scenario_arch_measures!F414</f>
        <v>6.8406020040876828E-2</v>
      </c>
      <c r="AR20">
        <f>G20*$AQ$20</f>
        <v>0.84030720843004236</v>
      </c>
      <c r="AS20">
        <f>H20*$AQ$20</f>
        <v>24.100577802393897</v>
      </c>
      <c r="AT20">
        <f t="shared" ref="AT20:BB20" si="26">I20*$AQ$20</f>
        <v>9.2065140662208236E-2</v>
      </c>
      <c r="AU20">
        <f t="shared" si="26"/>
        <v>0</v>
      </c>
      <c r="AV20">
        <f t="shared" si="26"/>
        <v>1.0961781128817965</v>
      </c>
      <c r="AW20">
        <f t="shared" si="26"/>
        <v>3.6431190066755907</v>
      </c>
      <c r="AX20">
        <f t="shared" si="26"/>
        <v>0.45203968999665495</v>
      </c>
      <c r="AY20">
        <f t="shared" si="26"/>
        <v>0.34781670798042902</v>
      </c>
      <c r="AZ20">
        <f t="shared" si="26"/>
        <v>1.1393418962068664</v>
      </c>
      <c r="BA20">
        <f t="shared" si="26"/>
        <v>0.30002792050886706</v>
      </c>
      <c r="BB20">
        <f t="shared" si="26"/>
        <v>0</v>
      </c>
      <c r="BC20">
        <f>base_building_arch_areas!M15</f>
        <v>6.8406020040876828E-2</v>
      </c>
      <c r="BD20">
        <f>base_building_arch_areas!$P$2*BC20</f>
        <v>15831.000000000002</v>
      </c>
      <c r="BE20">
        <f t="shared" si="9"/>
        <v>1496.5677540000033</v>
      </c>
    </row>
    <row r="21" spans="1:57">
      <c r="A21">
        <f>model_eui_end_uses!A436</f>
        <v>20</v>
      </c>
      <c r="B21" t="str">
        <f>model_eui_end_uses!B436</f>
        <v>Storage Building</v>
      </c>
      <c r="C21" t="str">
        <f>model_eui_end_uses!C436</f>
        <v>1959-pre</v>
      </c>
      <c r="D21" t="s">
        <v>1055</v>
      </c>
      <c r="E21">
        <f>model_eui_end_uses!E436</f>
        <v>1171</v>
      </c>
      <c r="F21">
        <f>model_eui_end_uses!F436</f>
        <v>965.15690399999903</v>
      </c>
      <c r="G21" s="192">
        <f>model_eui_end_uses!G436</f>
        <v>0</v>
      </c>
      <c r="H21" s="192">
        <f>model_eui_end_uses!H436</f>
        <v>397.49778261605422</v>
      </c>
      <c r="I21" s="192">
        <f>model_eui_end_uses!I436</f>
        <v>0</v>
      </c>
      <c r="J21" s="192">
        <f>model_eui_end_uses!J436</f>
        <v>0</v>
      </c>
      <c r="K21" s="192">
        <f>model_eui_end_uses!K436</f>
        <v>0</v>
      </c>
      <c r="L21" s="192">
        <f>model_eui_end_uses!L436</f>
        <v>34.866388715432876</v>
      </c>
      <c r="M21" s="192">
        <f>model_eui_end_uses!M436</f>
        <v>3.229985935080161</v>
      </c>
      <c r="N21" s="192">
        <f>model_eui_end_uses!N436</f>
        <v>0</v>
      </c>
      <c r="O21" s="192">
        <f>model_eui_end_uses!O436</f>
        <v>16.471182330565533</v>
      </c>
      <c r="P21" s="192">
        <f>model_eui_end_uses!P436</f>
        <v>0</v>
      </c>
      <c r="Q21" s="192">
        <f>model_eui_end_uses!Q436</f>
        <v>0</v>
      </c>
      <c r="R21">
        <f>model_eui_end_uses!R436</f>
        <v>0</v>
      </c>
      <c r="S21">
        <f>model_eui_end_uses!S436</f>
        <v>397.49778261605422</v>
      </c>
      <c r="T21">
        <f>model_eui_end_uses!T436</f>
        <v>0</v>
      </c>
      <c r="U21">
        <f>model_eui_end_uses!U436</f>
        <v>0</v>
      </c>
      <c r="V21">
        <f>model_eui_end_uses!V436</f>
        <v>0</v>
      </c>
      <c r="W21">
        <f>model_eui_end_uses!W436</f>
        <v>34.866388715432876</v>
      </c>
      <c r="X21">
        <f>model_eui_end_uses!X436</f>
        <v>3.229985935080161</v>
      </c>
      <c r="Y21">
        <f>model_eui_end_uses!Y436</f>
        <v>0</v>
      </c>
      <c r="Z21">
        <f>model_eui_end_uses!Z436</f>
        <v>16.471182330565533</v>
      </c>
      <c r="AA21">
        <f>model_eui_end_uses!AA436</f>
        <v>0</v>
      </c>
      <c r="AB21">
        <f>model_eui_end_uses!AB436</f>
        <v>0</v>
      </c>
      <c r="AC21">
        <f>model_eui_end_uses!AC436</f>
        <v>452.06533959713278</v>
      </c>
      <c r="AD21">
        <f t="shared" si="1"/>
        <v>0</v>
      </c>
      <c r="AE21">
        <f t="shared" si="2"/>
        <v>0</v>
      </c>
      <c r="AF21" s="191">
        <f t="shared" si="3"/>
        <v>0</v>
      </c>
      <c r="AG21">
        <f>model_eui_end_uses!AG436</f>
        <v>12.605598017241956</v>
      </c>
      <c r="AH21">
        <f>((S21+V21+Y21)-(H21+K21+N21))*constants!$O$2</f>
        <v>0</v>
      </c>
      <c r="AI21">
        <f>((R21+T21+U21+W21+X21+Z21+AA21+AB21)-(G21+I21+J21+L21+M21+O21+P21+Q21))*constants!$N$2</f>
        <v>0</v>
      </c>
      <c r="AJ21">
        <f t="shared" si="5"/>
        <v>0</v>
      </c>
      <c r="AK21">
        <f>model_eui_end_uses!AK436</f>
        <v>0</v>
      </c>
      <c r="AL21">
        <v>0</v>
      </c>
      <c r="AM21" s="191">
        <v>0</v>
      </c>
      <c r="AN21">
        <f>model_eui_end_uses!AN436</f>
        <v>118625.87766181206</v>
      </c>
      <c r="AO21">
        <f>(AD21*constants!$F$2+AE21*constants!$G$2)</f>
        <v>0</v>
      </c>
      <c r="AP21">
        <f t="shared" si="7"/>
        <v>0</v>
      </c>
      <c r="AQ21">
        <f>base_scenario_arch_measures!F436</f>
        <v>1.4259356082047471E-3</v>
      </c>
      <c r="AR21">
        <f>G21*$AQ$21</f>
        <v>0</v>
      </c>
      <c r="AS21">
        <f>H21*$AQ$21</f>
        <v>0.5668062424146616</v>
      </c>
      <c r="AT21">
        <f t="shared" ref="AT21:BB21" si="27">I21*$AQ$21</f>
        <v>0</v>
      </c>
      <c r="AU21">
        <f t="shared" si="27"/>
        <v>0</v>
      </c>
      <c r="AV21">
        <f t="shared" si="27"/>
        <v>0</v>
      </c>
      <c r="AW21">
        <f t="shared" si="27"/>
        <v>4.971722519884391E-2</v>
      </c>
      <c r="AX21">
        <f t="shared" si="27"/>
        <v>4.6057519588313086E-3</v>
      </c>
      <c r="AY21">
        <f t="shared" si="27"/>
        <v>0</v>
      </c>
      <c r="AZ21">
        <f t="shared" si="27"/>
        <v>2.3486845394386249E-2</v>
      </c>
      <c r="BA21">
        <f t="shared" si="27"/>
        <v>0</v>
      </c>
      <c r="BB21">
        <f t="shared" si="27"/>
        <v>0</v>
      </c>
      <c r="BC21">
        <f>base_building_arch_areas!M8</f>
        <v>1.4259356082047471E-3</v>
      </c>
      <c r="BD21">
        <f>base_building_arch_areas!$P$2*BC21</f>
        <v>330</v>
      </c>
      <c r="BE21">
        <f t="shared" si="9"/>
        <v>0</v>
      </c>
    </row>
    <row r="22" spans="1:57">
      <c r="A22">
        <f>model_eui_end_uses!A452</f>
        <v>21</v>
      </c>
      <c r="B22" t="str">
        <f>model_eui_end_uses!B452</f>
        <v>Storage Building</v>
      </c>
      <c r="C22" t="str">
        <f>model_eui_end_uses!C452</f>
        <v>1960-1979</v>
      </c>
      <c r="D22" t="s">
        <v>1055</v>
      </c>
      <c r="E22">
        <f>model_eui_end_uses!E452</f>
        <v>1171</v>
      </c>
      <c r="F22">
        <f>model_eui_end_uses!F452</f>
        <v>965.15690399999903</v>
      </c>
      <c r="G22" s="192">
        <f>model_eui_end_uses!G452</f>
        <v>0</v>
      </c>
      <c r="H22" s="192">
        <f>model_eui_end_uses!H452</f>
        <v>362.75011770796482</v>
      </c>
      <c r="I22" s="192">
        <f>model_eui_end_uses!I452</f>
        <v>0</v>
      </c>
      <c r="J22" s="192">
        <f>model_eui_end_uses!J452</f>
        <v>0</v>
      </c>
      <c r="K22" s="192">
        <f>model_eui_end_uses!K452</f>
        <v>0</v>
      </c>
      <c r="L22" s="192">
        <f>model_eui_end_uses!L452</f>
        <v>34.866388715432876</v>
      </c>
      <c r="M22" s="192">
        <f>model_eui_end_uses!M452</f>
        <v>3.229985935080161</v>
      </c>
      <c r="N22" s="192">
        <f>model_eui_end_uses!N452</f>
        <v>0</v>
      </c>
      <c r="O22" s="192">
        <f>model_eui_end_uses!O452</f>
        <v>15.015069752264532</v>
      </c>
      <c r="P22" s="192">
        <f>model_eui_end_uses!P452</f>
        <v>0</v>
      </c>
      <c r="Q22" s="192">
        <f>model_eui_end_uses!Q452</f>
        <v>0</v>
      </c>
      <c r="R22">
        <f>model_eui_end_uses!R452</f>
        <v>0</v>
      </c>
      <c r="S22">
        <f>model_eui_end_uses!S452</f>
        <v>362.75011770796482</v>
      </c>
      <c r="T22">
        <f>model_eui_end_uses!T452</f>
        <v>0</v>
      </c>
      <c r="U22">
        <f>model_eui_end_uses!U452</f>
        <v>0</v>
      </c>
      <c r="V22">
        <f>model_eui_end_uses!V452</f>
        <v>0</v>
      </c>
      <c r="W22">
        <f>model_eui_end_uses!W452</f>
        <v>34.866388715432876</v>
      </c>
      <c r="X22">
        <f>model_eui_end_uses!X452</f>
        <v>3.229985935080161</v>
      </c>
      <c r="Y22">
        <f>model_eui_end_uses!Y452</f>
        <v>0</v>
      </c>
      <c r="Z22">
        <f>model_eui_end_uses!Z452</f>
        <v>15.015069752264532</v>
      </c>
      <c r="AA22">
        <f>model_eui_end_uses!AA452</f>
        <v>0</v>
      </c>
      <c r="AB22">
        <f>model_eui_end_uses!AB452</f>
        <v>0</v>
      </c>
      <c r="AC22">
        <f>model_eui_end_uses!AC452</f>
        <v>415.8615621107424</v>
      </c>
      <c r="AD22">
        <f t="shared" si="1"/>
        <v>0</v>
      </c>
      <c r="AE22">
        <f t="shared" si="2"/>
        <v>0</v>
      </c>
      <c r="AF22" s="191">
        <f t="shared" si="3"/>
        <v>0</v>
      </c>
      <c r="AG22">
        <f>model_eui_end_uses!AG452</f>
        <v>11.878145124382895</v>
      </c>
      <c r="AH22">
        <f>((S22+V22+Y22)-(H22+K22+N22))*constants!$O$2</f>
        <v>0</v>
      </c>
      <c r="AI22">
        <f>((R22+T22+U22+W22+X22+Z22+AA22+AB22)-(G22+I22+J22+L22+M22+O22+P22+Q22))*constants!$N$2</f>
        <v>0</v>
      </c>
      <c r="AJ22">
        <f t="shared" si="5"/>
        <v>0</v>
      </c>
      <c r="AK22">
        <f>model_eui_end_uses!AK452</f>
        <v>0</v>
      </c>
      <c r="AL22">
        <v>0</v>
      </c>
      <c r="AM22" s="191">
        <v>0</v>
      </c>
      <c r="AN22">
        <f>model_eui_end_uses!AN452</f>
        <v>111139.22770014219</v>
      </c>
      <c r="AO22">
        <f>(AD22*constants!$F$2+AE22*constants!$G$2)</f>
        <v>0</v>
      </c>
      <c r="AP22">
        <f t="shared" si="7"/>
        <v>0</v>
      </c>
      <c r="AQ22">
        <f>base_scenario_arch_measures!F452</f>
        <v>3.5950861394737866E-3</v>
      </c>
      <c r="AR22">
        <f>G22*$AQ$22</f>
        <v>0</v>
      </c>
      <c r="AS22">
        <f>H22*$AQ$22</f>
        <v>1.3041179202643889</v>
      </c>
      <c r="AT22">
        <f t="shared" ref="AT22:BB22" si="28">I22*$AQ$22</f>
        <v>0</v>
      </c>
      <c r="AU22">
        <f t="shared" si="28"/>
        <v>0</v>
      </c>
      <c r="AV22">
        <f t="shared" si="28"/>
        <v>0</v>
      </c>
      <c r="AW22">
        <f t="shared" si="28"/>
        <v>0.12534767080435799</v>
      </c>
      <c r="AX22">
        <f t="shared" si="28"/>
        <v>1.1612077665901964E-2</v>
      </c>
      <c r="AY22">
        <f t="shared" si="28"/>
        <v>0</v>
      </c>
      <c r="AZ22">
        <f t="shared" si="28"/>
        <v>5.3980469149598323E-2</v>
      </c>
      <c r="BA22">
        <f t="shared" si="28"/>
        <v>0</v>
      </c>
      <c r="BB22">
        <f t="shared" si="28"/>
        <v>0</v>
      </c>
      <c r="BC22">
        <f>base_building_arch_areas!M9</f>
        <v>3.5950861394737866E-3</v>
      </c>
      <c r="BD22">
        <f>base_building_arch_areas!$P$2*BC22</f>
        <v>832</v>
      </c>
      <c r="BE22">
        <f t="shared" si="9"/>
        <v>0</v>
      </c>
    </row>
    <row r="23" spans="1:57">
      <c r="A23">
        <f>model_eui_end_uses!A468</f>
        <v>22</v>
      </c>
      <c r="B23" t="str">
        <f>model_eui_end_uses!B468</f>
        <v>Storage Building</v>
      </c>
      <c r="C23" t="str">
        <f>model_eui_end_uses!C468</f>
        <v>1980-2004</v>
      </c>
      <c r="D23" t="s">
        <v>1055</v>
      </c>
      <c r="E23">
        <f>model_eui_end_uses!E468</f>
        <v>1171</v>
      </c>
      <c r="F23">
        <f>model_eui_end_uses!F468</f>
        <v>965.15690399999903</v>
      </c>
      <c r="G23" s="192">
        <f>model_eui_end_uses!G468</f>
        <v>0</v>
      </c>
      <c r="H23" s="192">
        <f>model_eui_end_uses!H468</f>
        <v>219.94283685718281</v>
      </c>
      <c r="I23" s="192">
        <f>model_eui_end_uses!I468</f>
        <v>0</v>
      </c>
      <c r="J23" s="192">
        <f>model_eui_end_uses!J468</f>
        <v>0</v>
      </c>
      <c r="K23" s="192">
        <f>model_eui_end_uses!K468</f>
        <v>0</v>
      </c>
      <c r="L23" s="192">
        <f>model_eui_end_uses!L468</f>
        <v>34.866388715432876</v>
      </c>
      <c r="M23" s="192">
        <f>model_eui_end_uses!M468</f>
        <v>3.229985935080161</v>
      </c>
      <c r="N23" s="192">
        <f>model_eui_end_uses!N468</f>
        <v>0</v>
      </c>
      <c r="O23" s="192">
        <f>model_eui_end_uses!O468</f>
        <v>9.281408232911426</v>
      </c>
      <c r="P23" s="192">
        <f>model_eui_end_uses!P468</f>
        <v>0</v>
      </c>
      <c r="Q23" s="192">
        <f>model_eui_end_uses!Q468</f>
        <v>0</v>
      </c>
      <c r="R23">
        <f>model_eui_end_uses!R468</f>
        <v>0</v>
      </c>
      <c r="S23">
        <f>model_eui_end_uses!S468</f>
        <v>219.94283685718281</v>
      </c>
      <c r="T23">
        <f>model_eui_end_uses!T468</f>
        <v>0</v>
      </c>
      <c r="U23">
        <f>model_eui_end_uses!U468</f>
        <v>0</v>
      </c>
      <c r="V23">
        <f>model_eui_end_uses!V468</f>
        <v>0</v>
      </c>
      <c r="W23">
        <f>model_eui_end_uses!W468</f>
        <v>34.866388715432876</v>
      </c>
      <c r="X23">
        <f>model_eui_end_uses!X468</f>
        <v>3.229985935080161</v>
      </c>
      <c r="Y23">
        <f>model_eui_end_uses!Y468</f>
        <v>0</v>
      </c>
      <c r="Z23">
        <f>model_eui_end_uses!Z468</f>
        <v>9.281408232911426</v>
      </c>
      <c r="AA23">
        <f>model_eui_end_uses!AA468</f>
        <v>0</v>
      </c>
      <c r="AB23">
        <f>model_eui_end_uses!AB468</f>
        <v>0</v>
      </c>
      <c r="AC23">
        <f>model_eui_end_uses!AC468</f>
        <v>267.32061974060724</v>
      </c>
      <c r="AD23">
        <f t="shared" si="1"/>
        <v>0</v>
      </c>
      <c r="AE23">
        <f t="shared" si="2"/>
        <v>0</v>
      </c>
      <c r="AF23" s="191">
        <f t="shared" si="3"/>
        <v>0</v>
      </c>
      <c r="AG23">
        <f>model_eui_end_uses!AG468</f>
        <v>8.9167634229133252</v>
      </c>
      <c r="AH23">
        <f>((S23+V23+Y23)-(H23+K23+N23))*constants!$O$2</f>
        <v>0</v>
      </c>
      <c r="AI23">
        <f>((R23+T23+U23+W23+X23+Z23+AA23+AB23)-(G23+I23+J23+L23+M23+O23+P23+Q23))*constants!$N$2</f>
        <v>0</v>
      </c>
      <c r="AJ23">
        <f t="shared" si="5"/>
        <v>0</v>
      </c>
      <c r="AK23">
        <f>model_eui_end_uses!AK468</f>
        <v>0</v>
      </c>
      <c r="AL23">
        <v>0</v>
      </c>
      <c r="AM23" s="191">
        <v>0</v>
      </c>
      <c r="AN23">
        <f>model_eui_end_uses!AN468</f>
        <v>80588.438906014999</v>
      </c>
      <c r="AO23">
        <f>(AD23*constants!$F$2+AE23*constants!$G$2)</f>
        <v>0</v>
      </c>
      <c r="AP23">
        <f t="shared" si="7"/>
        <v>0</v>
      </c>
      <c r="AQ23">
        <f>base_scenario_arch_measures!F468</f>
        <v>4.3745976052923817E-2</v>
      </c>
      <c r="AR23">
        <f>G23*$AQ$23</f>
        <v>0</v>
      </c>
      <c r="AS23">
        <f>H23*$AQ$23</f>
        <v>9.62161407416645</v>
      </c>
      <c r="AT23">
        <f t="shared" ref="AT23:BB23" si="29">I23*$AQ$23</f>
        <v>0</v>
      </c>
      <c r="AU23">
        <f t="shared" si="29"/>
        <v>0</v>
      </c>
      <c r="AV23">
        <f t="shared" si="29"/>
        <v>0</v>
      </c>
      <c r="AW23">
        <f t="shared" si="29"/>
        <v>1.5252642057972599</v>
      </c>
      <c r="AX23">
        <f t="shared" si="29"/>
        <v>0.14129888736729745</v>
      </c>
      <c r="AY23">
        <f t="shared" si="29"/>
        <v>0</v>
      </c>
      <c r="AZ23">
        <f t="shared" si="29"/>
        <v>0.40602426229435318</v>
      </c>
      <c r="BA23">
        <f t="shared" si="29"/>
        <v>0</v>
      </c>
      <c r="BB23">
        <f t="shared" si="29"/>
        <v>0</v>
      </c>
      <c r="BC23">
        <f>base_building_arch_areas!M10</f>
        <v>4.3745976052923817E-2</v>
      </c>
      <c r="BD23">
        <f>base_building_arch_areas!$P$2*BC23</f>
        <v>10124</v>
      </c>
      <c r="BE23">
        <f t="shared" si="9"/>
        <v>0</v>
      </c>
    </row>
    <row r="24" spans="1:57">
      <c r="A24">
        <f>model_eui_end_uses!A484</f>
        <v>23</v>
      </c>
      <c r="B24" t="str">
        <f>model_eui_end_uses!B484</f>
        <v>Storage Building</v>
      </c>
      <c r="C24" t="str">
        <f>model_eui_end_uses!C484</f>
        <v>2005-2014</v>
      </c>
      <c r="D24" t="s">
        <v>1055</v>
      </c>
      <c r="E24">
        <f>model_eui_end_uses!E484</f>
        <v>1171</v>
      </c>
      <c r="F24">
        <f>model_eui_end_uses!F484</f>
        <v>965.15690399999903</v>
      </c>
      <c r="G24" s="192">
        <f>model_eui_end_uses!G484</f>
        <v>0</v>
      </c>
      <c r="H24" s="192">
        <f>model_eui_end_uses!H484</f>
        <v>131.97897124571867</v>
      </c>
      <c r="I24" s="192">
        <f>model_eui_end_uses!I484</f>
        <v>0</v>
      </c>
      <c r="J24" s="192">
        <f>model_eui_end_uses!J484</f>
        <v>0</v>
      </c>
      <c r="K24" s="192">
        <f>model_eui_end_uses!K484</f>
        <v>0</v>
      </c>
      <c r="L24" s="192">
        <f>model_eui_end_uses!L484</f>
        <v>34.866388715432876</v>
      </c>
      <c r="M24" s="192">
        <f>model_eui_end_uses!M484</f>
        <v>3.229985935080161</v>
      </c>
      <c r="N24" s="192">
        <f>model_eui_end_uses!N484</f>
        <v>0</v>
      </c>
      <c r="O24" s="192">
        <f>model_eui_end_uses!O484</f>
        <v>5.3495550838300616</v>
      </c>
      <c r="P24" s="192">
        <f>model_eui_end_uses!P484</f>
        <v>0</v>
      </c>
      <c r="Q24" s="192">
        <f>model_eui_end_uses!Q484</f>
        <v>0</v>
      </c>
      <c r="R24">
        <f>model_eui_end_uses!R484</f>
        <v>0</v>
      </c>
      <c r="S24">
        <f>model_eui_end_uses!S484</f>
        <v>131.97897124571867</v>
      </c>
      <c r="T24">
        <f>model_eui_end_uses!T484</f>
        <v>0</v>
      </c>
      <c r="U24">
        <f>model_eui_end_uses!U484</f>
        <v>0</v>
      </c>
      <c r="V24">
        <f>model_eui_end_uses!V484</f>
        <v>0</v>
      </c>
      <c r="W24">
        <f>model_eui_end_uses!W484</f>
        <v>34.866388715432876</v>
      </c>
      <c r="X24">
        <f>model_eui_end_uses!X484</f>
        <v>3.229985935080161</v>
      </c>
      <c r="Y24">
        <f>model_eui_end_uses!Y484</f>
        <v>0</v>
      </c>
      <c r="Z24">
        <f>model_eui_end_uses!Z484</f>
        <v>5.3495550838300616</v>
      </c>
      <c r="AA24">
        <f>model_eui_end_uses!AA484</f>
        <v>0</v>
      </c>
      <c r="AB24">
        <f>model_eui_end_uses!AB484</f>
        <v>0</v>
      </c>
      <c r="AC24">
        <f>model_eui_end_uses!AC484</f>
        <v>175.42490098006175</v>
      </c>
      <c r="AD24">
        <f t="shared" si="1"/>
        <v>0</v>
      </c>
      <c r="AE24">
        <f t="shared" si="2"/>
        <v>0</v>
      </c>
      <c r="AF24" s="191">
        <f t="shared" si="3"/>
        <v>0</v>
      </c>
      <c r="AG24">
        <f>model_eui_end_uses!AG484</f>
        <v>7.0474493941614123</v>
      </c>
      <c r="AH24">
        <f>((S24+V24+Y24)-(H24+K24+N24))*constants!$O$2</f>
        <v>0</v>
      </c>
      <c r="AI24">
        <f>((R24+T24+U24+W24+X24+Z24+AA24+AB24)-(G24+I24+J24+L24+M24+O24+P24+Q24))*constants!$N$2</f>
        <v>0</v>
      </c>
      <c r="AJ24">
        <f t="shared" si="5"/>
        <v>0</v>
      </c>
      <c r="AK24">
        <f>model_eui_end_uses!AK484</f>
        <v>0</v>
      </c>
      <c r="AL24">
        <v>0</v>
      </c>
      <c r="AM24" s="191">
        <v>0</v>
      </c>
      <c r="AN24">
        <f>model_eui_end_uses!AN484</f>
        <v>61422.194721862135</v>
      </c>
      <c r="AO24">
        <f>(AD24*constants!$F$2+AE24*constants!$G$2)</f>
        <v>0</v>
      </c>
      <c r="AP24">
        <f t="shared" si="7"/>
        <v>0</v>
      </c>
      <c r="AQ24">
        <f>base_scenario_arch_measures!F484</f>
        <v>2.1648295142744798E-3</v>
      </c>
      <c r="AR24">
        <f>G24*$AQ$24</f>
        <v>0</v>
      </c>
      <c r="AS24">
        <f>H24*$AQ$24</f>
        <v>0.28571197221631467</v>
      </c>
      <c r="AT24">
        <f t="shared" ref="AT24:BB24" si="30">I24*$AQ$24</f>
        <v>0</v>
      </c>
      <c r="AU24">
        <f t="shared" si="30"/>
        <v>0</v>
      </c>
      <c r="AV24">
        <f t="shared" si="30"/>
        <v>0</v>
      </c>
      <c r="AW24">
        <f t="shared" si="30"/>
        <v>7.5479787347335764E-2</v>
      </c>
      <c r="AX24">
        <f t="shared" si="30"/>
        <v>6.9923688829529864E-3</v>
      </c>
      <c r="AY24">
        <f t="shared" si="30"/>
        <v>0</v>
      </c>
      <c r="AZ24">
        <f t="shared" si="30"/>
        <v>1.1580874733712406E-2</v>
      </c>
      <c r="BA24">
        <f t="shared" si="30"/>
        <v>0</v>
      </c>
      <c r="BB24">
        <f t="shared" si="30"/>
        <v>0</v>
      </c>
      <c r="BC24">
        <f>base_building_arch_areas!M11</f>
        <v>2.1648295142744798E-3</v>
      </c>
      <c r="BD24">
        <f>base_building_arch_areas!$P$2*BC24</f>
        <v>501.00000000000006</v>
      </c>
      <c r="BE24">
        <f t="shared" si="9"/>
        <v>0</v>
      </c>
    </row>
    <row r="25" spans="1:57">
      <c r="A25">
        <f>model_eui_end_uses!A499</f>
        <v>24</v>
      </c>
      <c r="B25" t="str">
        <f>model_eui_end_uses!B499</f>
        <v>Training Building</v>
      </c>
      <c r="C25" t="str">
        <f>model_eui_end_uses!C499</f>
        <v>1959-pre</v>
      </c>
      <c r="D25" t="s">
        <v>1055</v>
      </c>
      <c r="E25">
        <f>model_eui_end_uses!E499</f>
        <v>3699.892902</v>
      </c>
      <c r="F25">
        <f>model_eui_end_uses!F499</f>
        <v>3699.8929020249998</v>
      </c>
      <c r="G25" s="192">
        <f>model_eui_end_uses!G499</f>
        <v>0</v>
      </c>
      <c r="H25" s="192">
        <f>model_eui_end_uses!H499</f>
        <v>516.27511655314026</v>
      </c>
      <c r="I25" s="192">
        <f>model_eui_end_uses!I499</f>
        <v>1.9182252264836201</v>
      </c>
      <c r="J25" s="192">
        <f>model_eui_end_uses!J499-2.92</f>
        <v>4.7911903331558765</v>
      </c>
      <c r="K25" s="192">
        <f>model_eui_end_uses!K499</f>
        <v>0</v>
      </c>
      <c r="L25" s="192">
        <f>model_eui_end_uses!L499</f>
        <v>37.958336291892508</v>
      </c>
      <c r="M25" s="192">
        <f>model_eui_end_uses!M499</f>
        <v>9.2652906144948552</v>
      </c>
      <c r="N25" s="192">
        <f>model_eui_end_uses!N499</f>
        <v>0</v>
      </c>
      <c r="O25" s="192">
        <f>model_eui_end_uses!O499</f>
        <v>27.049603399208749</v>
      </c>
      <c r="P25" s="192">
        <f>model_eui_end_uses!P499+0.08</f>
        <v>0.83527772126908884</v>
      </c>
      <c r="Q25" s="192">
        <f>model_eui_end_uses!Q499</f>
        <v>0</v>
      </c>
      <c r="R25">
        <f>model_eui_end_uses!R499</f>
        <v>0</v>
      </c>
      <c r="S25">
        <f>model_eui_end_uses!S499</f>
        <v>516.27511655314026</v>
      </c>
      <c r="T25">
        <f>model_eui_end_uses!T499</f>
        <v>1.9182252264836201</v>
      </c>
      <c r="U25">
        <f>model_eui_end_uses!U499</f>
        <v>7.7111903331558764</v>
      </c>
      <c r="V25">
        <f>model_eui_end_uses!V499</f>
        <v>0</v>
      </c>
      <c r="W25">
        <f>model_eui_end_uses!W499</f>
        <v>37.958336291892508</v>
      </c>
      <c r="X25">
        <f>model_eui_end_uses!X499</f>
        <v>9.2652906144948552</v>
      </c>
      <c r="Y25">
        <f>model_eui_end_uses!Y499</f>
        <v>0</v>
      </c>
      <c r="Z25">
        <f>model_eui_end_uses!Z499</f>
        <v>27.049603399208749</v>
      </c>
      <c r="AA25">
        <f>model_eui_end_uses!AA499</f>
        <v>0.75527772126908888</v>
      </c>
      <c r="AB25">
        <f>model_eui_end_uses!AB499</f>
        <v>0</v>
      </c>
      <c r="AC25">
        <f>model_eui_end_uses!AC499</f>
        <v>600.93304013964485</v>
      </c>
      <c r="AD25">
        <f t="shared" si="1"/>
        <v>0</v>
      </c>
      <c r="AE25">
        <f t="shared" si="2"/>
        <v>2.8400000000000034</v>
      </c>
      <c r="AF25" s="191">
        <f t="shared" si="3"/>
        <v>0.47259841118738355</v>
      </c>
      <c r="AG25">
        <f>model_eui_end_uses!AG499</f>
        <v>17.930002253435902</v>
      </c>
      <c r="AH25">
        <f>((S25+V25+Y25)-(H25+K25+N25))*constants!$O$2</f>
        <v>0</v>
      </c>
      <c r="AI25">
        <f>((R25+T25+U25+W25+X25+Z25+AA25+AB25)-(G25+I25+J25+L25+M25+O25+P25+Q25))*constants!$N$2</f>
        <v>0.32092000000000037</v>
      </c>
      <c r="AJ25">
        <f t="shared" si="5"/>
        <v>1.7898491894416964</v>
      </c>
      <c r="AK25">
        <f>model_eui_end_uses!AK499</f>
        <v>0</v>
      </c>
      <c r="AL25">
        <v>36060</v>
      </c>
      <c r="AM25" s="191">
        <f t="shared" si="6"/>
        <v>30.369649926673766</v>
      </c>
      <c r="AN25">
        <f>model_eui_end_uses!AN499</f>
        <v>166065.63938327122</v>
      </c>
      <c r="AO25">
        <f>(AD25*constants!$F$2+AE25*constants!$G$2)</f>
        <v>2470.8000000000029</v>
      </c>
      <c r="AP25">
        <f t="shared" si="7"/>
        <v>1.4878454141241824</v>
      </c>
      <c r="AQ25">
        <f>base_scenario_arch_measures!F499</f>
        <v>2.9521188106832824E-2</v>
      </c>
      <c r="AR25">
        <f>G25*$AQ$25</f>
        <v>0</v>
      </c>
      <c r="AS25">
        <f>H25*$AQ$25</f>
        <v>15.241054830642295</v>
      </c>
      <c r="AT25">
        <f t="shared" ref="AT25:BB25" si="31">I25*$AQ$25</f>
        <v>5.6628287742294947E-2</v>
      </c>
      <c r="AU25">
        <f t="shared" si="31"/>
        <v>0.14144163108073365</v>
      </c>
      <c r="AV25">
        <f t="shared" si="31"/>
        <v>0</v>
      </c>
      <c r="AW25">
        <f t="shared" si="31"/>
        <v>1.1205751858953779</v>
      </c>
      <c r="AX25">
        <f t="shared" si="31"/>
        <v>0.27352238709497528</v>
      </c>
      <c r="AY25">
        <f t="shared" si="31"/>
        <v>0</v>
      </c>
      <c r="AZ25">
        <f t="shared" si="31"/>
        <v>0.79853643016326603</v>
      </c>
      <c r="BA25">
        <f t="shared" si="31"/>
        <v>2.4658390731031449E-2</v>
      </c>
      <c r="BB25">
        <f t="shared" si="31"/>
        <v>0</v>
      </c>
      <c r="BC25">
        <f>base_building_arch_areas!M5</f>
        <v>2.9521188106832824E-2</v>
      </c>
      <c r="BD25">
        <f>base_building_arch_areas!$P$2*BC25</f>
        <v>6832</v>
      </c>
      <c r="BE25">
        <f t="shared" si="9"/>
        <v>2192.5254400000026</v>
      </c>
    </row>
    <row r="26" spans="1:57">
      <c r="A26">
        <f>model_eui_end_uses!A523</f>
        <v>25</v>
      </c>
      <c r="B26" t="str">
        <f>model_eui_end_uses!B523</f>
        <v>Training Building</v>
      </c>
      <c r="C26" t="str">
        <f>model_eui_end_uses!C523</f>
        <v>1980-2004</v>
      </c>
      <c r="D26" t="s">
        <v>1055</v>
      </c>
      <c r="E26">
        <f>model_eui_end_uses!E523</f>
        <v>3699.892902</v>
      </c>
      <c r="F26">
        <f>model_eui_end_uses!F523</f>
        <v>3699.8929020249998</v>
      </c>
      <c r="G26" s="192">
        <f>model_eui_end_uses!G523</f>
        <v>0</v>
      </c>
      <c r="H26" s="192">
        <f>model_eui_end_uses!H523</f>
        <v>301.65987388488929</v>
      </c>
      <c r="I26" s="192">
        <f>model_eui_end_uses!I523</f>
        <v>1.8559110606135065</v>
      </c>
      <c r="J26" s="192">
        <f>model_eui_end_uses!J523-2.92</f>
        <v>4.7911903331558765</v>
      </c>
      <c r="K26" s="192">
        <f>model_eui_end_uses!K523</f>
        <v>0</v>
      </c>
      <c r="L26" s="192">
        <f>model_eui_end_uses!L523</f>
        <v>37.958336291892508</v>
      </c>
      <c r="M26" s="192">
        <f>model_eui_end_uses!M523</f>
        <v>9.2652906144948552</v>
      </c>
      <c r="N26" s="192">
        <f>model_eui_end_uses!N523</f>
        <v>0</v>
      </c>
      <c r="O26" s="192">
        <f>model_eui_end_uses!O523</f>
        <v>15.231684303287548</v>
      </c>
      <c r="P26" s="192">
        <f>model_eui_end_uses!P523+0.08</f>
        <v>0.82476689811027448</v>
      </c>
      <c r="Q26" s="192">
        <f>model_eui_end_uses!Q523</f>
        <v>0</v>
      </c>
      <c r="R26">
        <f>model_eui_end_uses!R523</f>
        <v>0</v>
      </c>
      <c r="S26">
        <f>model_eui_end_uses!S523</f>
        <v>301.65987388488929</v>
      </c>
      <c r="T26">
        <f>model_eui_end_uses!T523</f>
        <v>1.8559110606135065</v>
      </c>
      <c r="U26">
        <f>model_eui_end_uses!U523</f>
        <v>7.7111903331558764</v>
      </c>
      <c r="V26">
        <f>model_eui_end_uses!V523</f>
        <v>0</v>
      </c>
      <c r="W26">
        <f>model_eui_end_uses!W523</f>
        <v>37.958336291892508</v>
      </c>
      <c r="X26">
        <f>model_eui_end_uses!X523</f>
        <v>9.2652906144948552</v>
      </c>
      <c r="Y26">
        <f>model_eui_end_uses!Y523</f>
        <v>0</v>
      </c>
      <c r="Z26">
        <f>model_eui_end_uses!Z523</f>
        <v>15.231684303287548</v>
      </c>
      <c r="AA26">
        <f>model_eui_end_uses!AA523</f>
        <v>0.74476689811027452</v>
      </c>
      <c r="AB26">
        <f>model_eui_end_uses!AB523</f>
        <v>0</v>
      </c>
      <c r="AC26">
        <f>model_eui_end_uses!AC523</f>
        <v>374.42705338644384</v>
      </c>
      <c r="AD26">
        <f t="shared" si="1"/>
        <v>0</v>
      </c>
      <c r="AE26">
        <f t="shared" si="2"/>
        <v>2.8400000000000034</v>
      </c>
      <c r="AF26" s="191">
        <f t="shared" si="3"/>
        <v>0.75849220143525709</v>
      </c>
      <c r="AG26">
        <f>model_eui_end_uses!AG523</f>
        <v>13.109581240610872</v>
      </c>
      <c r="AH26">
        <f>((S26+V26+Y26)-(H26+K26+N26))*constants!$O$2</f>
        <v>0</v>
      </c>
      <c r="AI26">
        <f>((R26+T26+U26+W26+X26+Z26+AA26+AB26)-(G26+I26+J26+L26+M26+O26+P26+Q26))*constants!$N$2</f>
        <v>0.32092000000000037</v>
      </c>
      <c r="AJ26">
        <f t="shared" si="5"/>
        <v>2.4479805579590455</v>
      </c>
      <c r="AK26">
        <f>model_eui_end_uses!AK523</f>
        <v>0</v>
      </c>
      <c r="AL26">
        <v>36060</v>
      </c>
      <c r="AM26" s="191">
        <f t="shared" si="6"/>
        <v>30.369649926673766</v>
      </c>
      <c r="AN26">
        <f>model_eui_end_uses!AN523</f>
        <v>117304.56359174766</v>
      </c>
      <c r="AO26">
        <f>(AD26*constants!$F$2+AE26*constants!$G$2)</f>
        <v>2470.8000000000029</v>
      </c>
      <c r="AP26">
        <f t="shared" si="7"/>
        <v>2.1063119151945959</v>
      </c>
      <c r="AQ26">
        <f>base_scenario_arch_measures!F523</f>
        <v>2.0874833100718585E-2</v>
      </c>
      <c r="AR26">
        <f>G26*$AQ$26</f>
        <v>0</v>
      </c>
      <c r="AS26">
        <f>H26*$AQ$26</f>
        <v>6.2970995205308808</v>
      </c>
      <c r="AT26">
        <f t="shared" ref="AT26:BB26" si="32">I26*$AQ$26</f>
        <v>3.8741833640084565E-2</v>
      </c>
      <c r="AU26">
        <f t="shared" si="32"/>
        <v>0.1000152985584052</v>
      </c>
      <c r="AV26">
        <f t="shared" si="32"/>
        <v>0</v>
      </c>
      <c r="AW26">
        <f t="shared" si="32"/>
        <v>0.79237393487420527</v>
      </c>
      <c r="AX26">
        <f t="shared" si="32"/>
        <v>0.19341139520723444</v>
      </c>
      <c r="AY26">
        <f t="shared" si="32"/>
        <v>0</v>
      </c>
      <c r="AZ26">
        <f t="shared" si="32"/>
        <v>0.31795886767396259</v>
      </c>
      <c r="BA26">
        <f t="shared" si="32"/>
        <v>1.7216871345049352E-2</v>
      </c>
      <c r="BB26">
        <f t="shared" si="32"/>
        <v>0</v>
      </c>
      <c r="BC26">
        <f>base_building_arch_areas!M6</f>
        <v>2.0874833100718585E-2</v>
      </c>
      <c r="BD26">
        <f>base_building_arch_areas!$P$2*BC26</f>
        <v>4831</v>
      </c>
      <c r="BE26">
        <f t="shared" si="9"/>
        <v>1550.3645200000019</v>
      </c>
    </row>
    <row r="27" spans="1:57">
      <c r="A27">
        <f>model_eui_end_uses!A547</f>
        <v>26</v>
      </c>
      <c r="B27" t="str">
        <f>model_eui_end_uses!B547</f>
        <v>Training Building</v>
      </c>
      <c r="C27" t="str">
        <f>model_eui_end_uses!C547</f>
        <v>2005-2014</v>
      </c>
      <c r="D27" t="s">
        <v>1055</v>
      </c>
      <c r="E27">
        <f>model_eui_end_uses!E547</f>
        <v>3699.892902</v>
      </c>
      <c r="F27">
        <f>model_eui_end_uses!F547</f>
        <v>3699.8929020249998</v>
      </c>
      <c r="G27" s="192">
        <f>model_eui_end_uses!G547</f>
        <v>0</v>
      </c>
      <c r="H27" s="192">
        <f>model_eui_end_uses!H547</f>
        <v>208.52046678230417</v>
      </c>
      <c r="I27" s="192">
        <f>model_eui_end_uses!I547</f>
        <v>1.7665690637635845</v>
      </c>
      <c r="J27" s="192">
        <f>model_eui_end_uses!J547-2.92</f>
        <v>4.7911903331558765</v>
      </c>
      <c r="K27" s="192">
        <f>model_eui_end_uses!K547</f>
        <v>0</v>
      </c>
      <c r="L27" s="192">
        <f>model_eui_end_uses!L547</f>
        <v>37.958336291892508</v>
      </c>
      <c r="M27" s="192">
        <f>model_eui_end_uses!M547</f>
        <v>9.2652906144948552</v>
      </c>
      <c r="N27" s="192">
        <f>model_eui_end_uses!N547</f>
        <v>0</v>
      </c>
      <c r="O27" s="192">
        <f>model_eui_end_uses!O547</f>
        <v>9.4920240854921385</v>
      </c>
      <c r="P27" s="192">
        <f>model_eui_end_uses!P547+0.08</f>
        <v>0.79248365555105893</v>
      </c>
      <c r="Q27" s="192">
        <f>model_eui_end_uses!Q547</f>
        <v>0</v>
      </c>
      <c r="R27">
        <f>model_eui_end_uses!R547</f>
        <v>0</v>
      </c>
      <c r="S27">
        <f>model_eui_end_uses!S547</f>
        <v>208.52046678230417</v>
      </c>
      <c r="T27">
        <f>model_eui_end_uses!T547</f>
        <v>1.7665690637635845</v>
      </c>
      <c r="U27">
        <f>model_eui_end_uses!U547</f>
        <v>7.7111903331558764</v>
      </c>
      <c r="V27">
        <f>model_eui_end_uses!V547</f>
        <v>0</v>
      </c>
      <c r="W27">
        <f>model_eui_end_uses!W547</f>
        <v>37.958336291892508</v>
      </c>
      <c r="X27">
        <f>model_eui_end_uses!X547</f>
        <v>9.2652906144948552</v>
      </c>
      <c r="Y27">
        <f>model_eui_end_uses!Y547</f>
        <v>0</v>
      </c>
      <c r="Z27">
        <f>model_eui_end_uses!Z547</f>
        <v>9.4920240854921385</v>
      </c>
      <c r="AA27">
        <f>model_eui_end_uses!AA547</f>
        <v>0.71248365555105897</v>
      </c>
      <c r="AB27">
        <f>model_eui_end_uses!AB547</f>
        <v>0</v>
      </c>
      <c r="AC27">
        <f>model_eui_end_uses!AC547</f>
        <v>275.42636082665422</v>
      </c>
      <c r="AD27">
        <f t="shared" si="1"/>
        <v>0</v>
      </c>
      <c r="AE27">
        <f t="shared" si="2"/>
        <v>2.8399999999999892</v>
      </c>
      <c r="AF27" s="191">
        <f t="shared" si="3"/>
        <v>1.0311286078340944</v>
      </c>
      <c r="AG27">
        <f>model_eui_end_uses!AG547</f>
        <v>10.938397588884879</v>
      </c>
      <c r="AH27">
        <f>((S27+V27+Y27)-(H27+K27+N27))*constants!$O$2</f>
        <v>0</v>
      </c>
      <c r="AI27">
        <f>((R27+T27+U27+W27+X27+Z27+AA27+AB27)-(G27+I27+J27+L27+M27+O27+P27+Q27))*constants!$N$2</f>
        <v>0.32091999999999876</v>
      </c>
      <c r="AJ27">
        <f t="shared" si="5"/>
        <v>2.9338849442271475</v>
      </c>
      <c r="AK27">
        <f>model_eui_end_uses!AK547</f>
        <v>0</v>
      </c>
      <c r="AL27">
        <v>36060</v>
      </c>
      <c r="AM27" s="191">
        <f t="shared" si="6"/>
        <v>30.369649926673915</v>
      </c>
      <c r="AN27">
        <f>model_eui_end_uses!AN547</f>
        <v>95533.29137261695</v>
      </c>
      <c r="AO27">
        <f>(AD27*constants!$F$2+AE27*constants!$G$2)</f>
        <v>2470.7999999999906</v>
      </c>
      <c r="AP27">
        <f t="shared" si="7"/>
        <v>2.5863235365385986</v>
      </c>
      <c r="AQ27">
        <f>base_scenario_arch_measures!F547</f>
        <v>8.0759807628323407E-3</v>
      </c>
      <c r="AR27">
        <f>G27*$AQ$27</f>
        <v>0</v>
      </c>
      <c r="AS27">
        <f>H27*$AQ$27</f>
        <v>1.6840072783907085</v>
      </c>
      <c r="AT27">
        <f t="shared" ref="AT27:BB27" si="33">I27*$AQ$27</f>
        <v>1.4266777775169447E-2</v>
      </c>
      <c r="AU27">
        <f t="shared" si="33"/>
        <v>3.8693560961635134E-2</v>
      </c>
      <c r="AV27">
        <f t="shared" si="33"/>
        <v>0</v>
      </c>
      <c r="AW27">
        <f t="shared" si="33"/>
        <v>0.30655079368244459</v>
      </c>
      <c r="AX27">
        <f t="shared" si="33"/>
        <v>7.4826308764711483E-2</v>
      </c>
      <c r="AY27">
        <f t="shared" si="33"/>
        <v>0</v>
      </c>
      <c r="AZ27">
        <f t="shared" si="33"/>
        <v>7.6657403914775754E-2</v>
      </c>
      <c r="BA27">
        <f t="shared" si="33"/>
        <v>6.400082757089403E-3</v>
      </c>
      <c r="BB27">
        <f t="shared" si="33"/>
        <v>0</v>
      </c>
      <c r="BC27">
        <f>base_building_arch_areas!M7</f>
        <v>8.0759807628323407E-3</v>
      </c>
      <c r="BD27">
        <f>base_building_arch_areas!$P$2*BC27</f>
        <v>1869</v>
      </c>
      <c r="BE27">
        <f t="shared" si="9"/>
        <v>599.79947999999763</v>
      </c>
    </row>
    <row r="28" spans="1:57">
      <c r="A28">
        <f>model_eui_end_uses!A569</f>
        <v>27</v>
      </c>
      <c r="B28" t="str">
        <f>model_eui_end_uses!B569</f>
        <v>Vehicle Garage</v>
      </c>
      <c r="C28" t="str">
        <f>model_eui_end_uses!C569</f>
        <v>1959-pre</v>
      </c>
      <c r="D28" t="s">
        <v>1055</v>
      </c>
      <c r="E28">
        <f>model_eui_end_uses!E569</f>
        <v>2270</v>
      </c>
      <c r="F28">
        <f>model_eui_end_uses!F569</f>
        <v>3744.5971479999998</v>
      </c>
      <c r="G28" s="192">
        <f>model_eui_end_uses!G569</f>
        <v>0</v>
      </c>
      <c r="H28" s="192">
        <f>model_eui_end_uses!H569</f>
        <v>121.24594271583724</v>
      </c>
      <c r="I28" s="192">
        <f>model_eui_end_uses!I569</f>
        <v>0</v>
      </c>
      <c r="J28" s="192">
        <f>model_eui_end_uses!J569-0.65</f>
        <v>9.8734314524751898E-2</v>
      </c>
      <c r="K28" s="192">
        <f>model_eui_end_uses!K569</f>
        <v>0</v>
      </c>
      <c r="L28" s="192">
        <f>model_eui_end_uses!L569</f>
        <v>10.344675177974409</v>
      </c>
      <c r="M28" s="192">
        <f>model_eui_end_uses!M569</f>
        <v>2.2309134740884651</v>
      </c>
      <c r="N28" s="192">
        <f>model_eui_end_uses!N569</f>
        <v>0</v>
      </c>
      <c r="O28" s="192">
        <f>model_eui_end_uses!O569</f>
        <v>7.1509748165601223</v>
      </c>
      <c r="P28" s="192">
        <f>model_eui_end_uses!P569+0.09</f>
        <v>7.657388014908423</v>
      </c>
      <c r="Q28" s="192">
        <f>model_eui_end_uses!Q569</f>
        <v>0</v>
      </c>
      <c r="R28">
        <f>model_eui_end_uses!R569</f>
        <v>0</v>
      </c>
      <c r="S28">
        <f>model_eui_end_uses!S569</f>
        <v>121.24594271583724</v>
      </c>
      <c r="T28">
        <f>model_eui_end_uses!T569</f>
        <v>0</v>
      </c>
      <c r="U28">
        <f>model_eui_end_uses!U569</f>
        <v>0.74873431452475192</v>
      </c>
      <c r="V28">
        <f>model_eui_end_uses!V569</f>
        <v>0</v>
      </c>
      <c r="W28">
        <f>model_eui_end_uses!W569</f>
        <v>10.344675177974409</v>
      </c>
      <c r="X28">
        <f>model_eui_end_uses!X569</f>
        <v>2.2309134740884651</v>
      </c>
      <c r="Y28">
        <f>model_eui_end_uses!Y569</f>
        <v>0</v>
      </c>
      <c r="Z28">
        <f>model_eui_end_uses!Z569</f>
        <v>7.1509748165601223</v>
      </c>
      <c r="AA28">
        <f>model_eui_end_uses!AA569</f>
        <v>7.5673880149084232</v>
      </c>
      <c r="AB28">
        <f>model_eui_end_uses!AB569</f>
        <v>0</v>
      </c>
      <c r="AC28">
        <f>model_eui_end_uses!AC569</f>
        <v>149.2886285138934</v>
      </c>
      <c r="AD28">
        <f t="shared" si="1"/>
        <v>0</v>
      </c>
      <c r="AE28">
        <f t="shared" si="2"/>
        <v>0.56000000000000227</v>
      </c>
      <c r="AF28" s="191">
        <f t="shared" si="3"/>
        <v>0.37511229460312606</v>
      </c>
      <c r="AG28">
        <f>model_eui_end_uses!AG569</f>
        <v>5.1330077671769105</v>
      </c>
      <c r="AH28">
        <f>((S28+V28+Y28)-(H28+K28+N28))*constants!$O$2</f>
        <v>0</v>
      </c>
      <c r="AI28">
        <f>((R28+T28+U28+W28+X28+Z28+AA28+AB28)-(G28+I28+J28+L28+M28+O28+P28+Q28))*constants!$N$2</f>
        <v>6.3280000000000253E-2</v>
      </c>
      <c r="AJ28">
        <f t="shared" si="5"/>
        <v>1.2328054596886662</v>
      </c>
      <c r="AK28">
        <f>model_eui_end_uses!AK569</f>
        <v>0</v>
      </c>
      <c r="AL28">
        <v>20566</v>
      </c>
      <c r="AM28" s="191">
        <f t="shared" si="6"/>
        <v>143.17180616740032</v>
      </c>
      <c r="AN28">
        <f>model_eui_end_uses!AN569</f>
        <v>46100.160390443736</v>
      </c>
      <c r="AO28">
        <f>(AD28*constants!$F$2+AE28*constants!$G$2)</f>
        <v>487.20000000000198</v>
      </c>
      <c r="AP28">
        <f t="shared" si="7"/>
        <v>1.0568292948954585</v>
      </c>
      <c r="AQ28">
        <f>base_scenario_arch_measures!F569</f>
        <v>2.2560029728596921E-2</v>
      </c>
      <c r="AR28">
        <f>G28*$AQ$28</f>
        <v>0</v>
      </c>
      <c r="AS28">
        <f>H28*$AQ$28</f>
        <v>2.7353120721410478</v>
      </c>
      <c r="AT28">
        <f t="shared" ref="AT28:BB28" si="34">I28*$AQ$28</f>
        <v>0</v>
      </c>
      <c r="AU28">
        <f t="shared" si="34"/>
        <v>2.2274490709110416E-3</v>
      </c>
      <c r="AV28">
        <f t="shared" si="34"/>
        <v>0</v>
      </c>
      <c r="AW28">
        <f t="shared" si="34"/>
        <v>0.23337617954778131</v>
      </c>
      <c r="AX28">
        <f t="shared" si="34"/>
        <v>5.0329474297363209E-2</v>
      </c>
      <c r="AY28">
        <f t="shared" si="34"/>
        <v>0</v>
      </c>
      <c r="AZ28">
        <f t="shared" si="34"/>
        <v>0.16132620445004428</v>
      </c>
      <c r="BA28">
        <f t="shared" si="34"/>
        <v>0.1727509012597358</v>
      </c>
      <c r="BB28">
        <f t="shared" si="34"/>
        <v>0</v>
      </c>
      <c r="BC28">
        <f>base_building_arch_areas!M24</f>
        <v>2.2560029728596921E-2</v>
      </c>
      <c r="BD28">
        <f>base_building_arch_areas!$P$2*BC28</f>
        <v>5221</v>
      </c>
      <c r="BE28">
        <f t="shared" si="9"/>
        <v>330.38488000000132</v>
      </c>
    </row>
    <row r="29" spans="1:57">
      <c r="A29">
        <f>model_eui_end_uses!A591</f>
        <v>28</v>
      </c>
      <c r="B29" t="str">
        <f>model_eui_end_uses!B591</f>
        <v>Vehicle Garage</v>
      </c>
      <c r="C29" t="str">
        <f>model_eui_end_uses!C591</f>
        <v>1980-2004</v>
      </c>
      <c r="D29" t="s">
        <v>1055</v>
      </c>
      <c r="E29">
        <f>model_eui_end_uses!E591</f>
        <v>2270</v>
      </c>
      <c r="F29">
        <f>model_eui_end_uses!F591</f>
        <v>3744.5971479999998</v>
      </c>
      <c r="G29" s="192">
        <f>model_eui_end_uses!G591</f>
        <v>0</v>
      </c>
      <c r="H29" s="192">
        <f>model_eui_end_uses!H591</f>
        <v>82.926934655738179</v>
      </c>
      <c r="I29" s="192">
        <f>model_eui_end_uses!I591</f>
        <v>0</v>
      </c>
      <c r="J29" s="192">
        <f>model_eui_end_uses!J591-0.65</f>
        <v>9.8734314524751898E-2</v>
      </c>
      <c r="K29" s="192">
        <f>model_eui_end_uses!K591</f>
        <v>0</v>
      </c>
      <c r="L29" s="192">
        <f>model_eui_end_uses!L591</f>
        <v>10.344675177974409</v>
      </c>
      <c r="M29" s="192">
        <f>model_eui_end_uses!M591</f>
        <v>2.2309134740884651</v>
      </c>
      <c r="N29" s="192">
        <f>model_eui_end_uses!N591</f>
        <v>0</v>
      </c>
      <c r="O29" s="192">
        <f>model_eui_end_uses!O591</f>
        <v>4.8651991284344085</v>
      </c>
      <c r="P29" s="192">
        <f>model_eui_end_uses!P591+0.09</f>
        <v>5.3419327683691158</v>
      </c>
      <c r="Q29" s="192">
        <f>model_eui_end_uses!Q591</f>
        <v>0</v>
      </c>
      <c r="R29">
        <f>model_eui_end_uses!R591</f>
        <v>0</v>
      </c>
      <c r="S29">
        <f>model_eui_end_uses!S591</f>
        <v>82.926934655738179</v>
      </c>
      <c r="T29">
        <f>model_eui_end_uses!T591</f>
        <v>0</v>
      </c>
      <c r="U29">
        <f>model_eui_end_uses!U591</f>
        <v>0.74873431452475192</v>
      </c>
      <c r="V29">
        <f>model_eui_end_uses!V591</f>
        <v>0</v>
      </c>
      <c r="W29">
        <f>model_eui_end_uses!W591</f>
        <v>10.344675177974409</v>
      </c>
      <c r="X29">
        <f>model_eui_end_uses!X591</f>
        <v>2.2309134740884651</v>
      </c>
      <c r="Y29">
        <f>model_eui_end_uses!Y591</f>
        <v>0</v>
      </c>
      <c r="Z29">
        <f>model_eui_end_uses!Z591</f>
        <v>4.8651991284344085</v>
      </c>
      <c r="AA29">
        <f>model_eui_end_uses!AA591</f>
        <v>5.2519327683691159</v>
      </c>
      <c r="AB29">
        <f>model_eui_end_uses!AB591</f>
        <v>0</v>
      </c>
      <c r="AC29">
        <f>model_eui_end_uses!AC591</f>
        <v>106.36838951912934</v>
      </c>
      <c r="AD29">
        <f t="shared" si="1"/>
        <v>0</v>
      </c>
      <c r="AE29">
        <f t="shared" si="2"/>
        <v>0.55999999999999872</v>
      </c>
      <c r="AF29" s="191">
        <f t="shared" si="3"/>
        <v>0.52647219961837255</v>
      </c>
      <c r="AG29">
        <f>model_eui_end_uses!AG591</f>
        <v>3.9923007409861588</v>
      </c>
      <c r="AH29">
        <f>((S29+V29+Y29)-(H29+K29+N29))*constants!$O$2</f>
        <v>0</v>
      </c>
      <c r="AI29">
        <f>((R29+T29+U29+W29+X29+Z29+AA29+AB29)-(G29+I29+J29+L29+M29+O29+P29+Q29))*constants!$N$2</f>
        <v>6.3279999999999864E-2</v>
      </c>
      <c r="AJ29">
        <f t="shared" si="5"/>
        <v>1.5850509294139183</v>
      </c>
      <c r="AK29">
        <f>model_eui_end_uses!AK591</f>
        <v>0</v>
      </c>
      <c r="AL29">
        <v>20566</v>
      </c>
      <c r="AM29" s="191">
        <f t="shared" si="6"/>
        <v>143.1718061674012</v>
      </c>
      <c r="AN29">
        <f>model_eui_end_uses!AN591</f>
        <v>35237.987034527439</v>
      </c>
      <c r="AO29">
        <f>(AD29*constants!$F$2+AE29*constants!$G$2)</f>
        <v>487.19999999999891</v>
      </c>
      <c r="AP29">
        <f t="shared" si="7"/>
        <v>1.382598840060367</v>
      </c>
      <c r="AQ29">
        <f>base_scenario_arch_measures!F591</f>
        <v>5.1035531722746268E-2</v>
      </c>
      <c r="AR29">
        <f>G29*$AQ$29</f>
        <v>0</v>
      </c>
      <c r="AS29">
        <f>H29*$AQ$29</f>
        <v>4.232220204293033</v>
      </c>
      <c r="AT29">
        <f t="shared" ref="AT29:BB29" si="35">I29*$AQ$29</f>
        <v>0</v>
      </c>
      <c r="AU29">
        <f t="shared" si="35"/>
        <v>5.0389582410515828E-3</v>
      </c>
      <c r="AV29">
        <f t="shared" si="35"/>
        <v>0</v>
      </c>
      <c r="AW29">
        <f t="shared" si="35"/>
        <v>0.52794599820701882</v>
      </c>
      <c r="AX29">
        <f t="shared" si="35"/>
        <v>0.11385585537754395</v>
      </c>
      <c r="AY29">
        <f t="shared" si="35"/>
        <v>0</v>
      </c>
      <c r="AZ29">
        <f t="shared" si="35"/>
        <v>0.24829802445669175</v>
      </c>
      <c r="BA29">
        <f t="shared" si="35"/>
        <v>0.27262837926087979</v>
      </c>
      <c r="BB29">
        <f t="shared" si="35"/>
        <v>0</v>
      </c>
      <c r="BC29">
        <f>base_building_arch_areas!M25</f>
        <v>5.1035531722746268E-2</v>
      </c>
      <c r="BD29">
        <f>base_building_arch_areas!$P$2*BC29</f>
        <v>11811</v>
      </c>
      <c r="BE29">
        <f t="shared" si="9"/>
        <v>747.40007999999841</v>
      </c>
    </row>
    <row r="31" spans="1:57">
      <c r="A31" t="s">
        <v>1072</v>
      </c>
      <c r="B31" t="s">
        <v>1074</v>
      </c>
      <c r="C31">
        <f>(SUM(AL2:AL29)/SUM(E2:E29))*231281</f>
        <v>3638984.6328241825</v>
      </c>
      <c r="AH31">
        <f>SUM(AH2:AH29)</f>
        <v>0.71198999999999824</v>
      </c>
      <c r="AI31">
        <f>SUM(AI2:AI29)-AI5</f>
        <v>4.0691299999999968</v>
      </c>
    </row>
    <row r="32" spans="1:57">
      <c r="B32" t="s">
        <v>1073</v>
      </c>
      <c r="C32">
        <f>SUM(BE2:BE29)</f>
        <v>35969.938555942928</v>
      </c>
    </row>
    <row r="33" spans="2:3">
      <c r="B33" t="s">
        <v>1075</v>
      </c>
      <c r="C33">
        <f>C31/C32</f>
        <v>101.16738529215397</v>
      </c>
    </row>
  </sheetData>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sheetPr>
    <tabColor rgb="FF7030A0"/>
  </sheetPr>
  <dimension ref="A1:AP634"/>
  <sheetViews>
    <sheetView zoomScaleNormal="100" workbookViewId="0">
      <pane ySplit="1200" topLeftCell="A396" activePane="bottomLeft"/>
      <selection activeCell="G1" sqref="G1:AG1048576"/>
      <selection pane="bottomLeft" activeCell="A30" sqref="A30:XFD30"/>
    </sheetView>
  </sheetViews>
  <sheetFormatPr defaultColWidth="28.6640625" defaultRowHeight="14.4"/>
  <cols>
    <col min="1" max="1" width="11.33203125" bestFit="1" customWidth="1"/>
    <col min="2" max="2" width="23.44140625" bestFit="1" customWidth="1"/>
    <col min="3" max="3" width="14.109375" bestFit="1" customWidth="1"/>
    <col min="4" max="4" width="28" bestFit="1" customWidth="1"/>
    <col min="5" max="5" width="16.5546875" customWidth="1"/>
    <col min="6" max="6" width="18.44140625" customWidth="1"/>
    <col min="7" max="7" width="26" hidden="1" customWidth="1"/>
    <col min="8" max="8" width="27.44140625" hidden="1" customWidth="1"/>
    <col min="9" max="9" width="25.88671875" hidden="1" customWidth="1"/>
    <col min="10" max="10" width="32.44140625" hidden="1" customWidth="1"/>
    <col min="11" max="11" width="34" hidden="1" customWidth="1"/>
    <col min="12" max="12" width="33.44140625" hidden="1" customWidth="1"/>
    <col min="13" max="13" width="36.33203125" hidden="1" customWidth="1"/>
    <col min="14" max="14" width="41.33203125" hidden="1" customWidth="1"/>
    <col min="15" max="15" width="23" hidden="1" customWidth="1"/>
    <col min="16" max="16" width="25" hidden="1" customWidth="1"/>
    <col min="17" max="17" width="32" hidden="1" customWidth="1"/>
    <col min="18" max="18" width="37.6640625" hidden="1" customWidth="1"/>
    <col min="19" max="33" width="28.6640625" hidden="1" customWidth="1"/>
    <col min="34" max="36" width="28.6640625" customWidth="1"/>
    <col min="37" max="37" width="32.6640625" customWidth="1"/>
    <col min="38" max="38" width="28.6640625" customWidth="1"/>
    <col min="39" max="39" width="28.6640625" style="191"/>
    <col min="40" max="41" width="28.6640625" customWidth="1"/>
  </cols>
  <sheetData>
    <row r="1" spans="1:42" ht="28.8">
      <c r="A1" t="str">
        <f>sim_annual_output!B1</f>
        <v>baseline_id</v>
      </c>
      <c r="B1" t="str">
        <f>sim_annual_output!C1</f>
        <v xml:space="preserve">building_name </v>
      </c>
      <c r="C1" t="str">
        <f>sim_annual_output!D1</f>
        <v xml:space="preserve">vintage_name </v>
      </c>
      <c r="D1" t="str">
        <f>sim_annual_output!E1</f>
        <v xml:space="preserve">measure_id </v>
      </c>
      <c r="E1" s="172" t="str">
        <f>baseline!J1</f>
        <v>actual_floor_area</v>
      </c>
      <c r="F1" t="str">
        <f>sim_annual_output!G1</f>
        <v>Total Floor Area M2</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75" t="str">
        <f>"baseline-"&amp;G1</f>
        <v>baseline-Electricity-Heating KWh/m2</v>
      </c>
      <c r="S1" s="175" t="str">
        <f t="shared" ref="S1:W1" si="0">"baseline-"&amp;H1</f>
        <v>baseline-Natural Gas-Heating KWh/m2</v>
      </c>
      <c r="T1" s="175" t="str">
        <f t="shared" si="0"/>
        <v>baseline-Electricity-Cooling KWh/m2</v>
      </c>
      <c r="U1" s="175" t="str">
        <f t="shared" si="0"/>
        <v>baseline-Electricity-Water Systems KWh/m2</v>
      </c>
      <c r="V1" s="175" t="str">
        <f t="shared" si="0"/>
        <v>baseline-Natural Gas-Water Systems KWh/m2</v>
      </c>
      <c r="W1" s="175" t="str">
        <f t="shared" si="0"/>
        <v>baseline-Electricity-Interior Lighting KWh/m2</v>
      </c>
      <c r="X1" s="175" t="str">
        <f t="shared" ref="X1" si="1">"baseline-"&amp;M1</f>
        <v>baseline-Electricity-Interior Equipment KWh/m2</v>
      </c>
      <c r="Y1" s="175" t="str">
        <f t="shared" ref="Y1" si="2">"baseline-"&amp;N1</f>
        <v>baseline-District Heating-Interior Equipment KWh/m2</v>
      </c>
      <c r="Z1" s="175" t="str">
        <f t="shared" ref="Z1" si="3">"baseline-"&amp;O1</f>
        <v>baseline-Electricity-Fans KWh/m2</v>
      </c>
      <c r="AA1" s="175" t="str">
        <f t="shared" ref="AA1" si="4">"baseline-"&amp;P1</f>
        <v>baseline-Electricity-Pumps KWh/m2</v>
      </c>
      <c r="AB1" s="175" t="str">
        <f t="shared" ref="AB1" si="5">"baseline-"&amp;Q1</f>
        <v>baseline-Electricity-Heat Recovery KWh/m2</v>
      </c>
      <c r="AC1" s="181" t="s">
        <v>1023</v>
      </c>
      <c r="AD1" s="181" t="s">
        <v>983</v>
      </c>
      <c r="AE1" s="177" t="s">
        <v>982</v>
      </c>
      <c r="AF1" s="177" t="s">
        <v>1024</v>
      </c>
      <c r="AG1" s="190" t="s">
        <v>1025</v>
      </c>
      <c r="AH1" s="176" t="s">
        <v>985</v>
      </c>
      <c r="AI1" s="176" t="s">
        <v>986</v>
      </c>
      <c r="AJ1" s="176" t="s">
        <v>1026</v>
      </c>
      <c r="AK1" t="s">
        <v>988</v>
      </c>
      <c r="AL1" t="s">
        <v>987</v>
      </c>
      <c r="AM1" s="191" t="s">
        <v>1010</v>
      </c>
      <c r="AN1" s="189" t="s">
        <v>1021</v>
      </c>
      <c r="AO1" s="189" t="s">
        <v>1022</v>
      </c>
      <c r="AP1" s="189" t="s">
        <v>1027</v>
      </c>
    </row>
    <row r="2" spans="1:42">
      <c r="A2">
        <f>sim_annual_output!B2</f>
        <v>1</v>
      </c>
      <c r="B2" t="str">
        <f>sim_annual_output!C2</f>
        <v>Barracks</v>
      </c>
      <c r="C2" t="str">
        <f>sim_annual_output!D2</f>
        <v>1959-pre</v>
      </c>
      <c r="D2" t="str">
        <f>sim_annual_output!E2</f>
        <v>air_temp_reset_enabled</v>
      </c>
      <c r="E2" s="45">
        <f t="array" ref="E2">IFERROR(INDEX(baseline!$J$3:$J$201,MATCH($B2&amp;$C2,baseline!$C$3:$C$201&amp;baseline!$D$3:$D$201,0)),"NA")</f>
        <v>3989</v>
      </c>
      <c r="F2">
        <f>sim_annual_output!G2</f>
        <v>5495.7245916000002</v>
      </c>
      <c r="G2">
        <f>$E2/$F2^2*sim_annual_output!I2</f>
        <v>0</v>
      </c>
      <c r="H2">
        <f>$E2/$F2^2*sim_annual_output!J2</f>
        <v>91.491457909376237</v>
      </c>
      <c r="I2">
        <f>$E2/$F2^2*sim_annual_output!K2</f>
        <v>2.5537806695985625</v>
      </c>
      <c r="J2">
        <f>$E2/$F2^2*sim_annual_output!L2</f>
        <v>0</v>
      </c>
      <c r="K2">
        <f>$E2/$F2^2*sim_annual_output!M2</f>
        <v>22.260191913311651</v>
      </c>
      <c r="L2">
        <f>$E2/$F2^2*sim_annual_output!N2</f>
        <v>10.412131760361559</v>
      </c>
      <c r="M2">
        <f>$E2/$F2^2*sim_annual_output!O2</f>
        <v>2.875525483165283</v>
      </c>
      <c r="N2">
        <f>$E2/$F2^2*sim_annual_output!P2</f>
        <v>0</v>
      </c>
      <c r="O2">
        <f>$E2/$F2^2*sim_annual_output!Q2</f>
        <v>5.9344858657414665</v>
      </c>
      <c r="P2">
        <f>$E2/$F2^2*sim_annual_output!R2</f>
        <v>4.3789579187370267</v>
      </c>
      <c r="Q2">
        <f>$E2/$F2^2*sim_annual_output!S2</f>
        <v>0</v>
      </c>
      <c r="R2">
        <f t="array" ref="R2">INDEX(G$3:G$700,MATCH($B2&amp;$C2&amp;"baseline",$B$3:$B$700&amp;$C$3:$C$700&amp;$D$3:$D$700,0))</f>
        <v>0</v>
      </c>
      <c r="S2">
        <f t="array" ref="S2">INDEX(H$3:H$700,MATCH($B2&amp;$C2&amp;"baseline",$B$3:$B$700&amp;$C$3:$C$700&amp;$D$3:$D$700,0))</f>
        <v>87.284195056487818</v>
      </c>
      <c r="T2">
        <f t="array" ref="T2">INDEX(I$3:I$700,MATCH($B2&amp;$C2&amp;"baseline",$B$3:$B$700&amp;$C$3:$C$700&amp;$D$3:$D$700,0))</f>
        <v>0.88158812656878982</v>
      </c>
      <c r="U2">
        <f t="array" ref="U2">INDEX(J$3:J$700,MATCH($B2&amp;$C2&amp;"baseline",$B$3:$B$700&amp;$C$3:$C$700&amp;$D$3:$D$700,0))</f>
        <v>0</v>
      </c>
      <c r="V2">
        <f t="array" ref="V2">INDEX(K$3:K$700,MATCH($B2&amp;$C2&amp;"baseline",$B$3:$B$700&amp;$C$3:$C$700&amp;$D$3:$D$700,0))</f>
        <v>22.260558783110472</v>
      </c>
      <c r="W2">
        <f t="array" ref="W2">INDEX(L$3:L$700,MATCH($B2&amp;$C2&amp;"baseline",$B$3:$B$700&amp;$C$3:$C$700&amp;$D$3:$D$700,0))</f>
        <v>10.412131760361559</v>
      </c>
      <c r="X2">
        <f t="array" ref="X2">INDEX(M$3:M$700,MATCH($B2&amp;$C2&amp;"baseline",$B$3:$B$700&amp;$C$3:$C$700&amp;$D$3:$D$700,0))</f>
        <v>2.875525483165283</v>
      </c>
      <c r="Y2">
        <f t="array" ref="Y2">INDEX(N$3:N$700,MATCH($B2&amp;$C2&amp;"baseline",$B$3:$B$700&amp;$C$3:$C$700&amp;$D$3:$D$700,0))</f>
        <v>0</v>
      </c>
      <c r="Z2">
        <f t="array" ref="Z2">INDEX(O$3:O$700,MATCH($B2&amp;$C2&amp;"baseline",$B$3:$B$700&amp;$C$3:$C$700&amp;$D$3:$D$700,0))</f>
        <v>5.7884716858103893</v>
      </c>
      <c r="AA2">
        <f t="array" ref="AA2">INDEX(P$3:P$700,MATCH($B2&amp;$C2&amp;"baseline",$B$3:$B$700&amp;$C$3:$C$700&amp;$D$3:$D$700,0))</f>
        <v>3.93981476954733</v>
      </c>
      <c r="AB2">
        <f t="array" ref="AB2">INDEX(Q$3:Q$700,MATCH($B2&amp;$C2&amp;"baseline",$B$3:$B$700&amp;$C$3:$C$700&amp;$D$3:$D$700,0))</f>
        <v>0</v>
      </c>
      <c r="AC2">
        <f>SUM(R2:AB2)</f>
        <v>133.44228566505163</v>
      </c>
      <c r="AD2">
        <f>(S2+V2+Y2)-(H2+K2+N2)</f>
        <v>-4.2068959830895949</v>
      </c>
      <c r="AE2">
        <f>(R2+T2+U2+W2+X2+Z2+AA2+AB2)-(G2+I2+J2+L2+M2+O2+P2+Q2)</f>
        <v>-2.2573498721505452</v>
      </c>
      <c r="AF2">
        <f>(AD2+AE2)/AC2*100</f>
        <v>-4.8442259685702602</v>
      </c>
      <c r="AG2">
        <f>(S2+V2+Y2)*constants!$O$2+(R2+T2+U2+W2+X2+Z2+AA2+AB2)*constants!$N$2</f>
        <v>4.4750461084777209</v>
      </c>
      <c r="AH2">
        <f>((S2+V2+Y2)-(H2+K2+N2))*constants!$O$2</f>
        <v>-6.8151714926051432E-2</v>
      </c>
      <c r="AI2">
        <f>((R2+T2+U2+W2+X2+Z2+AA2+AB2)-(G2+I2+J2+L2+M2+O2+P2+Q2))*constants!$N$2</f>
        <v>-0.25508053555301163</v>
      </c>
      <c r="AJ2">
        <f>(AH2+AI2)/AG2*100</f>
        <v>-7.2229926271981393</v>
      </c>
      <c r="AK2">
        <f>AH2+AI2</f>
        <v>-0.32323225047906307</v>
      </c>
      <c r="AL2">
        <f>COUNTIFS($B:$B,$B2,$AK:$AK,"&lt;"&amp;$AK2)+COUNTIFS($B$2:$B2,$B2,$AK$2:$AK2,$AK2)</f>
        <v>1</v>
      </c>
      <c r="AM2" s="191">
        <f>IF(AK2=0, "NA",IF(((sim_annual_output!F2/E2)/AK2)&lt;0,100,((sim_annual_output!F2/E2)/AK2)))</f>
        <v>100</v>
      </c>
      <c r="AN2">
        <f>(S2+V2)*constants!$F$2+(T2+U2+W2+X2+Y2+Z2+AA2+AB2)*constants!$G$2</f>
        <v>40399.36362543251</v>
      </c>
      <c r="AO2">
        <f>(AD2*constants!$F$2+AE2*constants!$G$2)</f>
        <v>-2716.9287697440118</v>
      </c>
      <c r="AP2">
        <f>AO2/AN2*100</f>
        <v>-6.7251771461905667</v>
      </c>
    </row>
    <row r="3" spans="1:42">
      <c r="A3">
        <f>sim_annual_output!B3</f>
        <v>1</v>
      </c>
      <c r="B3" t="str">
        <f>sim_annual_output!C3</f>
        <v>Barracks</v>
      </c>
      <c r="C3" t="str">
        <f>sim_annual_output!D3</f>
        <v>1959-pre</v>
      </c>
      <c r="D3" t="str">
        <f>sim_annual_output!E3</f>
        <v>baseline</v>
      </c>
      <c r="E3" s="45">
        <f t="array" ref="E3">IFERROR(INDEX(baseline!$J$3:$J$201,MATCH($B3&amp;$C3,baseline!$C$3:$C$201&amp;baseline!$D$3:$D$201,0)),"NA")</f>
        <v>3989</v>
      </c>
      <c r="F3">
        <f>sim_annual_output!G3</f>
        <v>5495.7245916000002</v>
      </c>
      <c r="G3">
        <f>$E3/$F3^2*sim_annual_output!I3</f>
        <v>0</v>
      </c>
      <c r="H3">
        <f>$E3/$F3^2*sim_annual_output!J3</f>
        <v>87.284195056487818</v>
      </c>
      <c r="I3">
        <f>$E3/$F3^2*sim_annual_output!K3</f>
        <v>0.88158812656878982</v>
      </c>
      <c r="J3">
        <f>$E3/$F3^2*sim_annual_output!L3</f>
        <v>0</v>
      </c>
      <c r="K3">
        <f>$E3/$F3^2*sim_annual_output!M3</f>
        <v>22.260558783110472</v>
      </c>
      <c r="L3">
        <f>$E3/$F3^2*sim_annual_output!N3</f>
        <v>10.412131760361559</v>
      </c>
      <c r="M3">
        <f>$E3/$F3^2*sim_annual_output!O3</f>
        <v>2.875525483165283</v>
      </c>
      <c r="N3">
        <f>$E3/$F3^2*sim_annual_output!P3</f>
        <v>0</v>
      </c>
      <c r="O3">
        <f>$E3/$F3^2*sim_annual_output!Q3</f>
        <v>5.7884716858103893</v>
      </c>
      <c r="P3">
        <f>$E3/$F3^2*sim_annual_output!R3</f>
        <v>3.93981476954733</v>
      </c>
      <c r="Q3">
        <f>$E3/$F3^2*sim_annual_output!S3</f>
        <v>0</v>
      </c>
      <c r="R3">
        <f t="array" ref="R3">INDEX(G$3:G$700,MATCH($B3&amp;$C3&amp;"baseline",$B$3:$B$700&amp;$C$3:$C$700&amp;$D$3:$D$700,0))</f>
        <v>0</v>
      </c>
      <c r="S3">
        <f t="array" ref="S3">INDEX(H$3:H$700,MATCH($B3&amp;$C3&amp;"baseline",$B$3:$B$700&amp;$C$3:$C$700&amp;$D$3:$D$700,0))</f>
        <v>87.284195056487818</v>
      </c>
      <c r="T3">
        <f t="array" ref="T3">INDEX(I$3:I$700,MATCH($B3&amp;$C3&amp;"baseline",$B$3:$B$700&amp;$C$3:$C$700&amp;$D$3:$D$700,0))</f>
        <v>0.88158812656878982</v>
      </c>
      <c r="U3">
        <f t="array" ref="U3">INDEX(J$3:J$700,MATCH($B3&amp;$C3&amp;"baseline",$B$3:$B$700&amp;$C$3:$C$700&amp;$D$3:$D$700,0))</f>
        <v>0</v>
      </c>
      <c r="V3">
        <f t="array" ref="V3">INDEX(K$3:K$700,MATCH($B3&amp;$C3&amp;"baseline",$B$3:$B$700&amp;$C$3:$C$700&amp;$D$3:$D$700,0))</f>
        <v>22.260558783110472</v>
      </c>
      <c r="W3">
        <f t="array" ref="W3">INDEX(L$3:L$700,MATCH($B3&amp;$C3&amp;"baseline",$B$3:$B$700&amp;$C$3:$C$700&amp;$D$3:$D$700,0))</f>
        <v>10.412131760361559</v>
      </c>
      <c r="X3">
        <f t="array" ref="X3">INDEX(M$3:M$700,MATCH($B3&amp;$C3&amp;"baseline",$B$3:$B$700&amp;$C$3:$C$700&amp;$D$3:$D$700,0))</f>
        <v>2.875525483165283</v>
      </c>
      <c r="Y3">
        <f t="array" ref="Y3">INDEX(N$3:N$700,MATCH($B3&amp;$C3&amp;"baseline",$B$3:$B$700&amp;$C$3:$C$700&amp;$D$3:$D$700,0))</f>
        <v>0</v>
      </c>
      <c r="Z3">
        <f t="array" ref="Z3">INDEX(O$3:O$700,MATCH($B3&amp;$C3&amp;"baseline",$B$3:$B$700&amp;$C$3:$C$700&amp;$D$3:$D$700,0))</f>
        <v>5.7884716858103893</v>
      </c>
      <c r="AA3">
        <f t="array" ref="AA3">INDEX(P$3:P$700,MATCH($B3&amp;$C3&amp;"baseline",$B$3:$B$700&amp;$C$3:$C$700&amp;$D$3:$D$700,0))</f>
        <v>3.93981476954733</v>
      </c>
      <c r="AB3">
        <f t="array" ref="AB3">INDEX(Q$3:Q$700,MATCH($B3&amp;$C3&amp;"baseline",$B$3:$B$700&amp;$C$3:$C$700&amp;$D$3:$D$700,0))</f>
        <v>0</v>
      </c>
      <c r="AC3">
        <f t="shared" ref="AC3:AC66" si="6">SUM(R3:AB3)</f>
        <v>133.44228566505163</v>
      </c>
      <c r="AD3">
        <f t="shared" ref="AD3:AD66" si="7">(S3+V3+Y3)-(H3+K3+N3)</f>
        <v>0</v>
      </c>
      <c r="AE3">
        <f t="shared" ref="AE3:AE66" si="8">(R3+T3+U3+W3+X3+Z3+AA3+AB3)-(G3+I3+J3+L3+M3+O3+P3+Q3)</f>
        <v>0</v>
      </c>
      <c r="AF3">
        <f t="shared" ref="AF3:AF66" si="9">(AD3+AE3)/AC3*100</f>
        <v>0</v>
      </c>
      <c r="AG3">
        <f>(S3+V3+Y3)*constants!$O$2+(R3+T3+U3+W3+X3+Z3+AA3+AB3)*constants!$N$2</f>
        <v>4.4750461084777209</v>
      </c>
      <c r="AH3">
        <f>((S3+V3+Y3)-(H3+K3+N3))*constants!$O$2</f>
        <v>0</v>
      </c>
      <c r="AI3">
        <f>((R3+T3+U3+W3+X3+Z3+AA3+AB3)-(G3+I3+J3+L3+M3+O3+P3+Q3))*constants!$N$2</f>
        <v>0</v>
      </c>
      <c r="AJ3">
        <f t="shared" ref="AJ3:AJ66" si="10">(AH3+AI3)/AG3*100</f>
        <v>0</v>
      </c>
      <c r="AK3">
        <f t="shared" ref="AK3:AK66" si="11">AH3+AI3</f>
        <v>0</v>
      </c>
      <c r="AL3">
        <f>COUNTIFS($B:$B,$B3,$AK:$AK,"&lt;"&amp;$AK3)+COUNTIFS($B$2:$B3,$B3,$AK$2:$AK3,$AK3)</f>
        <v>8</v>
      </c>
      <c r="AM3" s="191" t="str">
        <f>IF(AK3=0, "NA",IF(((sim_annual_output!F3/E3)/AK3)&lt;0,100,((sim_annual_output!F3/E3)/AK3)))</f>
        <v>NA</v>
      </c>
      <c r="AN3">
        <f>(S3+V3)*constants!$F$2+(T3+U3+W3+X3+Y3+Z3+AA3+AB3)*constants!$G$2</f>
        <v>40399.36362543251</v>
      </c>
      <c r="AO3">
        <f>(AD3*constants!$F$2+AE3*constants!$G$2)</f>
        <v>0</v>
      </c>
      <c r="AP3">
        <f t="shared" ref="AP3:AP66" si="12">AO3/AN3*100</f>
        <v>0</v>
      </c>
    </row>
    <row r="4" spans="1:42">
      <c r="A4">
        <f>sim_annual_output!B4</f>
        <v>1</v>
      </c>
      <c r="B4" t="str">
        <f>sim_annual_output!C4</f>
        <v>Barracks</v>
      </c>
      <c r="C4" t="str">
        <f>sim_annual_output!D4</f>
        <v>1959-pre</v>
      </c>
      <c r="D4" t="str">
        <f>sim_annual_output!E4</f>
        <v>boiler_eff_upgrade</v>
      </c>
      <c r="E4" s="45">
        <f t="array" ref="E4">IFERROR(INDEX(baseline!$J$3:$J$201,MATCH($B4&amp;$C4,baseline!$C$3:$C$201&amp;baseline!$D$3:$D$201,0)),"NA")</f>
        <v>3989</v>
      </c>
      <c r="F4">
        <f>sim_annual_output!G4</f>
        <v>5495.7245916000002</v>
      </c>
      <c r="G4">
        <f>$E4/$F4^2*sim_annual_output!I4</f>
        <v>0</v>
      </c>
      <c r="H4">
        <f>$E4/$F4^2*sim_annual_output!J4</f>
        <v>85.946587769983523</v>
      </c>
      <c r="I4">
        <f>$E4/$F4^2*sim_annual_output!K4</f>
        <v>1.0774965991396321</v>
      </c>
      <c r="J4">
        <f>$E4/$F4^2*sim_annual_output!L4</f>
        <v>0</v>
      </c>
      <c r="K4">
        <f>$E4/$F4^2*sim_annual_output!M4</f>
        <v>22.260558783110472</v>
      </c>
      <c r="L4">
        <f>$E4/$F4^2*sim_annual_output!N4</f>
        <v>10.412131760361559</v>
      </c>
      <c r="M4">
        <f>$E4/$F4^2*sim_annual_output!O4</f>
        <v>2.875525483165283</v>
      </c>
      <c r="N4">
        <f>$E4/$F4^2*sim_annual_output!P4</f>
        <v>0</v>
      </c>
      <c r="O4">
        <f>$E4/$F4^2*sim_annual_output!Q4</f>
        <v>5.9344858657414665</v>
      </c>
      <c r="P4">
        <f>$E4/$F4^2*sim_annual_output!R4</f>
        <v>4.0293310004598499</v>
      </c>
      <c r="Q4">
        <f>$E4/$F4^2*sim_annual_output!S4</f>
        <v>0</v>
      </c>
      <c r="R4">
        <f t="array" ref="R4">INDEX(G$3:G$700,MATCH($B4&amp;$C4&amp;"baseline",$B$3:$B$700&amp;$C$3:$C$700&amp;$D$3:$D$700,0))</f>
        <v>0</v>
      </c>
      <c r="S4">
        <f t="array" ref="S4">INDEX(H$3:H$700,MATCH($B4&amp;$C4&amp;"baseline",$B$3:$B$700&amp;$C$3:$C$700&amp;$D$3:$D$700,0))</f>
        <v>87.284195056487818</v>
      </c>
      <c r="T4">
        <f t="array" ref="T4">INDEX(I$3:I$700,MATCH($B4&amp;$C4&amp;"baseline",$B$3:$B$700&amp;$C$3:$C$700&amp;$D$3:$D$700,0))</f>
        <v>0.88158812656878982</v>
      </c>
      <c r="U4">
        <f t="array" ref="U4">INDEX(J$3:J$700,MATCH($B4&amp;$C4&amp;"baseline",$B$3:$B$700&amp;$C$3:$C$700&amp;$D$3:$D$700,0))</f>
        <v>0</v>
      </c>
      <c r="V4">
        <f t="array" ref="V4">INDEX(K$3:K$700,MATCH($B4&amp;$C4&amp;"baseline",$B$3:$B$700&amp;$C$3:$C$700&amp;$D$3:$D$700,0))</f>
        <v>22.260558783110472</v>
      </c>
      <c r="W4">
        <f t="array" ref="W4">INDEX(L$3:L$700,MATCH($B4&amp;$C4&amp;"baseline",$B$3:$B$700&amp;$C$3:$C$700&amp;$D$3:$D$700,0))</f>
        <v>10.412131760361559</v>
      </c>
      <c r="X4">
        <f t="array" ref="X4">INDEX(M$3:M$700,MATCH($B4&amp;$C4&amp;"baseline",$B$3:$B$700&amp;$C$3:$C$700&amp;$D$3:$D$700,0))</f>
        <v>2.875525483165283</v>
      </c>
      <c r="Y4">
        <f t="array" ref="Y4">INDEX(N$3:N$700,MATCH($B4&amp;$C4&amp;"baseline",$B$3:$B$700&amp;$C$3:$C$700&amp;$D$3:$D$700,0))</f>
        <v>0</v>
      </c>
      <c r="Z4">
        <f t="array" ref="Z4">INDEX(O$3:O$700,MATCH($B4&amp;$C4&amp;"baseline",$B$3:$B$700&amp;$C$3:$C$700&amp;$D$3:$D$700,0))</f>
        <v>5.7884716858103893</v>
      </c>
      <c r="AA4">
        <f t="array" ref="AA4">INDEX(P$3:P$700,MATCH($B4&amp;$C4&amp;"baseline",$B$3:$B$700&amp;$C$3:$C$700&amp;$D$3:$D$700,0))</f>
        <v>3.93981476954733</v>
      </c>
      <c r="AB4">
        <f t="array" ref="AB4">INDEX(Q$3:Q$700,MATCH($B4&amp;$C4&amp;"baseline",$B$3:$B$700&amp;$C$3:$C$700&amp;$D$3:$D$700,0))</f>
        <v>0</v>
      </c>
      <c r="AC4">
        <f t="shared" si="6"/>
        <v>133.44228566505163</v>
      </c>
      <c r="AD4">
        <f t="shared" si="7"/>
        <v>1.3376072865042943</v>
      </c>
      <c r="AE4">
        <f t="shared" si="8"/>
        <v>-0.43143888341444026</v>
      </c>
      <c r="AF4">
        <f t="shared" si="9"/>
        <v>0.67907140422069256</v>
      </c>
      <c r="AG4">
        <f>(S4+V4+Y4)*constants!$O$2+(R4+T4+U4+W4+X4+Z4+AA4+AB4)*constants!$N$2</f>
        <v>4.4750461084777209</v>
      </c>
      <c r="AH4">
        <f>((S4+V4+Y4)-(H4+K4+N4))*constants!$O$2</f>
        <v>2.1669238041369568E-2</v>
      </c>
      <c r="AI4">
        <f>((R4+T4+U4+W4+X4+Z4+AA4+AB4)-(G4+I4+J4+L4+M4+O4+P4+Q4))*constants!$N$2</f>
        <v>-4.8752593825831747E-2</v>
      </c>
      <c r="AJ4">
        <f t="shared" si="10"/>
        <v>-0.60520841859381735</v>
      </c>
      <c r="AK4">
        <f t="shared" si="11"/>
        <v>-2.7083355784462179E-2</v>
      </c>
      <c r="AL4">
        <f>COUNTIFS($B:$B,$B4,$AK:$AK,"&lt;"&amp;$AK4)+COUNTIFS($B$2:$B4,$B4,$AK$2:$AK4,$AK4)</f>
        <v>5</v>
      </c>
      <c r="AM4" s="191">
        <f>IF(AK4=0, "NA",IF(((sim_annual_output!F4/E4)/AK4)&lt;0,100,((sim_annual_output!F4/E4)/AK4)))</f>
        <v>100</v>
      </c>
      <c r="AN4">
        <f>(S4+V4)*constants!$F$2+(T4+U4+W4+X4+Y4+Z4+AA4+AB4)*constants!$G$2</f>
        <v>40399.36362543251</v>
      </c>
      <c r="AO4">
        <f>(AD4*constants!$F$2+AE4*constants!$G$2)</f>
        <v>-135.92012428629437</v>
      </c>
      <c r="AP4">
        <f t="shared" si="12"/>
        <v>-0.33644125077437831</v>
      </c>
    </row>
    <row r="5" spans="1:42">
      <c r="A5">
        <f>sim_annual_output!B5</f>
        <v>1</v>
      </c>
      <c r="B5" t="str">
        <f>sim_annual_output!C5</f>
        <v>Barracks</v>
      </c>
      <c r="C5" t="str">
        <f>sim_annual_output!D5</f>
        <v>1959-pre</v>
      </c>
      <c r="D5" t="str">
        <f>sim_annual_output!E5</f>
        <v>boiler_reset</v>
      </c>
      <c r="E5" s="45">
        <f t="array" ref="E5">IFERROR(INDEX(baseline!$J$3:$J$201,MATCH($B5&amp;$C5,baseline!$C$3:$C$201&amp;baseline!$D$3:$D$201,0)),"NA")</f>
        <v>3989</v>
      </c>
      <c r="F5">
        <f>sim_annual_output!G5</f>
        <v>5495.7245916000002</v>
      </c>
      <c r="G5">
        <f>$E5/$F5^2*sim_annual_output!I5</f>
        <v>0</v>
      </c>
      <c r="H5">
        <f>$E5/$F5^2*sim_annual_output!J5</f>
        <v>57.095579920838205</v>
      </c>
      <c r="I5">
        <f>$E5/$F5^2*sim_annual_output!K5</f>
        <v>1.0774965991396321</v>
      </c>
      <c r="J5">
        <f>$E5/$F5^2*sim_annual_output!L5</f>
        <v>0</v>
      </c>
      <c r="K5">
        <f>$E5/$F5^2*sim_annual_output!M5</f>
        <v>22.260558783110472</v>
      </c>
      <c r="L5">
        <f>$E5/$F5^2*sim_annual_output!N5</f>
        <v>10.412131760361559</v>
      </c>
      <c r="M5">
        <f>$E5/$F5^2*sim_annual_output!O5</f>
        <v>2.875525483165283</v>
      </c>
      <c r="N5">
        <f>$E5/$F5^2*sim_annual_output!P5</f>
        <v>0</v>
      </c>
      <c r="O5">
        <f>$E5/$F5^2*sim_annual_output!Q5</f>
        <v>5.9344858657414665</v>
      </c>
      <c r="P5">
        <f>$E5/$F5^2*sim_annual_output!R5</f>
        <v>0.10235667387128272</v>
      </c>
      <c r="Q5">
        <f>$E5/$F5^2*sim_annual_output!S5</f>
        <v>0</v>
      </c>
      <c r="R5">
        <f t="array" ref="R5">INDEX(G$3:G$700,MATCH($B5&amp;$C5&amp;"baseline",$B$3:$B$700&amp;$C$3:$C$700&amp;$D$3:$D$700,0))</f>
        <v>0</v>
      </c>
      <c r="S5">
        <f t="array" ref="S5">INDEX(H$3:H$700,MATCH($B5&amp;$C5&amp;"baseline",$B$3:$B$700&amp;$C$3:$C$700&amp;$D$3:$D$700,0))</f>
        <v>87.284195056487818</v>
      </c>
      <c r="T5">
        <f t="array" ref="T5">INDEX(I$3:I$700,MATCH($B5&amp;$C5&amp;"baseline",$B$3:$B$700&amp;$C$3:$C$700&amp;$D$3:$D$700,0))</f>
        <v>0.88158812656878982</v>
      </c>
      <c r="U5">
        <f t="array" ref="U5">INDEX(J$3:J$700,MATCH($B5&amp;$C5&amp;"baseline",$B$3:$B$700&amp;$C$3:$C$700&amp;$D$3:$D$700,0))</f>
        <v>0</v>
      </c>
      <c r="V5">
        <f t="array" ref="V5">INDEX(K$3:K$700,MATCH($B5&amp;$C5&amp;"baseline",$B$3:$B$700&amp;$C$3:$C$700&amp;$D$3:$D$700,0))</f>
        <v>22.260558783110472</v>
      </c>
      <c r="W5">
        <f t="array" ref="W5">INDEX(L$3:L$700,MATCH($B5&amp;$C5&amp;"baseline",$B$3:$B$700&amp;$C$3:$C$700&amp;$D$3:$D$700,0))</f>
        <v>10.412131760361559</v>
      </c>
      <c r="X5">
        <f t="array" ref="X5">INDEX(M$3:M$700,MATCH($B5&amp;$C5&amp;"baseline",$B$3:$B$700&amp;$C$3:$C$700&amp;$D$3:$D$700,0))</f>
        <v>2.875525483165283</v>
      </c>
      <c r="Y5">
        <f t="array" ref="Y5">INDEX(N$3:N$700,MATCH($B5&amp;$C5&amp;"baseline",$B$3:$B$700&amp;$C$3:$C$700&amp;$D$3:$D$700,0))</f>
        <v>0</v>
      </c>
      <c r="Z5">
        <f t="array" ref="Z5">INDEX(O$3:O$700,MATCH($B5&amp;$C5&amp;"baseline",$B$3:$B$700&amp;$C$3:$C$700&amp;$D$3:$D$700,0))</f>
        <v>5.7884716858103893</v>
      </c>
      <c r="AA5">
        <f t="array" ref="AA5">INDEX(P$3:P$700,MATCH($B5&amp;$C5&amp;"baseline",$B$3:$B$700&amp;$C$3:$C$700&amp;$D$3:$D$700,0))</f>
        <v>3.93981476954733</v>
      </c>
      <c r="AB5">
        <f t="array" ref="AB5">INDEX(Q$3:Q$700,MATCH($B5&amp;$C5&amp;"baseline",$B$3:$B$700&amp;$C$3:$C$700&amp;$D$3:$D$700,0))</f>
        <v>0</v>
      </c>
      <c r="AC5">
        <f t="shared" si="6"/>
        <v>133.44228566505163</v>
      </c>
      <c r="AD5">
        <f t="shared" si="7"/>
        <v>30.188615135649613</v>
      </c>
      <c r="AE5">
        <f t="shared" si="8"/>
        <v>3.495535443174127</v>
      </c>
      <c r="AF5">
        <f t="shared" si="9"/>
        <v>25.242486226122534</v>
      </c>
      <c r="AG5">
        <f>(S5+V5+Y5)*constants!$O$2+(R5+T5+U5+W5+X5+Z5+AA5+AB5)*constants!$N$2</f>
        <v>4.4750461084777209</v>
      </c>
      <c r="AH5">
        <f>((S5+V5+Y5)-(H5+K5+N5))*constants!$O$2</f>
        <v>0.48905556519752369</v>
      </c>
      <c r="AI5">
        <f>((R5+T5+U5+W5+X5+Z5+AA5+AB5)-(G5+I5+J5+L5+M5+O5+P5+Q5))*constants!$N$2</f>
        <v>0.39499550507867637</v>
      </c>
      <c r="AJ5">
        <f t="shared" si="10"/>
        <v>19.755127631007323</v>
      </c>
      <c r="AK5">
        <f t="shared" si="11"/>
        <v>0.88405107027620011</v>
      </c>
      <c r="AL5">
        <f>COUNTIFS($B:$B,$B5,$AK:$AK,"&lt;"&amp;$AK5)+COUNTIFS($B$2:$B5,$B5,$AK$2:$AK5,$AK5)</f>
        <v>19</v>
      </c>
      <c r="AM5" s="191">
        <f>IF(AK5=0, "NA",IF(((sim_annual_output!F5/E5)/AK5)&lt;0,100,((sim_annual_output!F5/E5)/AK5)))</f>
        <v>0.26347237867457868</v>
      </c>
      <c r="AN5">
        <f>(S5+V5)*constants!$F$2+(T5+U5+W5+X5+Y5+Z5+AA5+AB5)*constants!$G$2</f>
        <v>40399.36362543251</v>
      </c>
      <c r="AO5">
        <f>(AD5*constants!$F$2+AE5*constants!$G$2)</f>
        <v>8444.8779448427704</v>
      </c>
      <c r="AP5">
        <f t="shared" si="12"/>
        <v>20.903492498397888</v>
      </c>
    </row>
    <row r="6" spans="1:42">
      <c r="A6">
        <f>sim_annual_output!B6</f>
        <v>1</v>
      </c>
      <c r="B6" t="str">
        <f>sim_annual_output!C6</f>
        <v>Barracks</v>
      </c>
      <c r="C6" t="str">
        <f>sim_annual_output!D6</f>
        <v>1959-pre</v>
      </c>
      <c r="D6" t="str">
        <f>sim_annual_output!E6</f>
        <v>cooling_cop_3_0</v>
      </c>
      <c r="E6" s="45">
        <f t="array" ref="E6">IFERROR(INDEX(baseline!$J$3:$J$201,MATCH($B6&amp;$C6,baseline!$C$3:$C$201&amp;baseline!$D$3:$D$201,0)),"NA")</f>
        <v>3989</v>
      </c>
      <c r="F6">
        <f>sim_annual_output!G6</f>
        <v>5495.7245916000002</v>
      </c>
      <c r="G6">
        <f>$E6/$F6^2*sim_annual_output!I6</f>
        <v>0</v>
      </c>
      <c r="H6">
        <f>$E6/$F6^2*sim_annual_output!J6</f>
        <v>85.946587769983523</v>
      </c>
      <c r="I6">
        <f>$E6/$F6^2*sim_annual_output!K6</f>
        <v>0.76969283792814025</v>
      </c>
      <c r="J6">
        <f>$E6/$F6^2*sim_annual_output!L6</f>
        <v>0</v>
      </c>
      <c r="K6">
        <f>$E6/$F6^2*sim_annual_output!M6</f>
        <v>22.260558783110472</v>
      </c>
      <c r="L6">
        <f>$E6/$F6^2*sim_annual_output!N6</f>
        <v>10.412131760361559</v>
      </c>
      <c r="M6">
        <f>$E6/$F6^2*sim_annual_output!O6</f>
        <v>2.875525483165283</v>
      </c>
      <c r="N6">
        <f>$E6/$F6^2*sim_annual_output!P6</f>
        <v>0</v>
      </c>
      <c r="O6">
        <f>$E6/$F6^2*sim_annual_output!Q6</f>
        <v>5.9344858657414665</v>
      </c>
      <c r="P6">
        <f>$E6/$F6^2*sim_annual_output!R6</f>
        <v>4.0293310004598499</v>
      </c>
      <c r="Q6">
        <f>$E6/$F6^2*sim_annual_output!S6</f>
        <v>0</v>
      </c>
      <c r="R6">
        <f t="array" ref="R6">INDEX(G$3:G$700,MATCH($B6&amp;$C6&amp;"baseline",$B$3:$B$700&amp;$C$3:$C$700&amp;$D$3:$D$700,0))</f>
        <v>0</v>
      </c>
      <c r="S6">
        <f t="array" ref="S6">INDEX(H$3:H$700,MATCH($B6&amp;$C6&amp;"baseline",$B$3:$B$700&amp;$C$3:$C$700&amp;$D$3:$D$700,0))</f>
        <v>87.284195056487818</v>
      </c>
      <c r="T6">
        <f t="array" ref="T6">INDEX(I$3:I$700,MATCH($B6&amp;$C6&amp;"baseline",$B$3:$B$700&amp;$C$3:$C$700&amp;$D$3:$D$700,0))</f>
        <v>0.88158812656878982</v>
      </c>
      <c r="U6">
        <f t="array" ref="U6">INDEX(J$3:J$700,MATCH($B6&amp;$C6&amp;"baseline",$B$3:$B$700&amp;$C$3:$C$700&amp;$D$3:$D$700,0))</f>
        <v>0</v>
      </c>
      <c r="V6">
        <f t="array" ref="V6">INDEX(K$3:K$700,MATCH($B6&amp;$C6&amp;"baseline",$B$3:$B$700&amp;$C$3:$C$700&amp;$D$3:$D$700,0))</f>
        <v>22.260558783110472</v>
      </c>
      <c r="W6">
        <f t="array" ref="W6">INDEX(L$3:L$700,MATCH($B6&amp;$C6&amp;"baseline",$B$3:$B$700&amp;$C$3:$C$700&amp;$D$3:$D$700,0))</f>
        <v>10.412131760361559</v>
      </c>
      <c r="X6">
        <f t="array" ref="X6">INDEX(M$3:M$700,MATCH($B6&amp;$C6&amp;"baseline",$B$3:$B$700&amp;$C$3:$C$700&amp;$D$3:$D$700,0))</f>
        <v>2.875525483165283</v>
      </c>
      <c r="Y6">
        <f t="array" ref="Y6">INDEX(N$3:N$700,MATCH($B6&amp;$C6&amp;"baseline",$B$3:$B$700&amp;$C$3:$C$700&amp;$D$3:$D$700,0))</f>
        <v>0</v>
      </c>
      <c r="Z6">
        <f t="array" ref="Z6">INDEX(O$3:O$700,MATCH($B6&amp;$C6&amp;"baseline",$B$3:$B$700&amp;$C$3:$C$700&amp;$D$3:$D$700,0))</f>
        <v>5.7884716858103893</v>
      </c>
      <c r="AA6">
        <f t="array" ref="AA6">INDEX(P$3:P$700,MATCH($B6&amp;$C6&amp;"baseline",$B$3:$B$700&amp;$C$3:$C$700&amp;$D$3:$D$700,0))</f>
        <v>3.93981476954733</v>
      </c>
      <c r="AB6">
        <f t="array" ref="AB6">INDEX(Q$3:Q$700,MATCH($B6&amp;$C6&amp;"baseline",$B$3:$B$700&amp;$C$3:$C$700&amp;$D$3:$D$700,0))</f>
        <v>0</v>
      </c>
      <c r="AC6">
        <f t="shared" si="6"/>
        <v>133.44228566505163</v>
      </c>
      <c r="AD6">
        <f t="shared" si="7"/>
        <v>1.3376072865042943</v>
      </c>
      <c r="AE6">
        <f t="shared" si="8"/>
        <v>-0.12363512220294481</v>
      </c>
      <c r="AF6">
        <f t="shared" si="9"/>
        <v>0.90973573950051678</v>
      </c>
      <c r="AG6">
        <f>(S6+V6+Y6)*constants!$O$2+(R6+T6+U6+W6+X6+Z6+AA6+AB6)*constants!$N$2</f>
        <v>4.4750461084777209</v>
      </c>
      <c r="AH6">
        <f>((S6+V6+Y6)-(H6+K6+N6))*constants!$O$2</f>
        <v>2.1669238041369568E-2</v>
      </c>
      <c r="AI6">
        <f>((R6+T6+U6+W6+X6+Z6+AA6+AB6)-(G6+I6+J6+L6+M6+O6+P6+Q6))*constants!$N$2</f>
        <v>-1.3970768808932764E-2</v>
      </c>
      <c r="AJ6">
        <f t="shared" si="10"/>
        <v>0.17203105947562172</v>
      </c>
      <c r="AK6">
        <f t="shared" si="11"/>
        <v>7.6984692324368036E-3</v>
      </c>
      <c r="AL6">
        <f>COUNTIFS($B:$B,$B6,$AK:$AK,"&lt;"&amp;$AK6)+COUNTIFS($B$2:$B6,$B6,$AK$2:$AK6,$AK6)</f>
        <v>10</v>
      </c>
      <c r="AM6" s="191">
        <f>IF(AK6=0, "NA",IF(((sim_annual_output!F6/E6)/AK6)&lt;0,100,((sim_annual_output!F6/E6)/AK6)))</f>
        <v>482.54116053510455</v>
      </c>
      <c r="AN6">
        <f>(S6+V6)*constants!$F$2+(T6+U6+W6+X6+Y6+Z6+AA6+AB6)*constants!$G$2</f>
        <v>40399.36362543251</v>
      </c>
      <c r="AO6">
        <f>(AD6*constants!$F$2+AE6*constants!$G$2)</f>
        <v>131.86914796770668</v>
      </c>
      <c r="AP6">
        <f t="shared" si="12"/>
        <v>0.3264139237200544</v>
      </c>
    </row>
    <row r="7" spans="1:42">
      <c r="A7">
        <f>sim_annual_output!B7</f>
        <v>1</v>
      </c>
      <c r="B7" t="str">
        <f>sim_annual_output!C7</f>
        <v>Barracks</v>
      </c>
      <c r="C7" t="str">
        <f>sim_annual_output!D7</f>
        <v>1959-pre</v>
      </c>
      <c r="D7" t="str">
        <f>sim_annual_output!E7</f>
        <v>dcv_enabled</v>
      </c>
      <c r="E7" s="45">
        <f t="array" ref="E7">IFERROR(INDEX(baseline!$J$3:$J$201,MATCH($B7&amp;$C7,baseline!$C$3:$C$201&amp;baseline!$D$3:$D$201,0)),"NA")</f>
        <v>3989</v>
      </c>
      <c r="F7">
        <f>sim_annual_output!G7</f>
        <v>5495.7245916000002</v>
      </c>
      <c r="G7">
        <f>$E7/$F7^2*sim_annual_output!I7</f>
        <v>0</v>
      </c>
      <c r="H7">
        <f>$E7/$F7^2*sim_annual_output!J7</f>
        <v>83.01346372840321</v>
      </c>
      <c r="I7">
        <f>$E7/$F7^2*sim_annual_output!K7</f>
        <v>1.2081022475201935</v>
      </c>
      <c r="J7">
        <f>$E7/$F7^2*sim_annual_output!L7</f>
        <v>0</v>
      </c>
      <c r="K7">
        <f>$E7/$F7^2*sim_annual_output!M7</f>
        <v>22.260558783110472</v>
      </c>
      <c r="L7">
        <f>$E7/$F7^2*sim_annual_output!N7</f>
        <v>10.412131760361559</v>
      </c>
      <c r="M7">
        <f>$E7/$F7^2*sim_annual_output!O7</f>
        <v>2.875525483165283</v>
      </c>
      <c r="N7">
        <f>$E7/$F7^2*sim_annual_output!P7</f>
        <v>0</v>
      </c>
      <c r="O7">
        <f>$E7/$F7^2*sim_annual_output!Q7</f>
        <v>5.9344858657414665</v>
      </c>
      <c r="P7">
        <f>$E7/$F7^2*sim_annual_output!R7</f>
        <v>3.9926440205776697</v>
      </c>
      <c r="Q7">
        <f>$E7/$F7^2*sim_annual_output!S7</f>
        <v>0</v>
      </c>
      <c r="R7">
        <f t="array" ref="R7">INDEX(G$3:G$700,MATCH($B7&amp;$C7&amp;"baseline",$B$3:$B$700&amp;$C$3:$C$700&amp;$D$3:$D$700,0))</f>
        <v>0</v>
      </c>
      <c r="S7">
        <f t="array" ref="S7">INDEX(H$3:H$700,MATCH($B7&amp;$C7&amp;"baseline",$B$3:$B$700&amp;$C$3:$C$700&amp;$D$3:$D$700,0))</f>
        <v>87.284195056487818</v>
      </c>
      <c r="T7">
        <f t="array" ref="T7">INDEX(I$3:I$700,MATCH($B7&amp;$C7&amp;"baseline",$B$3:$B$700&amp;$C$3:$C$700&amp;$D$3:$D$700,0))</f>
        <v>0.88158812656878982</v>
      </c>
      <c r="U7">
        <f t="array" ref="U7">INDEX(J$3:J$700,MATCH($B7&amp;$C7&amp;"baseline",$B$3:$B$700&amp;$C$3:$C$700&amp;$D$3:$D$700,0))</f>
        <v>0</v>
      </c>
      <c r="V7">
        <f t="array" ref="V7">INDEX(K$3:K$700,MATCH($B7&amp;$C7&amp;"baseline",$B$3:$B$700&amp;$C$3:$C$700&amp;$D$3:$D$700,0))</f>
        <v>22.260558783110472</v>
      </c>
      <c r="W7">
        <f t="array" ref="W7">INDEX(L$3:L$700,MATCH($B7&amp;$C7&amp;"baseline",$B$3:$B$700&amp;$C$3:$C$700&amp;$D$3:$D$700,0))</f>
        <v>10.412131760361559</v>
      </c>
      <c r="X7">
        <f t="array" ref="X7">INDEX(M$3:M$700,MATCH($B7&amp;$C7&amp;"baseline",$B$3:$B$700&amp;$C$3:$C$700&amp;$D$3:$D$700,0))</f>
        <v>2.875525483165283</v>
      </c>
      <c r="Y7">
        <f t="array" ref="Y7">INDEX(N$3:N$700,MATCH($B7&amp;$C7&amp;"baseline",$B$3:$B$700&amp;$C$3:$C$700&amp;$D$3:$D$700,0))</f>
        <v>0</v>
      </c>
      <c r="Z7">
        <f t="array" ref="Z7">INDEX(O$3:O$700,MATCH($B7&amp;$C7&amp;"baseline",$B$3:$B$700&amp;$C$3:$C$700&amp;$D$3:$D$700,0))</f>
        <v>5.7884716858103893</v>
      </c>
      <c r="AA7">
        <f t="array" ref="AA7">INDEX(P$3:P$700,MATCH($B7&amp;$C7&amp;"baseline",$B$3:$B$700&amp;$C$3:$C$700&amp;$D$3:$D$700,0))</f>
        <v>3.93981476954733</v>
      </c>
      <c r="AB7">
        <f t="array" ref="AB7">INDEX(Q$3:Q$700,MATCH($B7&amp;$C7&amp;"baseline",$B$3:$B$700&amp;$C$3:$C$700&amp;$D$3:$D$700,0))</f>
        <v>0</v>
      </c>
      <c r="AC7">
        <f t="shared" si="6"/>
        <v>133.44228566505163</v>
      </c>
      <c r="AD7">
        <f t="shared" si="7"/>
        <v>4.270731328084608</v>
      </c>
      <c r="AE7">
        <f t="shared" si="8"/>
        <v>-0.52535755191282263</v>
      </c>
      <c r="AF7">
        <f t="shared" si="9"/>
        <v>2.8067368282141874</v>
      </c>
      <c r="AG7">
        <f>(S7+V7+Y7)*constants!$O$2+(R7+T7+U7+W7+X7+Z7+AA7+AB7)*constants!$N$2</f>
        <v>4.4750461084777209</v>
      </c>
      <c r="AH7">
        <f>((S7+V7+Y7)-(H7+K7+N7))*constants!$O$2</f>
        <v>6.9185847514970644E-2</v>
      </c>
      <c r="AI7">
        <f>((R7+T7+U7+W7+X7+Z7+AA7+AB7)-(G7+I7+J7+L7+M7+O7+P7+Q7))*constants!$N$2</f>
        <v>-5.9365403366148956E-2</v>
      </c>
      <c r="AJ7">
        <f t="shared" si="10"/>
        <v>0.2194490047871778</v>
      </c>
      <c r="AK7">
        <f t="shared" si="11"/>
        <v>9.8204441488216887E-3</v>
      </c>
      <c r="AL7">
        <f>COUNTIFS($B:$B,$B7,$AK:$AK,"&lt;"&amp;$AK7)+COUNTIFS($B$2:$B7,$B7,$AK$2:$AK7,$AK7)</f>
        <v>11</v>
      </c>
      <c r="AM7" s="191">
        <f>IF(AK7=0, "NA",IF(((sim_annual_output!F7/E7)/AK7)&lt;0,100,((sim_annual_output!F7/E7)/AK7)))</f>
        <v>1592.9776260012447</v>
      </c>
      <c r="AN7">
        <f>(S7+V7)*constants!$F$2+(T7+U7+W7+X7+Y7+Z7+AA7+AB7)*constants!$G$2</f>
        <v>40399.36362543251</v>
      </c>
      <c r="AO7">
        <f>(AD7*constants!$F$2+AE7*constants!$G$2)</f>
        <v>307.39983756298909</v>
      </c>
      <c r="AP7">
        <f t="shared" si="12"/>
        <v>0.76090267265861689</v>
      </c>
    </row>
    <row r="8" spans="1:42">
      <c r="A8">
        <f>sim_annual_output!B8</f>
        <v>1</v>
      </c>
      <c r="B8" t="str">
        <f>sim_annual_output!C8</f>
        <v>Barracks</v>
      </c>
      <c r="C8" t="str">
        <f>sim_annual_output!D8</f>
        <v>1959-pre</v>
      </c>
      <c r="D8" t="str">
        <f>sim_annual_output!E8</f>
        <v>ecm_cold_deck_reset_control</v>
      </c>
      <c r="E8" s="45">
        <f t="array" ref="E8">IFERROR(INDEX(baseline!$J$3:$J$201,MATCH($B8&amp;$C8,baseline!$C$3:$C$201&amp;baseline!$D$3:$D$201,0)),"NA")</f>
        <v>3989</v>
      </c>
      <c r="F8">
        <f>sim_annual_output!G8</f>
        <v>5495.7245916000002</v>
      </c>
      <c r="G8">
        <f>$E8/$F8^2*sim_annual_output!I8</f>
        <v>0</v>
      </c>
      <c r="H8">
        <f>$E8/$F8^2*sim_annual_output!J8</f>
        <v>85.73270267727041</v>
      </c>
      <c r="I8">
        <f>$E8/$F8^2*sim_annual_output!K8</f>
        <v>2.1836090425873649</v>
      </c>
      <c r="J8">
        <f>$E8/$F8^2*sim_annual_output!L8</f>
        <v>0</v>
      </c>
      <c r="K8">
        <f>$E8/$F8^2*sim_annual_output!M8</f>
        <v>22.259825043512826</v>
      </c>
      <c r="L8">
        <f>$E8/$F8^2*sim_annual_output!N8</f>
        <v>10.412131760361559</v>
      </c>
      <c r="M8">
        <f>$E8/$F8^2*sim_annual_output!O8</f>
        <v>2.875525483165283</v>
      </c>
      <c r="N8">
        <f>$E8/$F8^2*sim_annual_output!P8</f>
        <v>0</v>
      </c>
      <c r="O8">
        <f>$E8/$F8^2*sim_annual_output!Q8</f>
        <v>5.9344858657414665</v>
      </c>
      <c r="P8">
        <f>$E8/$F8^2*sim_annual_output!R8</f>
        <v>4.1001368716324578</v>
      </c>
      <c r="Q8">
        <f>$E8/$F8^2*sim_annual_output!S8</f>
        <v>0</v>
      </c>
      <c r="R8">
        <f t="array" ref="R8">INDEX(G$3:G$700,MATCH($B8&amp;$C8&amp;"baseline",$B$3:$B$700&amp;$C$3:$C$700&amp;$D$3:$D$700,0))</f>
        <v>0</v>
      </c>
      <c r="S8">
        <f t="array" ref="S8">INDEX(H$3:H$700,MATCH($B8&amp;$C8&amp;"baseline",$B$3:$B$700&amp;$C$3:$C$700&amp;$D$3:$D$700,0))</f>
        <v>87.284195056487818</v>
      </c>
      <c r="T8">
        <f t="array" ref="T8">INDEX(I$3:I$700,MATCH($B8&amp;$C8&amp;"baseline",$B$3:$B$700&amp;$C$3:$C$700&amp;$D$3:$D$700,0))</f>
        <v>0.88158812656878982</v>
      </c>
      <c r="U8">
        <f t="array" ref="U8">INDEX(J$3:J$700,MATCH($B8&amp;$C8&amp;"baseline",$B$3:$B$700&amp;$C$3:$C$700&amp;$D$3:$D$700,0))</f>
        <v>0</v>
      </c>
      <c r="V8">
        <f t="array" ref="V8">INDEX(K$3:K$700,MATCH($B8&amp;$C8&amp;"baseline",$B$3:$B$700&amp;$C$3:$C$700&amp;$D$3:$D$700,0))</f>
        <v>22.260558783110472</v>
      </c>
      <c r="W8">
        <f t="array" ref="W8">INDEX(L$3:L$700,MATCH($B8&amp;$C8&amp;"baseline",$B$3:$B$700&amp;$C$3:$C$700&amp;$D$3:$D$700,0))</f>
        <v>10.412131760361559</v>
      </c>
      <c r="X8">
        <f t="array" ref="X8">INDEX(M$3:M$700,MATCH($B8&amp;$C8&amp;"baseline",$B$3:$B$700&amp;$C$3:$C$700&amp;$D$3:$D$700,0))</f>
        <v>2.875525483165283</v>
      </c>
      <c r="Y8">
        <f t="array" ref="Y8">INDEX(N$3:N$700,MATCH($B8&amp;$C8&amp;"baseline",$B$3:$B$700&amp;$C$3:$C$700&amp;$D$3:$D$700,0))</f>
        <v>0</v>
      </c>
      <c r="Z8">
        <f t="array" ref="Z8">INDEX(O$3:O$700,MATCH($B8&amp;$C8&amp;"baseline",$B$3:$B$700&amp;$C$3:$C$700&amp;$D$3:$D$700,0))</f>
        <v>5.7884716858103893</v>
      </c>
      <c r="AA8">
        <f t="array" ref="AA8">INDEX(P$3:P$700,MATCH($B8&amp;$C8&amp;"baseline",$B$3:$B$700&amp;$C$3:$C$700&amp;$D$3:$D$700,0))</f>
        <v>3.93981476954733</v>
      </c>
      <c r="AB8">
        <f t="array" ref="AB8">INDEX(Q$3:Q$700,MATCH($B8&amp;$C8&amp;"baseline",$B$3:$B$700&amp;$C$3:$C$700&amp;$D$3:$D$700,0))</f>
        <v>0</v>
      </c>
      <c r="AC8">
        <f t="shared" si="6"/>
        <v>133.44228566505163</v>
      </c>
      <c r="AD8">
        <f t="shared" si="7"/>
        <v>1.5522261188150424</v>
      </c>
      <c r="AE8">
        <f t="shared" si="8"/>
        <v>-1.6083571980347777</v>
      </c>
      <c r="AF8">
        <f t="shared" si="9"/>
        <v>-4.2063937184520235E-2</v>
      </c>
      <c r="AG8">
        <f>(S8+V8+Y8)*constants!$O$2+(R8+T8+U8+W8+X8+Z8+AA8+AB8)*constants!$N$2</f>
        <v>4.4750461084777209</v>
      </c>
      <c r="AH8">
        <f>((S8+V8+Y8)-(H8+K8+N8))*constants!$O$2</f>
        <v>2.5146063124803684E-2</v>
      </c>
      <c r="AI8">
        <f>((R8+T8+U8+W8+X8+Z8+AA8+AB8)-(G8+I8+J8+L8+M8+O8+P8+Q8))*constants!$N$2</f>
        <v>-0.1817443633779299</v>
      </c>
      <c r="AJ8">
        <f t="shared" si="10"/>
        <v>-3.4993673016342695</v>
      </c>
      <c r="AK8">
        <f t="shared" si="11"/>
        <v>-0.15659830025312621</v>
      </c>
      <c r="AL8">
        <f>COUNTIFS($B:$B,$B8,$AK:$AK,"&lt;"&amp;$AK8)+COUNTIFS($B$2:$B8,$B8,$AK$2:$AK8,$AK8)</f>
        <v>2</v>
      </c>
      <c r="AM8" s="191">
        <f>IF(AK8=0, "NA",IF(((sim_annual_output!F8/E8)/AK8)&lt;0,100,((sim_annual_output!F8/E8)/AK8)))</f>
        <v>100</v>
      </c>
      <c r="AN8">
        <f>(S8+V8)*constants!$F$2+(T8+U8+W8+X8+Y8+Z8+AA8+AB8)*constants!$G$2</f>
        <v>40399.36362543251</v>
      </c>
      <c r="AO8">
        <f>(AD8*constants!$F$2+AE8*constants!$G$2)</f>
        <v>-1121.4222870223641</v>
      </c>
      <c r="AP8">
        <f t="shared" si="12"/>
        <v>-2.7758414647808904</v>
      </c>
    </row>
    <row r="9" spans="1:42">
      <c r="A9">
        <f>sim_annual_output!B9</f>
        <v>1</v>
      </c>
      <c r="B9" t="str">
        <f>sim_annual_output!C9</f>
        <v>Barracks</v>
      </c>
      <c r="C9" t="str">
        <f>sim_annual_output!D9</f>
        <v>1959-pre</v>
      </c>
      <c r="D9" t="str">
        <f>sim_annual_output!E9</f>
        <v>economizers_enabled</v>
      </c>
      <c r="E9" s="45">
        <f t="array" ref="E9">IFERROR(INDEX(baseline!$J$3:$J$201,MATCH($B9&amp;$C9,baseline!$C$3:$C$201&amp;baseline!$D$3:$D$201,0)),"NA")</f>
        <v>3989</v>
      </c>
      <c r="F9">
        <f>sim_annual_output!G9</f>
        <v>5495.7245916000002</v>
      </c>
      <c r="G9">
        <f>$E9/$F9^2*sim_annual_output!I9</f>
        <v>0</v>
      </c>
      <c r="H9">
        <f>$E9/$F9^2*sim_annual_output!J9</f>
        <v>85.938149764610614</v>
      </c>
      <c r="I9">
        <f>$E9/$F9^2*sim_annual_output!K9</f>
        <v>0.83169383392902474</v>
      </c>
      <c r="J9">
        <f>$E9/$F9^2*sim_annual_output!L9</f>
        <v>0</v>
      </c>
      <c r="K9">
        <f>$E9/$F9^2*sim_annual_output!M9</f>
        <v>22.260558783110472</v>
      </c>
      <c r="L9">
        <f>$E9/$F9^2*sim_annual_output!N9</f>
        <v>10.412131760361559</v>
      </c>
      <c r="M9">
        <f>$E9/$F9^2*sim_annual_output!O9</f>
        <v>2.875525483165283</v>
      </c>
      <c r="N9">
        <f>$E9/$F9^2*sim_annual_output!P9</f>
        <v>0</v>
      </c>
      <c r="O9">
        <f>$E9/$F9^2*sim_annual_output!Q9</f>
        <v>5.9344858657414665</v>
      </c>
      <c r="P9">
        <f>$E9/$F9^2*sim_annual_output!R9</f>
        <v>4.019058646092839</v>
      </c>
      <c r="Q9">
        <f>$E9/$F9^2*sim_annual_output!S9</f>
        <v>0</v>
      </c>
      <c r="R9">
        <f t="array" ref="R9">INDEX(G$3:G$700,MATCH($B9&amp;$C9&amp;"baseline",$B$3:$B$700&amp;$C$3:$C$700&amp;$D$3:$D$700,0))</f>
        <v>0</v>
      </c>
      <c r="S9">
        <f t="array" ref="S9">INDEX(H$3:H$700,MATCH($B9&amp;$C9&amp;"baseline",$B$3:$B$700&amp;$C$3:$C$700&amp;$D$3:$D$700,0))</f>
        <v>87.284195056487818</v>
      </c>
      <c r="T9">
        <f t="array" ref="T9">INDEX(I$3:I$700,MATCH($B9&amp;$C9&amp;"baseline",$B$3:$B$700&amp;$C$3:$C$700&amp;$D$3:$D$700,0))</f>
        <v>0.88158812656878982</v>
      </c>
      <c r="U9">
        <f t="array" ref="U9">INDEX(J$3:J$700,MATCH($B9&amp;$C9&amp;"baseline",$B$3:$B$700&amp;$C$3:$C$700&amp;$D$3:$D$700,0))</f>
        <v>0</v>
      </c>
      <c r="V9">
        <f t="array" ref="V9">INDEX(K$3:K$700,MATCH($B9&amp;$C9&amp;"baseline",$B$3:$B$700&amp;$C$3:$C$700&amp;$D$3:$D$700,0))</f>
        <v>22.260558783110472</v>
      </c>
      <c r="W9">
        <f t="array" ref="W9">INDEX(L$3:L$700,MATCH($B9&amp;$C9&amp;"baseline",$B$3:$B$700&amp;$C$3:$C$700&amp;$D$3:$D$700,0))</f>
        <v>10.412131760361559</v>
      </c>
      <c r="X9">
        <f t="array" ref="X9">INDEX(M$3:M$700,MATCH($B9&amp;$C9&amp;"baseline",$B$3:$B$700&amp;$C$3:$C$700&amp;$D$3:$D$700,0))</f>
        <v>2.875525483165283</v>
      </c>
      <c r="Y9">
        <f t="array" ref="Y9">INDEX(N$3:N$700,MATCH($B9&amp;$C9&amp;"baseline",$B$3:$B$700&amp;$C$3:$C$700&amp;$D$3:$D$700,0))</f>
        <v>0</v>
      </c>
      <c r="Z9">
        <f t="array" ref="Z9">INDEX(O$3:O$700,MATCH($B9&amp;$C9&amp;"baseline",$B$3:$B$700&amp;$C$3:$C$700&amp;$D$3:$D$700,0))</f>
        <v>5.7884716858103893</v>
      </c>
      <c r="AA9">
        <f t="array" ref="AA9">INDEX(P$3:P$700,MATCH($B9&amp;$C9&amp;"baseline",$B$3:$B$700&amp;$C$3:$C$700&amp;$D$3:$D$700,0))</f>
        <v>3.93981476954733</v>
      </c>
      <c r="AB9">
        <f t="array" ref="AB9">INDEX(Q$3:Q$700,MATCH($B9&amp;$C9&amp;"baseline",$B$3:$B$700&amp;$C$3:$C$700&amp;$D$3:$D$700,0))</f>
        <v>0</v>
      </c>
      <c r="AC9">
        <f t="shared" si="6"/>
        <v>133.44228566505163</v>
      </c>
      <c r="AD9">
        <f t="shared" si="7"/>
        <v>1.3460452918772035</v>
      </c>
      <c r="AE9">
        <f t="shared" si="8"/>
        <v>-0.17536376383681684</v>
      </c>
      <c r="AF9">
        <f t="shared" si="9"/>
        <v>0.87729427160658013</v>
      </c>
      <c r="AG9">
        <f>(S9+V9+Y9)*constants!$O$2+(R9+T9+U9+W9+X9+Z9+AA9+AB9)*constants!$N$2</f>
        <v>4.4750461084777209</v>
      </c>
      <c r="AH9">
        <f>((S9+V9+Y9)-(H9+K9+N9))*constants!$O$2</f>
        <v>2.1805933728410696E-2</v>
      </c>
      <c r="AI9">
        <f>((R9+T9+U9+W9+X9+Z9+AA9+AB9)-(G9+I9+J9+L9+M9+O9+P9+Q9))*constants!$N$2</f>
        <v>-1.9816105313560303E-2</v>
      </c>
      <c r="AJ9">
        <f t="shared" si="10"/>
        <v>4.4464981289930747E-2</v>
      </c>
      <c r="AK9">
        <f t="shared" si="11"/>
        <v>1.9898284148503927E-3</v>
      </c>
      <c r="AL9">
        <f>COUNTIFS($B:$B,$B9,$AK:$AK,"&lt;"&amp;$AK9)+COUNTIFS($B$2:$B9,$B9,$AK$2:$AK9,$AK9)</f>
        <v>9</v>
      </c>
      <c r="AM9" s="191">
        <f>IF(AK9=0, "NA",IF(((sim_annual_output!F9/E9)/AK9)&lt;0,100,((sim_annual_output!F9/E9)/AK9)))</f>
        <v>519.23132704428292</v>
      </c>
      <c r="AN9">
        <f>(S9+V9)*constants!$F$2+(T9+U9+W9+X9+Y9+Z9+AA9+AB9)*constants!$G$2</f>
        <v>40399.36362543251</v>
      </c>
      <c r="AO9">
        <f>(AD9*constants!$F$2+AE9*constants!$G$2)</f>
        <v>88.375632707988757</v>
      </c>
      <c r="AP9">
        <f t="shared" si="12"/>
        <v>0.21875501190408322</v>
      </c>
    </row>
    <row r="10" spans="1:42">
      <c r="A10">
        <f>sim_annual_output!B10</f>
        <v>1</v>
      </c>
      <c r="B10" t="str">
        <f>sim_annual_output!C10</f>
        <v>Barracks</v>
      </c>
      <c r="C10" t="str">
        <f>sim_annual_output!D10</f>
        <v>1959-pre</v>
      </c>
      <c r="D10" t="str">
        <f>sim_annual_output!E10</f>
        <v>elec_reduce</v>
      </c>
      <c r="E10" s="45">
        <f t="array" ref="E10">IFERROR(INDEX(baseline!$J$3:$J$201,MATCH($B10&amp;$C10,baseline!$C$3:$C$201&amp;baseline!$D$3:$D$201,0)),"NA")</f>
        <v>3989</v>
      </c>
      <c r="F10">
        <f>sim_annual_output!G10</f>
        <v>5495.7245916000002</v>
      </c>
      <c r="G10">
        <f>$E10/$F10^2*sim_annual_output!I10</f>
        <v>0</v>
      </c>
      <c r="H10">
        <f>$E10/$F10^2*sim_annual_output!J10</f>
        <v>87.033622983892514</v>
      </c>
      <c r="I10">
        <f>$E10/$F10^2*sim_annual_output!K10</f>
        <v>0.90690214268749425</v>
      </c>
      <c r="J10">
        <f>$E10/$F10^2*sim_annual_output!L10</f>
        <v>0</v>
      </c>
      <c r="K10">
        <f>$E10/$F10^2*sim_annual_output!M10</f>
        <v>22.260558783110472</v>
      </c>
      <c r="L10">
        <f>$E10/$F10^2*sim_annual_output!N10</f>
        <v>7.2882354233939157</v>
      </c>
      <c r="M10">
        <f>$E10/$F10^2*sim_annual_output!O10</f>
        <v>2.875525483165283</v>
      </c>
      <c r="N10">
        <f>$E10/$F10^2*sim_annual_output!P10</f>
        <v>0</v>
      </c>
      <c r="O10">
        <f>$E10/$F10^2*sim_annual_output!Q10</f>
        <v>5.8104838737396971</v>
      </c>
      <c r="P10">
        <f>$E10/$F10^2*sim_annual_output!R10</f>
        <v>3.1304999933464353</v>
      </c>
      <c r="Q10">
        <f>$E10/$F10^2*sim_annual_output!S10</f>
        <v>0</v>
      </c>
      <c r="R10">
        <f t="array" ref="R10">INDEX(G$3:G$700,MATCH($B10&amp;$C10&amp;"baseline",$B$3:$B$700&amp;$C$3:$C$700&amp;$D$3:$D$700,0))</f>
        <v>0</v>
      </c>
      <c r="S10">
        <f t="array" ref="S10">INDEX(H$3:H$700,MATCH($B10&amp;$C10&amp;"baseline",$B$3:$B$700&amp;$C$3:$C$700&amp;$D$3:$D$700,0))</f>
        <v>87.284195056487818</v>
      </c>
      <c r="T10">
        <f t="array" ref="T10">INDEX(I$3:I$700,MATCH($B10&amp;$C10&amp;"baseline",$B$3:$B$700&amp;$C$3:$C$700&amp;$D$3:$D$700,0))</f>
        <v>0.88158812656878982</v>
      </c>
      <c r="U10">
        <f t="array" ref="U10">INDEX(J$3:J$700,MATCH($B10&amp;$C10&amp;"baseline",$B$3:$B$700&amp;$C$3:$C$700&amp;$D$3:$D$700,0))</f>
        <v>0</v>
      </c>
      <c r="V10">
        <f t="array" ref="V10">INDEX(K$3:K$700,MATCH($B10&amp;$C10&amp;"baseline",$B$3:$B$700&amp;$C$3:$C$700&amp;$D$3:$D$700,0))</f>
        <v>22.260558783110472</v>
      </c>
      <c r="W10">
        <f t="array" ref="W10">INDEX(L$3:L$700,MATCH($B10&amp;$C10&amp;"baseline",$B$3:$B$700&amp;$C$3:$C$700&amp;$D$3:$D$700,0))</f>
        <v>10.412131760361559</v>
      </c>
      <c r="X10">
        <f t="array" ref="X10">INDEX(M$3:M$700,MATCH($B10&amp;$C10&amp;"baseline",$B$3:$B$700&amp;$C$3:$C$700&amp;$D$3:$D$700,0))</f>
        <v>2.875525483165283</v>
      </c>
      <c r="Y10">
        <f t="array" ref="Y10">INDEX(N$3:N$700,MATCH($B10&amp;$C10&amp;"baseline",$B$3:$B$700&amp;$C$3:$C$700&amp;$D$3:$D$700,0))</f>
        <v>0</v>
      </c>
      <c r="Z10">
        <f t="array" ref="Z10">INDEX(O$3:O$700,MATCH($B10&amp;$C10&amp;"baseline",$B$3:$B$700&amp;$C$3:$C$700&amp;$D$3:$D$700,0))</f>
        <v>5.7884716858103893</v>
      </c>
      <c r="AA10">
        <f t="array" ref="AA10">INDEX(P$3:P$700,MATCH($B10&amp;$C10&amp;"baseline",$B$3:$B$700&amp;$C$3:$C$700&amp;$D$3:$D$700,0))</f>
        <v>3.93981476954733</v>
      </c>
      <c r="AB10">
        <f t="array" ref="AB10">INDEX(Q$3:Q$700,MATCH($B10&amp;$C10&amp;"baseline",$B$3:$B$700&amp;$C$3:$C$700&amp;$D$3:$D$700,0))</f>
        <v>0</v>
      </c>
      <c r="AC10">
        <f t="shared" si="6"/>
        <v>133.44228566505163</v>
      </c>
      <c r="AD10">
        <f t="shared" si="7"/>
        <v>0.25057207259530401</v>
      </c>
      <c r="AE10">
        <f t="shared" si="8"/>
        <v>3.8858849091205272</v>
      </c>
      <c r="AF10">
        <f t="shared" si="9"/>
        <v>3.0998097500357522</v>
      </c>
      <c r="AG10">
        <f>(S10+V10+Y10)*constants!$O$2+(R10+T10+U10+W10+X10+Z10+AA10+AB10)*constants!$N$2</f>
        <v>4.4750461084777209</v>
      </c>
      <c r="AH10">
        <f>((S10+V10+Y10)-(H10+K10+N10))*constants!$O$2</f>
        <v>4.0592675760439244E-3</v>
      </c>
      <c r="AI10">
        <f>((R10+T10+U10+W10+X10+Z10+AA10+AB10)-(G10+I10+J10+L10+M10+O10+P10+Q10))*constants!$N$2</f>
        <v>0.43910499473061959</v>
      </c>
      <c r="AJ10">
        <f t="shared" si="10"/>
        <v>9.9030099704920111</v>
      </c>
      <c r="AK10">
        <f t="shared" si="11"/>
        <v>0.4431642623066635</v>
      </c>
      <c r="AL10">
        <f>COUNTIFS($B:$B,$B10,$AK:$AK,"&lt;"&amp;$AK10)+COUNTIFS($B$2:$B10,$B10,$AK$2:$AK10,$AK10)</f>
        <v>17</v>
      </c>
      <c r="AM10" s="191">
        <f>IF(AK10=0, "NA",IF(((sim_annual_output!F10/E10)/AK10)&lt;0,100,((sim_annual_output!F10/E10)/AK10)))</f>
        <v>105.74601074871016</v>
      </c>
      <c r="AN10">
        <f>(S10+V10)*constants!$F$2+(T10+U10+W10+X10+Y10+Z10+AA10+AB10)*constants!$G$2</f>
        <v>40399.36362543251</v>
      </c>
      <c r="AO10">
        <f>(AD10*constants!$F$2+AE10*constants!$G$2)</f>
        <v>3425.5722719294181</v>
      </c>
      <c r="AP10">
        <f t="shared" si="12"/>
        <v>8.4792728511518582</v>
      </c>
    </row>
    <row r="11" spans="1:42">
      <c r="A11">
        <f>sim_annual_output!B11</f>
        <v>1</v>
      </c>
      <c r="B11" t="str">
        <f>sim_annual_output!C11</f>
        <v>Barracks</v>
      </c>
      <c r="C11" t="str">
        <f>sim_annual_output!D11</f>
        <v>1959-pre</v>
      </c>
      <c r="D11" t="str">
        <f>sim_annual_output!E11</f>
        <v>envelope_ecm_roof</v>
      </c>
      <c r="E11" s="45">
        <f t="array" ref="E11">IFERROR(INDEX(baseline!$J$3:$J$201,MATCH($B11&amp;$C11,baseline!$C$3:$C$201&amp;baseline!$D$3:$D$201,0)),"NA")</f>
        <v>3989</v>
      </c>
      <c r="F11">
        <f>sim_annual_output!G11</f>
        <v>5495.7245916000002</v>
      </c>
      <c r="G11">
        <f>$E11/$F11^2*sim_annual_output!I11</f>
        <v>0</v>
      </c>
      <c r="H11">
        <f>$E11/$F11^2*sim_annual_output!J11</f>
        <v>85.49900661542091</v>
      </c>
      <c r="I11">
        <f>$E11/$F11^2*sim_annual_output!K11</f>
        <v>1.0734610313525923</v>
      </c>
      <c r="J11">
        <f>$E11/$F11^2*sim_annual_output!L11</f>
        <v>0</v>
      </c>
      <c r="K11">
        <f>$E11/$F11^2*sim_annual_output!M11</f>
        <v>22.260558783110472</v>
      </c>
      <c r="L11">
        <f>$E11/$F11^2*sim_annual_output!N11</f>
        <v>10.412131760361559</v>
      </c>
      <c r="M11">
        <f>$E11/$F11^2*sim_annual_output!O11</f>
        <v>2.875525483165283</v>
      </c>
      <c r="N11">
        <f>$E11/$F11^2*sim_annual_output!P11</f>
        <v>0</v>
      </c>
      <c r="O11">
        <f>$E11/$F11^2*sim_annual_output!Q11</f>
        <v>5.9172429851968422</v>
      </c>
      <c r="P11">
        <f>$E11/$F11^2*sim_annual_output!R11</f>
        <v>4.009886901122294</v>
      </c>
      <c r="Q11">
        <f>$E11/$F11^2*sim_annual_output!S11</f>
        <v>0</v>
      </c>
      <c r="R11">
        <f t="array" ref="R11">INDEX(G$3:G$700,MATCH($B11&amp;$C11&amp;"baseline",$B$3:$B$700&amp;$C$3:$C$700&amp;$D$3:$D$700,0))</f>
        <v>0</v>
      </c>
      <c r="S11">
        <f t="array" ref="S11">INDEX(H$3:H$700,MATCH($B11&amp;$C11&amp;"baseline",$B$3:$B$700&amp;$C$3:$C$700&amp;$D$3:$D$700,0))</f>
        <v>87.284195056487818</v>
      </c>
      <c r="T11">
        <f t="array" ref="T11">INDEX(I$3:I$700,MATCH($B11&amp;$C11&amp;"baseline",$B$3:$B$700&amp;$C$3:$C$700&amp;$D$3:$D$700,0))</f>
        <v>0.88158812656878982</v>
      </c>
      <c r="U11">
        <f t="array" ref="U11">INDEX(J$3:J$700,MATCH($B11&amp;$C11&amp;"baseline",$B$3:$B$700&amp;$C$3:$C$700&amp;$D$3:$D$700,0))</f>
        <v>0</v>
      </c>
      <c r="V11">
        <f t="array" ref="V11">INDEX(K$3:K$700,MATCH($B11&amp;$C11&amp;"baseline",$B$3:$B$700&amp;$C$3:$C$700&amp;$D$3:$D$700,0))</f>
        <v>22.260558783110472</v>
      </c>
      <c r="W11">
        <f t="array" ref="W11">INDEX(L$3:L$700,MATCH($B11&amp;$C11&amp;"baseline",$B$3:$B$700&amp;$C$3:$C$700&amp;$D$3:$D$700,0))</f>
        <v>10.412131760361559</v>
      </c>
      <c r="X11">
        <f t="array" ref="X11">INDEX(M$3:M$700,MATCH($B11&amp;$C11&amp;"baseline",$B$3:$B$700&amp;$C$3:$C$700&amp;$D$3:$D$700,0))</f>
        <v>2.875525483165283</v>
      </c>
      <c r="Y11">
        <f t="array" ref="Y11">INDEX(N$3:N$700,MATCH($B11&amp;$C11&amp;"baseline",$B$3:$B$700&amp;$C$3:$C$700&amp;$D$3:$D$700,0))</f>
        <v>0</v>
      </c>
      <c r="Z11">
        <f t="array" ref="Z11">INDEX(O$3:O$700,MATCH($B11&amp;$C11&amp;"baseline",$B$3:$B$700&amp;$C$3:$C$700&amp;$D$3:$D$700,0))</f>
        <v>5.7884716858103893</v>
      </c>
      <c r="AA11">
        <f t="array" ref="AA11">INDEX(P$3:P$700,MATCH($B11&amp;$C11&amp;"baseline",$B$3:$B$700&amp;$C$3:$C$700&amp;$D$3:$D$700,0))</f>
        <v>3.93981476954733</v>
      </c>
      <c r="AB11">
        <f t="array" ref="AB11">INDEX(Q$3:Q$700,MATCH($B11&amp;$C11&amp;"baseline",$B$3:$B$700&amp;$C$3:$C$700&amp;$D$3:$D$700,0))</f>
        <v>0</v>
      </c>
      <c r="AC11">
        <f t="shared" si="6"/>
        <v>133.44228566505163</v>
      </c>
      <c r="AD11">
        <f t="shared" si="7"/>
        <v>1.7851884410669072</v>
      </c>
      <c r="AE11">
        <f t="shared" si="8"/>
        <v>-0.39071633574521769</v>
      </c>
      <c r="AF11">
        <f t="shared" si="9"/>
        <v>1.0450001649566321</v>
      </c>
      <c r="AG11">
        <f>(S11+V11+Y11)*constants!$O$2+(R11+T11+U11+W11+X11+Z11+AA11+AB11)*constants!$N$2</f>
        <v>4.4750461084777209</v>
      </c>
      <c r="AH11">
        <f>((S11+V11+Y11)-(H11+K11+N11))*constants!$O$2</f>
        <v>2.8920052745283895E-2</v>
      </c>
      <c r="AI11">
        <f>((R11+T11+U11+W11+X11+Z11+AA11+AB11)-(G11+I11+J11+L11+M11+O11+P11+Q11))*constants!$N$2</f>
        <v>-4.4150945939209603E-2</v>
      </c>
      <c r="AJ11">
        <f t="shared" si="10"/>
        <v>-0.34035164833434106</v>
      </c>
      <c r="AK11">
        <f t="shared" si="11"/>
        <v>-1.5230893193925708E-2</v>
      </c>
      <c r="AL11">
        <f>COUNTIFS($B:$B,$B11,$AK:$AK,"&lt;"&amp;$AK11)+COUNTIFS($B$2:$B11,$B11,$AK$2:$AK11,$AK11)</f>
        <v>7</v>
      </c>
      <c r="AM11" s="191">
        <f>IF(AK11=0, "NA",IF(((sim_annual_output!F11/E11)/AK11)&lt;0,100,((sim_annual_output!F11/E11)/AK11)))</f>
        <v>100</v>
      </c>
      <c r="AN11">
        <f>(S11+V11)*constants!$F$2+(T11+U11+W11+X11+Y11+Z11+AA11+AB11)*constants!$G$2</f>
        <v>40399.36362543251</v>
      </c>
      <c r="AO11">
        <f>(AD11*constants!$F$2+AE11*constants!$G$2)</f>
        <v>-20.374481147362985</v>
      </c>
      <c r="AP11">
        <f t="shared" si="12"/>
        <v>-5.0432678435896668E-2</v>
      </c>
    </row>
    <row r="12" spans="1:42">
      <c r="A12">
        <f>sim_annual_output!B12</f>
        <v>1</v>
      </c>
      <c r="B12" t="str">
        <f>sim_annual_output!C12</f>
        <v>Barracks</v>
      </c>
      <c r="C12" t="str">
        <f>sim_annual_output!D12</f>
        <v>1959-pre</v>
      </c>
      <c r="D12" t="str">
        <f>sim_annual_output!E12</f>
        <v>envelope_ecm_wall</v>
      </c>
      <c r="E12" s="45">
        <f t="array" ref="E12">IFERROR(INDEX(baseline!$J$3:$J$201,MATCH($B12&amp;$C12,baseline!$C$3:$C$201&amp;baseline!$D$3:$D$201,0)),"NA")</f>
        <v>3989</v>
      </c>
      <c r="F12">
        <f>sim_annual_output!G12</f>
        <v>5495.7245916000002</v>
      </c>
      <c r="G12">
        <f>$E12/$F12^2*sim_annual_output!I12</f>
        <v>0</v>
      </c>
      <c r="H12">
        <f>$E12/$F12^2*sim_annual_output!J12</f>
        <v>81.595511955956951</v>
      </c>
      <c r="I12">
        <f>$E12/$F12^2*sim_annual_output!K12</f>
        <v>1.0881358233054641</v>
      </c>
      <c r="J12">
        <f>$E12/$F12^2*sim_annual_output!L12</f>
        <v>0</v>
      </c>
      <c r="K12">
        <f>$E12/$F12^2*sim_annual_output!M12</f>
        <v>22.260558783110472</v>
      </c>
      <c r="L12">
        <f>$E12/$F12^2*sim_annual_output!N12</f>
        <v>10.412131760361559</v>
      </c>
      <c r="M12">
        <f>$E12/$F12^2*sim_annual_output!O12</f>
        <v>2.875525483165283</v>
      </c>
      <c r="N12">
        <f>$E12/$F12^2*sim_annual_output!P12</f>
        <v>0</v>
      </c>
      <c r="O12">
        <f>$E12/$F12^2*sim_annual_output!Q12</f>
        <v>5.8222237073019958</v>
      </c>
      <c r="P12">
        <f>$E12/$F12^2*sim_annual_output!R12</f>
        <v>3.8785475131440892</v>
      </c>
      <c r="Q12">
        <f>$E12/$F12^2*sim_annual_output!S12</f>
        <v>0</v>
      </c>
      <c r="R12">
        <f t="array" ref="R12">INDEX(G$3:G$700,MATCH($B12&amp;$C12&amp;"baseline",$B$3:$B$700&amp;$C$3:$C$700&amp;$D$3:$D$700,0))</f>
        <v>0</v>
      </c>
      <c r="S12">
        <f t="array" ref="S12">INDEX(H$3:H$700,MATCH($B12&amp;$C12&amp;"baseline",$B$3:$B$700&amp;$C$3:$C$700&amp;$D$3:$D$700,0))</f>
        <v>87.284195056487818</v>
      </c>
      <c r="T12">
        <f t="array" ref="T12">INDEX(I$3:I$700,MATCH($B12&amp;$C12&amp;"baseline",$B$3:$B$700&amp;$C$3:$C$700&amp;$D$3:$D$700,0))</f>
        <v>0.88158812656878982</v>
      </c>
      <c r="U12">
        <f t="array" ref="U12">INDEX(J$3:J$700,MATCH($B12&amp;$C12&amp;"baseline",$B$3:$B$700&amp;$C$3:$C$700&amp;$D$3:$D$700,0))</f>
        <v>0</v>
      </c>
      <c r="V12">
        <f t="array" ref="V12">INDEX(K$3:K$700,MATCH($B12&amp;$C12&amp;"baseline",$B$3:$B$700&amp;$C$3:$C$700&amp;$D$3:$D$700,0))</f>
        <v>22.260558783110472</v>
      </c>
      <c r="W12">
        <f t="array" ref="W12">INDEX(L$3:L$700,MATCH($B12&amp;$C12&amp;"baseline",$B$3:$B$700&amp;$C$3:$C$700&amp;$D$3:$D$700,0))</f>
        <v>10.412131760361559</v>
      </c>
      <c r="X12">
        <f t="array" ref="X12">INDEX(M$3:M$700,MATCH($B12&amp;$C12&amp;"baseline",$B$3:$B$700&amp;$C$3:$C$700&amp;$D$3:$D$700,0))</f>
        <v>2.875525483165283</v>
      </c>
      <c r="Y12">
        <f t="array" ref="Y12">INDEX(N$3:N$700,MATCH($B12&amp;$C12&amp;"baseline",$B$3:$B$700&amp;$C$3:$C$700&amp;$D$3:$D$700,0))</f>
        <v>0</v>
      </c>
      <c r="Z12">
        <f t="array" ref="Z12">INDEX(O$3:O$700,MATCH($B12&amp;$C12&amp;"baseline",$B$3:$B$700&amp;$C$3:$C$700&amp;$D$3:$D$700,0))</f>
        <v>5.7884716858103893</v>
      </c>
      <c r="AA12">
        <f t="array" ref="AA12">INDEX(P$3:P$700,MATCH($B12&amp;$C12&amp;"baseline",$B$3:$B$700&amp;$C$3:$C$700&amp;$D$3:$D$700,0))</f>
        <v>3.93981476954733</v>
      </c>
      <c r="AB12">
        <f t="array" ref="AB12">INDEX(Q$3:Q$700,MATCH($B12&amp;$C12&amp;"baseline",$B$3:$B$700&amp;$C$3:$C$700&amp;$D$3:$D$700,0))</f>
        <v>0</v>
      </c>
      <c r="AC12">
        <f t="shared" si="6"/>
        <v>133.44228566505163</v>
      </c>
      <c r="AD12">
        <f t="shared" si="7"/>
        <v>5.6886831005308665</v>
      </c>
      <c r="AE12">
        <f t="shared" si="8"/>
        <v>-0.17903246182503807</v>
      </c>
      <c r="AF12">
        <f t="shared" si="9"/>
        <v>4.1288641087394078</v>
      </c>
      <c r="AG12">
        <f>(S12+V12+Y12)*constants!$O$2+(R12+T12+U12+W12+X12+Z12+AA12+AB12)*constants!$N$2</f>
        <v>4.4750461084777209</v>
      </c>
      <c r="AH12">
        <f>((S12+V12+Y12)-(H12+K12+N12))*constants!$O$2</f>
        <v>9.2156666228600026E-2</v>
      </c>
      <c r="AI12">
        <f>((R12+T12+U12+W12+X12+Z12+AA12+AB12)-(G12+I12+J12+L12+M12+O12+P12+Q12))*constants!$N$2</f>
        <v>-2.0230668186229303E-2</v>
      </c>
      <c r="AJ12">
        <f t="shared" si="10"/>
        <v>1.6072683118529436</v>
      </c>
      <c r="AK12">
        <f t="shared" si="11"/>
        <v>7.1925998042370723E-2</v>
      </c>
      <c r="AL12">
        <f>COUNTIFS($B:$B,$B12,$AK:$AK,"&lt;"&amp;$AK12)+COUNTIFS($B$2:$B12,$B12,$AK$2:$AK12,$AK12)</f>
        <v>13</v>
      </c>
      <c r="AM12" s="191">
        <f>IF(AK12=0, "NA",IF(((sim_annual_output!F12/E12)/AK12)&lt;0,100,((sim_annual_output!F12/E12)/AK12)))</f>
        <v>1735.3907502773202</v>
      </c>
      <c r="AN12">
        <f>(S12+V12)*constants!$F$2+(T12+U12+W12+X12+Y12+Z12+AA12+AB12)*constants!$G$2</f>
        <v>40399.36362543251</v>
      </c>
      <c r="AO12">
        <f>(AD12*constants!$F$2+AE12*constants!$G$2)</f>
        <v>862.51603320724189</v>
      </c>
      <c r="AP12">
        <f t="shared" si="12"/>
        <v>2.1349743060414554</v>
      </c>
    </row>
    <row r="13" spans="1:42">
      <c r="A13">
        <f>sim_annual_output!B13</f>
        <v>1</v>
      </c>
      <c r="B13" t="str">
        <f>sim_annual_output!C13</f>
        <v>Barracks</v>
      </c>
      <c r="C13" t="str">
        <f>sim_annual_output!D13</f>
        <v>1959-pre</v>
      </c>
      <c r="D13" t="str">
        <f>sim_annual_output!E13</f>
        <v>envelope_ecm_windows</v>
      </c>
      <c r="E13" s="45">
        <f t="array" ref="E13">IFERROR(INDEX(baseline!$J$3:$J$201,MATCH($B13&amp;$C13,baseline!$C$3:$C$201&amp;baseline!$D$3:$D$201,0)),"NA")</f>
        <v>3989</v>
      </c>
      <c r="F13">
        <f>sim_annual_output!G13</f>
        <v>5495.7245916000002</v>
      </c>
      <c r="G13">
        <f>$E13/$F13^2*sim_annual_output!I13</f>
        <v>0</v>
      </c>
      <c r="H13">
        <f>$E13/$F13^2*sim_annual_output!J13</f>
        <v>77.771261173038496</v>
      </c>
      <c r="I13">
        <f>$E13/$F13^2*sim_annual_output!K13</f>
        <v>1.1794864032120931</v>
      </c>
      <c r="J13">
        <f>$E13/$F13^2*sim_annual_output!L13</f>
        <v>0</v>
      </c>
      <c r="K13">
        <f>$E13/$F13^2*sim_annual_output!M13</f>
        <v>22.260558783110472</v>
      </c>
      <c r="L13">
        <f>$E13/$F13^2*sim_annual_output!N13</f>
        <v>10.412131760361559</v>
      </c>
      <c r="M13">
        <f>$E13/$F13^2*sim_annual_output!O13</f>
        <v>2.875525483165283</v>
      </c>
      <c r="N13">
        <f>$E13/$F13^2*sim_annual_output!P13</f>
        <v>0</v>
      </c>
      <c r="O13">
        <f>$E13/$F13^2*sim_annual_output!Q13</f>
        <v>5.73160686699301</v>
      </c>
      <c r="P13">
        <f>$E13/$F13^2*sim_annual_output!R13</f>
        <v>3.7593148285270037</v>
      </c>
      <c r="Q13">
        <f>$E13/$F13^2*sim_annual_output!S13</f>
        <v>0</v>
      </c>
      <c r="R13">
        <f t="array" ref="R13">INDEX(G$3:G$700,MATCH($B13&amp;$C13&amp;"baseline",$B$3:$B$700&amp;$C$3:$C$700&amp;$D$3:$D$700,0))</f>
        <v>0</v>
      </c>
      <c r="S13">
        <f t="array" ref="S13">INDEX(H$3:H$700,MATCH($B13&amp;$C13&amp;"baseline",$B$3:$B$700&amp;$C$3:$C$700&amp;$D$3:$D$700,0))</f>
        <v>87.284195056487818</v>
      </c>
      <c r="T13">
        <f t="array" ref="T13">INDEX(I$3:I$700,MATCH($B13&amp;$C13&amp;"baseline",$B$3:$B$700&amp;$C$3:$C$700&amp;$D$3:$D$700,0))</f>
        <v>0.88158812656878982</v>
      </c>
      <c r="U13">
        <f t="array" ref="U13">INDEX(J$3:J$700,MATCH($B13&amp;$C13&amp;"baseline",$B$3:$B$700&amp;$C$3:$C$700&amp;$D$3:$D$700,0))</f>
        <v>0</v>
      </c>
      <c r="V13">
        <f t="array" ref="V13">INDEX(K$3:K$700,MATCH($B13&amp;$C13&amp;"baseline",$B$3:$B$700&amp;$C$3:$C$700&amp;$D$3:$D$700,0))</f>
        <v>22.260558783110472</v>
      </c>
      <c r="W13">
        <f t="array" ref="W13">INDEX(L$3:L$700,MATCH($B13&amp;$C13&amp;"baseline",$B$3:$B$700&amp;$C$3:$C$700&amp;$D$3:$D$700,0))</f>
        <v>10.412131760361559</v>
      </c>
      <c r="X13">
        <f t="array" ref="X13">INDEX(M$3:M$700,MATCH($B13&amp;$C13&amp;"baseline",$B$3:$B$700&amp;$C$3:$C$700&amp;$D$3:$D$700,0))</f>
        <v>2.875525483165283</v>
      </c>
      <c r="Y13">
        <f t="array" ref="Y13">INDEX(N$3:N$700,MATCH($B13&amp;$C13&amp;"baseline",$B$3:$B$700&amp;$C$3:$C$700&amp;$D$3:$D$700,0))</f>
        <v>0</v>
      </c>
      <c r="Z13">
        <f t="array" ref="Z13">INDEX(O$3:O$700,MATCH($B13&amp;$C13&amp;"baseline",$B$3:$B$700&amp;$C$3:$C$700&amp;$D$3:$D$700,0))</f>
        <v>5.7884716858103893</v>
      </c>
      <c r="AA13">
        <f t="array" ref="AA13">INDEX(P$3:P$700,MATCH($B13&amp;$C13&amp;"baseline",$B$3:$B$700&amp;$C$3:$C$700&amp;$D$3:$D$700,0))</f>
        <v>3.93981476954733</v>
      </c>
      <c r="AB13">
        <f t="array" ref="AB13">INDEX(Q$3:Q$700,MATCH($B13&amp;$C13&amp;"baseline",$B$3:$B$700&amp;$C$3:$C$700&amp;$D$3:$D$700,0))</f>
        <v>0</v>
      </c>
      <c r="AC13">
        <f t="shared" si="6"/>
        <v>133.44228566505163</v>
      </c>
      <c r="AD13">
        <f t="shared" si="7"/>
        <v>9.5129338834493211</v>
      </c>
      <c r="AE13">
        <f t="shared" si="8"/>
        <v>-6.0533516805595156E-2</v>
      </c>
      <c r="AF13">
        <f t="shared" si="9"/>
        <v>7.0835120363344455</v>
      </c>
      <c r="AG13">
        <f>(S13+V13+Y13)*constants!$O$2+(R13+T13+U13+W13+X13+Z13+AA13+AB13)*constants!$N$2</f>
        <v>4.4750461084777209</v>
      </c>
      <c r="AH13">
        <f>((S13+V13+Y13)-(H13+K13+N13))*constants!$O$2</f>
        <v>0.15410952891187898</v>
      </c>
      <c r="AI13">
        <f>((R13+T13+U13+W13+X13+Z13+AA13+AB13)-(G13+I13+J13+L13+M13+O13+P13+Q13))*constants!$N$2</f>
        <v>-6.840287399032253E-3</v>
      </c>
      <c r="AJ13">
        <f t="shared" si="10"/>
        <v>3.290898863228549</v>
      </c>
      <c r="AK13">
        <f t="shared" si="11"/>
        <v>0.14726924151284673</v>
      </c>
      <c r="AL13">
        <f>COUNTIFS($B:$B,$B13,$AK:$AK,"&lt;"&amp;$AK13)+COUNTIFS($B$2:$B13,$B13,$AK$2:$AK13,$AK13)</f>
        <v>15</v>
      </c>
      <c r="AM13" s="191">
        <f>IF(AK13=0, "NA",IF(((sim_annual_output!F13/E13)/AK13)&lt;0,100,((sim_annual_output!F13/E13)/AK13)))</f>
        <v>625.01083015988638</v>
      </c>
      <c r="AN13">
        <f>(S13+V13)*constants!$F$2+(T13+U13+W13+X13+Y13+Z13+AA13+AB13)*constants!$G$2</f>
        <v>40399.36362543251</v>
      </c>
      <c r="AO13">
        <f>(AD13*constants!$F$2+AE13*constants!$G$2)</f>
        <v>1650.1510055165606</v>
      </c>
      <c r="AP13">
        <f t="shared" si="12"/>
        <v>4.0845965318071134</v>
      </c>
    </row>
    <row r="14" spans="1:42">
      <c r="A14">
        <f>sim_annual_output!B14</f>
        <v>1</v>
      </c>
      <c r="B14" t="str">
        <f>sim_annual_output!C14</f>
        <v>Barracks</v>
      </c>
      <c r="C14" t="str">
        <f>sim_annual_output!D14</f>
        <v>1959-pre</v>
      </c>
      <c r="D14" t="str">
        <f>sim_annual_output!E14</f>
        <v>fans_to_variable</v>
      </c>
      <c r="E14" s="45">
        <f t="array" ref="E14">IFERROR(INDEX(baseline!$J$3:$J$201,MATCH($B14&amp;$C14,baseline!$C$3:$C$201&amp;baseline!$D$3:$D$201,0)),"NA")</f>
        <v>3989</v>
      </c>
      <c r="F14">
        <f>sim_annual_output!G14</f>
        <v>5495.7245916000002</v>
      </c>
      <c r="G14">
        <f>$E14/$F14^2*sim_annual_output!I14</f>
        <v>0</v>
      </c>
      <c r="H14">
        <f>$E14/$F14^2*sim_annual_output!J14</f>
        <v>86.004553198197357</v>
      </c>
      <c r="I14">
        <f>$E14/$F14^2*sim_annual_output!K14</f>
        <v>1.0734610313525923</v>
      </c>
      <c r="J14">
        <f>$E14/$F14^2*sim_annual_output!L14</f>
        <v>0</v>
      </c>
      <c r="K14">
        <f>$E14/$F14^2*sim_annual_output!M14</f>
        <v>22.260558783110472</v>
      </c>
      <c r="L14">
        <f>$E14/$F14^2*sim_annual_output!N14</f>
        <v>10.412131760361559</v>
      </c>
      <c r="M14">
        <f>$E14/$F14^2*sim_annual_output!O14</f>
        <v>2.875525483165283</v>
      </c>
      <c r="N14">
        <f>$E14/$F14^2*sim_annual_output!P14</f>
        <v>0</v>
      </c>
      <c r="O14">
        <f>$E14/$F14^2*sim_annual_output!Q14</f>
        <v>5.8878934012910982</v>
      </c>
      <c r="P14">
        <f>$E14/$F14^2*sim_annual_output!R14</f>
        <v>4.0300647400574938</v>
      </c>
      <c r="Q14">
        <f>$E14/$F14^2*sim_annual_output!S14</f>
        <v>0</v>
      </c>
      <c r="R14">
        <f t="array" ref="R14">INDEX(G$3:G$700,MATCH($B14&amp;$C14&amp;"baseline",$B$3:$B$700&amp;$C$3:$C$700&amp;$D$3:$D$700,0))</f>
        <v>0</v>
      </c>
      <c r="S14">
        <f t="array" ref="S14">INDEX(H$3:H$700,MATCH($B14&amp;$C14&amp;"baseline",$B$3:$B$700&amp;$C$3:$C$700&amp;$D$3:$D$700,0))</f>
        <v>87.284195056487818</v>
      </c>
      <c r="T14">
        <f t="array" ref="T14">INDEX(I$3:I$700,MATCH($B14&amp;$C14&amp;"baseline",$B$3:$B$700&amp;$C$3:$C$700&amp;$D$3:$D$700,0))</f>
        <v>0.88158812656878982</v>
      </c>
      <c r="U14">
        <f t="array" ref="U14">INDEX(J$3:J$700,MATCH($B14&amp;$C14&amp;"baseline",$B$3:$B$700&amp;$C$3:$C$700&amp;$D$3:$D$700,0))</f>
        <v>0</v>
      </c>
      <c r="V14">
        <f t="array" ref="V14">INDEX(K$3:K$700,MATCH($B14&amp;$C14&amp;"baseline",$B$3:$B$700&amp;$C$3:$C$700&amp;$D$3:$D$700,0))</f>
        <v>22.260558783110472</v>
      </c>
      <c r="W14">
        <f t="array" ref="W14">INDEX(L$3:L$700,MATCH($B14&amp;$C14&amp;"baseline",$B$3:$B$700&amp;$C$3:$C$700&amp;$D$3:$D$700,0))</f>
        <v>10.412131760361559</v>
      </c>
      <c r="X14">
        <f t="array" ref="X14">INDEX(M$3:M$700,MATCH($B14&amp;$C14&amp;"baseline",$B$3:$B$700&amp;$C$3:$C$700&amp;$D$3:$D$700,0))</f>
        <v>2.875525483165283</v>
      </c>
      <c r="Y14">
        <f t="array" ref="Y14">INDEX(N$3:N$700,MATCH($B14&amp;$C14&amp;"baseline",$B$3:$B$700&amp;$C$3:$C$700&amp;$D$3:$D$700,0))</f>
        <v>0</v>
      </c>
      <c r="Z14">
        <f t="array" ref="Z14">INDEX(O$3:O$700,MATCH($B14&amp;$C14&amp;"baseline",$B$3:$B$700&amp;$C$3:$C$700&amp;$D$3:$D$700,0))</f>
        <v>5.7884716858103893</v>
      </c>
      <c r="AA14">
        <f t="array" ref="AA14">INDEX(P$3:P$700,MATCH($B14&amp;$C14&amp;"baseline",$B$3:$B$700&amp;$C$3:$C$700&amp;$D$3:$D$700,0))</f>
        <v>3.93981476954733</v>
      </c>
      <c r="AB14">
        <f t="array" ref="AB14">INDEX(Q$3:Q$700,MATCH($B14&amp;$C14&amp;"baseline",$B$3:$B$700&amp;$C$3:$C$700&amp;$D$3:$D$700,0))</f>
        <v>0</v>
      </c>
      <c r="AC14">
        <f t="shared" si="6"/>
        <v>133.44228566505163</v>
      </c>
      <c r="AD14">
        <f t="shared" si="7"/>
        <v>1.2796418582904607</v>
      </c>
      <c r="AE14">
        <f t="shared" si="8"/>
        <v>-0.38154459077467351</v>
      </c>
      <c r="AF14">
        <f t="shared" si="9"/>
        <v>0.67302299495233975</v>
      </c>
      <c r="AG14">
        <f>(S14+V14+Y14)*constants!$O$2+(R14+T14+U14+W14+X14+Z14+AA14+AB14)*constants!$N$2</f>
        <v>4.4750461084777209</v>
      </c>
      <c r="AH14">
        <f>((S14+V14+Y14)-(H14+K14+N14))*constants!$O$2</f>
        <v>2.0730198104305462E-2</v>
      </c>
      <c r="AI14">
        <f>((R14+T14+U14+W14+X14+Z14+AA14+AB14)-(G14+I14+J14+L14+M14+O14+P14+Q14))*constants!$N$2</f>
        <v>-4.3114538757538109E-2</v>
      </c>
      <c r="AJ14">
        <f t="shared" si="10"/>
        <v>-0.50020357579839869</v>
      </c>
      <c r="AK14">
        <f t="shared" si="11"/>
        <v>-2.2384340653232648E-2</v>
      </c>
      <c r="AL14">
        <f>COUNTIFS($B:$B,$B14,$AK:$AK,"&lt;"&amp;$AK14)+COUNTIFS($B$2:$B14,$B14,$AK$2:$AK14,$AK14)</f>
        <v>6</v>
      </c>
      <c r="AM14" s="191">
        <f>IF(AK14=0, "NA",IF(((sim_annual_output!F14/E14)/AK14)&lt;0,100,((sim_annual_output!F14/E14)/AK14)))</f>
        <v>100</v>
      </c>
      <c r="AN14">
        <f>(S14+V14)*constants!$F$2+(T14+U14+W14+X14+Y14+Z14+AA14+AB14)*constants!$G$2</f>
        <v>40399.36362543251</v>
      </c>
      <c r="AO14">
        <f>(AD14*constants!$F$2+AE14*constants!$G$2)</f>
        <v>-102.8879013399735</v>
      </c>
      <c r="AP14">
        <f t="shared" si="12"/>
        <v>-0.25467703475210862</v>
      </c>
    </row>
    <row r="15" spans="1:42">
      <c r="A15">
        <f>sim_annual_output!B15</f>
        <v>1</v>
      </c>
      <c r="B15" t="str">
        <f>sim_annual_output!C15</f>
        <v>Barracks</v>
      </c>
      <c r="C15" t="str">
        <f>sim_annual_output!D15</f>
        <v>1959-pre</v>
      </c>
      <c r="D15" t="str">
        <f>sim_annual_output!E15</f>
        <v>hrv_enabled</v>
      </c>
      <c r="E15" s="45">
        <f t="array" ref="E15">IFERROR(INDEX(baseline!$J$3:$J$201,MATCH($B15&amp;$C15,baseline!$C$3:$C$201&amp;baseline!$D$3:$D$201,0)),"NA")</f>
        <v>3989</v>
      </c>
      <c r="F15">
        <f>sim_annual_output!G15</f>
        <v>5495.7245916000002</v>
      </c>
      <c r="G15">
        <f>$E15/$F15^2*sim_annual_output!I15</f>
        <v>0</v>
      </c>
      <c r="H15">
        <f>$E15/$F15^2*sim_annual_output!J15</f>
        <v>79.428045184517742</v>
      </c>
      <c r="I15">
        <f>$E15/$F15^2*sim_annual_output!K15</f>
        <v>1.2132384247036987</v>
      </c>
      <c r="J15">
        <f>$E15/$F15^2*sim_annual_output!L15</f>
        <v>0</v>
      </c>
      <c r="K15">
        <f>$E15/$F15^2*sim_annual_output!M15</f>
        <v>22.260558783110472</v>
      </c>
      <c r="L15">
        <f>$E15/$F15^2*sim_annual_output!N15</f>
        <v>10.412131760361559</v>
      </c>
      <c r="M15">
        <f>$E15/$F15^2*sim_annual_output!O15</f>
        <v>2.875525483165283</v>
      </c>
      <c r="N15">
        <f>$E15/$F15^2*sim_annual_output!P15</f>
        <v>0</v>
      </c>
      <c r="O15">
        <f>$E15/$F15^2*sim_annual_output!Q15</f>
        <v>5.9344858657414665</v>
      </c>
      <c r="P15">
        <f>$E15/$F15^2*sim_annual_output!R15</f>
        <v>3.989709062187095</v>
      </c>
      <c r="Q15">
        <f>$E15/$F15^2*sim_annual_output!S15</f>
        <v>1.7352941484271227</v>
      </c>
      <c r="R15">
        <f t="array" ref="R15">INDEX(G$3:G$700,MATCH($B15&amp;$C15&amp;"baseline",$B$3:$B$700&amp;$C$3:$C$700&amp;$D$3:$D$700,0))</f>
        <v>0</v>
      </c>
      <c r="S15">
        <f t="array" ref="S15">INDEX(H$3:H$700,MATCH($B15&amp;$C15&amp;"baseline",$B$3:$B$700&amp;$C$3:$C$700&amp;$D$3:$D$700,0))</f>
        <v>87.284195056487818</v>
      </c>
      <c r="T15">
        <f t="array" ref="T15">INDEX(I$3:I$700,MATCH($B15&amp;$C15&amp;"baseline",$B$3:$B$700&amp;$C$3:$C$700&amp;$D$3:$D$700,0))</f>
        <v>0.88158812656878982</v>
      </c>
      <c r="U15">
        <f t="array" ref="U15">INDEX(J$3:J$700,MATCH($B15&amp;$C15&amp;"baseline",$B$3:$B$700&amp;$C$3:$C$700&amp;$D$3:$D$700,0))</f>
        <v>0</v>
      </c>
      <c r="V15">
        <f t="array" ref="V15">INDEX(K$3:K$700,MATCH($B15&amp;$C15&amp;"baseline",$B$3:$B$700&amp;$C$3:$C$700&amp;$D$3:$D$700,0))</f>
        <v>22.260558783110472</v>
      </c>
      <c r="W15">
        <f t="array" ref="W15">INDEX(L$3:L$700,MATCH($B15&amp;$C15&amp;"baseline",$B$3:$B$700&amp;$C$3:$C$700&amp;$D$3:$D$700,0))</f>
        <v>10.412131760361559</v>
      </c>
      <c r="X15">
        <f t="array" ref="X15">INDEX(M$3:M$700,MATCH($B15&amp;$C15&amp;"baseline",$B$3:$B$700&amp;$C$3:$C$700&amp;$D$3:$D$700,0))</f>
        <v>2.875525483165283</v>
      </c>
      <c r="Y15">
        <f t="array" ref="Y15">INDEX(N$3:N$700,MATCH($B15&amp;$C15&amp;"baseline",$B$3:$B$700&amp;$C$3:$C$700&amp;$D$3:$D$700,0))</f>
        <v>0</v>
      </c>
      <c r="Z15">
        <f t="array" ref="Z15">INDEX(O$3:O$700,MATCH($B15&amp;$C15&amp;"baseline",$B$3:$B$700&amp;$C$3:$C$700&amp;$D$3:$D$700,0))</f>
        <v>5.7884716858103893</v>
      </c>
      <c r="AA15">
        <f t="array" ref="AA15">INDEX(P$3:P$700,MATCH($B15&amp;$C15&amp;"baseline",$B$3:$B$700&amp;$C$3:$C$700&amp;$D$3:$D$700,0))</f>
        <v>3.93981476954733</v>
      </c>
      <c r="AB15">
        <f t="array" ref="AB15">INDEX(Q$3:Q$700,MATCH($B15&amp;$C15&amp;"baseline",$B$3:$B$700&amp;$C$3:$C$700&amp;$D$3:$D$700,0))</f>
        <v>0</v>
      </c>
      <c r="AC15">
        <f t="shared" si="6"/>
        <v>133.44228566505163</v>
      </c>
      <c r="AD15">
        <f t="shared" si="7"/>
        <v>7.8561498719700751</v>
      </c>
      <c r="AE15">
        <f t="shared" si="8"/>
        <v>-2.2628529191328717</v>
      </c>
      <c r="AF15">
        <f t="shared" si="9"/>
        <v>4.1915476229751665</v>
      </c>
      <c r="AG15">
        <f>(S15+V15+Y15)*constants!$O$2+(R15+T15+U15+W15+X15+Z15+AA15+AB15)*constants!$N$2</f>
        <v>4.4750461084777209</v>
      </c>
      <c r="AH15">
        <f>((S15+V15+Y15)-(H15+K15+N15))*constants!$O$2</f>
        <v>0.1272696279259152</v>
      </c>
      <c r="AI15">
        <f>((R15+T15+U15+W15+X15+Z15+AA15+AB15)-(G15+I15+J15+L15+M15+O15+P15+Q15))*constants!$N$2</f>
        <v>-0.25570237986201449</v>
      </c>
      <c r="AJ15">
        <f t="shared" si="10"/>
        <v>-2.8699760588564827</v>
      </c>
      <c r="AK15">
        <f t="shared" si="11"/>
        <v>-0.12843275193609929</v>
      </c>
      <c r="AL15">
        <f>COUNTIFS($B:$B,$B15,$AK:$AK,"&lt;"&amp;$AK15)+COUNTIFS($B$2:$B15,$B15,$AK$2:$AK15,$AK15)</f>
        <v>3</v>
      </c>
      <c r="AM15" s="191">
        <f>IF(AK15=0, "NA",IF(((sim_annual_output!F15/E15)/AK15)&lt;0,100,((sim_annual_output!F15/E15)/AK15)))</f>
        <v>100</v>
      </c>
      <c r="AN15">
        <f>(S15+V15)*constants!$F$2+(T15+U15+W15+X15+Y15+Z15+AA15+AB15)*constants!$G$2</f>
        <v>40399.36362543251</v>
      </c>
      <c r="AO15">
        <f>(AD15*constants!$F$2+AE15*constants!$G$2)</f>
        <v>-562.4312125629549</v>
      </c>
      <c r="AP15">
        <f t="shared" si="12"/>
        <v>-1.3921783961193117</v>
      </c>
    </row>
    <row r="16" spans="1:42">
      <c r="A16">
        <f>sim_annual_output!B16</f>
        <v>1</v>
      </c>
      <c r="B16" t="str">
        <f>sim_annual_output!C16</f>
        <v>Barracks</v>
      </c>
      <c r="C16" t="str">
        <f>sim_annual_output!D16</f>
        <v>1959-pre</v>
      </c>
      <c r="D16" t="str">
        <f>sim_annual_output!E16</f>
        <v>infil_reduce</v>
      </c>
      <c r="E16" s="45">
        <f t="array" ref="E16">IFERROR(INDEX(baseline!$J$3:$J$201,MATCH($B16&amp;$C16,baseline!$C$3:$C$201&amp;baseline!$D$3:$D$201,0)),"NA")</f>
        <v>3989</v>
      </c>
      <c r="F16">
        <f>sim_annual_output!G16</f>
        <v>5495.7245916000002</v>
      </c>
      <c r="G16">
        <f>$E16/$F16^2*sim_annual_output!I16</f>
        <v>0</v>
      </c>
      <c r="H16">
        <f>$E16/$F16^2*sim_annual_output!J16</f>
        <v>40.897911433056827</v>
      </c>
      <c r="I16">
        <f>$E16/$F16^2*sim_annual_output!K16</f>
        <v>1.8005969726174036</v>
      </c>
      <c r="J16">
        <f>$E16/$F16^2*sim_annual_output!L16</f>
        <v>0</v>
      </c>
      <c r="K16">
        <f>$E16/$F16^2*sim_annual_output!M16</f>
        <v>22.260191913311651</v>
      </c>
      <c r="L16">
        <f>$E16/$F16^2*sim_annual_output!N16</f>
        <v>10.412131760361559</v>
      </c>
      <c r="M16">
        <f>$E16/$F16^2*sim_annual_output!O16</f>
        <v>2.875525483165283</v>
      </c>
      <c r="N16">
        <f>$E16/$F16^2*sim_annual_output!P16</f>
        <v>0</v>
      </c>
      <c r="O16">
        <f>$E16/$F16^2*sim_annual_output!Q16</f>
        <v>5.3423580104430783</v>
      </c>
      <c r="P16">
        <f>$E16/$F16^2*sim_annual_output!R16</f>
        <v>2.5915682588772082</v>
      </c>
      <c r="Q16">
        <f>$E16/$F16^2*sim_annual_output!S16</f>
        <v>0</v>
      </c>
      <c r="R16">
        <f t="array" ref="R16">INDEX(G$3:G$700,MATCH($B16&amp;$C16&amp;"baseline",$B$3:$B$700&amp;$C$3:$C$700&amp;$D$3:$D$700,0))</f>
        <v>0</v>
      </c>
      <c r="S16">
        <f t="array" ref="S16">INDEX(H$3:H$700,MATCH($B16&amp;$C16&amp;"baseline",$B$3:$B$700&amp;$C$3:$C$700&amp;$D$3:$D$700,0))</f>
        <v>87.284195056487818</v>
      </c>
      <c r="T16">
        <f t="array" ref="T16">INDEX(I$3:I$700,MATCH($B16&amp;$C16&amp;"baseline",$B$3:$B$700&amp;$C$3:$C$700&amp;$D$3:$D$700,0))</f>
        <v>0.88158812656878982</v>
      </c>
      <c r="U16">
        <f t="array" ref="U16">INDEX(J$3:J$700,MATCH($B16&amp;$C16&amp;"baseline",$B$3:$B$700&amp;$C$3:$C$700&amp;$D$3:$D$700,0))</f>
        <v>0</v>
      </c>
      <c r="V16">
        <f t="array" ref="V16">INDEX(K$3:K$700,MATCH($B16&amp;$C16&amp;"baseline",$B$3:$B$700&amp;$C$3:$C$700&amp;$D$3:$D$700,0))</f>
        <v>22.260558783110472</v>
      </c>
      <c r="W16">
        <f t="array" ref="W16">INDEX(L$3:L$700,MATCH($B16&amp;$C16&amp;"baseline",$B$3:$B$700&amp;$C$3:$C$700&amp;$D$3:$D$700,0))</f>
        <v>10.412131760361559</v>
      </c>
      <c r="X16">
        <f t="array" ref="X16">INDEX(M$3:M$700,MATCH($B16&amp;$C16&amp;"baseline",$B$3:$B$700&amp;$C$3:$C$700&amp;$D$3:$D$700,0))</f>
        <v>2.875525483165283</v>
      </c>
      <c r="Y16">
        <f t="array" ref="Y16">INDEX(N$3:N$700,MATCH($B16&amp;$C16&amp;"baseline",$B$3:$B$700&amp;$C$3:$C$700&amp;$D$3:$D$700,0))</f>
        <v>0</v>
      </c>
      <c r="Z16">
        <f t="array" ref="Z16">INDEX(O$3:O$700,MATCH($B16&amp;$C16&amp;"baseline",$B$3:$B$700&amp;$C$3:$C$700&amp;$D$3:$D$700,0))</f>
        <v>5.7884716858103893</v>
      </c>
      <c r="AA16">
        <f t="array" ref="AA16">INDEX(P$3:P$700,MATCH($B16&amp;$C16&amp;"baseline",$B$3:$B$700&amp;$C$3:$C$700&amp;$D$3:$D$700,0))</f>
        <v>3.93981476954733</v>
      </c>
      <c r="AB16">
        <f t="array" ref="AB16">INDEX(Q$3:Q$700,MATCH($B16&amp;$C16&amp;"baseline",$B$3:$B$700&amp;$C$3:$C$700&amp;$D$3:$D$700,0))</f>
        <v>0</v>
      </c>
      <c r="AC16">
        <f t="shared" si="6"/>
        <v>133.44228566505163</v>
      </c>
      <c r="AD16">
        <f t="shared" si="7"/>
        <v>46.386650493229808</v>
      </c>
      <c r="AE16">
        <f t="shared" si="8"/>
        <v>0.87535133998882131</v>
      </c>
      <c r="AF16">
        <f t="shared" si="9"/>
        <v>35.417560181672229</v>
      </c>
      <c r="AG16">
        <f>(S16+V16+Y16)*constants!$O$2+(R16+T16+U16+W16+X16+Z16+AA16+AB16)*constants!$N$2</f>
        <v>4.4750461084777209</v>
      </c>
      <c r="AH16">
        <f>((S16+V16+Y16)-(H16+K16+N16))*constants!$O$2</f>
        <v>0.75146373799032284</v>
      </c>
      <c r="AI16">
        <f>((R16+T16+U16+W16+X16+Z16+AA16+AB16)-(G16+I16+J16+L16+M16+O16+P16+Q16))*constants!$N$2</f>
        <v>9.8914701418736817E-2</v>
      </c>
      <c r="AJ16">
        <f t="shared" si="10"/>
        <v>19.002674358998579</v>
      </c>
      <c r="AK16">
        <f t="shared" si="11"/>
        <v>0.85037843940905966</v>
      </c>
      <c r="AL16">
        <f>COUNTIFS($B:$B,$B16,$AK:$AK,"&lt;"&amp;$AK16)+COUNTIFS($B$2:$B16,$B16,$AK$2:$AK16,$AK16)</f>
        <v>18</v>
      </c>
      <c r="AM16" s="191">
        <f>IF(AK16=0, "NA",IF(((sim_annual_output!F16/E16)/AK16)&lt;0,100,((sim_annual_output!F16/E16)/AK16)))</f>
        <v>34.921190082416679</v>
      </c>
      <c r="AN16">
        <f>(S16+V16)*constants!$F$2+(T16+U16+W16+X16+Y16+Z16+AA16+AB16)*constants!$G$2</f>
        <v>40399.36362543251</v>
      </c>
      <c r="AO16">
        <f>(AD16*constants!$F$2+AE16*constants!$G$2)</f>
        <v>9064.7661040784096</v>
      </c>
      <c r="AP16">
        <f t="shared" si="12"/>
        <v>22.437893299813986</v>
      </c>
    </row>
    <row r="17" spans="1:42">
      <c r="A17">
        <f>sim_annual_output!B17</f>
        <v>1</v>
      </c>
      <c r="B17" t="str">
        <f>sim_annual_output!C17</f>
        <v>Barracks</v>
      </c>
      <c r="C17" t="str">
        <f>sim_annual_output!D17</f>
        <v>1959-pre</v>
      </c>
      <c r="D17" t="str">
        <f>sim_annual_output!E17</f>
        <v>infil_reduce_plus_setback</v>
      </c>
      <c r="E17" s="45">
        <f t="array" ref="E17">IFERROR(INDEX(baseline!$J$3:$J$201,MATCH($B17&amp;$C17,baseline!$C$3:$C$201&amp;baseline!$D$3:$D$201,0)),"NA")</f>
        <v>3989</v>
      </c>
      <c r="F17">
        <f>sim_annual_output!G17</f>
        <v>5495.7245916000002</v>
      </c>
      <c r="G17">
        <f>$E17/$F17^2*sim_annual_output!I17</f>
        <v>0</v>
      </c>
      <c r="H17">
        <f>$E17/$F17^2*sim_annual_output!J17</f>
        <v>45.825339701032448</v>
      </c>
      <c r="I17">
        <f>$E17/$F17^2*sim_annual_output!K17</f>
        <v>1.6920035121661501</v>
      </c>
      <c r="J17">
        <f>$E17/$F17^2*sim_annual_output!L17</f>
        <v>0</v>
      </c>
      <c r="K17">
        <f>$E17/$F17^2*sim_annual_output!M17</f>
        <v>22.260191913311651</v>
      </c>
      <c r="L17">
        <f>$E17/$F17^2*sim_annual_output!N17</f>
        <v>10.412131760361559</v>
      </c>
      <c r="M17">
        <f>$E17/$F17^2*sim_annual_output!O17</f>
        <v>2.875525483165283</v>
      </c>
      <c r="N17">
        <f>$E17/$F17^2*sim_annual_output!P17</f>
        <v>0</v>
      </c>
      <c r="O17">
        <f>$E17/$F17^2*sim_annual_output!Q17</f>
        <v>3.3983149464863507</v>
      </c>
      <c r="P17">
        <f>$E17/$F17^2*sim_annual_output!R17</f>
        <v>1.6487128759051775</v>
      </c>
      <c r="Q17">
        <f>$E17/$F17^2*sim_annual_output!S17</f>
        <v>0</v>
      </c>
      <c r="R17">
        <f t="array" ref="R17">INDEX(G$3:G$700,MATCH($B17&amp;$C17&amp;"baseline",$B$3:$B$700&amp;$C$3:$C$700&amp;$D$3:$D$700,0))</f>
        <v>0</v>
      </c>
      <c r="S17">
        <f t="array" ref="S17">INDEX(H$3:H$700,MATCH($B17&amp;$C17&amp;"baseline",$B$3:$B$700&amp;$C$3:$C$700&amp;$D$3:$D$700,0))</f>
        <v>87.284195056487818</v>
      </c>
      <c r="T17">
        <f t="array" ref="T17">INDEX(I$3:I$700,MATCH($B17&amp;$C17&amp;"baseline",$B$3:$B$700&amp;$C$3:$C$700&amp;$D$3:$D$700,0))</f>
        <v>0.88158812656878982</v>
      </c>
      <c r="U17">
        <f t="array" ref="U17">INDEX(J$3:J$700,MATCH($B17&amp;$C17&amp;"baseline",$B$3:$B$700&amp;$C$3:$C$700&amp;$D$3:$D$700,0))</f>
        <v>0</v>
      </c>
      <c r="V17">
        <f t="array" ref="V17">INDEX(K$3:K$700,MATCH($B17&amp;$C17&amp;"baseline",$B$3:$B$700&amp;$C$3:$C$700&amp;$D$3:$D$700,0))</f>
        <v>22.260558783110472</v>
      </c>
      <c r="W17">
        <f t="array" ref="W17">INDEX(L$3:L$700,MATCH($B17&amp;$C17&amp;"baseline",$B$3:$B$700&amp;$C$3:$C$700&amp;$D$3:$D$700,0))</f>
        <v>10.412131760361559</v>
      </c>
      <c r="X17">
        <f t="array" ref="X17">INDEX(M$3:M$700,MATCH($B17&amp;$C17&amp;"baseline",$B$3:$B$700&amp;$C$3:$C$700&amp;$D$3:$D$700,0))</f>
        <v>2.875525483165283</v>
      </c>
      <c r="Y17">
        <f t="array" ref="Y17">INDEX(N$3:N$700,MATCH($B17&amp;$C17&amp;"baseline",$B$3:$B$700&amp;$C$3:$C$700&amp;$D$3:$D$700,0))</f>
        <v>0</v>
      </c>
      <c r="Z17">
        <f t="array" ref="Z17">INDEX(O$3:O$700,MATCH($B17&amp;$C17&amp;"baseline",$B$3:$B$700&amp;$C$3:$C$700&amp;$D$3:$D$700,0))</f>
        <v>5.7884716858103893</v>
      </c>
      <c r="AA17">
        <f t="array" ref="AA17">INDEX(P$3:P$700,MATCH($B17&amp;$C17&amp;"baseline",$B$3:$B$700&amp;$C$3:$C$700&amp;$D$3:$D$700,0))</f>
        <v>3.93981476954733</v>
      </c>
      <c r="AB17">
        <f t="array" ref="AB17">INDEX(Q$3:Q$700,MATCH($B17&amp;$C17&amp;"baseline",$B$3:$B$700&amp;$C$3:$C$700&amp;$D$3:$D$700,0))</f>
        <v>0</v>
      </c>
      <c r="AC17">
        <f t="shared" si="6"/>
        <v>133.44228566505163</v>
      </c>
      <c r="AD17">
        <f t="shared" si="7"/>
        <v>41.459222225254194</v>
      </c>
      <c r="AE17">
        <f t="shared" si="8"/>
        <v>3.8708432473688283</v>
      </c>
      <c r="AF17">
        <f t="shared" si="9"/>
        <v>33.969790944981476</v>
      </c>
      <c r="AG17">
        <f>(S17+V17+Y17)*constants!$O$2+(R17+T17+U17+W17+X17+Z17+AA17+AB17)*constants!$N$2</f>
        <v>4.4750461084777209</v>
      </c>
      <c r="AH17">
        <f>((S17+V17+Y17)-(H17+K17+N17))*constants!$O$2</f>
        <v>0.67163940004911793</v>
      </c>
      <c r="AI17">
        <f>((R17+T17+U17+W17+X17+Z17+AA17+AB17)-(G17+I17+J17+L17+M17+O17+P17+Q17))*constants!$N$2</f>
        <v>0.43740528695267761</v>
      </c>
      <c r="AJ17">
        <f t="shared" si="10"/>
        <v>24.782866145239783</v>
      </c>
      <c r="AK17">
        <f t="shared" si="11"/>
        <v>1.1090446870017956</v>
      </c>
      <c r="AL17">
        <f>COUNTIFS($B:$B,$B17,$AK:$AK,"&lt;"&amp;$AK17)+COUNTIFS($B$2:$B17,$B17,$AK$2:$AK17,$AK17)</f>
        <v>20</v>
      </c>
      <c r="AM17" s="191">
        <f>IF(AK17=0, "NA",IF(((sim_annual_output!F17/E17)/AK17)&lt;0,100,((sim_annual_output!F17/E17)/AK17)))</f>
        <v>42.931080592904578</v>
      </c>
      <c r="AN17">
        <f>(S17+V17)*constants!$F$2+(T17+U17+W17+X17+Y17+Z17+AA17+AB17)*constants!$G$2</f>
        <v>40399.36362543251</v>
      </c>
      <c r="AO17">
        <f>(AD17*constants!$F$2+AE17*constants!$G$2)</f>
        <v>10788.834403531382</v>
      </c>
      <c r="AP17">
        <f t="shared" si="12"/>
        <v>26.705456312533382</v>
      </c>
    </row>
    <row r="18" spans="1:42">
      <c r="A18">
        <f>sim_annual_output!B18</f>
        <v>1</v>
      </c>
      <c r="B18" t="str">
        <f>sim_annual_output!C18</f>
        <v>Barracks</v>
      </c>
      <c r="C18" t="str">
        <f>sim_annual_output!D18</f>
        <v>1959-pre</v>
      </c>
      <c r="D18" t="str">
        <f>sim_annual_output!E18</f>
        <v>lights_reduce_70p</v>
      </c>
      <c r="E18" s="45">
        <f t="array" ref="E18">IFERROR(INDEX(baseline!$J$3:$J$201,MATCH($B18&amp;$C18,baseline!$C$3:$C$201&amp;baseline!$D$3:$D$201,0)),"NA")</f>
        <v>3989</v>
      </c>
      <c r="F18">
        <f>sim_annual_output!G18</f>
        <v>5495.7245916000002</v>
      </c>
      <c r="G18">
        <f>$E18/$F18^2*sim_annual_output!I18</f>
        <v>0</v>
      </c>
      <c r="H18">
        <f>$E18/$F18^2*sim_annual_output!J18</f>
        <v>89.922722649614215</v>
      </c>
      <c r="I18">
        <f>$E18/$F18^2*sim_annual_output!K18</f>
        <v>0.81885339097026177</v>
      </c>
      <c r="J18">
        <f>$E18/$F18^2*sim_annual_output!L18</f>
        <v>0</v>
      </c>
      <c r="K18">
        <f>$E18/$F18^2*sim_annual_output!M18</f>
        <v>22.260558783110472</v>
      </c>
      <c r="L18">
        <f>$E18/$F18^2*sim_annual_output!N18</f>
        <v>7.2882354233939157</v>
      </c>
      <c r="M18">
        <f>$E18/$F18^2*sim_annual_output!O18</f>
        <v>2.875525483165283</v>
      </c>
      <c r="N18">
        <f>$E18/$F18^2*sim_annual_output!P18</f>
        <v>0</v>
      </c>
      <c r="O18">
        <f>$E18/$F18^2*sim_annual_output!Q18</f>
        <v>5.8079157851479453</v>
      </c>
      <c r="P18">
        <f>$E18/$F18^2*sim_annual_output!R18</f>
        <v>4.0381358756315731</v>
      </c>
      <c r="Q18">
        <f>$E18/$F18^2*sim_annual_output!S18</f>
        <v>0</v>
      </c>
      <c r="R18">
        <f t="array" ref="R18">INDEX(G$3:G$700,MATCH($B18&amp;$C18&amp;"baseline",$B$3:$B$700&amp;$C$3:$C$700&amp;$D$3:$D$700,0))</f>
        <v>0</v>
      </c>
      <c r="S18">
        <f t="array" ref="S18">INDEX(H$3:H$700,MATCH($B18&amp;$C18&amp;"baseline",$B$3:$B$700&amp;$C$3:$C$700&amp;$D$3:$D$700,0))</f>
        <v>87.284195056487818</v>
      </c>
      <c r="T18">
        <f t="array" ref="T18">INDEX(I$3:I$700,MATCH($B18&amp;$C18&amp;"baseline",$B$3:$B$700&amp;$C$3:$C$700&amp;$D$3:$D$700,0))</f>
        <v>0.88158812656878982</v>
      </c>
      <c r="U18">
        <f t="array" ref="U18">INDEX(J$3:J$700,MATCH($B18&amp;$C18&amp;"baseline",$B$3:$B$700&amp;$C$3:$C$700&amp;$D$3:$D$700,0))</f>
        <v>0</v>
      </c>
      <c r="V18">
        <f t="array" ref="V18">INDEX(K$3:K$700,MATCH($B18&amp;$C18&amp;"baseline",$B$3:$B$700&amp;$C$3:$C$700&amp;$D$3:$D$700,0))</f>
        <v>22.260558783110472</v>
      </c>
      <c r="W18">
        <f t="array" ref="W18">INDEX(L$3:L$700,MATCH($B18&amp;$C18&amp;"baseline",$B$3:$B$700&amp;$C$3:$C$700&amp;$D$3:$D$700,0))</f>
        <v>10.412131760361559</v>
      </c>
      <c r="X18">
        <f t="array" ref="X18">INDEX(M$3:M$700,MATCH($B18&amp;$C18&amp;"baseline",$B$3:$B$700&amp;$C$3:$C$700&amp;$D$3:$D$700,0))</f>
        <v>2.875525483165283</v>
      </c>
      <c r="Y18">
        <f t="array" ref="Y18">INDEX(N$3:N$700,MATCH($B18&amp;$C18&amp;"baseline",$B$3:$B$700&amp;$C$3:$C$700&amp;$D$3:$D$700,0))</f>
        <v>0</v>
      </c>
      <c r="Z18">
        <f t="array" ref="Z18">INDEX(O$3:O$700,MATCH($B18&amp;$C18&amp;"baseline",$B$3:$B$700&amp;$C$3:$C$700&amp;$D$3:$D$700,0))</f>
        <v>5.7884716858103893</v>
      </c>
      <c r="AA18">
        <f t="array" ref="AA18">INDEX(P$3:P$700,MATCH($B18&amp;$C18&amp;"baseline",$B$3:$B$700&amp;$C$3:$C$700&amp;$D$3:$D$700,0))</f>
        <v>3.93981476954733</v>
      </c>
      <c r="AB18">
        <f t="array" ref="AB18">INDEX(Q$3:Q$700,MATCH($B18&amp;$C18&amp;"baseline",$B$3:$B$700&amp;$C$3:$C$700&amp;$D$3:$D$700,0))</f>
        <v>0</v>
      </c>
      <c r="AC18">
        <f t="shared" si="6"/>
        <v>133.44228566505163</v>
      </c>
      <c r="AD18">
        <f t="shared" si="7"/>
        <v>-2.6385275931263976</v>
      </c>
      <c r="AE18">
        <f t="shared" si="8"/>
        <v>3.0688658671443712</v>
      </c>
      <c r="AF18">
        <f t="shared" si="9"/>
        <v>0.3224901850813236</v>
      </c>
      <c r="AG18">
        <f>(S18+V18+Y18)*constants!$O$2+(R18+T18+U18+W18+X18+Z18+AA18+AB18)*constants!$N$2</f>
        <v>4.4750461084777209</v>
      </c>
      <c r="AH18">
        <f>((S18+V18+Y18)-(H18+K18+N18))*constants!$O$2</f>
        <v>-4.2744147008647641E-2</v>
      </c>
      <c r="AI18">
        <f>((R18+T18+U18+W18+X18+Z18+AA18+AB18)-(G18+I18+J18+L18+M18+O18+P18+Q18))*constants!$N$2</f>
        <v>0.34678184298731396</v>
      </c>
      <c r="AJ18">
        <f t="shared" si="10"/>
        <v>6.7940684544609304</v>
      </c>
      <c r="AK18">
        <f t="shared" si="11"/>
        <v>0.30403769597866631</v>
      </c>
      <c r="AL18">
        <f>COUNTIFS($B:$B,$B18,$AK:$AK,"&lt;"&amp;$AK18)+COUNTIFS($B$2:$B18,$B18,$AK$2:$AK18,$AK18)</f>
        <v>16</v>
      </c>
      <c r="AM18" s="191">
        <f>IF(AK18=0, "NA",IF(((sim_annual_output!F18/E18)/AK18)&lt;0,100,((sim_annual_output!F18/E18)/AK18)))</f>
        <v>73.859828139538493</v>
      </c>
      <c r="AN18">
        <f>(S18+V18)*constants!$F$2+(T18+U18+W18+X18+Y18+Z18+AA18+AB18)*constants!$G$2</f>
        <v>40399.36362543251</v>
      </c>
      <c r="AO18">
        <f>(AD18*constants!$F$2+AE18*constants!$G$2)</f>
        <v>2197.6168652459778</v>
      </c>
      <c r="AP18">
        <f t="shared" si="12"/>
        <v>5.4397313918640968</v>
      </c>
    </row>
    <row r="19" spans="1:42">
      <c r="A19">
        <f>sim_annual_output!B19</f>
        <v>1</v>
      </c>
      <c r="B19" t="str">
        <f>sim_annual_output!C19</f>
        <v>Barracks</v>
      </c>
      <c r="C19" t="str">
        <f>sim_annual_output!D19</f>
        <v>1959-pre</v>
      </c>
      <c r="D19" t="str">
        <f>sim_annual_output!E19</f>
        <v>load_reduce</v>
      </c>
      <c r="E19" s="45">
        <f t="array" ref="E19">IFERROR(INDEX(baseline!$J$3:$J$201,MATCH($B19&amp;$C19,baseline!$C$3:$C$201&amp;baseline!$D$3:$D$201,0)),"NA")</f>
        <v>3989</v>
      </c>
      <c r="F19">
        <f>sim_annual_output!G19</f>
        <v>5495.7245916000002</v>
      </c>
      <c r="G19">
        <f>$E19/$F19^2*sim_annual_output!I19</f>
        <v>0</v>
      </c>
      <c r="H19">
        <f>$E19/$F19^2*sim_annual_output!J19</f>
        <v>32.54208489509147</v>
      </c>
      <c r="I19">
        <f>$E19/$F19^2*sim_annual_output!K19</f>
        <v>1.6920035121661501</v>
      </c>
      <c r="J19">
        <f>$E19/$F19^2*sim_annual_output!L19</f>
        <v>0</v>
      </c>
      <c r="K19">
        <f>$E19/$F19^2*sim_annual_output!M19</f>
        <v>22.260191913311651</v>
      </c>
      <c r="L19">
        <f>$E19/$F19^2*sim_annual_output!N19</f>
        <v>10.412131760361559</v>
      </c>
      <c r="M19">
        <f>$E19/$F19^2*sim_annual_output!O19</f>
        <v>2.875525483165283</v>
      </c>
      <c r="N19">
        <f>$E19/$F19^2*sim_annual_output!P19</f>
        <v>0</v>
      </c>
      <c r="O19">
        <f>$E19/$F19^2*sim_annual_output!Q19</f>
        <v>3.3983149464863507</v>
      </c>
      <c r="P19">
        <f>$E19/$F19^2*sim_annual_output!R19</f>
        <v>9.1350579906628662E-2</v>
      </c>
      <c r="Q19">
        <f>$E19/$F19^2*sim_annual_output!S19</f>
        <v>0</v>
      </c>
      <c r="R19">
        <f t="array" ref="R19">INDEX(G$3:G$700,MATCH($B19&amp;$C19&amp;"baseline",$B$3:$B$700&amp;$C$3:$C$700&amp;$D$3:$D$700,0))</f>
        <v>0</v>
      </c>
      <c r="S19">
        <f t="array" ref="S19">INDEX(H$3:H$700,MATCH($B19&amp;$C19&amp;"baseline",$B$3:$B$700&amp;$C$3:$C$700&amp;$D$3:$D$700,0))</f>
        <v>87.284195056487818</v>
      </c>
      <c r="T19">
        <f t="array" ref="T19">INDEX(I$3:I$700,MATCH($B19&amp;$C19&amp;"baseline",$B$3:$B$700&amp;$C$3:$C$700&amp;$D$3:$D$700,0))</f>
        <v>0.88158812656878982</v>
      </c>
      <c r="U19">
        <f t="array" ref="U19">INDEX(J$3:J$700,MATCH($B19&amp;$C19&amp;"baseline",$B$3:$B$700&amp;$C$3:$C$700&amp;$D$3:$D$700,0))</f>
        <v>0</v>
      </c>
      <c r="V19">
        <f t="array" ref="V19">INDEX(K$3:K$700,MATCH($B19&amp;$C19&amp;"baseline",$B$3:$B$700&amp;$C$3:$C$700&amp;$D$3:$D$700,0))</f>
        <v>22.260558783110472</v>
      </c>
      <c r="W19">
        <f t="array" ref="W19">INDEX(L$3:L$700,MATCH($B19&amp;$C19&amp;"baseline",$B$3:$B$700&amp;$C$3:$C$700&amp;$D$3:$D$700,0))</f>
        <v>10.412131760361559</v>
      </c>
      <c r="X19">
        <f t="array" ref="X19">INDEX(M$3:M$700,MATCH($B19&amp;$C19&amp;"baseline",$B$3:$B$700&amp;$C$3:$C$700&amp;$D$3:$D$700,0))</f>
        <v>2.875525483165283</v>
      </c>
      <c r="Y19">
        <f t="array" ref="Y19">INDEX(N$3:N$700,MATCH($B19&amp;$C19&amp;"baseline",$B$3:$B$700&amp;$C$3:$C$700&amp;$D$3:$D$700,0))</f>
        <v>0</v>
      </c>
      <c r="Z19">
        <f t="array" ref="Z19">INDEX(O$3:O$700,MATCH($B19&amp;$C19&amp;"baseline",$B$3:$B$700&amp;$C$3:$C$700&amp;$D$3:$D$700,0))</f>
        <v>5.7884716858103893</v>
      </c>
      <c r="AA19">
        <f t="array" ref="AA19">INDEX(P$3:P$700,MATCH($B19&amp;$C19&amp;"baseline",$B$3:$B$700&amp;$C$3:$C$700&amp;$D$3:$D$700,0))</f>
        <v>3.93981476954733</v>
      </c>
      <c r="AB19">
        <f t="array" ref="AB19">INDEX(Q$3:Q$700,MATCH($B19&amp;$C19&amp;"baseline",$B$3:$B$700&amp;$C$3:$C$700&amp;$D$3:$D$700,0))</f>
        <v>0</v>
      </c>
      <c r="AC19">
        <f t="shared" si="6"/>
        <v>133.44228566505163</v>
      </c>
      <c r="AD19">
        <f t="shared" si="7"/>
        <v>54.742477031195165</v>
      </c>
      <c r="AE19">
        <f t="shared" si="8"/>
        <v>5.4282055433673797</v>
      </c>
      <c r="AF19">
        <f t="shared" si="9"/>
        <v>45.091166023335866</v>
      </c>
      <c r="AG19">
        <f>(S19+V19+Y19)*constants!$O$2+(R19+T19+U19+W19+X19+Z19+AA19+AB19)*constants!$N$2</f>
        <v>4.4750461084777209</v>
      </c>
      <c r="AH19">
        <f>((S19+V19+Y19)-(H19+K19+N19))*constants!$O$2</f>
        <v>0.88682812790536159</v>
      </c>
      <c r="AI19">
        <f>((R19+T19+U19+W19+X19+Z19+AA19+AB19)-(G19+I19+J19+L19+M19+O19+P19+Q19))*constants!$N$2</f>
        <v>0.61338722640051391</v>
      </c>
      <c r="AJ19">
        <f t="shared" si="10"/>
        <v>33.52402004224723</v>
      </c>
      <c r="AK19">
        <f t="shared" si="11"/>
        <v>1.5002153543058756</v>
      </c>
      <c r="AL19">
        <f>COUNTIFS($B:$B,$B19,$AK:$AK,"&lt;"&amp;$AK19)+COUNTIFS($B$2:$B19,$B19,$AK$2:$AK19,$AK19)</f>
        <v>21</v>
      </c>
      <c r="AM19" s="191">
        <f>IF(AK19=0, "NA",IF(((sim_annual_output!F19/E19)/AK19)&lt;0,100,((sim_annual_output!F19/E19)/AK19)))</f>
        <v>31.892361146576494</v>
      </c>
      <c r="AN19">
        <f>(S19+V19)*constants!$F$2+(T19+U19+W19+X19+Y19+Z19+AA19+AB19)*constants!$G$2</f>
        <v>40399.36362543251</v>
      </c>
      <c r="AO19">
        <f>(AD19*constants!$F$2+AE19*constants!$G$2)</f>
        <v>14521.442211313555</v>
      </c>
      <c r="AP19">
        <f t="shared" si="12"/>
        <v>35.944730085233097</v>
      </c>
    </row>
    <row r="20" spans="1:42">
      <c r="A20">
        <f>sim_annual_output!B20</f>
        <v>1</v>
      </c>
      <c r="B20" t="str">
        <f>sim_annual_output!C20</f>
        <v>Barracks</v>
      </c>
      <c r="C20" t="str">
        <f>sim_annual_output!D20</f>
        <v>1959-pre</v>
      </c>
      <c r="D20" t="str">
        <f>sim_annual_output!E20</f>
        <v>occupancy_setback</v>
      </c>
      <c r="E20" s="45">
        <f t="array" ref="E20">IFERROR(INDEX(baseline!$J$3:$J$201,MATCH($B20&amp;$C20,baseline!$C$3:$C$201&amp;baseline!$D$3:$D$201,0)),"NA")</f>
        <v>3989</v>
      </c>
      <c r="F20">
        <f>sim_annual_output!G20</f>
        <v>5495.7245916000002</v>
      </c>
      <c r="G20">
        <f>$E20/$F20^2*sim_annual_output!I20</f>
        <v>0</v>
      </c>
      <c r="H20">
        <f>$E20/$F20^2*sim_annual_output!J20</f>
        <v>92.094958728438101</v>
      </c>
      <c r="I20">
        <f>$E20/$F20^2*sim_annual_output!K20</f>
        <v>1.1633441320639337</v>
      </c>
      <c r="J20">
        <f>$E20/$F20^2*sim_annual_output!L20</f>
        <v>0</v>
      </c>
      <c r="K20">
        <f>$E20/$F20^2*sim_annual_output!M20</f>
        <v>22.260558783110472</v>
      </c>
      <c r="L20">
        <f>$E20/$F20^2*sim_annual_output!N20</f>
        <v>10.412131760361559</v>
      </c>
      <c r="M20">
        <f>$E20/$F20^2*sim_annual_output!O20</f>
        <v>2.875525483165283</v>
      </c>
      <c r="N20">
        <f>$E20/$F20^2*sim_annual_output!P20</f>
        <v>0</v>
      </c>
      <c r="O20">
        <f>$E20/$F20^2*sim_annual_output!Q20</f>
        <v>4.948339846508464</v>
      </c>
      <c r="P20">
        <f>$E20/$F20^2*sim_annual_output!R20</f>
        <v>3.4383037545579267</v>
      </c>
      <c r="Q20">
        <f>$E20/$F20^2*sim_annual_output!S20</f>
        <v>0</v>
      </c>
      <c r="R20">
        <f t="array" ref="R20">INDEX(G$3:G$700,MATCH($B20&amp;$C20&amp;"baseline",$B$3:$B$700&amp;$C$3:$C$700&amp;$D$3:$D$700,0))</f>
        <v>0</v>
      </c>
      <c r="S20">
        <f t="array" ref="S20">INDEX(H$3:H$700,MATCH($B20&amp;$C20&amp;"baseline",$B$3:$B$700&amp;$C$3:$C$700&amp;$D$3:$D$700,0))</f>
        <v>87.284195056487818</v>
      </c>
      <c r="T20">
        <f t="array" ref="T20">INDEX(I$3:I$700,MATCH($B20&amp;$C20&amp;"baseline",$B$3:$B$700&amp;$C$3:$C$700&amp;$D$3:$D$700,0))</f>
        <v>0.88158812656878982</v>
      </c>
      <c r="U20">
        <f t="array" ref="U20">INDEX(J$3:J$700,MATCH($B20&amp;$C20&amp;"baseline",$B$3:$B$700&amp;$C$3:$C$700&amp;$D$3:$D$700,0))</f>
        <v>0</v>
      </c>
      <c r="V20">
        <f t="array" ref="V20">INDEX(K$3:K$700,MATCH($B20&amp;$C20&amp;"baseline",$B$3:$B$700&amp;$C$3:$C$700&amp;$D$3:$D$700,0))</f>
        <v>22.260558783110472</v>
      </c>
      <c r="W20">
        <f t="array" ref="W20">INDEX(L$3:L$700,MATCH($B20&amp;$C20&amp;"baseline",$B$3:$B$700&amp;$C$3:$C$700&amp;$D$3:$D$700,0))</f>
        <v>10.412131760361559</v>
      </c>
      <c r="X20">
        <f t="array" ref="X20">INDEX(M$3:M$700,MATCH($B20&amp;$C20&amp;"baseline",$B$3:$B$700&amp;$C$3:$C$700&amp;$D$3:$D$700,0))</f>
        <v>2.875525483165283</v>
      </c>
      <c r="Y20">
        <f t="array" ref="Y20">INDEX(N$3:N$700,MATCH($B20&amp;$C20&amp;"baseline",$B$3:$B$700&amp;$C$3:$C$700&amp;$D$3:$D$700,0))</f>
        <v>0</v>
      </c>
      <c r="Z20">
        <f t="array" ref="Z20">INDEX(O$3:O$700,MATCH($B20&amp;$C20&amp;"baseline",$B$3:$B$700&amp;$C$3:$C$700&amp;$D$3:$D$700,0))</f>
        <v>5.7884716858103893</v>
      </c>
      <c r="AA20">
        <f t="array" ref="AA20">INDEX(P$3:P$700,MATCH($B20&amp;$C20&amp;"baseline",$B$3:$B$700&amp;$C$3:$C$700&amp;$D$3:$D$700,0))</f>
        <v>3.93981476954733</v>
      </c>
      <c r="AB20">
        <f t="array" ref="AB20">INDEX(Q$3:Q$700,MATCH($B20&amp;$C20&amp;"baseline",$B$3:$B$700&amp;$C$3:$C$700&amp;$D$3:$D$700,0))</f>
        <v>0</v>
      </c>
      <c r="AC20">
        <f t="shared" si="6"/>
        <v>133.44228566505163</v>
      </c>
      <c r="AD20">
        <f t="shared" si="7"/>
        <v>-4.8107636719502835</v>
      </c>
      <c r="AE20">
        <f t="shared" si="8"/>
        <v>1.0598868487961859</v>
      </c>
      <c r="AF20">
        <f t="shared" si="9"/>
        <v>-2.8108607436244237</v>
      </c>
      <c r="AG20">
        <f>(S20+V20+Y20)*constants!$O$2+(R20+T20+U20+W20+X20+Z20+AA20+AB20)*constants!$N$2</f>
        <v>4.4750461084777209</v>
      </c>
      <c r="AH20">
        <f>((S20+V20+Y20)-(H20+K20+N20))*constants!$O$2</f>
        <v>-7.7934371485594595E-2</v>
      </c>
      <c r="AI20">
        <f>((R20+T20+U20+W20+X20+Z20+AA20+AB20)-(G20+I20+J20+L20+M20+O20+P20+Q20))*constants!$N$2</f>
        <v>0.11976721391396901</v>
      </c>
      <c r="AJ20">
        <f t="shared" si="10"/>
        <v>0.93480248950115774</v>
      </c>
      <c r="AK20">
        <f t="shared" si="11"/>
        <v>4.1832842428374414E-2</v>
      </c>
      <c r="AL20">
        <f>COUNTIFS($B:$B,$B20,$AK:$AK,"&lt;"&amp;$AK20)+COUNTIFS($B$2:$B20,$B20,$AK$2:$AK20,$AK20)</f>
        <v>12</v>
      </c>
      <c r="AM20" s="191">
        <f>IF(AK20=0, "NA",IF(((sim_annual_output!F20/E20)/AK20)&lt;0,100,((sim_annual_output!F20/E20)/AK20)))</f>
        <v>214.14107521966801</v>
      </c>
      <c r="AN20">
        <f>(S20+V20)*constants!$F$2+(T20+U20+W20+X20+Y20+Z20+AA20+AB20)*constants!$G$2</f>
        <v>40399.36362543251</v>
      </c>
      <c r="AO20">
        <f>(AD20*constants!$F$2+AE20*constants!$G$2)</f>
        <v>60.974861173580962</v>
      </c>
      <c r="AP20">
        <f t="shared" si="12"/>
        <v>0.15093025162207163</v>
      </c>
    </row>
    <row r="21" spans="1:42">
      <c r="A21">
        <f>sim_annual_output!B21</f>
        <v>1</v>
      </c>
      <c r="B21" t="str">
        <f>sim_annual_output!C21</f>
        <v>Barracks</v>
      </c>
      <c r="C21" t="str">
        <f>sim_annual_output!D21</f>
        <v>1959-pre</v>
      </c>
      <c r="D21" t="str">
        <f>sim_annual_output!E21</f>
        <v>payback_less_than_20</v>
      </c>
      <c r="E21" s="45">
        <f t="array" ref="E21">IFERROR(INDEX(baseline!$J$3:$J$201,MATCH($B21&amp;$C21,baseline!$C$3:$C$201&amp;baseline!$D$3:$D$201,0)),"NA")</f>
        <v>3989</v>
      </c>
      <c r="F21">
        <f>sim_annual_output!G21</f>
        <v>5495.7245916000002</v>
      </c>
      <c r="G21">
        <f>$E21/$F21^2*sim_annual_output!I21</f>
        <v>0</v>
      </c>
      <c r="H21">
        <f>$E21/$F21^2*sim_annual_output!J21</f>
        <v>34.071565086379557</v>
      </c>
      <c r="I21">
        <f>$E21/$F21^2*sim_annual_output!K21</f>
        <v>2.2437756895941403</v>
      </c>
      <c r="J21">
        <f>$E21/$F21^2*sim_annual_output!L21</f>
        <v>0</v>
      </c>
      <c r="K21">
        <f>$E21/$F21^2*sim_annual_output!M21</f>
        <v>22.259825043512826</v>
      </c>
      <c r="L21">
        <f>$E21/$F21^2*sim_annual_output!N21</f>
        <v>7.2882354233939157</v>
      </c>
      <c r="M21">
        <f>$E21/$F21^2*sim_annual_output!O21</f>
        <v>2.875525483165283</v>
      </c>
      <c r="N21">
        <f>$E21/$F21^2*sim_annual_output!P21</f>
        <v>0</v>
      </c>
      <c r="O21">
        <f>$E21/$F21^2*sim_annual_output!Q21</f>
        <v>3.4151909572321535</v>
      </c>
      <c r="P21">
        <f>$E21/$F21^2*sim_annual_output!R21</f>
        <v>8.0711355740796409E-2</v>
      </c>
      <c r="Q21">
        <f>$E21/$F21^2*sim_annual_output!S21</f>
        <v>0</v>
      </c>
      <c r="R21">
        <f t="array" ref="R21">INDEX(G$3:G$700,MATCH($B21&amp;$C21&amp;"baseline",$B$3:$B$700&amp;$C$3:$C$700&amp;$D$3:$D$700,0))</f>
        <v>0</v>
      </c>
      <c r="S21">
        <f t="array" ref="S21">INDEX(H$3:H$700,MATCH($B21&amp;$C21&amp;"baseline",$B$3:$B$700&amp;$C$3:$C$700&amp;$D$3:$D$700,0))</f>
        <v>87.284195056487818</v>
      </c>
      <c r="T21">
        <f t="array" ref="T21">INDEX(I$3:I$700,MATCH($B21&amp;$C21&amp;"baseline",$B$3:$B$700&amp;$C$3:$C$700&amp;$D$3:$D$700,0))</f>
        <v>0.88158812656878982</v>
      </c>
      <c r="U21">
        <f t="array" ref="U21">INDEX(J$3:J$700,MATCH($B21&amp;$C21&amp;"baseline",$B$3:$B$700&amp;$C$3:$C$700&amp;$D$3:$D$700,0))</f>
        <v>0</v>
      </c>
      <c r="V21">
        <f t="array" ref="V21">INDEX(K$3:K$700,MATCH($B21&amp;$C21&amp;"baseline",$B$3:$B$700&amp;$C$3:$C$700&amp;$D$3:$D$700,0))</f>
        <v>22.260558783110472</v>
      </c>
      <c r="W21">
        <f t="array" ref="W21">INDEX(L$3:L$700,MATCH($B21&amp;$C21&amp;"baseline",$B$3:$B$700&amp;$C$3:$C$700&amp;$D$3:$D$700,0))</f>
        <v>10.412131760361559</v>
      </c>
      <c r="X21">
        <f t="array" ref="X21">INDEX(M$3:M$700,MATCH($B21&amp;$C21&amp;"baseline",$B$3:$B$700&amp;$C$3:$C$700&amp;$D$3:$D$700,0))</f>
        <v>2.875525483165283</v>
      </c>
      <c r="Y21">
        <f t="array" ref="Y21">INDEX(N$3:N$700,MATCH($B21&amp;$C21&amp;"baseline",$B$3:$B$700&amp;$C$3:$C$700&amp;$D$3:$D$700,0))</f>
        <v>0</v>
      </c>
      <c r="Z21">
        <f t="array" ref="Z21">INDEX(O$3:O$700,MATCH($B21&amp;$C21&amp;"baseline",$B$3:$B$700&amp;$C$3:$C$700&amp;$D$3:$D$700,0))</f>
        <v>5.7884716858103893</v>
      </c>
      <c r="AA21">
        <f t="array" ref="AA21">INDEX(P$3:P$700,MATCH($B21&amp;$C21&amp;"baseline",$B$3:$B$700&amp;$C$3:$C$700&amp;$D$3:$D$700,0))</f>
        <v>3.93981476954733</v>
      </c>
      <c r="AB21">
        <f t="array" ref="AB21">INDEX(Q$3:Q$700,MATCH($B21&amp;$C21&amp;"baseline",$B$3:$B$700&amp;$C$3:$C$700&amp;$D$3:$D$700,0))</f>
        <v>0</v>
      </c>
      <c r="AC21">
        <f t="shared" si="6"/>
        <v>133.44228566505163</v>
      </c>
      <c r="AD21">
        <f t="shared" si="7"/>
        <v>53.213363709705902</v>
      </c>
      <c r="AE21">
        <f t="shared" si="8"/>
        <v>7.9940929163270642</v>
      </c>
      <c r="AF21">
        <f t="shared" si="9"/>
        <v>45.86811168662642</v>
      </c>
      <c r="AG21">
        <f>(S21+V21+Y21)*constants!$O$2+(R21+T21+U21+W21+X21+Z21+AA21+AB21)*constants!$N$2</f>
        <v>4.4750461084777209</v>
      </c>
      <c r="AH21">
        <f>((S21+V21+Y21)-(H21+K21+N21))*constants!$O$2</f>
        <v>0.86205649209723556</v>
      </c>
      <c r="AI21">
        <f>((R21+T21+U21+W21+X21+Z21+AA21+AB21)-(G21+I21+J21+L21+M21+O21+P21+Q21))*constants!$N$2</f>
        <v>0.90333249954495831</v>
      </c>
      <c r="AJ21">
        <f t="shared" si="10"/>
        <v>39.449626860777251</v>
      </c>
      <c r="AK21">
        <f t="shared" si="11"/>
        <v>1.7653889916421939</v>
      </c>
      <c r="AL21">
        <f>COUNTIFS($B:$B,$B21,$AK:$AK,"&lt;"&amp;$AK21)+COUNTIFS($B$2:$B21,$B21,$AK$2:$AK21,$AK21)</f>
        <v>22</v>
      </c>
      <c r="AM21" s="191">
        <f>IF(AK21=0, "NA",IF(((sim_annual_output!F21/E21)/AK21)&lt;0,100,((sim_annual_output!F21/E21)/AK21)))</f>
        <v>54.815252404342168</v>
      </c>
      <c r="AN21">
        <f>(S21+V21)*constants!$F$2+(T21+U21+W21+X21+Y21+Z21+AA21+AB21)*constants!$G$2</f>
        <v>40399.36362543251</v>
      </c>
      <c r="AO21">
        <f>(AD21*constants!$F$2+AE21*constants!$G$2)</f>
        <v>16480.052941241902</v>
      </c>
      <c r="AP21">
        <f t="shared" si="12"/>
        <v>40.792852813323165</v>
      </c>
    </row>
    <row r="22" spans="1:42">
      <c r="A22">
        <f>sim_annual_output!B22</f>
        <v>1</v>
      </c>
      <c r="B22" t="str">
        <f>sim_annual_output!C22</f>
        <v>Barracks</v>
      </c>
      <c r="C22" t="str">
        <f>sim_annual_output!D22</f>
        <v>1959-pre</v>
      </c>
      <c r="D22" t="str">
        <f>sim_annual_output!E22</f>
        <v>plug_loads_90_percent</v>
      </c>
      <c r="E22" s="45">
        <f t="array" ref="E22">IFERROR(INDEX(baseline!$J$3:$J$201,MATCH($B22&amp;$C22,baseline!$C$3:$C$201&amp;baseline!$D$3:$D$201,0)),"NA")</f>
        <v>3989</v>
      </c>
      <c r="F22">
        <f>sim_annual_output!G22</f>
        <v>5495.7245916000002</v>
      </c>
      <c r="G22">
        <f>$E22/$F22^2*sim_annual_output!I22</f>
        <v>0</v>
      </c>
      <c r="H22">
        <f>$E22/$F22^2*sim_annual_output!J22</f>
        <v>86.065453584801787</v>
      </c>
      <c r="I22">
        <f>$E22/$F22^2*sim_annual_output!K22</f>
        <v>1.0609874581926511</v>
      </c>
      <c r="J22">
        <f>$E22/$F22^2*sim_annual_output!L22</f>
        <v>0</v>
      </c>
      <c r="K22">
        <f>$E22/$F22^2*sim_annual_output!M22</f>
        <v>22.260558783110472</v>
      </c>
      <c r="L22">
        <f>$E22/$F22^2*sim_annual_output!N22</f>
        <v>10.412131760361559</v>
      </c>
      <c r="M22">
        <f>$E22/$F22^2*sim_annual_output!O22</f>
        <v>2.875525483165283</v>
      </c>
      <c r="N22">
        <f>$E22/$F22^2*sim_annual_output!P22</f>
        <v>0</v>
      </c>
      <c r="O22">
        <f>$E22/$F22^2*sim_annual_output!Q22</f>
        <v>5.9352196053391104</v>
      </c>
      <c r="P22">
        <f>$E22/$F22^2*sim_annual_output!R22</f>
        <v>4.0329996984480676</v>
      </c>
      <c r="Q22">
        <f>$E22/$F22^2*sim_annual_output!S22</f>
        <v>0</v>
      </c>
      <c r="R22">
        <f t="array" ref="R22">INDEX(G$3:G$700,MATCH($B22&amp;$C22&amp;"baseline",$B$3:$B$700&amp;$C$3:$C$700&amp;$D$3:$D$700,0))</f>
        <v>0</v>
      </c>
      <c r="S22">
        <f t="array" ref="S22">INDEX(H$3:H$700,MATCH($B22&amp;$C22&amp;"baseline",$B$3:$B$700&amp;$C$3:$C$700&amp;$D$3:$D$700,0))</f>
        <v>87.284195056487818</v>
      </c>
      <c r="T22">
        <f t="array" ref="T22">INDEX(I$3:I$700,MATCH($B22&amp;$C22&amp;"baseline",$B$3:$B$700&amp;$C$3:$C$700&amp;$D$3:$D$700,0))</f>
        <v>0.88158812656878982</v>
      </c>
      <c r="U22">
        <f t="array" ref="U22">INDEX(J$3:J$700,MATCH($B22&amp;$C22&amp;"baseline",$B$3:$B$700&amp;$C$3:$C$700&amp;$D$3:$D$700,0))</f>
        <v>0</v>
      </c>
      <c r="V22">
        <f t="array" ref="V22">INDEX(K$3:K$700,MATCH($B22&amp;$C22&amp;"baseline",$B$3:$B$700&amp;$C$3:$C$700&amp;$D$3:$D$700,0))</f>
        <v>22.260558783110472</v>
      </c>
      <c r="W22">
        <f t="array" ref="W22">INDEX(L$3:L$700,MATCH($B22&amp;$C22&amp;"baseline",$B$3:$B$700&amp;$C$3:$C$700&amp;$D$3:$D$700,0))</f>
        <v>10.412131760361559</v>
      </c>
      <c r="X22">
        <f t="array" ref="X22">INDEX(M$3:M$700,MATCH($B22&amp;$C22&amp;"baseline",$B$3:$B$700&amp;$C$3:$C$700&amp;$D$3:$D$700,0))</f>
        <v>2.875525483165283</v>
      </c>
      <c r="Y22">
        <f t="array" ref="Y22">INDEX(N$3:N$700,MATCH($B22&amp;$C22&amp;"baseline",$B$3:$B$700&amp;$C$3:$C$700&amp;$D$3:$D$700,0))</f>
        <v>0</v>
      </c>
      <c r="Z22">
        <f t="array" ref="Z22">INDEX(O$3:O$700,MATCH($B22&amp;$C22&amp;"baseline",$B$3:$B$700&amp;$C$3:$C$700&amp;$D$3:$D$700,0))</f>
        <v>5.7884716858103893</v>
      </c>
      <c r="AA22">
        <f t="array" ref="AA22">INDEX(P$3:P$700,MATCH($B22&amp;$C22&amp;"baseline",$B$3:$B$700&amp;$C$3:$C$700&amp;$D$3:$D$700,0))</f>
        <v>3.93981476954733</v>
      </c>
      <c r="AB22">
        <f t="array" ref="AB22">INDEX(Q$3:Q$700,MATCH($B22&amp;$C22&amp;"baseline",$B$3:$B$700&amp;$C$3:$C$700&amp;$D$3:$D$700,0))</f>
        <v>0</v>
      </c>
      <c r="AC22">
        <f t="shared" si="6"/>
        <v>133.44228566505163</v>
      </c>
      <c r="AD22">
        <f t="shared" si="7"/>
        <v>1.2187414716860303</v>
      </c>
      <c r="AE22">
        <f t="shared" si="8"/>
        <v>-0.41933218005332051</v>
      </c>
      <c r="AF22">
        <f t="shared" si="9"/>
        <v>0.59906744526189881</v>
      </c>
      <c r="AG22">
        <f>(S22+V22+Y22)*constants!$O$2+(R22+T22+U22+W22+X22+Z22+AA22+AB22)*constants!$N$2</f>
        <v>4.4750461084777209</v>
      </c>
      <c r="AH22">
        <f>((S22+V22+Y22)-(H22+K22+N22))*constants!$O$2</f>
        <v>1.974361184131369E-2</v>
      </c>
      <c r="AI22">
        <f>((R22+T22+U22+W22+X22+Z22+AA22+AB22)-(G22+I22+J22+L22+M22+O22+P22+Q22))*constants!$N$2</f>
        <v>-4.738453634602522E-2</v>
      </c>
      <c r="AJ22">
        <f t="shared" si="10"/>
        <v>-0.61766792642309021</v>
      </c>
      <c r="AK22">
        <f t="shared" si="11"/>
        <v>-2.764092450471153E-2</v>
      </c>
      <c r="AL22">
        <f>COUNTIFS($B:$B,$B22,$AK:$AK,"&lt;"&amp;$AK22)+COUNTIFS($B$2:$B22,$B22,$AK$2:$AK22,$AK22)</f>
        <v>4</v>
      </c>
      <c r="AM22" s="191">
        <f>IF(AK22=0, "NA",IF(((sim_annual_output!F22/E22)/AK22)&lt;0,100,((sim_annual_output!F22/E22)/AK22)))</f>
        <v>100</v>
      </c>
      <c r="AN22">
        <f>(S22+V22)*constants!$F$2+(T22+U22+W22+X22+Y22+Z22+AA22+AB22)*constants!$G$2</f>
        <v>40399.36362543251</v>
      </c>
      <c r="AO22">
        <f>(AD22*constants!$F$2+AE22*constants!$G$2)</f>
        <v>-146.6642732145894</v>
      </c>
      <c r="AP22">
        <f t="shared" si="12"/>
        <v>-0.36303609773263906</v>
      </c>
    </row>
    <row r="23" spans="1:42">
      <c r="A23">
        <f>sim_annual_output!B23</f>
        <v>1</v>
      </c>
      <c r="B23" t="str">
        <f>sim_annual_output!C23</f>
        <v>Barracks</v>
      </c>
      <c r="C23" t="str">
        <f>sim_annual_output!D23</f>
        <v>1959-pre</v>
      </c>
      <c r="D23" t="str">
        <f>sim_annual_output!E23</f>
        <v>pump_fan_eff_</v>
      </c>
      <c r="E23" s="45">
        <f t="array" ref="E23">IFERROR(INDEX(baseline!$J$3:$J$201,MATCH($B23&amp;$C23,baseline!$C$3:$C$201&amp;baseline!$D$3:$D$201,0)),"NA")</f>
        <v>3989</v>
      </c>
      <c r="F23">
        <f>sim_annual_output!G23</f>
        <v>5495.7245916000002</v>
      </c>
      <c r="G23">
        <f>$E23/$F23^2*sim_annual_output!I23</f>
        <v>0</v>
      </c>
      <c r="H23">
        <f>$E23/$F23^2*sim_annual_output!J23</f>
        <v>85.946587769983523</v>
      </c>
      <c r="I23">
        <f>$E23/$F23^2*sim_annual_output!K23</f>
        <v>1.0774965991396321</v>
      </c>
      <c r="J23">
        <f>$E23/$F23^2*sim_annual_output!L23</f>
        <v>0</v>
      </c>
      <c r="K23">
        <f>$E23/$F23^2*sim_annual_output!M23</f>
        <v>22.260558783110472</v>
      </c>
      <c r="L23">
        <f>$E23/$F23^2*sim_annual_output!N23</f>
        <v>10.412131760361559</v>
      </c>
      <c r="M23">
        <f>$E23/$F23^2*sim_annual_output!O23</f>
        <v>2.875525483165283</v>
      </c>
      <c r="N23">
        <f>$E23/$F23^2*sim_annual_output!P23</f>
        <v>0</v>
      </c>
      <c r="O23">
        <f>$E23/$F23^2*sim_annual_output!Q23</f>
        <v>5.9344858657414665</v>
      </c>
      <c r="P23">
        <f>$E23/$F23^2*sim_annual_output!R23</f>
        <v>3.1514115718792777</v>
      </c>
      <c r="Q23">
        <f>$E23/$F23^2*sim_annual_output!S23</f>
        <v>0</v>
      </c>
      <c r="R23">
        <f t="array" ref="R23">INDEX(G$3:G$700,MATCH($B23&amp;$C23&amp;"baseline",$B$3:$B$700&amp;$C$3:$C$700&amp;$D$3:$D$700,0))</f>
        <v>0</v>
      </c>
      <c r="S23">
        <f t="array" ref="S23">INDEX(H$3:H$700,MATCH($B23&amp;$C23&amp;"baseline",$B$3:$B$700&amp;$C$3:$C$700&amp;$D$3:$D$700,0))</f>
        <v>87.284195056487818</v>
      </c>
      <c r="T23">
        <f t="array" ref="T23">INDEX(I$3:I$700,MATCH($B23&amp;$C23&amp;"baseline",$B$3:$B$700&amp;$C$3:$C$700&amp;$D$3:$D$700,0))</f>
        <v>0.88158812656878982</v>
      </c>
      <c r="U23">
        <f t="array" ref="U23">INDEX(J$3:J$700,MATCH($B23&amp;$C23&amp;"baseline",$B$3:$B$700&amp;$C$3:$C$700&amp;$D$3:$D$700,0))</f>
        <v>0</v>
      </c>
      <c r="V23">
        <f t="array" ref="V23">INDEX(K$3:K$700,MATCH($B23&amp;$C23&amp;"baseline",$B$3:$B$700&amp;$C$3:$C$700&amp;$D$3:$D$700,0))</f>
        <v>22.260558783110472</v>
      </c>
      <c r="W23">
        <f t="array" ref="W23">INDEX(L$3:L$700,MATCH($B23&amp;$C23&amp;"baseline",$B$3:$B$700&amp;$C$3:$C$700&amp;$D$3:$D$700,0))</f>
        <v>10.412131760361559</v>
      </c>
      <c r="X23">
        <f t="array" ref="X23">INDEX(M$3:M$700,MATCH($B23&amp;$C23&amp;"baseline",$B$3:$B$700&amp;$C$3:$C$700&amp;$D$3:$D$700,0))</f>
        <v>2.875525483165283</v>
      </c>
      <c r="Y23">
        <f t="array" ref="Y23">INDEX(N$3:N$700,MATCH($B23&amp;$C23&amp;"baseline",$B$3:$B$700&amp;$C$3:$C$700&amp;$D$3:$D$700,0))</f>
        <v>0</v>
      </c>
      <c r="Z23">
        <f t="array" ref="Z23">INDEX(O$3:O$700,MATCH($B23&amp;$C23&amp;"baseline",$B$3:$B$700&amp;$C$3:$C$700&amp;$D$3:$D$700,0))</f>
        <v>5.7884716858103893</v>
      </c>
      <c r="AA23">
        <f t="array" ref="AA23">INDEX(P$3:P$700,MATCH($B23&amp;$C23&amp;"baseline",$B$3:$B$700&amp;$C$3:$C$700&amp;$D$3:$D$700,0))</f>
        <v>3.93981476954733</v>
      </c>
      <c r="AB23">
        <f t="array" ref="AB23">INDEX(Q$3:Q$700,MATCH($B23&amp;$C23&amp;"baseline",$B$3:$B$700&amp;$C$3:$C$700&amp;$D$3:$D$700,0))</f>
        <v>0</v>
      </c>
      <c r="AC23">
        <f t="shared" si="6"/>
        <v>133.44228566505163</v>
      </c>
      <c r="AD23">
        <f t="shared" si="7"/>
        <v>1.3376072865042943</v>
      </c>
      <c r="AE23">
        <f t="shared" si="8"/>
        <v>0.44648054516613556</v>
      </c>
      <c r="AF23">
        <f t="shared" si="9"/>
        <v>1.3369733760021172</v>
      </c>
      <c r="AG23">
        <f>(S23+V23+Y23)*constants!$O$2+(R23+T23+U23+W23+X23+Z23+AA23+AB23)*constants!$N$2</f>
        <v>4.4750461084777209</v>
      </c>
      <c r="AH23">
        <f>((S23+V23+Y23)-(H23+K23+N23))*constants!$O$2</f>
        <v>2.1669238041369568E-2</v>
      </c>
      <c r="AI23">
        <f>((R23+T23+U23+W23+X23+Z23+AA23+AB23)-(G23+I23+J23+L23+M23+O23+P23+Q23))*constants!$N$2</f>
        <v>5.0452301603773321E-2</v>
      </c>
      <c r="AJ23">
        <f t="shared" si="10"/>
        <v>1.6116379115851505</v>
      </c>
      <c r="AK23">
        <f t="shared" si="11"/>
        <v>7.2121539645142896E-2</v>
      </c>
      <c r="AL23">
        <f>COUNTIFS($B:$B,$B23,$AK:$AK,"&lt;"&amp;$AK23)+COUNTIFS($B$2:$B23,$B23,$AK$2:$AK23,$AK23)</f>
        <v>14</v>
      </c>
      <c r="AM23" s="191">
        <f>IF(AK23=0, "NA",IF(((sim_annual_output!F23/E23)/AK23)&lt;0,100,((sim_annual_output!F23/E23)/AK23)))</f>
        <v>34.421818185779472</v>
      </c>
      <c r="AN23">
        <f>(S23+V23)*constants!$F$2+(T23+U23+W23+X23+Y23+Z23+AA23+AB23)*constants!$G$2</f>
        <v>40399.36362543251</v>
      </c>
      <c r="AO23">
        <f>(AD23*constants!$F$2+AE23*constants!$G$2)</f>
        <v>627.86977857880663</v>
      </c>
      <c r="AP23">
        <f t="shared" si="12"/>
        <v>1.5541575961447702</v>
      </c>
    </row>
    <row r="24" spans="1:42">
      <c r="A24">
        <f>sim_annual_output!B24</f>
        <v>2</v>
      </c>
      <c r="B24" t="str">
        <f>sim_annual_output!C24</f>
        <v>Fire Hall</v>
      </c>
      <c r="C24" t="str">
        <f>sim_annual_output!D24</f>
        <v>1959-pre</v>
      </c>
      <c r="D24" t="str">
        <f>sim_annual_output!E24</f>
        <v>air_temp_reset_enabled</v>
      </c>
      <c r="E24" s="45">
        <f t="array" ref="E24">IFERROR(INDEX(baseline!$J$3:$J$201,MATCH($B24&amp;$C24,baseline!$C$3:$C$201&amp;baseline!$D$3:$D$201,0)),"NA")</f>
        <v>911.73353310000005</v>
      </c>
      <c r="F24">
        <f>sim_annual_output!G24</f>
        <v>911.73353307153502</v>
      </c>
      <c r="G24">
        <f>$E24/$F24^2*sim_annual_output!I24</f>
        <v>0</v>
      </c>
      <c r="H24">
        <f>$E24/$F24^2*sim_annual_output!J24</f>
        <v>520.27913622607934</v>
      </c>
      <c r="I24">
        <f>$E24/$F24^2*sim_annual_output!K24</f>
        <v>6.9190592989870838</v>
      </c>
      <c r="J24">
        <f>$E24/$F24^2*sim_annual_output!L24</f>
        <v>23.654591104066807</v>
      </c>
      <c r="K24">
        <f>$E24/$F24^2*sim_annual_output!M24</f>
        <v>0</v>
      </c>
      <c r="L24">
        <f>$E24/$F24^2*sim_annual_output!N24</f>
        <v>92.187096551629764</v>
      </c>
      <c r="M24">
        <f>$E24/$F24^2*sim_annual_output!O24</f>
        <v>26.469743368383877</v>
      </c>
      <c r="N24">
        <f>$E24/$F24^2*sim_annual_output!P24</f>
        <v>0</v>
      </c>
      <c r="O24">
        <f>$E24/$F24^2*sim_annual_output!Q24</f>
        <v>40.277394950510349</v>
      </c>
      <c r="P24">
        <f>$E24/$F24^2*sim_annual_output!R24</f>
        <v>13.856398807482719</v>
      </c>
      <c r="Q24">
        <f>$E24/$F24^2*sim_annual_output!S24</f>
        <v>0</v>
      </c>
      <c r="R24">
        <f t="array" ref="R24">INDEX(G$3:G$700,MATCH($B24&amp;$C24&amp;"baseline",$B$3:$B$700&amp;$C$3:$C$700&amp;$D$3:$D$700,0))</f>
        <v>0</v>
      </c>
      <c r="S24">
        <f t="array" ref="S24">INDEX(H$3:H$700,MATCH($B24&amp;$C24&amp;"baseline",$B$3:$B$700&amp;$C$3:$C$700&amp;$D$3:$D$700,0))</f>
        <v>536.82881923448883</v>
      </c>
      <c r="T24">
        <f t="array" ref="T24">INDEX(I$3:I$700,MATCH($B24&amp;$C24&amp;"baseline",$B$3:$B$700&amp;$C$3:$C$700&amp;$D$3:$D$700,0))</f>
        <v>1.4776502686079858</v>
      </c>
      <c r="U24">
        <f t="array" ref="U24">INDEX(J$3:J$700,MATCH($B24&amp;$C24&amp;"baseline",$B$3:$B$700&amp;$C$3:$C$700&amp;$D$3:$D$700,0))</f>
        <v>23.654591104066807</v>
      </c>
      <c r="V24">
        <f t="array" ref="V24">INDEX(K$3:K$700,MATCH($B24&amp;$C24&amp;"baseline",$B$3:$B$700&amp;$C$3:$C$700&amp;$D$3:$D$700,0))</f>
        <v>0</v>
      </c>
      <c r="W24">
        <f t="array" ref="W24">INDEX(L$3:L$700,MATCH($B24&amp;$C24&amp;"baseline",$B$3:$B$700&amp;$C$3:$C$700&amp;$D$3:$D$700,0))</f>
        <v>92.187096551629764</v>
      </c>
      <c r="X24">
        <f t="array" ref="X24">INDEX(M$3:M$700,MATCH($B24&amp;$C24&amp;"baseline",$B$3:$B$700&amp;$C$3:$C$700&amp;$D$3:$D$700,0))</f>
        <v>26.469743368383877</v>
      </c>
      <c r="Y24">
        <f t="array" ref="Y24">INDEX(N$3:N$700,MATCH($B24&amp;$C24&amp;"baseline",$B$3:$B$700&amp;$C$3:$C$700&amp;$D$3:$D$700,0))</f>
        <v>0</v>
      </c>
      <c r="Z24">
        <f t="array" ref="Z24">INDEX(O$3:O$700,MATCH($B24&amp;$C24&amp;"baseline",$B$3:$B$700&amp;$C$3:$C$700&amp;$D$3:$D$700,0))</f>
        <v>40.374889401222738</v>
      </c>
      <c r="AA24">
        <f t="array" ref="AA24">INDEX(P$3:P$700,MATCH($B24&amp;$C24&amp;"baseline",$B$3:$B$700&amp;$C$3:$C$700&amp;$D$3:$D$700,0))</f>
        <v>15.44068363155726</v>
      </c>
      <c r="AB24">
        <f t="array" ref="AB24">INDEX(Q$3:Q$700,MATCH($B24&amp;$C24&amp;"baseline",$B$3:$B$700&amp;$C$3:$C$700&amp;$D$3:$D$700,0))</f>
        <v>0</v>
      </c>
      <c r="AC24">
        <f t="shared" si="6"/>
        <v>736.43347355995718</v>
      </c>
      <c r="AD24">
        <f t="shared" si="7"/>
        <v>16.549683008409488</v>
      </c>
      <c r="AE24">
        <f t="shared" si="8"/>
        <v>-3.7596297555921581</v>
      </c>
      <c r="AF24">
        <f t="shared" si="9"/>
        <v>1.7367560970564737</v>
      </c>
      <c r="AG24">
        <f>(S24+V24+Y24)*constants!$O$2+(R24+T24+U24+W24+X24+Z24+AA24+AB24)*constants!$N$2</f>
        <v>31.25195281037665</v>
      </c>
      <c r="AH24">
        <f>((S24+V24+Y24)-(H24+K24+N24))*constants!$O$2</f>
        <v>0.26810486473623368</v>
      </c>
      <c r="AI24">
        <f>((R24+T24+U24+W24+X24+Z24+AA24+AB24)-(G24+I24+J24+L24+M24+O24+P24+Q24))*constants!$N$2</f>
        <v>-0.42483816238191385</v>
      </c>
      <c r="AJ24">
        <f t="shared" si="10"/>
        <v>-0.50151521281460432</v>
      </c>
      <c r="AK24">
        <f t="shared" si="11"/>
        <v>-0.15673329764568017</v>
      </c>
      <c r="AL24">
        <f>COUNTIFS($B:$B,$B24,$AK:$AK,"&lt;"&amp;$AK24)+COUNTIFS($B$2:$B24,$B24,$AK$2:$AK24,$AK24)</f>
        <v>2</v>
      </c>
      <c r="AM24" s="191">
        <f>IF(AK24=0, "NA",IF(((sim_annual_output!F24/E24)/AK24)&lt;0,100,((sim_annual_output!F24/E24)/AK24)))</f>
        <v>100</v>
      </c>
      <c r="AN24">
        <f>(S24+V24)*constants!$F$2+(T24+U24+W24+X24+Y24+Z24+AA24+AB24)*constants!$G$2</f>
        <v>269748.407906131</v>
      </c>
      <c r="AO24">
        <f>(AD24*constants!$F$2+AE24*constants!$G$2)</f>
        <v>-308.48462885987919</v>
      </c>
      <c r="AP24">
        <f t="shared" si="12"/>
        <v>-0.11436012959425061</v>
      </c>
    </row>
    <row r="25" spans="1:42">
      <c r="A25">
        <f>sim_annual_output!B25</f>
        <v>2</v>
      </c>
      <c r="B25" t="str">
        <f>sim_annual_output!C25</f>
        <v>Fire Hall</v>
      </c>
      <c r="C25" t="str">
        <f>sim_annual_output!D25</f>
        <v>1959-pre</v>
      </c>
      <c r="D25" t="str">
        <f>sim_annual_output!E25</f>
        <v>baseline</v>
      </c>
      <c r="E25" s="45">
        <f t="array" ref="E25">IFERROR(INDEX(baseline!$J$3:$J$201,MATCH($B25&amp;$C25,baseline!$C$3:$C$201&amp;baseline!$D$3:$D$201,0)),"NA")</f>
        <v>911.73353310000005</v>
      </c>
      <c r="F25">
        <f>sim_annual_output!G25</f>
        <v>911.73353307153502</v>
      </c>
      <c r="G25">
        <f>$E25/$F25^2*sim_annual_output!I25</f>
        <v>0</v>
      </c>
      <c r="H25">
        <f>$E25/$F25^2*sim_annual_output!J25</f>
        <v>536.82881923448883</v>
      </c>
      <c r="I25">
        <f>$E25/$F25^2*sim_annual_output!K25</f>
        <v>1.4776502686079858</v>
      </c>
      <c r="J25">
        <f>$E25/$F25^2*sim_annual_output!L25</f>
        <v>23.654591104066807</v>
      </c>
      <c r="K25">
        <f>$E25/$F25^2*sim_annual_output!M25</f>
        <v>0</v>
      </c>
      <c r="L25">
        <f>$E25/$F25^2*sim_annual_output!N25</f>
        <v>92.187096551629764</v>
      </c>
      <c r="M25">
        <f>$E25/$F25^2*sim_annual_output!O25</f>
        <v>26.469743368383877</v>
      </c>
      <c r="N25">
        <f>$E25/$F25^2*sim_annual_output!P25</f>
        <v>0</v>
      </c>
      <c r="O25">
        <f>$E25/$F25^2*sim_annual_output!Q25</f>
        <v>40.374889401222738</v>
      </c>
      <c r="P25">
        <f>$E25/$F25^2*sim_annual_output!R25</f>
        <v>15.44068363155726</v>
      </c>
      <c r="Q25">
        <f>$E25/$F25^2*sim_annual_output!S25</f>
        <v>0</v>
      </c>
      <c r="R25">
        <f t="array" ref="R25">INDEX(G$3:G$700,MATCH($B25&amp;$C25&amp;"baseline",$B$3:$B$700&amp;$C$3:$C$700&amp;$D$3:$D$700,0))</f>
        <v>0</v>
      </c>
      <c r="S25">
        <f t="array" ref="S25">INDEX(H$3:H$700,MATCH($B25&amp;$C25&amp;"baseline",$B$3:$B$700&amp;$C$3:$C$700&amp;$D$3:$D$700,0))</f>
        <v>536.82881923448883</v>
      </c>
      <c r="T25">
        <f t="array" ref="T25">INDEX(I$3:I$700,MATCH($B25&amp;$C25&amp;"baseline",$B$3:$B$700&amp;$C$3:$C$700&amp;$D$3:$D$700,0))</f>
        <v>1.4776502686079858</v>
      </c>
      <c r="U25">
        <f t="array" ref="U25">INDEX(J$3:J$700,MATCH($B25&amp;$C25&amp;"baseline",$B$3:$B$700&amp;$C$3:$C$700&amp;$D$3:$D$700,0))</f>
        <v>23.654591104066807</v>
      </c>
      <c r="V25">
        <f t="array" ref="V25">INDEX(K$3:K$700,MATCH($B25&amp;$C25&amp;"baseline",$B$3:$B$700&amp;$C$3:$C$700&amp;$D$3:$D$700,0))</f>
        <v>0</v>
      </c>
      <c r="W25">
        <f t="array" ref="W25">INDEX(L$3:L$700,MATCH($B25&amp;$C25&amp;"baseline",$B$3:$B$700&amp;$C$3:$C$700&amp;$D$3:$D$700,0))</f>
        <v>92.187096551629764</v>
      </c>
      <c r="X25">
        <f t="array" ref="X25">INDEX(M$3:M$700,MATCH($B25&amp;$C25&amp;"baseline",$B$3:$B$700&amp;$C$3:$C$700&amp;$D$3:$D$700,0))</f>
        <v>26.469743368383877</v>
      </c>
      <c r="Y25">
        <f t="array" ref="Y25">INDEX(N$3:N$700,MATCH($B25&amp;$C25&amp;"baseline",$B$3:$B$700&amp;$C$3:$C$700&amp;$D$3:$D$700,0))</f>
        <v>0</v>
      </c>
      <c r="Z25">
        <f t="array" ref="Z25">INDEX(O$3:O$700,MATCH($B25&amp;$C25&amp;"baseline",$B$3:$B$700&amp;$C$3:$C$700&amp;$D$3:$D$700,0))</f>
        <v>40.374889401222738</v>
      </c>
      <c r="AA25">
        <f t="array" ref="AA25">INDEX(P$3:P$700,MATCH($B25&amp;$C25&amp;"baseline",$B$3:$B$700&amp;$C$3:$C$700&amp;$D$3:$D$700,0))</f>
        <v>15.44068363155726</v>
      </c>
      <c r="AB25">
        <f t="array" ref="AB25">INDEX(Q$3:Q$700,MATCH($B25&amp;$C25&amp;"baseline",$B$3:$B$700&amp;$C$3:$C$700&amp;$D$3:$D$700,0))</f>
        <v>0</v>
      </c>
      <c r="AC25">
        <f t="shared" si="6"/>
        <v>736.43347355995718</v>
      </c>
      <c r="AD25">
        <f t="shared" si="7"/>
        <v>0</v>
      </c>
      <c r="AE25">
        <f t="shared" si="8"/>
        <v>0</v>
      </c>
      <c r="AF25">
        <f t="shared" si="9"/>
        <v>0</v>
      </c>
      <c r="AG25">
        <f>(S25+V25+Y25)*constants!$O$2+(R25+T25+U25+W25+X25+Z25+AA25+AB25)*constants!$N$2</f>
        <v>31.25195281037665</v>
      </c>
      <c r="AH25">
        <f>((S25+V25+Y25)-(H25+K25+N25))*constants!$O$2</f>
        <v>0</v>
      </c>
      <c r="AI25">
        <f>((R25+T25+U25+W25+X25+Z25+AA25+AB25)-(G25+I25+J25+L25+M25+O25+P25+Q25))*constants!$N$2</f>
        <v>0</v>
      </c>
      <c r="AJ25">
        <f t="shared" si="10"/>
        <v>0</v>
      </c>
      <c r="AK25">
        <f t="shared" si="11"/>
        <v>0</v>
      </c>
      <c r="AL25">
        <f>COUNTIFS($B:$B,$B25,$AK:$AK,"&lt;"&amp;$AK25)+COUNTIFS($B$2:$B25,$B25,$AK$2:$AK25,$AK25)</f>
        <v>3</v>
      </c>
      <c r="AM25" s="191" t="str">
        <f>IF(AK25=0, "NA",IF(((sim_annual_output!F25/E25)/AK25)&lt;0,100,((sim_annual_output!F25/E25)/AK25)))</f>
        <v>NA</v>
      </c>
      <c r="AN25">
        <f>(S25+V25)*constants!$F$2+(T25+U25+W25+X25+Y25+Z25+AA25+AB25)*constants!$G$2</f>
        <v>269748.407906131</v>
      </c>
      <c r="AO25">
        <f>(AD25*constants!$F$2+AE25*constants!$G$2)</f>
        <v>0</v>
      </c>
      <c r="AP25">
        <f t="shared" si="12"/>
        <v>0</v>
      </c>
    </row>
    <row r="26" spans="1:42">
      <c r="A26">
        <f>sim_annual_output!B26</f>
        <v>2</v>
      </c>
      <c r="B26" t="str">
        <f>sim_annual_output!C26</f>
        <v>Fire Hall</v>
      </c>
      <c r="C26" t="str">
        <f>sim_annual_output!D26</f>
        <v>1959-pre</v>
      </c>
      <c r="D26" t="str">
        <f>sim_annual_output!E26</f>
        <v>boiler_eff_upgrade</v>
      </c>
      <c r="E26" s="45">
        <f t="array" ref="E26">IFERROR(INDEX(baseline!$J$3:$J$201,MATCH($B26&amp;$C26,baseline!$C$3:$C$201&amp;baseline!$D$3:$D$201,0)),"NA")</f>
        <v>911.73353310000005</v>
      </c>
      <c r="F26">
        <f>sim_annual_output!G26</f>
        <v>911.73353307153502</v>
      </c>
      <c r="G26">
        <f>$E26/$F26^2*sim_annual_output!I26</f>
        <v>0</v>
      </c>
      <c r="H26">
        <f>$E26/$F26^2*sim_annual_output!J26</f>
        <v>530.48863323660589</v>
      </c>
      <c r="I26">
        <f>$E26/$F26^2*sim_annual_output!K26</f>
        <v>1.5355375987184015</v>
      </c>
      <c r="J26">
        <f>$E26/$F26^2*sim_annual_output!L26</f>
        <v>23.654591104066807</v>
      </c>
      <c r="K26">
        <f>$E26/$F26^2*sim_annual_output!M26</f>
        <v>0</v>
      </c>
      <c r="L26">
        <f>$E26/$F26^2*sim_annual_output!N26</f>
        <v>92.187096551629764</v>
      </c>
      <c r="M26">
        <f>$E26/$F26^2*sim_annual_output!O26</f>
        <v>26.469743368383877</v>
      </c>
      <c r="N26">
        <f>$E26/$F26^2*sim_annual_output!P26</f>
        <v>0</v>
      </c>
      <c r="O26">
        <f>$E26/$F26^2*sim_annual_output!Q26</f>
        <v>40.249974636247622</v>
      </c>
      <c r="P26">
        <f>$E26/$F26^2*sim_annual_output!R26</f>
        <v>15.373656196692568</v>
      </c>
      <c r="Q26">
        <f>$E26/$F26^2*sim_annual_output!S26</f>
        <v>0</v>
      </c>
      <c r="R26">
        <f t="array" ref="R26">INDEX(G$3:G$700,MATCH($B26&amp;$C26&amp;"baseline",$B$3:$B$700&amp;$C$3:$C$700&amp;$D$3:$D$700,0))</f>
        <v>0</v>
      </c>
      <c r="S26">
        <f t="array" ref="S26">INDEX(H$3:H$700,MATCH($B26&amp;$C26&amp;"baseline",$B$3:$B$700&amp;$C$3:$C$700&amp;$D$3:$D$700,0))</f>
        <v>536.82881923448883</v>
      </c>
      <c r="T26">
        <f t="array" ref="T26">INDEX(I$3:I$700,MATCH($B26&amp;$C26&amp;"baseline",$B$3:$B$700&amp;$C$3:$C$700&amp;$D$3:$D$700,0))</f>
        <v>1.4776502686079858</v>
      </c>
      <c r="U26">
        <f t="array" ref="U26">INDEX(J$3:J$700,MATCH($B26&amp;$C26&amp;"baseline",$B$3:$B$700&amp;$C$3:$C$700&amp;$D$3:$D$700,0))</f>
        <v>23.654591104066807</v>
      </c>
      <c r="V26">
        <f t="array" ref="V26">INDEX(K$3:K$700,MATCH($B26&amp;$C26&amp;"baseline",$B$3:$B$700&amp;$C$3:$C$700&amp;$D$3:$D$700,0))</f>
        <v>0</v>
      </c>
      <c r="W26">
        <f t="array" ref="W26">INDEX(L$3:L$700,MATCH($B26&amp;$C26&amp;"baseline",$B$3:$B$700&amp;$C$3:$C$700&amp;$D$3:$D$700,0))</f>
        <v>92.187096551629764</v>
      </c>
      <c r="X26">
        <f t="array" ref="X26">INDEX(M$3:M$700,MATCH($B26&amp;$C26&amp;"baseline",$B$3:$B$700&amp;$C$3:$C$700&amp;$D$3:$D$700,0))</f>
        <v>26.469743368383877</v>
      </c>
      <c r="Y26">
        <f t="array" ref="Y26">INDEX(N$3:N$700,MATCH($B26&amp;$C26&amp;"baseline",$B$3:$B$700&amp;$C$3:$C$700&amp;$D$3:$D$700,0))</f>
        <v>0</v>
      </c>
      <c r="Z26">
        <f t="array" ref="Z26">INDEX(O$3:O$700,MATCH($B26&amp;$C26&amp;"baseline",$B$3:$B$700&amp;$C$3:$C$700&amp;$D$3:$D$700,0))</f>
        <v>40.374889401222738</v>
      </c>
      <c r="AA26">
        <f t="array" ref="AA26">INDEX(P$3:P$700,MATCH($B26&amp;$C26&amp;"baseline",$B$3:$B$700&amp;$C$3:$C$700&amp;$D$3:$D$700,0))</f>
        <v>15.44068363155726</v>
      </c>
      <c r="AB26">
        <f t="array" ref="AB26">INDEX(Q$3:Q$700,MATCH($B26&amp;$C26&amp;"baseline",$B$3:$B$700&amp;$C$3:$C$700&amp;$D$3:$D$700,0))</f>
        <v>0</v>
      </c>
      <c r="AC26">
        <f t="shared" si="6"/>
        <v>736.43347355995718</v>
      </c>
      <c r="AD26">
        <f t="shared" si="7"/>
        <v>6.3401859978829407</v>
      </c>
      <c r="AE26">
        <f t="shared" si="8"/>
        <v>0.13405486972936842</v>
      </c>
      <c r="AF26">
        <f t="shared" si="9"/>
        <v>0.87913451792400155</v>
      </c>
      <c r="AG26">
        <f>(S26+V26+Y26)*constants!$O$2+(R26+T26+U26+W26+X26+Z26+AA26+AB26)*constants!$N$2</f>
        <v>31.25195281037665</v>
      </c>
      <c r="AH26">
        <f>((S26+V26+Y26)-(H26+K26+N26))*constants!$O$2</f>
        <v>0.10271101316570364</v>
      </c>
      <c r="AI26">
        <f>((R26+T26+U26+W26+X26+Z26+AA26+AB26)-(G26+I26+J26+L26+M26+O26+P26+Q26))*constants!$N$2</f>
        <v>1.5148200279418631E-2</v>
      </c>
      <c r="AJ26">
        <f t="shared" si="10"/>
        <v>0.37712591645149685</v>
      </c>
      <c r="AK26">
        <f t="shared" si="11"/>
        <v>0.11785921344512226</v>
      </c>
      <c r="AL26">
        <f>COUNTIFS($B:$B,$B26,$AK:$AK,"&lt;"&amp;$AK26)+COUNTIFS($B$2:$B26,$B26,$AK$2:$AK26,$AK26)</f>
        <v>5</v>
      </c>
      <c r="AM26" s="191">
        <f>IF(AK26=0, "NA",IF(((sim_annual_output!F26/E26)/AK26)&lt;0,100,((sim_annual_output!F26/E26)/AK26)))</f>
        <v>306.38809946586093</v>
      </c>
      <c r="AN26">
        <f>(S26+V26)*constants!$F$2+(T26+U26+W26+X26+Y26+Z26+AA26+AB26)*constants!$G$2</f>
        <v>269748.407906131</v>
      </c>
      <c r="AO26">
        <f>(AD26*constants!$F$2+AE26*constants!$G$2)</f>
        <v>1251.5210302855967</v>
      </c>
      <c r="AP26">
        <f t="shared" si="12"/>
        <v>0.46395863464043496</v>
      </c>
    </row>
    <row r="27" spans="1:42">
      <c r="A27">
        <f>sim_annual_output!B27</f>
        <v>2</v>
      </c>
      <c r="B27" t="str">
        <f>sim_annual_output!C27</f>
        <v>Fire Hall</v>
      </c>
      <c r="C27" t="str">
        <f>sim_annual_output!D27</f>
        <v>1959-pre</v>
      </c>
      <c r="D27" t="str">
        <f>sim_annual_output!E27</f>
        <v>boiler_reset</v>
      </c>
      <c r="E27" s="45">
        <f t="array" ref="E27">IFERROR(INDEX(baseline!$J$3:$J$201,MATCH($B27&amp;$C27,baseline!$C$3:$C$201&amp;baseline!$D$3:$D$201,0)),"NA")</f>
        <v>911.73353310000005</v>
      </c>
      <c r="F27">
        <f>sim_annual_output!G27</f>
        <v>911.73353307153502</v>
      </c>
      <c r="G27">
        <f>$E27/$F27^2*sim_annual_output!I27</f>
        <v>0</v>
      </c>
      <c r="H27">
        <f>$E27/$F27^2*sim_annual_output!J27</f>
        <v>389.08207258319885</v>
      </c>
      <c r="I27">
        <f>$E27/$F27^2*sim_annual_output!K27</f>
        <v>1.5355375987184015</v>
      </c>
      <c r="J27">
        <f>$E27/$F27^2*sim_annual_output!L27</f>
        <v>23.654591104066807</v>
      </c>
      <c r="K27">
        <f>$E27/$F27^2*sim_annual_output!M27</f>
        <v>0</v>
      </c>
      <c r="L27">
        <f>$E27/$F27^2*sim_annual_output!N27</f>
        <v>92.187096551629764</v>
      </c>
      <c r="M27">
        <f>$E27/$F27^2*sim_annual_output!O27</f>
        <v>26.469743368383877</v>
      </c>
      <c r="N27">
        <f>$E27/$F27^2*sim_annual_output!P27</f>
        <v>0</v>
      </c>
      <c r="O27">
        <f>$E27/$F27^2*sim_annual_output!Q27</f>
        <v>40.249974636247622</v>
      </c>
      <c r="P27">
        <f>$E27/$F27^2*sim_annual_output!R27</f>
        <v>15.373656196692568</v>
      </c>
      <c r="Q27">
        <f>$E27/$F27^2*sim_annual_output!S27</f>
        <v>0</v>
      </c>
      <c r="R27">
        <f t="array" ref="R27">INDEX(G$3:G$700,MATCH($B27&amp;$C27&amp;"baseline",$B$3:$B$700&amp;$C$3:$C$700&amp;$D$3:$D$700,0))</f>
        <v>0</v>
      </c>
      <c r="S27">
        <f t="array" ref="S27">INDEX(H$3:H$700,MATCH($B27&amp;$C27&amp;"baseline",$B$3:$B$700&amp;$C$3:$C$700&amp;$D$3:$D$700,0))</f>
        <v>536.82881923448883</v>
      </c>
      <c r="T27">
        <f t="array" ref="T27">INDEX(I$3:I$700,MATCH($B27&amp;$C27&amp;"baseline",$B$3:$B$700&amp;$C$3:$C$700&amp;$D$3:$D$700,0))</f>
        <v>1.4776502686079858</v>
      </c>
      <c r="U27">
        <f t="array" ref="U27">INDEX(J$3:J$700,MATCH($B27&amp;$C27&amp;"baseline",$B$3:$B$700&amp;$C$3:$C$700&amp;$D$3:$D$700,0))</f>
        <v>23.654591104066807</v>
      </c>
      <c r="V27">
        <f t="array" ref="V27">INDEX(K$3:K$700,MATCH($B27&amp;$C27&amp;"baseline",$B$3:$B$700&amp;$C$3:$C$700&amp;$D$3:$D$700,0))</f>
        <v>0</v>
      </c>
      <c r="W27">
        <f t="array" ref="W27">INDEX(L$3:L$700,MATCH($B27&amp;$C27&amp;"baseline",$B$3:$B$700&amp;$C$3:$C$700&amp;$D$3:$D$700,0))</f>
        <v>92.187096551629764</v>
      </c>
      <c r="X27">
        <f t="array" ref="X27">INDEX(M$3:M$700,MATCH($B27&amp;$C27&amp;"baseline",$B$3:$B$700&amp;$C$3:$C$700&amp;$D$3:$D$700,0))</f>
        <v>26.469743368383877</v>
      </c>
      <c r="Y27">
        <f t="array" ref="Y27">INDEX(N$3:N$700,MATCH($B27&amp;$C27&amp;"baseline",$B$3:$B$700&amp;$C$3:$C$700&amp;$D$3:$D$700,0))</f>
        <v>0</v>
      </c>
      <c r="Z27">
        <f t="array" ref="Z27">INDEX(O$3:O$700,MATCH($B27&amp;$C27&amp;"baseline",$B$3:$B$700&amp;$C$3:$C$700&amp;$D$3:$D$700,0))</f>
        <v>40.374889401222738</v>
      </c>
      <c r="AA27">
        <f t="array" ref="AA27">INDEX(P$3:P$700,MATCH($B27&amp;$C27&amp;"baseline",$B$3:$B$700&amp;$C$3:$C$700&amp;$D$3:$D$700,0))</f>
        <v>15.44068363155726</v>
      </c>
      <c r="AB27">
        <f t="array" ref="AB27">INDEX(Q$3:Q$700,MATCH($B27&amp;$C27&amp;"baseline",$B$3:$B$700&amp;$C$3:$C$700&amp;$D$3:$D$700,0))</f>
        <v>0</v>
      </c>
      <c r="AC27">
        <f t="shared" si="6"/>
        <v>736.43347355995718</v>
      </c>
      <c r="AD27">
        <f t="shared" si="7"/>
        <v>147.74674665128998</v>
      </c>
      <c r="AE27">
        <f t="shared" si="8"/>
        <v>0.13405486972936842</v>
      </c>
      <c r="AF27">
        <f t="shared" si="9"/>
        <v>20.080673520468313</v>
      </c>
      <c r="AG27">
        <f>(S27+V27+Y27)*constants!$O$2+(R27+T27+U27+W27+X27+Z27+AA27+AB27)*constants!$N$2</f>
        <v>31.25195281037665</v>
      </c>
      <c r="AH27">
        <f>((S27+V27+Y27)-(H27+K27+N27))*constants!$O$2</f>
        <v>2.3934972957508975</v>
      </c>
      <c r="AI27">
        <f>((R27+T27+U27+W27+X27+Z27+AA27+AB27)-(G27+I27+J27+L27+M27+O27+P27+Q27))*constants!$N$2</f>
        <v>1.5148200279418631E-2</v>
      </c>
      <c r="AJ27">
        <f t="shared" si="10"/>
        <v>7.7071839658946653</v>
      </c>
      <c r="AK27">
        <f t="shared" si="11"/>
        <v>2.4086454960303163</v>
      </c>
      <c r="AL27">
        <f>COUNTIFS($B:$B,$B27,$AK:$AK,"&lt;"&amp;$AK27)+COUNTIFS($B$2:$B27,$B27,$AK$2:$AK27,$AK27)</f>
        <v>16</v>
      </c>
      <c r="AM27" s="191">
        <f>IF(AK27=0, "NA",IF(((sim_annual_output!F27/E27)/AK27)&lt;0,100,((sim_annual_output!F27/E27)/AK27)))</f>
        <v>0.42309283370768774</v>
      </c>
      <c r="AN27">
        <f>(S27+V27)*constants!$F$2+(T27+U27+W27+X27+Y27+Z27+AA27+AB27)*constants!$G$2</f>
        <v>269748.407906131</v>
      </c>
      <c r="AO27">
        <f>(AD27*constants!$F$2+AE27*constants!$G$2)</f>
        <v>26563.29538724546</v>
      </c>
      <c r="AP27">
        <f t="shared" si="12"/>
        <v>9.8474336117265047</v>
      </c>
    </row>
    <row r="28" spans="1:42">
      <c r="A28">
        <f>sim_annual_output!B28</f>
        <v>2</v>
      </c>
      <c r="B28" t="str">
        <f>sim_annual_output!C28</f>
        <v>Fire Hall</v>
      </c>
      <c r="C28" t="str">
        <f>sim_annual_output!D28</f>
        <v>1959-pre</v>
      </c>
      <c r="D28" t="str">
        <f>sim_annual_output!E28</f>
        <v>cooling_cop_3_0</v>
      </c>
      <c r="E28" s="45">
        <f t="array" ref="E28">IFERROR(INDEX(baseline!$J$3:$J$201,MATCH($B28&amp;$C28,baseline!$C$3:$C$201&amp;baseline!$D$3:$D$201,0)),"NA")</f>
        <v>911.73353310000005</v>
      </c>
      <c r="F28">
        <f>sim_annual_output!G28</f>
        <v>911.73353307153502</v>
      </c>
      <c r="G28">
        <f>$E28/$F28^2*sim_annual_output!I28</f>
        <v>0</v>
      </c>
      <c r="H28">
        <f>$E28/$F28^2*sim_annual_output!J28</f>
        <v>530.48863323660589</v>
      </c>
      <c r="I28">
        <f>$E28/$F28^2*sim_annual_output!K28</f>
        <v>1.096812570513144</v>
      </c>
      <c r="J28">
        <f>$E28/$F28^2*sim_annual_output!L28</f>
        <v>23.654591104066807</v>
      </c>
      <c r="K28">
        <f>$E28/$F28^2*sim_annual_output!M28</f>
        <v>0</v>
      </c>
      <c r="L28">
        <f>$E28/$F28^2*sim_annual_output!N28</f>
        <v>92.187096551629764</v>
      </c>
      <c r="M28">
        <f>$E28/$F28^2*sim_annual_output!O28</f>
        <v>26.469743368383877</v>
      </c>
      <c r="N28">
        <f>$E28/$F28^2*sim_annual_output!P28</f>
        <v>0</v>
      </c>
      <c r="O28">
        <f>$E28/$F28^2*sim_annual_output!Q28</f>
        <v>40.249974636247622</v>
      </c>
      <c r="P28">
        <f>$E28/$F28^2*sim_annual_output!R28</f>
        <v>15.373656196692568</v>
      </c>
      <c r="Q28">
        <f>$E28/$F28^2*sim_annual_output!S28</f>
        <v>0</v>
      </c>
      <c r="R28">
        <f t="array" ref="R28">INDEX(G$3:G$700,MATCH($B28&amp;$C28&amp;"baseline",$B$3:$B$700&amp;$C$3:$C$700&amp;$D$3:$D$700,0))</f>
        <v>0</v>
      </c>
      <c r="S28">
        <f t="array" ref="S28">INDEX(H$3:H$700,MATCH($B28&amp;$C28&amp;"baseline",$B$3:$B$700&amp;$C$3:$C$700&amp;$D$3:$D$700,0))</f>
        <v>536.82881923448883</v>
      </c>
      <c r="T28">
        <f t="array" ref="T28">INDEX(I$3:I$700,MATCH($B28&amp;$C28&amp;"baseline",$B$3:$B$700&amp;$C$3:$C$700&amp;$D$3:$D$700,0))</f>
        <v>1.4776502686079858</v>
      </c>
      <c r="U28">
        <f t="array" ref="U28">INDEX(J$3:J$700,MATCH($B28&amp;$C28&amp;"baseline",$B$3:$B$700&amp;$C$3:$C$700&amp;$D$3:$D$700,0))</f>
        <v>23.654591104066807</v>
      </c>
      <c r="V28">
        <f t="array" ref="V28">INDEX(K$3:K$700,MATCH($B28&amp;$C28&amp;"baseline",$B$3:$B$700&amp;$C$3:$C$700&amp;$D$3:$D$700,0))</f>
        <v>0</v>
      </c>
      <c r="W28">
        <f t="array" ref="W28">INDEX(L$3:L$700,MATCH($B28&amp;$C28&amp;"baseline",$B$3:$B$700&amp;$C$3:$C$700&amp;$D$3:$D$700,0))</f>
        <v>92.187096551629764</v>
      </c>
      <c r="X28">
        <f t="array" ref="X28">INDEX(M$3:M$700,MATCH($B28&amp;$C28&amp;"baseline",$B$3:$B$700&amp;$C$3:$C$700&amp;$D$3:$D$700,0))</f>
        <v>26.469743368383877</v>
      </c>
      <c r="Y28">
        <f t="array" ref="Y28">INDEX(N$3:N$700,MATCH($B28&amp;$C28&amp;"baseline",$B$3:$B$700&amp;$C$3:$C$700&amp;$D$3:$D$700,0))</f>
        <v>0</v>
      </c>
      <c r="Z28">
        <f t="array" ref="Z28">INDEX(O$3:O$700,MATCH($B28&amp;$C28&amp;"baseline",$B$3:$B$700&amp;$C$3:$C$700&amp;$D$3:$D$700,0))</f>
        <v>40.374889401222738</v>
      </c>
      <c r="AA28">
        <f t="array" ref="AA28">INDEX(P$3:P$700,MATCH($B28&amp;$C28&amp;"baseline",$B$3:$B$700&amp;$C$3:$C$700&amp;$D$3:$D$700,0))</f>
        <v>15.44068363155726</v>
      </c>
      <c r="AB28">
        <f t="array" ref="AB28">INDEX(Q$3:Q$700,MATCH($B28&amp;$C28&amp;"baseline",$B$3:$B$700&amp;$C$3:$C$700&amp;$D$3:$D$700,0))</f>
        <v>0</v>
      </c>
      <c r="AC28">
        <f t="shared" si="6"/>
        <v>736.43347355995718</v>
      </c>
      <c r="AD28">
        <f t="shared" si="7"/>
        <v>6.3401859978829407</v>
      </c>
      <c r="AE28">
        <f t="shared" si="8"/>
        <v>0.57277989793465167</v>
      </c>
      <c r="AF28">
        <f t="shared" si="9"/>
        <v>0.93870880996214912</v>
      </c>
      <c r="AG28">
        <f>(S28+V28+Y28)*constants!$O$2+(R28+T28+U28+W28+X28+Z28+AA28+AB28)*constants!$N$2</f>
        <v>31.25195281037665</v>
      </c>
      <c r="AH28">
        <f>((S28+V28+Y28)-(H28+K28+N28))*constants!$O$2</f>
        <v>0.10271101316570364</v>
      </c>
      <c r="AI28">
        <f>((R28+T28+U28+W28+X28+Z28+AA28+AB28)-(G28+I28+J28+L28+M28+O28+P28+Q28))*constants!$N$2</f>
        <v>6.4724128466615641E-2</v>
      </c>
      <c r="AJ28">
        <f t="shared" si="10"/>
        <v>0.53575897368155956</v>
      </c>
      <c r="AK28">
        <f t="shared" si="11"/>
        <v>0.16743514163231926</v>
      </c>
      <c r="AL28">
        <f>COUNTIFS($B:$B,$B28,$AK:$AK,"&lt;"&amp;$AK28)+COUNTIFS($B$2:$B28,$B28,$AK$2:$AK28,$AK28)</f>
        <v>8</v>
      </c>
      <c r="AM28" s="191">
        <f>IF(AK28=0, "NA",IF(((sim_annual_output!F28/E28)/AK28)&lt;0,100,((sim_annual_output!F28/E28)/AK28)))</f>
        <v>64.361865815181062</v>
      </c>
      <c r="AN28">
        <f>(S28+V28)*constants!$F$2+(T28+U28+W28+X28+Y28+Z28+AA28+AB28)*constants!$G$2</f>
        <v>269748.407906131</v>
      </c>
      <c r="AO28">
        <f>(AD28*constants!$F$2+AE28*constants!$G$2)</f>
        <v>1633.2118048241932</v>
      </c>
      <c r="AP28">
        <f t="shared" si="12"/>
        <v>0.6054574399536512</v>
      </c>
    </row>
    <row r="29" spans="1:42">
      <c r="A29">
        <f>sim_annual_output!B29</f>
        <v>2</v>
      </c>
      <c r="B29" t="str">
        <f>sim_annual_output!C29</f>
        <v>Fire Hall</v>
      </c>
      <c r="C29" t="str">
        <f>sim_annual_output!D29</f>
        <v>1959-pre</v>
      </c>
      <c r="D29" t="str">
        <f>sim_annual_output!E29</f>
        <v>dcv_enabled</v>
      </c>
      <c r="E29" s="45">
        <f t="array" ref="E29">IFERROR(INDEX(baseline!$J$3:$J$201,MATCH($B29&amp;$C29,baseline!$C$3:$C$201&amp;baseline!$D$3:$D$201,0)),"NA")</f>
        <v>911.73353310000005</v>
      </c>
      <c r="F29">
        <f>sim_annual_output!G29</f>
        <v>911.73353307153502</v>
      </c>
      <c r="G29">
        <f>$E29/$F29^2*sim_annual_output!I29</f>
        <v>0</v>
      </c>
      <c r="H29">
        <f>$E29/$F29^2*sim_annual_output!J29</f>
        <v>530.48863323660589</v>
      </c>
      <c r="I29">
        <f>$E29/$F29^2*sim_annual_output!K29</f>
        <v>1.5355375987184015</v>
      </c>
      <c r="J29">
        <f>$E29/$F29^2*sim_annual_output!L29</f>
        <v>23.654591104066807</v>
      </c>
      <c r="K29">
        <f>$E29/$F29^2*sim_annual_output!M29</f>
        <v>0</v>
      </c>
      <c r="L29">
        <f>$E29/$F29^2*sim_annual_output!N29</f>
        <v>92.187096551629764</v>
      </c>
      <c r="M29">
        <f>$E29/$F29^2*sim_annual_output!O29</f>
        <v>26.469743368383877</v>
      </c>
      <c r="N29">
        <f>$E29/$F29^2*sim_annual_output!P29</f>
        <v>0</v>
      </c>
      <c r="O29">
        <f>$E29/$F29^2*sim_annual_output!Q29</f>
        <v>40.249974636247622</v>
      </c>
      <c r="P29">
        <f>$E29/$F29^2*sim_annual_output!R29</f>
        <v>15.373656196692568</v>
      </c>
      <c r="Q29">
        <f>$E29/$F29^2*sim_annual_output!S29</f>
        <v>0</v>
      </c>
      <c r="R29">
        <f t="array" ref="R29">INDEX(G$3:G$700,MATCH($B29&amp;$C29&amp;"baseline",$B$3:$B$700&amp;$C$3:$C$700&amp;$D$3:$D$700,0))</f>
        <v>0</v>
      </c>
      <c r="S29">
        <f t="array" ref="S29">INDEX(H$3:H$700,MATCH($B29&amp;$C29&amp;"baseline",$B$3:$B$700&amp;$C$3:$C$700&amp;$D$3:$D$700,0))</f>
        <v>536.82881923448883</v>
      </c>
      <c r="T29">
        <f t="array" ref="T29">INDEX(I$3:I$700,MATCH($B29&amp;$C29&amp;"baseline",$B$3:$B$700&amp;$C$3:$C$700&amp;$D$3:$D$700,0))</f>
        <v>1.4776502686079858</v>
      </c>
      <c r="U29">
        <f t="array" ref="U29">INDEX(J$3:J$700,MATCH($B29&amp;$C29&amp;"baseline",$B$3:$B$700&amp;$C$3:$C$700&amp;$D$3:$D$700,0))</f>
        <v>23.654591104066807</v>
      </c>
      <c r="V29">
        <f t="array" ref="V29">INDEX(K$3:K$700,MATCH($B29&amp;$C29&amp;"baseline",$B$3:$B$700&amp;$C$3:$C$700&amp;$D$3:$D$700,0))</f>
        <v>0</v>
      </c>
      <c r="W29">
        <f t="array" ref="W29">INDEX(L$3:L$700,MATCH($B29&amp;$C29&amp;"baseline",$B$3:$B$700&amp;$C$3:$C$700&amp;$D$3:$D$700,0))</f>
        <v>92.187096551629764</v>
      </c>
      <c r="X29">
        <f t="array" ref="X29">INDEX(M$3:M$700,MATCH($B29&amp;$C29&amp;"baseline",$B$3:$B$700&amp;$C$3:$C$700&amp;$D$3:$D$700,0))</f>
        <v>26.469743368383877</v>
      </c>
      <c r="Y29">
        <f t="array" ref="Y29">INDEX(N$3:N$700,MATCH($B29&amp;$C29&amp;"baseline",$B$3:$B$700&amp;$C$3:$C$700&amp;$D$3:$D$700,0))</f>
        <v>0</v>
      </c>
      <c r="Z29">
        <f t="array" ref="Z29">INDEX(O$3:O$700,MATCH($B29&amp;$C29&amp;"baseline",$B$3:$B$700&amp;$C$3:$C$700&amp;$D$3:$D$700,0))</f>
        <v>40.374889401222738</v>
      </c>
      <c r="AA29">
        <f t="array" ref="AA29">INDEX(P$3:P$700,MATCH($B29&amp;$C29&amp;"baseline",$B$3:$B$700&amp;$C$3:$C$700&amp;$D$3:$D$700,0))</f>
        <v>15.44068363155726</v>
      </c>
      <c r="AB29">
        <f t="array" ref="AB29">INDEX(Q$3:Q$700,MATCH($B29&amp;$C29&amp;"baseline",$B$3:$B$700&amp;$C$3:$C$700&amp;$D$3:$D$700,0))</f>
        <v>0</v>
      </c>
      <c r="AC29">
        <f t="shared" si="6"/>
        <v>736.43347355995718</v>
      </c>
      <c r="AD29">
        <f t="shared" si="7"/>
        <v>6.3401859978829407</v>
      </c>
      <c r="AE29">
        <f t="shared" si="8"/>
        <v>0.13405486972936842</v>
      </c>
      <c r="AF29">
        <f t="shared" si="9"/>
        <v>0.87913451792400155</v>
      </c>
      <c r="AG29">
        <f>(S29+V29+Y29)*constants!$O$2+(R29+T29+U29+W29+X29+Z29+AA29+AB29)*constants!$N$2</f>
        <v>31.25195281037665</v>
      </c>
      <c r="AH29">
        <f>((S29+V29+Y29)-(H29+K29+N29))*constants!$O$2</f>
        <v>0.10271101316570364</v>
      </c>
      <c r="AI29">
        <f>((R29+T29+U29+W29+X29+Z29+AA29+AB29)-(G29+I29+J29+L29+M29+O29+P29+Q29))*constants!$N$2</f>
        <v>1.5148200279418631E-2</v>
      </c>
      <c r="AJ29">
        <f t="shared" si="10"/>
        <v>0.37712591645149685</v>
      </c>
      <c r="AK29">
        <f t="shared" si="11"/>
        <v>0.11785921344512226</v>
      </c>
      <c r="AL29">
        <f>COUNTIFS($B:$B,$B29,$AK:$AK,"&lt;"&amp;$AK29)+COUNTIFS($B$2:$B29,$B29,$AK$2:$AK29,$AK29)</f>
        <v>6</v>
      </c>
      <c r="AM29" s="191">
        <f>IF(AK29=0, "NA",IF(((sim_annual_output!F29/E29)/AK29)&lt;0,100,((sim_annual_output!F29/E29)/AK29)))</f>
        <v>78.315911305912138</v>
      </c>
      <c r="AN29">
        <f>(S29+V29)*constants!$F$2+(T29+U29+W29+X29+Y29+Z29+AA29+AB29)*constants!$G$2</f>
        <v>269748.407906131</v>
      </c>
      <c r="AO29">
        <f>(AD29*constants!$F$2+AE29*constants!$G$2)</f>
        <v>1251.5210302855967</v>
      </c>
      <c r="AP29">
        <f t="shared" si="12"/>
        <v>0.46395863464043496</v>
      </c>
    </row>
    <row r="30" spans="1:42">
      <c r="A30">
        <f>sim_annual_output!B30</f>
        <v>2</v>
      </c>
      <c r="B30" t="str">
        <f>sim_annual_output!C30</f>
        <v>Fire Hall</v>
      </c>
      <c r="C30" t="str">
        <f>sim_annual_output!D30</f>
        <v>1959-pre</v>
      </c>
      <c r="D30" t="str">
        <f>sim_annual_output!E30</f>
        <v>ecm_cold_deck_reset_control</v>
      </c>
      <c r="E30" s="45">
        <f t="array" ref="E30">IFERROR(INDEX(baseline!$J$3:$J$201,MATCH($B30&amp;$C30,baseline!$C$3:$C$201&amp;baseline!$D$3:$D$201,0)),"NA")</f>
        <v>911.73353310000005</v>
      </c>
      <c r="F30">
        <f>sim_annual_output!G30</f>
        <v>911.73353307153502</v>
      </c>
      <c r="G30">
        <f>$E30/$F30^2*sim_annual_output!I30</f>
        <v>0</v>
      </c>
      <c r="H30">
        <f>$E30/$F30^2*sim_annual_output!J30</f>
        <v>472.33624008831595</v>
      </c>
      <c r="I30">
        <f>$E30/$F30^2*sim_annual_output!K30</f>
        <v>4.5456787644600301</v>
      </c>
      <c r="J30">
        <f>$E30/$F30^2*sim_annual_output!L30</f>
        <v>23.654591104066807</v>
      </c>
      <c r="K30">
        <f>$E30/$F30^2*sim_annual_output!M30</f>
        <v>0</v>
      </c>
      <c r="L30">
        <f>$E30/$F30^2*sim_annual_output!N30</f>
        <v>92.187096551629764</v>
      </c>
      <c r="M30">
        <f>$E30/$F30^2*sim_annual_output!O30</f>
        <v>26.469743368383877</v>
      </c>
      <c r="N30">
        <f>$E30/$F30^2*sim_annual_output!P30</f>
        <v>0</v>
      </c>
      <c r="O30">
        <f>$E30/$F30^2*sim_annual_output!Q30</f>
        <v>40.277394950510349</v>
      </c>
      <c r="P30">
        <f>$E30/$F30^2*sim_annual_output!R30</f>
        <v>13.551728649006847</v>
      </c>
      <c r="Q30">
        <f>$E30/$F30^2*sim_annual_output!S30</f>
        <v>0</v>
      </c>
      <c r="R30">
        <f t="array" ref="R30">INDEX(G$3:G$700,MATCH($B30&amp;$C30&amp;"baseline",$B$3:$B$700&amp;$C$3:$C$700&amp;$D$3:$D$700,0))</f>
        <v>0</v>
      </c>
      <c r="S30">
        <f t="array" ref="S30">INDEX(H$3:H$700,MATCH($B30&amp;$C30&amp;"baseline",$B$3:$B$700&amp;$C$3:$C$700&amp;$D$3:$D$700,0))</f>
        <v>536.82881923448883</v>
      </c>
      <c r="T30">
        <f t="array" ref="T30">INDEX(I$3:I$700,MATCH($B30&amp;$C30&amp;"baseline",$B$3:$B$700&amp;$C$3:$C$700&amp;$D$3:$D$700,0))</f>
        <v>1.4776502686079858</v>
      </c>
      <c r="U30">
        <f t="array" ref="U30">INDEX(J$3:J$700,MATCH($B30&amp;$C30&amp;"baseline",$B$3:$B$700&amp;$C$3:$C$700&amp;$D$3:$D$700,0))</f>
        <v>23.654591104066807</v>
      </c>
      <c r="V30">
        <f t="array" ref="V30">INDEX(K$3:K$700,MATCH($B30&amp;$C30&amp;"baseline",$B$3:$B$700&amp;$C$3:$C$700&amp;$D$3:$D$700,0))</f>
        <v>0</v>
      </c>
      <c r="W30">
        <f t="array" ref="W30">INDEX(L$3:L$700,MATCH($B30&amp;$C30&amp;"baseline",$B$3:$B$700&amp;$C$3:$C$700&amp;$D$3:$D$700,0))</f>
        <v>92.187096551629764</v>
      </c>
      <c r="X30">
        <f t="array" ref="X30">INDEX(M$3:M$700,MATCH($B30&amp;$C30&amp;"baseline",$B$3:$B$700&amp;$C$3:$C$700&amp;$D$3:$D$700,0))</f>
        <v>26.469743368383877</v>
      </c>
      <c r="Y30">
        <f t="array" ref="Y30">INDEX(N$3:N$700,MATCH($B30&amp;$C30&amp;"baseline",$B$3:$B$700&amp;$C$3:$C$700&amp;$D$3:$D$700,0))</f>
        <v>0</v>
      </c>
      <c r="Z30">
        <f t="array" ref="Z30">INDEX(O$3:O$700,MATCH($B30&amp;$C30&amp;"baseline",$B$3:$B$700&amp;$C$3:$C$700&amp;$D$3:$D$700,0))</f>
        <v>40.374889401222738</v>
      </c>
      <c r="AA30">
        <f t="array" ref="AA30">INDEX(P$3:P$700,MATCH($B30&amp;$C30&amp;"baseline",$B$3:$B$700&amp;$C$3:$C$700&amp;$D$3:$D$700,0))</f>
        <v>15.44068363155726</v>
      </c>
      <c r="AB30">
        <f t="array" ref="AB30">INDEX(Q$3:Q$700,MATCH($B30&amp;$C30&amp;"baseline",$B$3:$B$700&amp;$C$3:$C$700&amp;$D$3:$D$700,0))</f>
        <v>0</v>
      </c>
      <c r="AC30">
        <f t="shared" si="6"/>
        <v>736.43347355995718</v>
      </c>
      <c r="AD30">
        <f t="shared" si="7"/>
        <v>64.492579146172886</v>
      </c>
      <c r="AE30">
        <f t="shared" si="8"/>
        <v>-1.0815790625892703</v>
      </c>
      <c r="AF30">
        <f t="shared" si="9"/>
        <v>8.6105537513187151</v>
      </c>
      <c r="AG30">
        <f>(S30+V30+Y30)*constants!$O$2+(R30+T30+U30+W30+X30+Z30+AA30+AB30)*constants!$N$2</f>
        <v>31.25195281037665</v>
      </c>
      <c r="AH30">
        <f>((S30+V30+Y30)-(H30+K30+N30))*constants!$O$2</f>
        <v>1.0447797821680007</v>
      </c>
      <c r="AI30">
        <f>((R30+T30+U30+W30+X30+Z30+AA30+AB30)-(G30+I30+J30+L30+M30+O30+P30+Q30))*constants!$N$2</f>
        <v>-0.12221843407258755</v>
      </c>
      <c r="AJ30">
        <f t="shared" si="10"/>
        <v>2.9520118428858408</v>
      </c>
      <c r="AK30">
        <f t="shared" si="11"/>
        <v>0.92256134809541313</v>
      </c>
      <c r="AL30">
        <f>COUNTIFS($B:$B,$B30,$AK:$AK,"&lt;"&amp;$AK30)+COUNTIFS($B$2:$B30,$B30,$AK$2:$AK30,$AK30)</f>
        <v>15</v>
      </c>
      <c r="AM30" s="191">
        <f>IF(AK30=0, "NA",IF(((sim_annual_output!F30/E30)/AK30)&lt;0,100,((sim_annual_output!F30/E30)/AK30)))</f>
        <v>4.1795317124829241</v>
      </c>
      <c r="AN30">
        <f>(S30+V30)*constants!$F$2+(T30+U30+W30+X30+Y30+Z30+AA30+AB30)*constants!$G$2</f>
        <v>269748.407906131</v>
      </c>
      <c r="AO30">
        <f>(AD30*constants!$F$2+AE30*constants!$G$2)</f>
        <v>10603.197882712282</v>
      </c>
      <c r="AP30">
        <f t="shared" si="12"/>
        <v>3.9307731100314998</v>
      </c>
    </row>
    <row r="31" spans="1:42">
      <c r="A31">
        <f>sim_annual_output!B31</f>
        <v>2</v>
      </c>
      <c r="B31" t="str">
        <f>sim_annual_output!C31</f>
        <v>Fire Hall</v>
      </c>
      <c r="C31" t="str">
        <f>sim_annual_output!D31</f>
        <v>1959-pre</v>
      </c>
      <c r="D31" t="str">
        <f>sim_annual_output!E31</f>
        <v>economizers_enabled</v>
      </c>
      <c r="E31" s="45">
        <f t="array" ref="E31">IFERROR(INDEX(baseline!$J$3:$J$201,MATCH($B31&amp;$C31,baseline!$C$3:$C$201&amp;baseline!$D$3:$D$201,0)),"NA")</f>
        <v>911.73353310000005</v>
      </c>
      <c r="F31">
        <f>sim_annual_output!G31</f>
        <v>911.73353307153502</v>
      </c>
      <c r="G31">
        <f>$E31/$F31^2*sim_annual_output!I31</f>
        <v>0</v>
      </c>
      <c r="H31">
        <f>$E31/$F31^2*sim_annual_output!J31</f>
        <v>531.23202842328703</v>
      </c>
      <c r="I31">
        <f>$E31/$F31^2*sim_annual_output!K31</f>
        <v>1.4685101638537095</v>
      </c>
      <c r="J31">
        <f>$E31/$F31^2*sim_annual_output!L31</f>
        <v>23.654591104066807</v>
      </c>
      <c r="K31">
        <f>$E31/$F31^2*sim_annual_output!M31</f>
        <v>0</v>
      </c>
      <c r="L31">
        <f>$E31/$F31^2*sim_annual_output!N31</f>
        <v>92.187096551629764</v>
      </c>
      <c r="M31">
        <f>$E31/$F31^2*sim_annual_output!O31</f>
        <v>26.469743368383877</v>
      </c>
      <c r="N31">
        <f>$E31/$F31^2*sim_annual_output!P31</f>
        <v>0</v>
      </c>
      <c r="O31">
        <f>$E31/$F31^2*sim_annual_output!Q31</f>
        <v>40.249974636247622</v>
      </c>
      <c r="P31">
        <f>$E31/$F31^2*sim_annual_output!R31</f>
        <v>14.703381848045646</v>
      </c>
      <c r="Q31">
        <f>$E31/$F31^2*sim_annual_output!S31</f>
        <v>0</v>
      </c>
      <c r="R31">
        <f t="array" ref="R31">INDEX(G$3:G$700,MATCH($B31&amp;$C31&amp;"baseline",$B$3:$B$700&amp;$C$3:$C$700&amp;$D$3:$D$700,0))</f>
        <v>0</v>
      </c>
      <c r="S31">
        <f t="array" ref="S31">INDEX(H$3:H$700,MATCH($B31&amp;$C31&amp;"baseline",$B$3:$B$700&amp;$C$3:$C$700&amp;$D$3:$D$700,0))</f>
        <v>536.82881923448883</v>
      </c>
      <c r="T31">
        <f t="array" ref="T31">INDEX(I$3:I$700,MATCH($B31&amp;$C31&amp;"baseline",$B$3:$B$700&amp;$C$3:$C$700&amp;$D$3:$D$700,0))</f>
        <v>1.4776502686079858</v>
      </c>
      <c r="U31">
        <f t="array" ref="U31">INDEX(J$3:J$700,MATCH($B31&amp;$C31&amp;"baseline",$B$3:$B$700&amp;$C$3:$C$700&amp;$D$3:$D$700,0))</f>
        <v>23.654591104066807</v>
      </c>
      <c r="V31">
        <f t="array" ref="V31">INDEX(K$3:K$700,MATCH($B31&amp;$C31&amp;"baseline",$B$3:$B$700&amp;$C$3:$C$700&amp;$D$3:$D$700,0))</f>
        <v>0</v>
      </c>
      <c r="W31">
        <f t="array" ref="W31">INDEX(L$3:L$700,MATCH($B31&amp;$C31&amp;"baseline",$B$3:$B$700&amp;$C$3:$C$700&amp;$D$3:$D$700,0))</f>
        <v>92.187096551629764</v>
      </c>
      <c r="X31">
        <f t="array" ref="X31">INDEX(M$3:M$700,MATCH($B31&amp;$C31&amp;"baseline",$B$3:$B$700&amp;$C$3:$C$700&amp;$D$3:$D$700,0))</f>
        <v>26.469743368383877</v>
      </c>
      <c r="Y31">
        <f t="array" ref="Y31">INDEX(N$3:N$700,MATCH($B31&amp;$C31&amp;"baseline",$B$3:$B$700&amp;$C$3:$C$700&amp;$D$3:$D$700,0))</f>
        <v>0</v>
      </c>
      <c r="Z31">
        <f t="array" ref="Z31">INDEX(O$3:O$700,MATCH($B31&amp;$C31&amp;"baseline",$B$3:$B$700&amp;$C$3:$C$700&amp;$D$3:$D$700,0))</f>
        <v>40.374889401222738</v>
      </c>
      <c r="AA31">
        <f t="array" ref="AA31">INDEX(P$3:P$700,MATCH($B31&amp;$C31&amp;"baseline",$B$3:$B$700&amp;$C$3:$C$700&amp;$D$3:$D$700,0))</f>
        <v>15.44068363155726</v>
      </c>
      <c r="AB31">
        <f t="array" ref="AB31">INDEX(Q$3:Q$700,MATCH($B31&amp;$C31&amp;"baseline",$B$3:$B$700&amp;$C$3:$C$700&amp;$D$3:$D$700,0))</f>
        <v>0</v>
      </c>
      <c r="AC31">
        <f t="shared" si="6"/>
        <v>736.43347355995718</v>
      </c>
      <c r="AD31">
        <f t="shared" si="7"/>
        <v>5.5967908112017994</v>
      </c>
      <c r="AE31">
        <f t="shared" si="8"/>
        <v>0.87135665324100842</v>
      </c>
      <c r="AF31">
        <f t="shared" si="9"/>
        <v>0.87830709720125177</v>
      </c>
      <c r="AG31">
        <f>(S31+V31+Y31)*constants!$O$2+(R31+T31+U31+W31+X31+Z31+AA31+AB31)*constants!$N$2</f>
        <v>31.25195281037665</v>
      </c>
      <c r="AH31">
        <f>((S31+V31+Y31)-(H31+K31+N31))*constants!$O$2</f>
        <v>9.0668011141469149E-2</v>
      </c>
      <c r="AI31">
        <f>((R31+T31+U31+W31+X31+Z31+AA31+AB31)-(G31+I31+J31+L31+M31+O31+P31+Q31))*constants!$N$2</f>
        <v>9.8463301816233958E-2</v>
      </c>
      <c r="AJ31">
        <f t="shared" si="10"/>
        <v>0.60518238365861554</v>
      </c>
      <c r="AK31">
        <f t="shared" si="11"/>
        <v>0.18913131295770311</v>
      </c>
      <c r="AL31">
        <f>COUNTIFS($B:$B,$B31,$AK:$AK,"&lt;"&amp;$AK31)+COUNTIFS($B$2:$B31,$B31,$AK$2:$AK31,$AK31)</f>
        <v>9</v>
      </c>
      <c r="AM31" s="191">
        <f>IF(AK31=0, "NA",IF(((sim_annual_output!F31/E31)/AK31)&lt;0,100,((sim_annual_output!F31/E31)/AK31)))</f>
        <v>6.2158223650834339</v>
      </c>
      <c r="AN31">
        <f>(S31+V31)*constants!$F$2+(T31+U31+W31+X31+Y31+Z31+AA31+AB31)*constants!$G$2</f>
        <v>269748.407906131</v>
      </c>
      <c r="AO31">
        <f>(AD31*constants!$F$2+AE31*constants!$G$2)</f>
        <v>1759.9058435247994</v>
      </c>
      <c r="AP31">
        <f t="shared" si="12"/>
        <v>0.65242492335199409</v>
      </c>
    </row>
    <row r="32" spans="1:42">
      <c r="A32">
        <f>sim_annual_output!B32</f>
        <v>2</v>
      </c>
      <c r="B32" t="str">
        <f>sim_annual_output!C32</f>
        <v>Fire Hall</v>
      </c>
      <c r="C32" t="str">
        <f>sim_annual_output!D32</f>
        <v>1959-pre</v>
      </c>
      <c r="D32" t="str">
        <f>sim_annual_output!E32</f>
        <v>elec_reduce</v>
      </c>
      <c r="E32" s="45">
        <f t="array" ref="E32">IFERROR(INDEX(baseline!$J$3:$J$201,MATCH($B32&amp;$C32,baseline!$C$3:$C$201&amp;baseline!$D$3:$D$201,0)),"NA")</f>
        <v>911.73353310000005</v>
      </c>
      <c r="F32">
        <f>sim_annual_output!G32</f>
        <v>911.73353307153502</v>
      </c>
      <c r="G32">
        <f>$E32/$F32^2*sim_annual_output!I32</f>
        <v>0</v>
      </c>
      <c r="H32">
        <f>$E32/$F32^2*sim_annual_output!J32</f>
        <v>562.69836239067524</v>
      </c>
      <c r="I32">
        <f>$E32/$F32^2*sim_annual_output!K32</f>
        <v>1.0328318372332106</v>
      </c>
      <c r="J32">
        <f>$E32/$F32^2*sim_annual_output!L32</f>
        <v>23.654591104066807</v>
      </c>
      <c r="K32">
        <f>$E32/$F32^2*sim_annual_output!M32</f>
        <v>0</v>
      </c>
      <c r="L32">
        <f>$E32/$F32^2*sim_annual_output!N32</f>
        <v>64.529139565189979</v>
      </c>
      <c r="M32">
        <f>$E32/$F32^2*sim_annual_output!O32</f>
        <v>26.469743368383877</v>
      </c>
      <c r="N32">
        <f>$E32/$F32^2*sim_annual_output!P32</f>
        <v>0</v>
      </c>
      <c r="O32">
        <f>$E32/$F32^2*sim_annual_output!Q32</f>
        <v>40.667372753359572</v>
      </c>
      <c r="P32">
        <f>$E32/$F32^2*sim_annual_output!R32</f>
        <v>12.259927177069143</v>
      </c>
      <c r="Q32">
        <f>$E32/$F32^2*sim_annual_output!S32</f>
        <v>0</v>
      </c>
      <c r="R32">
        <f t="array" ref="R32">INDEX(G$3:G$700,MATCH($B32&amp;$C32&amp;"baseline",$B$3:$B$700&amp;$C$3:$C$700&amp;$D$3:$D$700,0))</f>
        <v>0</v>
      </c>
      <c r="S32">
        <f t="array" ref="S32">INDEX(H$3:H$700,MATCH($B32&amp;$C32&amp;"baseline",$B$3:$B$700&amp;$C$3:$C$700&amp;$D$3:$D$700,0))</f>
        <v>536.82881923448883</v>
      </c>
      <c r="T32">
        <f t="array" ref="T32">INDEX(I$3:I$700,MATCH($B32&amp;$C32&amp;"baseline",$B$3:$B$700&amp;$C$3:$C$700&amp;$D$3:$D$700,0))</f>
        <v>1.4776502686079858</v>
      </c>
      <c r="U32">
        <f t="array" ref="U32">INDEX(J$3:J$700,MATCH($B32&amp;$C32&amp;"baseline",$B$3:$B$700&amp;$C$3:$C$700&amp;$D$3:$D$700,0))</f>
        <v>23.654591104066807</v>
      </c>
      <c r="V32">
        <f t="array" ref="V32">INDEX(K$3:K$700,MATCH($B32&amp;$C32&amp;"baseline",$B$3:$B$700&amp;$C$3:$C$700&amp;$D$3:$D$700,0))</f>
        <v>0</v>
      </c>
      <c r="W32">
        <f t="array" ref="W32">INDEX(L$3:L$700,MATCH($B32&amp;$C32&amp;"baseline",$B$3:$B$700&amp;$C$3:$C$700&amp;$D$3:$D$700,0))</f>
        <v>92.187096551629764</v>
      </c>
      <c r="X32">
        <f t="array" ref="X32">INDEX(M$3:M$700,MATCH($B32&amp;$C32&amp;"baseline",$B$3:$B$700&amp;$C$3:$C$700&amp;$D$3:$D$700,0))</f>
        <v>26.469743368383877</v>
      </c>
      <c r="Y32">
        <f t="array" ref="Y32">INDEX(N$3:N$700,MATCH($B32&amp;$C32&amp;"baseline",$B$3:$B$700&amp;$C$3:$C$700&amp;$D$3:$D$700,0))</f>
        <v>0</v>
      </c>
      <c r="Z32">
        <f t="array" ref="Z32">INDEX(O$3:O$700,MATCH($B32&amp;$C32&amp;"baseline",$B$3:$B$700&amp;$C$3:$C$700&amp;$D$3:$D$700,0))</f>
        <v>40.374889401222738</v>
      </c>
      <c r="AA32">
        <f t="array" ref="AA32">INDEX(P$3:P$700,MATCH($B32&amp;$C32&amp;"baseline",$B$3:$B$700&amp;$C$3:$C$700&amp;$D$3:$D$700,0))</f>
        <v>15.44068363155726</v>
      </c>
      <c r="AB32">
        <f t="array" ref="AB32">INDEX(Q$3:Q$700,MATCH($B32&amp;$C32&amp;"baseline",$B$3:$B$700&amp;$C$3:$C$700&amp;$D$3:$D$700,0))</f>
        <v>0</v>
      </c>
      <c r="AC32">
        <f t="shared" si="6"/>
        <v>736.43347355995718</v>
      </c>
      <c r="AD32">
        <f t="shared" si="7"/>
        <v>-25.86954315618641</v>
      </c>
      <c r="AE32">
        <f t="shared" si="8"/>
        <v>30.991048520165862</v>
      </c>
      <c r="AF32">
        <f t="shared" si="9"/>
        <v>0.69544711747305998</v>
      </c>
      <c r="AG32">
        <f>(S32+V32+Y32)*constants!$O$2+(R32+T32+U32+W32+X32+Z32+AA32+AB32)*constants!$N$2</f>
        <v>31.25195281037665</v>
      </c>
      <c r="AH32">
        <f>((S32+V32+Y32)-(H32+K32+N32))*constants!$O$2</f>
        <v>-0.41908659913021984</v>
      </c>
      <c r="AI32">
        <f>((R32+T32+U32+W32+X32+Z32+AA32+AB32)-(G32+I32+J32+L32+M32+O32+P32+Q32))*constants!$N$2</f>
        <v>3.5019884827787426</v>
      </c>
      <c r="AJ32">
        <f t="shared" si="10"/>
        <v>9.864669585143174</v>
      </c>
      <c r="AK32">
        <f t="shared" si="11"/>
        <v>3.0829018836485229</v>
      </c>
      <c r="AL32">
        <f>COUNTIFS($B:$B,$B32,$AK:$AK,"&lt;"&amp;$AK32)+COUNTIFS($B$2:$B32,$B32,$AK$2:$AK32,$AK32)</f>
        <v>18</v>
      </c>
      <c r="AM32" s="191">
        <f>IF(AK32=0, "NA",IF(((sim_annual_output!F32/E32)/AK32)&lt;0,100,((sim_annual_output!F32/E32)/AK32)))</f>
        <v>12.284169608665463</v>
      </c>
      <c r="AN32">
        <f>(S32+V32)*constants!$F$2+(T32+U32+W32+X32+Y32+Z32+AA32+AB32)*constants!$G$2</f>
        <v>269748.407906131</v>
      </c>
      <c r="AO32">
        <f>(AD32*constants!$F$2+AE32*constants!$G$2)</f>
        <v>22331.563987586931</v>
      </c>
      <c r="AP32">
        <f t="shared" si="12"/>
        <v>8.2786638708755724</v>
      </c>
    </row>
    <row r="33" spans="1:42">
      <c r="A33">
        <f>sim_annual_output!B33</f>
        <v>2</v>
      </c>
      <c r="B33" t="str">
        <f>sim_annual_output!C33</f>
        <v>Fire Hall</v>
      </c>
      <c r="C33" t="str">
        <f>sim_annual_output!D33</f>
        <v>1959-pre</v>
      </c>
      <c r="D33" t="str">
        <f>sim_annual_output!E33</f>
        <v>envelope_ecm_roof</v>
      </c>
      <c r="E33" s="45">
        <f t="array" ref="E33">IFERROR(INDEX(baseline!$J$3:$J$201,MATCH($B33&amp;$C33,baseline!$C$3:$C$201&amp;baseline!$D$3:$D$201,0)),"NA")</f>
        <v>911.73353310000005</v>
      </c>
      <c r="F33">
        <f>sim_annual_output!G33</f>
        <v>911.73353307153502</v>
      </c>
      <c r="G33">
        <f>$E33/$F33^2*sim_annual_output!I33</f>
        <v>0</v>
      </c>
      <c r="H33">
        <f>$E33/$F33^2*sim_annual_output!J33</f>
        <v>522.70735738913208</v>
      </c>
      <c r="I33">
        <f>$E33/$F33^2*sim_annual_output!K33</f>
        <v>1.4928837765317795</v>
      </c>
      <c r="J33">
        <f>$E33/$F33^2*sim_annual_output!L33</f>
        <v>23.654591104066807</v>
      </c>
      <c r="K33">
        <f>$E33/$F33^2*sim_annual_output!M33</f>
        <v>0</v>
      </c>
      <c r="L33">
        <f>$E33/$F33^2*sim_annual_output!N33</f>
        <v>92.187096551629764</v>
      </c>
      <c r="M33">
        <f>$E33/$F33^2*sim_annual_output!O33</f>
        <v>26.469743368383877</v>
      </c>
      <c r="N33">
        <f>$E33/$F33^2*sim_annual_output!P33</f>
        <v>0</v>
      </c>
      <c r="O33">
        <f>$E33/$F33^2*sim_annual_output!Q33</f>
        <v>39.942257776186999</v>
      </c>
      <c r="P33">
        <f>$E33/$F33^2*sim_annual_output!R33</f>
        <v>15.184760698437527</v>
      </c>
      <c r="Q33">
        <f>$E33/$F33^2*sim_annual_output!S33</f>
        <v>0</v>
      </c>
      <c r="R33">
        <f t="array" ref="R33">INDEX(G$3:G$700,MATCH($B33&amp;$C33&amp;"baseline",$B$3:$B$700&amp;$C$3:$C$700&amp;$D$3:$D$700,0))</f>
        <v>0</v>
      </c>
      <c r="S33">
        <f t="array" ref="S33">INDEX(H$3:H$700,MATCH($B33&amp;$C33&amp;"baseline",$B$3:$B$700&amp;$C$3:$C$700&amp;$D$3:$D$700,0))</f>
        <v>536.82881923448883</v>
      </c>
      <c r="T33">
        <f t="array" ref="T33">INDEX(I$3:I$700,MATCH($B33&amp;$C33&amp;"baseline",$B$3:$B$700&amp;$C$3:$C$700&amp;$D$3:$D$700,0))</f>
        <v>1.4776502686079858</v>
      </c>
      <c r="U33">
        <f t="array" ref="U33">INDEX(J$3:J$700,MATCH($B33&amp;$C33&amp;"baseline",$B$3:$B$700&amp;$C$3:$C$700&amp;$D$3:$D$700,0))</f>
        <v>23.654591104066807</v>
      </c>
      <c r="V33">
        <f t="array" ref="V33">INDEX(K$3:K$700,MATCH($B33&amp;$C33&amp;"baseline",$B$3:$B$700&amp;$C$3:$C$700&amp;$D$3:$D$700,0))</f>
        <v>0</v>
      </c>
      <c r="W33">
        <f t="array" ref="W33">INDEX(L$3:L$700,MATCH($B33&amp;$C33&amp;"baseline",$B$3:$B$700&amp;$C$3:$C$700&amp;$D$3:$D$700,0))</f>
        <v>92.187096551629764</v>
      </c>
      <c r="X33">
        <f t="array" ref="X33">INDEX(M$3:M$700,MATCH($B33&amp;$C33&amp;"baseline",$B$3:$B$700&amp;$C$3:$C$700&amp;$D$3:$D$700,0))</f>
        <v>26.469743368383877</v>
      </c>
      <c r="Y33">
        <f t="array" ref="Y33">INDEX(N$3:N$700,MATCH($B33&amp;$C33&amp;"baseline",$B$3:$B$700&amp;$C$3:$C$700&amp;$D$3:$D$700,0))</f>
        <v>0</v>
      </c>
      <c r="Z33">
        <f t="array" ref="Z33">INDEX(O$3:O$700,MATCH($B33&amp;$C33&amp;"baseline",$B$3:$B$700&amp;$C$3:$C$700&amp;$D$3:$D$700,0))</f>
        <v>40.374889401222738</v>
      </c>
      <c r="AA33">
        <f t="array" ref="AA33">INDEX(P$3:P$700,MATCH($B33&amp;$C33&amp;"baseline",$B$3:$B$700&amp;$C$3:$C$700&amp;$D$3:$D$700,0))</f>
        <v>15.44068363155726</v>
      </c>
      <c r="AB33">
        <f t="array" ref="AB33">INDEX(Q$3:Q$700,MATCH($B33&amp;$C33&amp;"baseline",$B$3:$B$700&amp;$C$3:$C$700&amp;$D$3:$D$700,0))</f>
        <v>0</v>
      </c>
      <c r="AC33">
        <f t="shared" si="6"/>
        <v>736.43347355995718</v>
      </c>
      <c r="AD33">
        <f t="shared" si="7"/>
        <v>14.121461845356748</v>
      </c>
      <c r="AE33">
        <f t="shared" si="8"/>
        <v>0.67332105023166378</v>
      </c>
      <c r="AF33">
        <f t="shared" si="9"/>
        <v>2.0089775148418596</v>
      </c>
      <c r="AG33">
        <f>(S33+V33+Y33)*constants!$O$2+(R33+T33+U33+W33+X33+Z33+AA33+AB33)*constants!$N$2</f>
        <v>31.25195281037665</v>
      </c>
      <c r="AH33">
        <f>((S33+V33+Y33)-(H33+K33+N33))*constants!$O$2</f>
        <v>0.22876768189477931</v>
      </c>
      <c r="AI33">
        <f>((R33+T33+U33+W33+X33+Z33+AA33+AB33)-(G33+I33+J33+L33+M33+O33+P33+Q33))*constants!$N$2</f>
        <v>7.6085278676178009E-2</v>
      </c>
      <c r="AJ33">
        <f t="shared" si="10"/>
        <v>0.97546851686572489</v>
      </c>
      <c r="AK33">
        <f t="shared" si="11"/>
        <v>0.30485296057095734</v>
      </c>
      <c r="AL33">
        <f>COUNTIFS($B:$B,$B33,$AK:$AK,"&lt;"&amp;$AK33)+COUNTIFS($B$2:$B33,$B33,$AK$2:$AK33,$AK33)</f>
        <v>10</v>
      </c>
      <c r="AM33" s="191">
        <f>IF(AK33=0, "NA",IF(((sim_annual_output!F33/E33)/AK33)&lt;0,100,((sim_annual_output!F33/E33)/AK33)))</f>
        <v>625.05980772843805</v>
      </c>
      <c r="AN33">
        <f>(S33+V33)*constants!$F$2+(T33+U33+W33+X33+Y33+Z33+AA33+AB33)*constants!$G$2</f>
        <v>269748.407906131</v>
      </c>
      <c r="AO33">
        <f>(AD33*constants!$F$2+AE33*constants!$G$2)</f>
        <v>3113.5309840204054</v>
      </c>
      <c r="AP33">
        <f t="shared" si="12"/>
        <v>1.154235166089979</v>
      </c>
    </row>
    <row r="34" spans="1:42">
      <c r="A34">
        <f>sim_annual_output!B34</f>
        <v>2</v>
      </c>
      <c r="B34" t="str">
        <f>sim_annual_output!C34</f>
        <v>Fire Hall</v>
      </c>
      <c r="C34" t="str">
        <f>sim_annual_output!D34</f>
        <v>1959-pre</v>
      </c>
      <c r="D34" t="str">
        <f>sim_annual_output!E34</f>
        <v>envelope_ecm_wall</v>
      </c>
      <c r="E34" s="45">
        <f t="array" ref="E34">IFERROR(INDEX(baseline!$J$3:$J$201,MATCH($B34&amp;$C34,baseline!$C$3:$C$201&amp;baseline!$D$3:$D$201,0)),"NA")</f>
        <v>911.73353310000005</v>
      </c>
      <c r="F34">
        <f>sim_annual_output!G34</f>
        <v>911.73353307153502</v>
      </c>
      <c r="G34">
        <f>$E34/$F34^2*sim_annual_output!I34</f>
        <v>0</v>
      </c>
      <c r="H34">
        <f>$E34/$F34^2*sim_annual_output!J34</f>
        <v>517.23243464132065</v>
      </c>
      <c r="I34">
        <f>$E34/$F34^2*sim_annual_output!K34</f>
        <v>1.5385843003031603</v>
      </c>
      <c r="J34">
        <f>$E34/$F34^2*sim_annual_output!L34</f>
        <v>23.654591104066807</v>
      </c>
      <c r="K34">
        <f>$E34/$F34^2*sim_annual_output!M34</f>
        <v>0</v>
      </c>
      <c r="L34">
        <f>$E34/$F34^2*sim_annual_output!N34</f>
        <v>92.187096551629764</v>
      </c>
      <c r="M34">
        <f>$E34/$F34^2*sim_annual_output!O34</f>
        <v>26.469743368383877</v>
      </c>
      <c r="N34">
        <f>$E34/$F34^2*sim_annual_output!P34</f>
        <v>0</v>
      </c>
      <c r="O34">
        <f>$E34/$F34^2*sim_annual_output!Q34</f>
        <v>39.695474947821538</v>
      </c>
      <c r="P34">
        <f>$E34/$F34^2*sim_annual_output!R34</f>
        <v>14.986725095428211</v>
      </c>
      <c r="Q34">
        <f>$E34/$F34^2*sim_annual_output!S34</f>
        <v>0</v>
      </c>
      <c r="R34">
        <f t="array" ref="R34">INDEX(G$3:G$700,MATCH($B34&amp;$C34&amp;"baseline",$B$3:$B$700&amp;$C$3:$C$700&amp;$D$3:$D$700,0))</f>
        <v>0</v>
      </c>
      <c r="S34">
        <f t="array" ref="S34">INDEX(H$3:H$700,MATCH($B34&amp;$C34&amp;"baseline",$B$3:$B$700&amp;$C$3:$C$700&amp;$D$3:$D$700,0))</f>
        <v>536.82881923448883</v>
      </c>
      <c r="T34">
        <f t="array" ref="T34">INDEX(I$3:I$700,MATCH($B34&amp;$C34&amp;"baseline",$B$3:$B$700&amp;$C$3:$C$700&amp;$D$3:$D$700,0))</f>
        <v>1.4776502686079858</v>
      </c>
      <c r="U34">
        <f t="array" ref="U34">INDEX(J$3:J$700,MATCH($B34&amp;$C34&amp;"baseline",$B$3:$B$700&amp;$C$3:$C$700&amp;$D$3:$D$700,0))</f>
        <v>23.654591104066807</v>
      </c>
      <c r="V34">
        <f t="array" ref="V34">INDEX(K$3:K$700,MATCH($B34&amp;$C34&amp;"baseline",$B$3:$B$700&amp;$C$3:$C$700&amp;$D$3:$D$700,0))</f>
        <v>0</v>
      </c>
      <c r="W34">
        <f t="array" ref="W34">INDEX(L$3:L$700,MATCH($B34&amp;$C34&amp;"baseline",$B$3:$B$700&amp;$C$3:$C$700&amp;$D$3:$D$700,0))</f>
        <v>92.187096551629764</v>
      </c>
      <c r="X34">
        <f t="array" ref="X34">INDEX(M$3:M$700,MATCH($B34&amp;$C34&amp;"baseline",$B$3:$B$700&amp;$C$3:$C$700&amp;$D$3:$D$700,0))</f>
        <v>26.469743368383877</v>
      </c>
      <c r="Y34">
        <f t="array" ref="Y34">INDEX(N$3:N$700,MATCH($B34&amp;$C34&amp;"baseline",$B$3:$B$700&amp;$C$3:$C$700&amp;$D$3:$D$700,0))</f>
        <v>0</v>
      </c>
      <c r="Z34">
        <f t="array" ref="Z34">INDEX(O$3:O$700,MATCH($B34&amp;$C34&amp;"baseline",$B$3:$B$700&amp;$C$3:$C$700&amp;$D$3:$D$700,0))</f>
        <v>40.374889401222738</v>
      </c>
      <c r="AA34">
        <f t="array" ref="AA34">INDEX(P$3:P$700,MATCH($B34&amp;$C34&amp;"baseline",$B$3:$B$700&amp;$C$3:$C$700&amp;$D$3:$D$700,0))</f>
        <v>15.44068363155726</v>
      </c>
      <c r="AB34">
        <f t="array" ref="AB34">INDEX(Q$3:Q$700,MATCH($B34&amp;$C34&amp;"baseline",$B$3:$B$700&amp;$C$3:$C$700&amp;$D$3:$D$700,0))</f>
        <v>0</v>
      </c>
      <c r="AC34">
        <f t="shared" si="6"/>
        <v>736.43347355995718</v>
      </c>
      <c r="AD34">
        <f t="shared" si="7"/>
        <v>19.596384593168182</v>
      </c>
      <c r="AE34">
        <f t="shared" si="8"/>
        <v>1.0724389578350895</v>
      </c>
      <c r="AF34">
        <f t="shared" si="9"/>
        <v>2.8066110915747919</v>
      </c>
      <c r="AG34">
        <f>(S34+V34+Y34)*constants!$O$2+(R34+T34+U34+W34+X34+Z34+AA34+AB34)*constants!$N$2</f>
        <v>31.25195281037665</v>
      </c>
      <c r="AH34">
        <f>((S34+V34+Y34)-(H34+K34+N34))*constants!$O$2</f>
        <v>0.31746143040932451</v>
      </c>
      <c r="AI34">
        <f>((R34+T34+U34+W34+X34+Z34+AA34+AB34)-(G34+I34+J34+L34+M34+O34+P34+Q34))*constants!$N$2</f>
        <v>0.12118560223536512</v>
      </c>
      <c r="AJ34">
        <f t="shared" si="10"/>
        <v>1.4035827946695374</v>
      </c>
      <c r="AK34">
        <f t="shared" si="11"/>
        <v>0.43864703264468963</v>
      </c>
      <c r="AL34">
        <f>COUNTIFS($B:$B,$B34,$AK:$AK,"&lt;"&amp;$AK34)+COUNTIFS($B$2:$B34,$B34,$AK$2:$AK34,$AK34)</f>
        <v>12</v>
      </c>
      <c r="AM34" s="191">
        <f>IF(AK34=0, "NA",IF(((sim_annual_output!F34/E34)/AK34)&lt;0,100,((sim_annual_output!F34/E34)/AK34)))</f>
        <v>679.73194750378775</v>
      </c>
      <c r="AN34">
        <f>(S34+V34)*constants!$F$2+(T34+U34+W34+X34+Y34+Z34+AA34+AB34)*constants!$G$2</f>
        <v>269748.407906131</v>
      </c>
      <c r="AO34">
        <f>(AD34*constants!$F$2+AE34*constants!$G$2)</f>
        <v>4440.7747354936328</v>
      </c>
      <c r="AP34">
        <f t="shared" si="12"/>
        <v>1.6462654107819483</v>
      </c>
    </row>
    <row r="35" spans="1:42">
      <c r="A35">
        <f>sim_annual_output!B35</f>
        <v>2</v>
      </c>
      <c r="B35" t="str">
        <f>sim_annual_output!C35</f>
        <v>Fire Hall</v>
      </c>
      <c r="C35" t="str">
        <f>sim_annual_output!D35</f>
        <v>1959-pre</v>
      </c>
      <c r="D35" t="str">
        <f>sim_annual_output!E35</f>
        <v>envelope_ecm_windows</v>
      </c>
      <c r="E35" s="45">
        <f t="array" ref="E35">IFERROR(INDEX(baseline!$J$3:$J$201,MATCH($B35&amp;$C35,baseline!$C$3:$C$201&amp;baseline!$D$3:$D$201,0)),"NA")</f>
        <v>911.73353310000005</v>
      </c>
      <c r="F35">
        <f>sim_annual_output!G35</f>
        <v>911.73353307153502</v>
      </c>
      <c r="G35">
        <f>$E35/$F35^2*sim_annual_output!I35</f>
        <v>0</v>
      </c>
      <c r="H35">
        <f>$E35/$F35^2*sim_annual_output!J35</f>
        <v>520.20296868646039</v>
      </c>
      <c r="I35">
        <f>$E35/$F35^2*sim_annual_output!K35</f>
        <v>1.5660046145659889</v>
      </c>
      <c r="J35">
        <f>$E35/$F35^2*sim_annual_output!L35</f>
        <v>23.654591104066807</v>
      </c>
      <c r="K35">
        <f>$E35/$F35^2*sim_annual_output!M35</f>
        <v>0</v>
      </c>
      <c r="L35">
        <f>$E35/$F35^2*sim_annual_output!N35</f>
        <v>92.187096551629764</v>
      </c>
      <c r="M35">
        <f>$E35/$F35^2*sim_annual_output!O35</f>
        <v>26.469743368383877</v>
      </c>
      <c r="N35">
        <f>$E35/$F35^2*sim_annual_output!P35</f>
        <v>0</v>
      </c>
      <c r="O35">
        <f>$E35/$F35^2*sim_annual_output!Q35</f>
        <v>39.838669922305193</v>
      </c>
      <c r="P35">
        <f>$E35/$F35^2*sim_annual_output!R35</f>
        <v>15.041565723953866</v>
      </c>
      <c r="Q35">
        <f>$E35/$F35^2*sim_annual_output!S35</f>
        <v>0</v>
      </c>
      <c r="R35">
        <f t="array" ref="R35">INDEX(G$3:G$700,MATCH($B35&amp;$C35&amp;"baseline",$B$3:$B$700&amp;$C$3:$C$700&amp;$D$3:$D$700,0))</f>
        <v>0</v>
      </c>
      <c r="S35">
        <f t="array" ref="S35">INDEX(H$3:H$700,MATCH($B35&amp;$C35&amp;"baseline",$B$3:$B$700&amp;$C$3:$C$700&amp;$D$3:$D$700,0))</f>
        <v>536.82881923448883</v>
      </c>
      <c r="T35">
        <f t="array" ref="T35">INDEX(I$3:I$700,MATCH($B35&amp;$C35&amp;"baseline",$B$3:$B$700&amp;$C$3:$C$700&amp;$D$3:$D$700,0))</f>
        <v>1.4776502686079858</v>
      </c>
      <c r="U35">
        <f t="array" ref="U35">INDEX(J$3:J$700,MATCH($B35&amp;$C35&amp;"baseline",$B$3:$B$700&amp;$C$3:$C$700&amp;$D$3:$D$700,0))</f>
        <v>23.654591104066807</v>
      </c>
      <c r="V35">
        <f t="array" ref="V35">INDEX(K$3:K$700,MATCH($B35&amp;$C35&amp;"baseline",$B$3:$B$700&amp;$C$3:$C$700&amp;$D$3:$D$700,0))</f>
        <v>0</v>
      </c>
      <c r="W35">
        <f t="array" ref="W35">INDEX(L$3:L$700,MATCH($B35&amp;$C35&amp;"baseline",$B$3:$B$700&amp;$C$3:$C$700&amp;$D$3:$D$700,0))</f>
        <v>92.187096551629764</v>
      </c>
      <c r="X35">
        <f t="array" ref="X35">INDEX(M$3:M$700,MATCH($B35&amp;$C35&amp;"baseline",$B$3:$B$700&amp;$C$3:$C$700&amp;$D$3:$D$700,0))</f>
        <v>26.469743368383877</v>
      </c>
      <c r="Y35">
        <f t="array" ref="Y35">INDEX(N$3:N$700,MATCH($B35&amp;$C35&amp;"baseline",$B$3:$B$700&amp;$C$3:$C$700&amp;$D$3:$D$700,0))</f>
        <v>0</v>
      </c>
      <c r="Z35">
        <f t="array" ref="Z35">INDEX(O$3:O$700,MATCH($B35&amp;$C35&amp;"baseline",$B$3:$B$700&amp;$C$3:$C$700&amp;$D$3:$D$700,0))</f>
        <v>40.374889401222738</v>
      </c>
      <c r="AA35">
        <f t="array" ref="AA35">INDEX(P$3:P$700,MATCH($B35&amp;$C35&amp;"baseline",$B$3:$B$700&amp;$C$3:$C$700&amp;$D$3:$D$700,0))</f>
        <v>15.44068363155726</v>
      </c>
      <c r="AB35">
        <f t="array" ref="AB35">INDEX(Q$3:Q$700,MATCH($B35&amp;$C35&amp;"baseline",$B$3:$B$700&amp;$C$3:$C$700&amp;$D$3:$D$700,0))</f>
        <v>0</v>
      </c>
      <c r="AC35">
        <f t="shared" si="6"/>
        <v>736.43347355995718</v>
      </c>
      <c r="AD35">
        <f t="shared" si="7"/>
        <v>16.625850548028438</v>
      </c>
      <c r="AE35">
        <f t="shared" si="8"/>
        <v>0.8469830405629466</v>
      </c>
      <c r="AF35">
        <f t="shared" si="9"/>
        <v>2.3726289224913706</v>
      </c>
      <c r="AG35">
        <f>(S35+V35+Y35)*constants!$O$2+(R35+T35+U35+W35+X35+Z35+AA35+AB35)*constants!$N$2</f>
        <v>31.25195281037665</v>
      </c>
      <c r="AH35">
        <f>((S35+V35+Y35)-(H35+K35+N35))*constants!$O$2</f>
        <v>0.26933877887806068</v>
      </c>
      <c r="AI35">
        <f>((R35+T35+U35+W35+X35+Z35+AA35+AB35)-(G35+I35+J35+L35+M35+O35+P35+Q35))*constants!$N$2</f>
        <v>9.5709083583612964E-2</v>
      </c>
      <c r="AJ35">
        <f t="shared" si="10"/>
        <v>1.1680801666271108</v>
      </c>
      <c r="AK35">
        <f t="shared" si="11"/>
        <v>0.36504786246167364</v>
      </c>
      <c r="AL35">
        <f>COUNTIFS($B:$B,$B35,$AK:$AK,"&lt;"&amp;$AK35)+COUNTIFS($B$2:$B35,$B35,$AK$2:$AK35,$AK35)</f>
        <v>11</v>
      </c>
      <c r="AM35" s="191">
        <f>IF(AK35=0, "NA",IF(((sim_annual_output!F35/E35)/AK35)&lt;0,100,((sim_annual_output!F35/E35)/AK35)))</f>
        <v>178.65522097675262</v>
      </c>
      <c r="AN35">
        <f>(S35+V35)*constants!$F$2+(T35+U35+W35+X35+Y35+Z35+AA35+AB35)*constants!$G$2</f>
        <v>269748.407906131</v>
      </c>
      <c r="AO35">
        <f>(AD35*constants!$F$2+AE35*constants!$G$2)</f>
        <v>3712.9024933868541</v>
      </c>
      <c r="AP35">
        <f t="shared" si="12"/>
        <v>1.3764316617130494</v>
      </c>
    </row>
    <row r="36" spans="1:42">
      <c r="A36">
        <f>sim_annual_output!B36</f>
        <v>2</v>
      </c>
      <c r="B36" t="str">
        <f>sim_annual_output!C36</f>
        <v>Fire Hall</v>
      </c>
      <c r="C36" t="str">
        <f>sim_annual_output!D36</f>
        <v>1959-pre</v>
      </c>
      <c r="D36" t="str">
        <f>sim_annual_output!E36</f>
        <v>fans_to_variable</v>
      </c>
      <c r="E36" s="45">
        <f t="array" ref="E36">IFERROR(INDEX(baseline!$J$3:$J$201,MATCH($B36&amp;$C36,baseline!$C$3:$C$201&amp;baseline!$D$3:$D$201,0)),"NA")</f>
        <v>911.73353310000005</v>
      </c>
      <c r="F36">
        <f>sim_annual_output!G36</f>
        <v>911.73353307153502</v>
      </c>
      <c r="G36">
        <f>$E36/$F36^2*sim_annual_output!I36</f>
        <v>0</v>
      </c>
      <c r="H36">
        <f>$E36/$F36^2*sim_annual_output!J36</f>
        <v>530.63182821108956</v>
      </c>
      <c r="I36">
        <f>$E36/$F36^2*sim_annual_output!K36</f>
        <v>1.529444195548884</v>
      </c>
      <c r="J36">
        <f>$E36/$F36^2*sim_annual_output!L36</f>
        <v>23.654591104066807</v>
      </c>
      <c r="K36">
        <f>$E36/$F36^2*sim_annual_output!M36</f>
        <v>0</v>
      </c>
      <c r="L36">
        <f>$E36/$F36^2*sim_annual_output!N36</f>
        <v>92.187096551629764</v>
      </c>
      <c r="M36">
        <f>$E36/$F36^2*sim_annual_output!O36</f>
        <v>26.469743368383877</v>
      </c>
      <c r="N36">
        <f>$E36/$F36^2*sim_annual_output!P36</f>
        <v>0</v>
      </c>
      <c r="O36">
        <f>$E36/$F36^2*sim_annual_output!Q36</f>
        <v>40.128106572857277</v>
      </c>
      <c r="P36">
        <f>$E36/$F36^2*sim_annual_output!R36</f>
        <v>15.376702898277326</v>
      </c>
      <c r="Q36">
        <f>$E36/$F36^2*sim_annual_output!S36</f>
        <v>0</v>
      </c>
      <c r="R36">
        <f t="array" ref="R36">INDEX(G$3:G$700,MATCH($B36&amp;$C36&amp;"baseline",$B$3:$B$700&amp;$C$3:$C$700&amp;$D$3:$D$700,0))</f>
        <v>0</v>
      </c>
      <c r="S36">
        <f t="array" ref="S36">INDEX(H$3:H$700,MATCH($B36&amp;$C36&amp;"baseline",$B$3:$B$700&amp;$C$3:$C$700&amp;$D$3:$D$700,0))</f>
        <v>536.82881923448883</v>
      </c>
      <c r="T36">
        <f t="array" ref="T36">INDEX(I$3:I$700,MATCH($B36&amp;$C36&amp;"baseline",$B$3:$B$700&amp;$C$3:$C$700&amp;$D$3:$D$700,0))</f>
        <v>1.4776502686079858</v>
      </c>
      <c r="U36">
        <f t="array" ref="U36">INDEX(J$3:J$700,MATCH($B36&amp;$C36&amp;"baseline",$B$3:$B$700&amp;$C$3:$C$700&amp;$D$3:$D$700,0))</f>
        <v>23.654591104066807</v>
      </c>
      <c r="V36">
        <f t="array" ref="V36">INDEX(K$3:K$700,MATCH($B36&amp;$C36&amp;"baseline",$B$3:$B$700&amp;$C$3:$C$700&amp;$D$3:$D$700,0))</f>
        <v>0</v>
      </c>
      <c r="W36">
        <f t="array" ref="W36">INDEX(L$3:L$700,MATCH($B36&amp;$C36&amp;"baseline",$B$3:$B$700&amp;$C$3:$C$700&amp;$D$3:$D$700,0))</f>
        <v>92.187096551629764</v>
      </c>
      <c r="X36">
        <f t="array" ref="X36">INDEX(M$3:M$700,MATCH($B36&amp;$C36&amp;"baseline",$B$3:$B$700&amp;$C$3:$C$700&amp;$D$3:$D$700,0))</f>
        <v>26.469743368383877</v>
      </c>
      <c r="Y36">
        <f t="array" ref="Y36">INDEX(N$3:N$700,MATCH($B36&amp;$C36&amp;"baseline",$B$3:$B$700&amp;$C$3:$C$700&amp;$D$3:$D$700,0))</f>
        <v>0</v>
      </c>
      <c r="Z36">
        <f t="array" ref="Z36">INDEX(O$3:O$700,MATCH($B36&amp;$C36&amp;"baseline",$B$3:$B$700&amp;$C$3:$C$700&amp;$D$3:$D$700,0))</f>
        <v>40.374889401222738</v>
      </c>
      <c r="AA36">
        <f t="array" ref="AA36">INDEX(P$3:P$700,MATCH($B36&amp;$C36&amp;"baseline",$B$3:$B$700&amp;$C$3:$C$700&amp;$D$3:$D$700,0))</f>
        <v>15.44068363155726</v>
      </c>
      <c r="AB36">
        <f t="array" ref="AB36">INDEX(Q$3:Q$700,MATCH($B36&amp;$C36&amp;"baseline",$B$3:$B$700&amp;$C$3:$C$700&amp;$D$3:$D$700,0))</f>
        <v>0</v>
      </c>
      <c r="AC36">
        <f t="shared" si="6"/>
        <v>736.43347355995718</v>
      </c>
      <c r="AD36">
        <f t="shared" si="7"/>
        <v>6.1969910233992778</v>
      </c>
      <c r="AE36">
        <f t="shared" si="8"/>
        <v>0.25896963470449919</v>
      </c>
      <c r="AF36">
        <f t="shared" si="9"/>
        <v>0.87665225575574834</v>
      </c>
      <c r="AG36">
        <f>(S36+V36+Y36)*constants!$O$2+(R36+T36+U36+W36+X36+Z36+AA36+AB36)*constants!$N$2</f>
        <v>31.25195281037665</v>
      </c>
      <c r="AH36">
        <f>((S36+V36+Y36)-(H36+K36+N36))*constants!$O$2</f>
        <v>0.10039125457906829</v>
      </c>
      <c r="AI36">
        <f>((R36+T36+U36+W36+X36+Z36+AA36+AB36)-(G36+I36+J36+L36+M36+O36+P36+Q36))*constants!$N$2</f>
        <v>2.9263568721608409E-2</v>
      </c>
      <c r="AJ36">
        <f t="shared" si="10"/>
        <v>0.41486950939471262</v>
      </c>
      <c r="AK36">
        <f t="shared" si="11"/>
        <v>0.12965482330067671</v>
      </c>
      <c r="AL36">
        <f>COUNTIFS($B:$B,$B36,$AK:$AK,"&lt;"&amp;$AK36)+COUNTIFS($B$2:$B36,$B36,$AK$2:$AK36,$AK36)</f>
        <v>7</v>
      </c>
      <c r="AM36" s="191">
        <f>IF(AK36=0, "NA",IF(((sim_annual_output!F36/E36)/AK36)&lt;0,100,((sim_annual_output!F36/E36)/AK36)))</f>
        <v>8.9358276841045328</v>
      </c>
      <c r="AN36">
        <f>(S36+V36)*constants!$F$2+(T36+U36+W36+X36+Y36+Z36+AA36+AB36)*constants!$G$2</f>
        <v>269748.407906131</v>
      </c>
      <c r="AO36">
        <f>(AD36*constants!$F$2+AE36*constants!$G$2)</f>
        <v>1334.564975381385</v>
      </c>
      <c r="AP36">
        <f t="shared" si="12"/>
        <v>0.49474433815594437</v>
      </c>
    </row>
    <row r="37" spans="1:42">
      <c r="A37">
        <f>sim_annual_output!B37</f>
        <v>2</v>
      </c>
      <c r="B37" t="str">
        <f>sim_annual_output!C37</f>
        <v>Fire Hall</v>
      </c>
      <c r="C37" t="str">
        <f>sim_annual_output!D37</f>
        <v>1959-pre</v>
      </c>
      <c r="D37" t="str">
        <f>sim_annual_output!E37</f>
        <v>hrv_enabled</v>
      </c>
      <c r="E37" s="45">
        <f t="array" ref="E37">IFERROR(INDEX(baseline!$J$3:$J$201,MATCH($B37&amp;$C37,baseline!$C$3:$C$201&amp;baseline!$D$3:$D$201,0)),"NA")</f>
        <v>911.73353310000005</v>
      </c>
      <c r="F37">
        <f>sim_annual_output!G37</f>
        <v>911.73353307153502</v>
      </c>
      <c r="G37">
        <f>$E37/$F37^2*sim_annual_output!I37</f>
        <v>0</v>
      </c>
      <c r="H37">
        <f>$E37/$F37^2*sim_annual_output!J37</f>
        <v>460.67346642185953</v>
      </c>
      <c r="I37">
        <f>$E37/$F37^2*sim_annual_output!K37</f>
        <v>2.6201633628925109</v>
      </c>
      <c r="J37">
        <f>$E37/$F37^2*sim_annual_output!L37</f>
        <v>23.654591104066807</v>
      </c>
      <c r="K37">
        <f>$E37/$F37^2*sim_annual_output!M37</f>
        <v>0</v>
      </c>
      <c r="L37">
        <f>$E37/$F37^2*sim_annual_output!N37</f>
        <v>92.187096551629764</v>
      </c>
      <c r="M37">
        <f>$E37/$F37^2*sim_annual_output!O37</f>
        <v>26.469743368383877</v>
      </c>
      <c r="N37">
        <f>$E37/$F37^2*sim_annual_output!P37</f>
        <v>0</v>
      </c>
      <c r="O37">
        <f>$E37/$F37^2*sim_annual_output!Q37</f>
        <v>40.234741128323833</v>
      </c>
      <c r="P37">
        <f>$E37/$F37^2*sim_annual_output!R37</f>
        <v>14.660728025859024</v>
      </c>
      <c r="Q37">
        <f>$E37/$F37^2*sim_annual_output!S37</f>
        <v>4.8046483991645221</v>
      </c>
      <c r="R37">
        <f t="array" ref="R37">INDEX(G$3:G$700,MATCH($B37&amp;$C37&amp;"baseline",$B$3:$B$700&amp;$C$3:$C$700&amp;$D$3:$D$700,0))</f>
        <v>0</v>
      </c>
      <c r="S37">
        <f t="array" ref="S37">INDEX(H$3:H$700,MATCH($B37&amp;$C37&amp;"baseline",$B$3:$B$700&amp;$C$3:$C$700&amp;$D$3:$D$700,0))</f>
        <v>536.82881923448883</v>
      </c>
      <c r="T37">
        <f t="array" ref="T37">INDEX(I$3:I$700,MATCH($B37&amp;$C37&amp;"baseline",$B$3:$B$700&amp;$C$3:$C$700&amp;$D$3:$D$700,0))</f>
        <v>1.4776502686079858</v>
      </c>
      <c r="U37">
        <f t="array" ref="U37">INDEX(J$3:J$700,MATCH($B37&amp;$C37&amp;"baseline",$B$3:$B$700&amp;$C$3:$C$700&amp;$D$3:$D$700,0))</f>
        <v>23.654591104066807</v>
      </c>
      <c r="V37">
        <f t="array" ref="V37">INDEX(K$3:K$700,MATCH($B37&amp;$C37&amp;"baseline",$B$3:$B$700&amp;$C$3:$C$700&amp;$D$3:$D$700,0))</f>
        <v>0</v>
      </c>
      <c r="W37">
        <f t="array" ref="W37">INDEX(L$3:L$700,MATCH($B37&amp;$C37&amp;"baseline",$B$3:$B$700&amp;$C$3:$C$700&amp;$D$3:$D$700,0))</f>
        <v>92.187096551629764</v>
      </c>
      <c r="X37">
        <f t="array" ref="X37">INDEX(M$3:M$700,MATCH($B37&amp;$C37&amp;"baseline",$B$3:$B$700&amp;$C$3:$C$700&amp;$D$3:$D$700,0))</f>
        <v>26.469743368383877</v>
      </c>
      <c r="Y37">
        <f t="array" ref="Y37">INDEX(N$3:N$700,MATCH($B37&amp;$C37&amp;"baseline",$B$3:$B$700&amp;$C$3:$C$700&amp;$D$3:$D$700,0))</f>
        <v>0</v>
      </c>
      <c r="Z37">
        <f t="array" ref="Z37">INDEX(O$3:O$700,MATCH($B37&amp;$C37&amp;"baseline",$B$3:$B$700&amp;$C$3:$C$700&amp;$D$3:$D$700,0))</f>
        <v>40.374889401222738</v>
      </c>
      <c r="AA37">
        <f t="array" ref="AA37">INDEX(P$3:P$700,MATCH($B37&amp;$C37&amp;"baseline",$B$3:$B$700&amp;$C$3:$C$700&amp;$D$3:$D$700,0))</f>
        <v>15.44068363155726</v>
      </c>
      <c r="AB37">
        <f t="array" ref="AB37">INDEX(Q$3:Q$700,MATCH($B37&amp;$C37&amp;"baseline",$B$3:$B$700&amp;$C$3:$C$700&amp;$D$3:$D$700,0))</f>
        <v>0</v>
      </c>
      <c r="AC37">
        <f t="shared" si="6"/>
        <v>736.43347355995718</v>
      </c>
      <c r="AD37">
        <f t="shared" si="7"/>
        <v>76.155352812629303</v>
      </c>
      <c r="AE37">
        <f t="shared" si="8"/>
        <v>-5.0270576148519126</v>
      </c>
      <c r="AF37">
        <f t="shared" si="9"/>
        <v>9.6584820966841125</v>
      </c>
      <c r="AG37">
        <f>(S37+V37+Y37)*constants!$O$2+(R37+T37+U37+W37+X37+Z37+AA37+AB37)*constants!$N$2</f>
        <v>31.25195281037665</v>
      </c>
      <c r="AH37">
        <f>((S37+V37+Y37)-(H37+K37+N37))*constants!$O$2</f>
        <v>1.2337167155645947</v>
      </c>
      <c r="AI37">
        <f>((R37+T37+U37+W37+X37+Z37+AA37+AB37)-(G37+I37+J37+L37+M37+O37+P37+Q37))*constants!$N$2</f>
        <v>-0.56805751047826614</v>
      </c>
      <c r="AJ37">
        <f t="shared" si="10"/>
        <v>2.1299763541986034</v>
      </c>
      <c r="AK37">
        <f t="shared" si="11"/>
        <v>0.66565920508632859</v>
      </c>
      <c r="AL37">
        <f>COUNTIFS($B:$B,$B37,$AK:$AK,"&lt;"&amp;$AK37)+COUNTIFS($B$2:$B37,$B37,$AK$2:$AK37,$AK37)</f>
        <v>14</v>
      </c>
      <c r="AM37" s="191">
        <f>IF(AK37=0, "NA",IF(((sim_annual_output!F37/E37)/AK37)&lt;0,100,((sim_annual_output!F37/E37)/AK37)))</f>
        <v>116.63530166775156</v>
      </c>
      <c r="AN37">
        <f>(S37+V37)*constants!$F$2+(T37+U37+W37+X37+Y37+Z37+AA37+AB37)*constants!$G$2</f>
        <v>269748.407906131</v>
      </c>
      <c r="AO37">
        <f>(AD37*constants!$F$2+AE37*constants!$G$2)</f>
        <v>9258.2680285394817</v>
      </c>
      <c r="AP37">
        <f t="shared" si="12"/>
        <v>3.4321863474209047</v>
      </c>
    </row>
    <row r="38" spans="1:42">
      <c r="A38">
        <f>sim_annual_output!B38</f>
        <v>2</v>
      </c>
      <c r="B38" t="str">
        <f>sim_annual_output!C38</f>
        <v>Fire Hall</v>
      </c>
      <c r="C38" t="str">
        <f>sim_annual_output!D38</f>
        <v>1959-pre</v>
      </c>
      <c r="D38" t="str">
        <f>sim_annual_output!E38</f>
        <v>infil_reduce</v>
      </c>
      <c r="E38" s="45">
        <f t="array" ref="E38">IFERROR(INDEX(baseline!$J$3:$J$201,MATCH($B38&amp;$C38,baseline!$C$3:$C$201&amp;baseline!$D$3:$D$201,0)),"NA")</f>
        <v>911.73353310000005</v>
      </c>
      <c r="F38">
        <f>sim_annual_output!G38</f>
        <v>911.73353307153502</v>
      </c>
      <c r="G38">
        <f>$E38/$F38^2*sim_annual_output!I38</f>
        <v>0</v>
      </c>
      <c r="H38">
        <f>$E38/$F38^2*sim_annual_output!J38</f>
        <v>240.73207901812654</v>
      </c>
      <c r="I38">
        <f>$E38/$F38^2*sim_annual_output!K38</f>
        <v>2.6993776040962381</v>
      </c>
      <c r="J38">
        <f>$E38/$F38^2*sim_annual_output!L38</f>
        <v>23.654591104066807</v>
      </c>
      <c r="K38">
        <f>$E38/$F38^2*sim_annual_output!M38</f>
        <v>0</v>
      </c>
      <c r="L38">
        <f>$E38/$F38^2*sim_annual_output!N38</f>
        <v>92.187096551629764</v>
      </c>
      <c r="M38">
        <f>$E38/$F38^2*sim_annual_output!O38</f>
        <v>26.469743368383877</v>
      </c>
      <c r="N38">
        <f>$E38/$F38^2*sim_annual_output!P38</f>
        <v>0</v>
      </c>
      <c r="O38">
        <f>$E38/$F38^2*sim_annual_output!Q38</f>
        <v>29.117327045539216</v>
      </c>
      <c r="P38">
        <f>$E38/$F38^2*sim_annual_output!R38</f>
        <v>7.9518911362202944</v>
      </c>
      <c r="Q38">
        <f>$E38/$F38^2*sim_annual_output!S38</f>
        <v>0</v>
      </c>
      <c r="R38">
        <f t="array" ref="R38">INDEX(G$3:G$700,MATCH($B38&amp;$C38&amp;"baseline",$B$3:$B$700&amp;$C$3:$C$700&amp;$D$3:$D$700,0))</f>
        <v>0</v>
      </c>
      <c r="S38">
        <f t="array" ref="S38">INDEX(H$3:H$700,MATCH($B38&amp;$C38&amp;"baseline",$B$3:$B$700&amp;$C$3:$C$700&amp;$D$3:$D$700,0))</f>
        <v>536.82881923448883</v>
      </c>
      <c r="T38">
        <f t="array" ref="T38">INDEX(I$3:I$700,MATCH($B38&amp;$C38&amp;"baseline",$B$3:$B$700&amp;$C$3:$C$700&amp;$D$3:$D$700,0))</f>
        <v>1.4776502686079858</v>
      </c>
      <c r="U38">
        <f t="array" ref="U38">INDEX(J$3:J$700,MATCH($B38&amp;$C38&amp;"baseline",$B$3:$B$700&amp;$C$3:$C$700&amp;$D$3:$D$700,0))</f>
        <v>23.654591104066807</v>
      </c>
      <c r="V38">
        <f t="array" ref="V38">INDEX(K$3:K$700,MATCH($B38&amp;$C38&amp;"baseline",$B$3:$B$700&amp;$C$3:$C$700&amp;$D$3:$D$700,0))</f>
        <v>0</v>
      </c>
      <c r="W38">
        <f t="array" ref="W38">INDEX(L$3:L$700,MATCH($B38&amp;$C38&amp;"baseline",$B$3:$B$700&amp;$C$3:$C$700&amp;$D$3:$D$700,0))</f>
        <v>92.187096551629764</v>
      </c>
      <c r="X38">
        <f t="array" ref="X38">INDEX(M$3:M$700,MATCH($B38&amp;$C38&amp;"baseline",$B$3:$B$700&amp;$C$3:$C$700&amp;$D$3:$D$700,0))</f>
        <v>26.469743368383877</v>
      </c>
      <c r="Y38">
        <f t="array" ref="Y38">INDEX(N$3:N$700,MATCH($B38&amp;$C38&amp;"baseline",$B$3:$B$700&amp;$C$3:$C$700&amp;$D$3:$D$700,0))</f>
        <v>0</v>
      </c>
      <c r="Z38">
        <f t="array" ref="Z38">INDEX(O$3:O$700,MATCH($B38&amp;$C38&amp;"baseline",$B$3:$B$700&amp;$C$3:$C$700&amp;$D$3:$D$700,0))</f>
        <v>40.374889401222738</v>
      </c>
      <c r="AA38">
        <f t="array" ref="AA38">INDEX(P$3:P$700,MATCH($B38&amp;$C38&amp;"baseline",$B$3:$B$700&amp;$C$3:$C$700&amp;$D$3:$D$700,0))</f>
        <v>15.44068363155726</v>
      </c>
      <c r="AB38">
        <f t="array" ref="AB38">INDEX(Q$3:Q$700,MATCH($B38&amp;$C38&amp;"baseline",$B$3:$B$700&amp;$C$3:$C$700&amp;$D$3:$D$700,0))</f>
        <v>0</v>
      </c>
      <c r="AC38">
        <f t="shared" si="6"/>
        <v>736.43347355995718</v>
      </c>
      <c r="AD38">
        <f t="shared" si="7"/>
        <v>296.09674021636226</v>
      </c>
      <c r="AE38">
        <f t="shared" si="8"/>
        <v>17.524627515532217</v>
      </c>
      <c r="AF38">
        <f t="shared" si="9"/>
        <v>42.586517179322755</v>
      </c>
      <c r="AG38">
        <f>(S38+V38+Y38)*constants!$O$2+(R38+T38+U38+W38+X38+Z38+AA38+AB38)*constants!$N$2</f>
        <v>31.25195281037665</v>
      </c>
      <c r="AH38">
        <f>((S38+V38+Y38)-(H38+K38+N38))*constants!$O$2</f>
        <v>4.7967671915050687</v>
      </c>
      <c r="AI38">
        <f>((R38+T38+U38+W38+X38+Z38+AA38+AB38)-(G38+I38+J38+L38+M38+O38+P38+Q38))*constants!$N$2</f>
        <v>1.9802829092551406</v>
      </c>
      <c r="AJ38">
        <f t="shared" si="10"/>
        <v>21.685205215432205</v>
      </c>
      <c r="AK38">
        <f t="shared" si="11"/>
        <v>6.7770501007602091</v>
      </c>
      <c r="AL38">
        <f>COUNTIFS($B:$B,$B38,$AK:$AK,"&lt;"&amp;$AK38)+COUNTIFS($B$2:$B38,$B38,$AK$2:$AK38,$AK38)</f>
        <v>20</v>
      </c>
      <c r="AM38" s="191">
        <f>IF(AK38=0, "NA",IF(((sim_annual_output!F38/E38)/AK38)&lt;0,100,((sim_annual_output!F38/E38)/AK38)))</f>
        <v>10.593269535603381</v>
      </c>
      <c r="AN38">
        <f>(S38+V38)*constants!$F$2+(T38+U38+W38+X38+Y38+Z38+AA38+AB38)*constants!$G$2</f>
        <v>269748.407906131</v>
      </c>
      <c r="AO38">
        <f>(AD38*constants!$F$2+AE38*constants!$G$2)</f>
        <v>68247.742437241875</v>
      </c>
      <c r="AP38">
        <f t="shared" si="12"/>
        <v>25.300517236413576</v>
      </c>
    </row>
    <row r="39" spans="1:42">
      <c r="A39">
        <f>sim_annual_output!B39</f>
        <v>2</v>
      </c>
      <c r="B39" t="str">
        <f>sim_annual_output!C39</f>
        <v>Fire Hall</v>
      </c>
      <c r="C39" t="str">
        <f>sim_annual_output!D39</f>
        <v>1959-pre</v>
      </c>
      <c r="D39" t="str">
        <f>sim_annual_output!E39</f>
        <v>infil_reduce_plus_setback</v>
      </c>
      <c r="E39" s="45">
        <f t="array" ref="E39">IFERROR(INDEX(baseline!$J$3:$J$201,MATCH($B39&amp;$C39,baseline!$C$3:$C$201&amp;baseline!$D$3:$D$201,0)),"NA")</f>
        <v>911.73353310000005</v>
      </c>
      <c r="F39">
        <f>sim_annual_output!G39</f>
        <v>911.73353307153502</v>
      </c>
      <c r="G39">
        <f>$E39/$F39^2*sim_annual_output!I39</f>
        <v>0</v>
      </c>
      <c r="H39">
        <f>$E39/$F39^2*sim_annual_output!J39</f>
        <v>285.26876278412971</v>
      </c>
      <c r="I39">
        <f>$E39/$F39^2*sim_annual_output!K39</f>
        <v>2.8181989659018285</v>
      </c>
      <c r="J39">
        <f>$E39/$F39^2*sim_annual_output!L39</f>
        <v>23.654591104066807</v>
      </c>
      <c r="K39">
        <f>$E39/$F39^2*sim_annual_output!M39</f>
        <v>0</v>
      </c>
      <c r="L39">
        <f>$E39/$F39^2*sim_annual_output!N39</f>
        <v>92.187096551629764</v>
      </c>
      <c r="M39">
        <f>$E39/$F39^2*sim_annual_output!O39</f>
        <v>26.469743368383877</v>
      </c>
      <c r="N39">
        <f>$E39/$F39^2*sim_annual_output!P39</f>
        <v>0</v>
      </c>
      <c r="O39">
        <f>$E39/$F39^2*sim_annual_output!Q39</f>
        <v>30.820433231419347</v>
      </c>
      <c r="P39">
        <f>$E39/$F39^2*sim_annual_output!R39</f>
        <v>8.5338111389092131</v>
      </c>
      <c r="Q39">
        <f>$E39/$F39^2*sim_annual_output!S39</f>
        <v>0</v>
      </c>
      <c r="R39">
        <f t="array" ref="R39">INDEX(G$3:G$700,MATCH($B39&amp;$C39&amp;"baseline",$B$3:$B$700&amp;$C$3:$C$700&amp;$D$3:$D$700,0))</f>
        <v>0</v>
      </c>
      <c r="S39">
        <f t="array" ref="S39">INDEX(H$3:H$700,MATCH($B39&amp;$C39&amp;"baseline",$B$3:$B$700&amp;$C$3:$C$700&amp;$D$3:$D$700,0))</f>
        <v>536.82881923448883</v>
      </c>
      <c r="T39">
        <f t="array" ref="T39">INDEX(I$3:I$700,MATCH($B39&amp;$C39&amp;"baseline",$B$3:$B$700&amp;$C$3:$C$700&amp;$D$3:$D$700,0))</f>
        <v>1.4776502686079858</v>
      </c>
      <c r="U39">
        <f t="array" ref="U39">INDEX(J$3:J$700,MATCH($B39&amp;$C39&amp;"baseline",$B$3:$B$700&amp;$C$3:$C$700&amp;$D$3:$D$700,0))</f>
        <v>23.654591104066807</v>
      </c>
      <c r="V39">
        <f t="array" ref="V39">INDEX(K$3:K$700,MATCH($B39&amp;$C39&amp;"baseline",$B$3:$B$700&amp;$C$3:$C$700&amp;$D$3:$D$700,0))</f>
        <v>0</v>
      </c>
      <c r="W39">
        <f t="array" ref="W39">INDEX(L$3:L$700,MATCH($B39&amp;$C39&amp;"baseline",$B$3:$B$700&amp;$C$3:$C$700&amp;$D$3:$D$700,0))</f>
        <v>92.187096551629764</v>
      </c>
      <c r="X39">
        <f t="array" ref="X39">INDEX(M$3:M$700,MATCH($B39&amp;$C39&amp;"baseline",$B$3:$B$700&amp;$C$3:$C$700&amp;$D$3:$D$700,0))</f>
        <v>26.469743368383877</v>
      </c>
      <c r="Y39">
        <f t="array" ref="Y39">INDEX(N$3:N$700,MATCH($B39&amp;$C39&amp;"baseline",$B$3:$B$700&amp;$C$3:$C$700&amp;$D$3:$D$700,0))</f>
        <v>0</v>
      </c>
      <c r="Z39">
        <f t="array" ref="Z39">INDEX(O$3:O$700,MATCH($B39&amp;$C39&amp;"baseline",$B$3:$B$700&amp;$C$3:$C$700&amp;$D$3:$D$700,0))</f>
        <v>40.374889401222738</v>
      </c>
      <c r="AA39">
        <f t="array" ref="AA39">INDEX(P$3:P$700,MATCH($B39&amp;$C39&amp;"baseline",$B$3:$B$700&amp;$C$3:$C$700&amp;$D$3:$D$700,0))</f>
        <v>15.44068363155726</v>
      </c>
      <c r="AB39">
        <f t="array" ref="AB39">INDEX(Q$3:Q$700,MATCH($B39&amp;$C39&amp;"baseline",$B$3:$B$700&amp;$C$3:$C$700&amp;$D$3:$D$700,0))</f>
        <v>0</v>
      </c>
      <c r="AC39">
        <f t="shared" si="6"/>
        <v>736.43347355995718</v>
      </c>
      <c r="AD39">
        <f t="shared" si="7"/>
        <v>251.56005645035913</v>
      </c>
      <c r="AE39">
        <f t="shared" si="8"/>
        <v>15.120779965157595</v>
      </c>
      <c r="AF39">
        <f t="shared" si="9"/>
        <v>36.212481641602722</v>
      </c>
      <c r="AG39">
        <f>(S39+V39+Y39)*constants!$O$2+(R39+T39+U39+W39+X39+Z39+AA39+AB39)*constants!$N$2</f>
        <v>31.25195281037665</v>
      </c>
      <c r="AH39">
        <f>((S39+V39+Y39)-(H39+K39+N39))*constants!$O$2</f>
        <v>4.0752729144958177</v>
      </c>
      <c r="AI39">
        <f>((R39+T39+U39+W39+X39+Z39+AA39+AB39)-(G39+I39+J39+L39+M39+O39+P39+Q39))*constants!$N$2</f>
        <v>1.7086481360628083</v>
      </c>
      <c r="AJ39">
        <f t="shared" si="10"/>
        <v>18.507390836191774</v>
      </c>
      <c r="AK39">
        <f t="shared" si="11"/>
        <v>5.783921050558626</v>
      </c>
      <c r="AL39">
        <f>COUNTIFS($B:$B,$B39,$AK:$AK,"&lt;"&amp;$AK39)+COUNTIFS($B$2:$B39,$B39,$AK$2:$AK39,$AK39)</f>
        <v>19</v>
      </c>
      <c r="AM39" s="191">
        <f>IF(AK39=0, "NA",IF(((sim_annual_output!F39/E39)/AK39)&lt;0,100,((sim_annual_output!F39/E39)/AK39)))</f>
        <v>13.344879912840254</v>
      </c>
      <c r="AN39">
        <f>(S39+V39)*constants!$F$2+(T39+U39+W39+X39+Y39+Z39+AA39+AB39)*constants!$G$2</f>
        <v>269748.407906131</v>
      </c>
      <c r="AO39">
        <f>(AD39*constants!$F$2+AE39*constants!$G$2)</f>
        <v>58184.328674301396</v>
      </c>
      <c r="AP39">
        <f t="shared" si="12"/>
        <v>21.56985063450265</v>
      </c>
    </row>
    <row r="40" spans="1:42">
      <c r="A40">
        <f>sim_annual_output!B40</f>
        <v>2</v>
      </c>
      <c r="B40" t="str">
        <f>sim_annual_output!C40</f>
        <v>Fire Hall</v>
      </c>
      <c r="C40" t="str">
        <f>sim_annual_output!D40</f>
        <v>1959-pre</v>
      </c>
      <c r="D40" t="str">
        <f>sim_annual_output!E40</f>
        <v>lights_reduce_70p</v>
      </c>
      <c r="E40" s="45">
        <f t="array" ref="E40">IFERROR(INDEX(baseline!$J$3:$J$201,MATCH($B40&amp;$C40,baseline!$C$3:$C$201&amp;baseline!$D$3:$D$201,0)),"NA")</f>
        <v>911.73353310000005</v>
      </c>
      <c r="F40">
        <f>sim_annual_output!G40</f>
        <v>911.73353307153502</v>
      </c>
      <c r="G40">
        <f>$E40/$F40^2*sim_annual_output!I40</f>
        <v>0</v>
      </c>
      <c r="H40">
        <f>$E40/$F40^2*sim_annual_output!J40</f>
        <v>562.35408511159744</v>
      </c>
      <c r="I40">
        <f>$E40/$F40^2*sim_annual_output!K40</f>
        <v>1.0206450308941757</v>
      </c>
      <c r="J40">
        <f>$E40/$F40^2*sim_annual_output!L40</f>
        <v>23.654591104066807</v>
      </c>
      <c r="K40">
        <f>$E40/$F40^2*sim_annual_output!M40</f>
        <v>0</v>
      </c>
      <c r="L40">
        <f>$E40/$F40^2*sim_annual_output!N40</f>
        <v>64.529139565189979</v>
      </c>
      <c r="M40">
        <f>$E40/$F40^2*sim_annual_output!O40</f>
        <v>26.469743368383877</v>
      </c>
      <c r="N40">
        <f>$E40/$F40^2*sim_annual_output!P40</f>
        <v>0</v>
      </c>
      <c r="O40">
        <f>$E40/$F40^2*sim_annual_output!Q40</f>
        <v>40.646045842266261</v>
      </c>
      <c r="P40">
        <f>$E40/$F40^2*sim_annual_output!R40</f>
        <v>15.675279653583683</v>
      </c>
      <c r="Q40">
        <f>$E40/$F40^2*sim_annual_output!S40</f>
        <v>0</v>
      </c>
      <c r="R40">
        <f t="array" ref="R40">INDEX(G$3:G$700,MATCH($B40&amp;$C40&amp;"baseline",$B$3:$B$700&amp;$C$3:$C$700&amp;$D$3:$D$700,0))</f>
        <v>0</v>
      </c>
      <c r="S40">
        <f t="array" ref="S40">INDEX(H$3:H$700,MATCH($B40&amp;$C40&amp;"baseline",$B$3:$B$700&amp;$C$3:$C$700&amp;$D$3:$D$700,0))</f>
        <v>536.82881923448883</v>
      </c>
      <c r="T40">
        <f t="array" ref="T40">INDEX(I$3:I$700,MATCH($B40&amp;$C40&amp;"baseline",$B$3:$B$700&amp;$C$3:$C$700&amp;$D$3:$D$700,0))</f>
        <v>1.4776502686079858</v>
      </c>
      <c r="U40">
        <f t="array" ref="U40">INDEX(J$3:J$700,MATCH($B40&amp;$C40&amp;"baseline",$B$3:$B$700&amp;$C$3:$C$700&amp;$D$3:$D$700,0))</f>
        <v>23.654591104066807</v>
      </c>
      <c r="V40">
        <f t="array" ref="V40">INDEX(K$3:K$700,MATCH($B40&amp;$C40&amp;"baseline",$B$3:$B$700&amp;$C$3:$C$700&amp;$D$3:$D$700,0))</f>
        <v>0</v>
      </c>
      <c r="W40">
        <f t="array" ref="W40">INDEX(L$3:L$700,MATCH($B40&amp;$C40&amp;"baseline",$B$3:$B$700&amp;$C$3:$C$700&amp;$D$3:$D$700,0))</f>
        <v>92.187096551629764</v>
      </c>
      <c r="X40">
        <f t="array" ref="X40">INDEX(M$3:M$700,MATCH($B40&amp;$C40&amp;"baseline",$B$3:$B$700&amp;$C$3:$C$700&amp;$D$3:$D$700,0))</f>
        <v>26.469743368383877</v>
      </c>
      <c r="Y40">
        <f t="array" ref="Y40">INDEX(N$3:N$700,MATCH($B40&amp;$C40&amp;"baseline",$B$3:$B$700&amp;$C$3:$C$700&amp;$D$3:$D$700,0))</f>
        <v>0</v>
      </c>
      <c r="Z40">
        <f t="array" ref="Z40">INDEX(O$3:O$700,MATCH($B40&amp;$C40&amp;"baseline",$B$3:$B$700&amp;$C$3:$C$700&amp;$D$3:$D$700,0))</f>
        <v>40.374889401222738</v>
      </c>
      <c r="AA40">
        <f t="array" ref="AA40">INDEX(P$3:P$700,MATCH($B40&amp;$C40&amp;"baseline",$B$3:$B$700&amp;$C$3:$C$700&amp;$D$3:$D$700,0))</f>
        <v>15.44068363155726</v>
      </c>
      <c r="AB40">
        <f t="array" ref="AB40">INDEX(Q$3:Q$700,MATCH($B40&amp;$C40&amp;"baseline",$B$3:$B$700&amp;$C$3:$C$700&amp;$D$3:$D$700,0))</f>
        <v>0</v>
      </c>
      <c r="AC40">
        <f t="shared" si="6"/>
        <v>736.43347355995718</v>
      </c>
      <c r="AD40">
        <f t="shared" si="7"/>
        <v>-25.525265877108609</v>
      </c>
      <c r="AE40">
        <f t="shared" si="8"/>
        <v>27.609209761083633</v>
      </c>
      <c r="AF40">
        <f t="shared" si="9"/>
        <v>0.28297788718119138</v>
      </c>
      <c r="AG40">
        <f>(S40+V40+Y40)*constants!$O$2+(R40+T40+U40+W40+X40+Z40+AA40+AB40)*constants!$N$2</f>
        <v>31.25195281037665</v>
      </c>
      <c r="AH40">
        <f>((S40+V40+Y40)-(H40+K40+N40))*constants!$O$2</f>
        <v>-0.41350930720915946</v>
      </c>
      <c r="AI40">
        <f>((R40+T40+U40+W40+X40+Z40+AA40+AB40)-(G40+I40+J40+L40+M40+O40+P40+Q40))*constants!$N$2</f>
        <v>3.1198407030024509</v>
      </c>
      <c r="AJ40">
        <f t="shared" si="10"/>
        <v>8.6597193212665502</v>
      </c>
      <c r="AK40">
        <f t="shared" si="11"/>
        <v>2.7063313957932915</v>
      </c>
      <c r="AL40">
        <f>COUNTIFS($B:$B,$B40,$AK:$AK,"&lt;"&amp;$AK40)+COUNTIFS($B$2:$B40,$B40,$AK$2:$AK40,$AK40)</f>
        <v>17</v>
      </c>
      <c r="AM40" s="191">
        <f>IF(AK40=0, "NA",IF(((sim_annual_output!F40/E40)/AK40)&lt;0,100,((sim_annual_output!F40/E40)/AK40)))</f>
        <v>6.2030885578510011</v>
      </c>
      <c r="AN40">
        <f>(S40+V40)*constants!$F$2+(T40+U40+W40+X40+Y40+Z40+AA40+AB40)*constants!$G$2</f>
        <v>269748.407906131</v>
      </c>
      <c r="AO40">
        <f>(AD40*constants!$F$2+AE40*constants!$G$2)</f>
        <v>19450.989900140317</v>
      </c>
      <c r="AP40">
        <f t="shared" si="12"/>
        <v>7.2107895097972232</v>
      </c>
    </row>
    <row r="41" spans="1:42">
      <c r="A41">
        <f>sim_annual_output!B41</f>
        <v>2</v>
      </c>
      <c r="B41" t="str">
        <f>sim_annual_output!C41</f>
        <v>Fire Hall</v>
      </c>
      <c r="C41" t="str">
        <f>sim_annual_output!D41</f>
        <v>1959-pre</v>
      </c>
      <c r="D41" t="str">
        <f>sim_annual_output!E41</f>
        <v>load_reduce</v>
      </c>
      <c r="E41" s="45">
        <f t="array" ref="E41">IFERROR(INDEX(baseline!$J$3:$J$201,MATCH($B41&amp;$C41,baseline!$C$3:$C$201&amp;baseline!$D$3:$D$201,0)),"NA")</f>
        <v>911.73353310000005</v>
      </c>
      <c r="F41">
        <f>sim_annual_output!G41</f>
        <v>911.73353307153502</v>
      </c>
      <c r="G41">
        <f>$E41/$F41^2*sim_annual_output!I41</f>
        <v>0</v>
      </c>
      <c r="H41">
        <f>$E41/$F41^2*sim_annual_output!J41</f>
        <v>207.14524074774627</v>
      </c>
      <c r="I41">
        <f>$E41/$F41^2*sim_annual_output!K41</f>
        <v>2.8181989659018285</v>
      </c>
      <c r="J41">
        <f>$E41/$F41^2*sim_annual_output!L41</f>
        <v>23.654591104066807</v>
      </c>
      <c r="K41">
        <f>$E41/$F41^2*sim_annual_output!M41</f>
        <v>0</v>
      </c>
      <c r="L41">
        <f>$E41/$F41^2*sim_annual_output!N41</f>
        <v>92.187096551629764</v>
      </c>
      <c r="M41">
        <f>$E41/$F41^2*sim_annual_output!O41</f>
        <v>26.469743368383877</v>
      </c>
      <c r="N41">
        <f>$E41/$F41^2*sim_annual_output!P41</f>
        <v>0</v>
      </c>
      <c r="O41">
        <f>$E41/$F41^2*sim_annual_output!Q41</f>
        <v>30.820433231419347</v>
      </c>
      <c r="P41">
        <f>$E41/$F41^2*sim_annual_output!R41</f>
        <v>8.5338111389092131</v>
      </c>
      <c r="Q41">
        <f>$E41/$F41^2*sim_annual_output!S41</f>
        <v>0</v>
      </c>
      <c r="R41">
        <f t="array" ref="R41">INDEX(G$3:G$700,MATCH($B41&amp;$C41&amp;"baseline",$B$3:$B$700&amp;$C$3:$C$700&amp;$D$3:$D$700,0))</f>
        <v>0</v>
      </c>
      <c r="S41">
        <f t="array" ref="S41">INDEX(H$3:H$700,MATCH($B41&amp;$C41&amp;"baseline",$B$3:$B$700&amp;$C$3:$C$700&amp;$D$3:$D$700,0))</f>
        <v>536.82881923448883</v>
      </c>
      <c r="T41">
        <f t="array" ref="T41">INDEX(I$3:I$700,MATCH($B41&amp;$C41&amp;"baseline",$B$3:$B$700&amp;$C$3:$C$700&amp;$D$3:$D$700,0))</f>
        <v>1.4776502686079858</v>
      </c>
      <c r="U41">
        <f t="array" ref="U41">INDEX(J$3:J$700,MATCH($B41&amp;$C41&amp;"baseline",$B$3:$B$700&amp;$C$3:$C$700&amp;$D$3:$D$700,0))</f>
        <v>23.654591104066807</v>
      </c>
      <c r="V41">
        <f t="array" ref="V41">INDEX(K$3:K$700,MATCH($B41&amp;$C41&amp;"baseline",$B$3:$B$700&amp;$C$3:$C$700&amp;$D$3:$D$700,0))</f>
        <v>0</v>
      </c>
      <c r="W41">
        <f t="array" ref="W41">INDEX(L$3:L$700,MATCH($B41&amp;$C41&amp;"baseline",$B$3:$B$700&amp;$C$3:$C$700&amp;$D$3:$D$700,0))</f>
        <v>92.187096551629764</v>
      </c>
      <c r="X41">
        <f t="array" ref="X41">INDEX(M$3:M$700,MATCH($B41&amp;$C41&amp;"baseline",$B$3:$B$700&amp;$C$3:$C$700&amp;$D$3:$D$700,0))</f>
        <v>26.469743368383877</v>
      </c>
      <c r="Y41">
        <f t="array" ref="Y41">INDEX(N$3:N$700,MATCH($B41&amp;$C41&amp;"baseline",$B$3:$B$700&amp;$C$3:$C$700&amp;$D$3:$D$700,0))</f>
        <v>0</v>
      </c>
      <c r="Z41">
        <f t="array" ref="Z41">INDEX(O$3:O$700,MATCH($B41&amp;$C41&amp;"baseline",$B$3:$B$700&amp;$C$3:$C$700&amp;$D$3:$D$700,0))</f>
        <v>40.374889401222738</v>
      </c>
      <c r="AA41">
        <f t="array" ref="AA41">INDEX(P$3:P$700,MATCH($B41&amp;$C41&amp;"baseline",$B$3:$B$700&amp;$C$3:$C$700&amp;$D$3:$D$700,0))</f>
        <v>15.44068363155726</v>
      </c>
      <c r="AB41">
        <f t="array" ref="AB41">INDEX(Q$3:Q$700,MATCH($B41&amp;$C41&amp;"baseline",$B$3:$B$700&amp;$C$3:$C$700&amp;$D$3:$D$700,0))</f>
        <v>0</v>
      </c>
      <c r="AC41">
        <f t="shared" si="6"/>
        <v>736.43347355995718</v>
      </c>
      <c r="AD41">
        <f t="shared" si="7"/>
        <v>329.68357848674259</v>
      </c>
      <c r="AE41">
        <f t="shared" si="8"/>
        <v>15.120779965157595</v>
      </c>
      <c r="AF41">
        <f t="shared" si="9"/>
        <v>46.820842728006127</v>
      </c>
      <c r="AG41">
        <f>(S41+V41+Y41)*constants!$O$2+(R41+T41+U41+W41+X41+Z41+AA41+AB41)*constants!$N$2</f>
        <v>31.25195281037665</v>
      </c>
      <c r="AH41">
        <f>((S41+V41+Y41)-(H41+K41+N41))*constants!$O$2</f>
        <v>5.3408739714852294</v>
      </c>
      <c r="AI41">
        <f>((R41+T41+U41+W41+X41+Z41+AA41+AB41)-(G41+I41+J41+L41+M41+O41+P41+Q41))*constants!$N$2</f>
        <v>1.7086481360628083</v>
      </c>
      <c r="AJ41">
        <f t="shared" si="10"/>
        <v>22.557061154934839</v>
      </c>
      <c r="AK41">
        <f t="shared" si="11"/>
        <v>7.0495221075480377</v>
      </c>
      <c r="AL41">
        <f>COUNTIFS($B:$B,$B41,$AK:$AK,"&lt;"&amp;$AK41)+COUNTIFS($B$2:$B41,$B41,$AK$2:$AK41,$AK41)</f>
        <v>21</v>
      </c>
      <c r="AM41" s="191">
        <f>IF(AK41=0, "NA",IF(((sim_annual_output!F41/E41)/AK41)&lt;0,100,((sim_annual_output!F41/E41)/AK41)))</f>
        <v>11.093631643698849</v>
      </c>
      <c r="AN41">
        <f>(S41+V41)*constants!$F$2+(T41+U41+W41+X41+Y41+Z41+AA41+AB41)*constants!$G$2</f>
        <v>269748.407906131</v>
      </c>
      <c r="AO41">
        <f>(AD41*constants!$F$2+AE41*constants!$G$2)</f>
        <v>72168.439118814029</v>
      </c>
      <c r="AP41">
        <f t="shared" si="12"/>
        <v>26.753981489272672</v>
      </c>
    </row>
    <row r="42" spans="1:42">
      <c r="A42">
        <f>sim_annual_output!B42</f>
        <v>2</v>
      </c>
      <c r="B42" t="str">
        <f>sim_annual_output!C42</f>
        <v>Fire Hall</v>
      </c>
      <c r="C42" t="str">
        <f>sim_annual_output!D42</f>
        <v>1959-pre</v>
      </c>
      <c r="D42" t="str">
        <f>sim_annual_output!E42</f>
        <v>occupancy_setback</v>
      </c>
      <c r="E42" s="45">
        <f t="array" ref="E42">IFERROR(INDEX(baseline!$J$3:$J$201,MATCH($B42&amp;$C42,baseline!$C$3:$C$201&amp;baseline!$D$3:$D$201,0)),"NA")</f>
        <v>911.73353310000005</v>
      </c>
      <c r="F42">
        <f>sim_annual_output!G42</f>
        <v>911.73353307153502</v>
      </c>
      <c r="G42">
        <f>$E42/$F42^2*sim_annual_output!I42</f>
        <v>0</v>
      </c>
      <c r="H42">
        <f>$E42/$F42^2*sim_annual_output!J42</f>
        <v>617.93810882393575</v>
      </c>
      <c r="I42">
        <f>$E42/$F42^2*sim_annual_output!K42</f>
        <v>1.8920016841351734</v>
      </c>
      <c r="J42">
        <f>$E42/$F42^2*sim_annual_output!L42</f>
        <v>23.654591104066807</v>
      </c>
      <c r="K42">
        <f>$E42/$F42^2*sim_annual_output!M42</f>
        <v>0</v>
      </c>
      <c r="L42">
        <f>$E42/$F42^2*sim_annual_output!N42</f>
        <v>92.187096551629764</v>
      </c>
      <c r="M42">
        <f>$E42/$F42^2*sim_annual_output!O42</f>
        <v>26.469743368383877</v>
      </c>
      <c r="N42">
        <f>$E42/$F42^2*sim_annual_output!P42</f>
        <v>0</v>
      </c>
      <c r="O42">
        <f>$E42/$F42^2*sim_annual_output!Q42</f>
        <v>44.375208582010956</v>
      </c>
      <c r="P42">
        <f>$E42/$F42^2*sim_annual_output!R42</f>
        <v>16.823886151037726</v>
      </c>
      <c r="Q42">
        <f>$E42/$F42^2*sim_annual_output!S42</f>
        <v>0</v>
      </c>
      <c r="R42">
        <f t="array" ref="R42">INDEX(G$3:G$700,MATCH($B42&amp;$C42&amp;"baseline",$B$3:$B$700&amp;$C$3:$C$700&amp;$D$3:$D$700,0))</f>
        <v>0</v>
      </c>
      <c r="S42">
        <f t="array" ref="S42">INDEX(H$3:H$700,MATCH($B42&amp;$C42&amp;"baseline",$B$3:$B$700&amp;$C$3:$C$700&amp;$D$3:$D$700,0))</f>
        <v>536.82881923448883</v>
      </c>
      <c r="T42">
        <f t="array" ref="T42">INDEX(I$3:I$700,MATCH($B42&amp;$C42&amp;"baseline",$B$3:$B$700&amp;$C$3:$C$700&amp;$D$3:$D$700,0))</f>
        <v>1.4776502686079858</v>
      </c>
      <c r="U42">
        <f t="array" ref="U42">INDEX(J$3:J$700,MATCH($B42&amp;$C42&amp;"baseline",$B$3:$B$700&amp;$C$3:$C$700&amp;$D$3:$D$700,0))</f>
        <v>23.654591104066807</v>
      </c>
      <c r="V42">
        <f t="array" ref="V42">INDEX(K$3:K$700,MATCH($B42&amp;$C42&amp;"baseline",$B$3:$B$700&amp;$C$3:$C$700&amp;$D$3:$D$700,0))</f>
        <v>0</v>
      </c>
      <c r="W42">
        <f t="array" ref="W42">INDEX(L$3:L$700,MATCH($B42&amp;$C42&amp;"baseline",$B$3:$B$700&amp;$C$3:$C$700&amp;$D$3:$D$700,0))</f>
        <v>92.187096551629764</v>
      </c>
      <c r="X42">
        <f t="array" ref="X42">INDEX(M$3:M$700,MATCH($B42&amp;$C42&amp;"baseline",$B$3:$B$700&amp;$C$3:$C$700&amp;$D$3:$D$700,0))</f>
        <v>26.469743368383877</v>
      </c>
      <c r="Y42">
        <f t="array" ref="Y42">INDEX(N$3:N$700,MATCH($B42&amp;$C42&amp;"baseline",$B$3:$B$700&amp;$C$3:$C$700&amp;$D$3:$D$700,0))</f>
        <v>0</v>
      </c>
      <c r="Z42">
        <f t="array" ref="Z42">INDEX(O$3:O$700,MATCH($B42&amp;$C42&amp;"baseline",$B$3:$B$700&amp;$C$3:$C$700&amp;$D$3:$D$700,0))</f>
        <v>40.374889401222738</v>
      </c>
      <c r="AA42">
        <f t="array" ref="AA42">INDEX(P$3:P$700,MATCH($B42&amp;$C42&amp;"baseline",$B$3:$B$700&amp;$C$3:$C$700&amp;$D$3:$D$700,0))</f>
        <v>15.44068363155726</v>
      </c>
      <c r="AB42">
        <f t="array" ref="AB42">INDEX(Q$3:Q$700,MATCH($B42&amp;$C42&amp;"baseline",$B$3:$B$700&amp;$C$3:$C$700&amp;$D$3:$D$700,0))</f>
        <v>0</v>
      </c>
      <c r="AC42">
        <f t="shared" si="6"/>
        <v>736.43347355995718</v>
      </c>
      <c r="AD42">
        <f t="shared" si="7"/>
        <v>-81.109289589446917</v>
      </c>
      <c r="AE42">
        <f t="shared" si="8"/>
        <v>-5.7978731157958805</v>
      </c>
      <c r="AF42">
        <f t="shared" si="9"/>
        <v>-11.801088058250411</v>
      </c>
      <c r="AG42">
        <f>(S42+V42+Y42)*constants!$O$2+(R42+T42+U42+W42+X42+Z42+AA42+AB42)*constants!$N$2</f>
        <v>31.25195281037665</v>
      </c>
      <c r="AH42">
        <f>((S42+V42+Y42)-(H42+K42+N42))*constants!$O$2</f>
        <v>-1.31397049134904</v>
      </c>
      <c r="AI42">
        <f>((R42+T42+U42+W42+X42+Z42+AA42+AB42)-(G42+I42+J42+L42+M42+O42+P42+Q42))*constants!$N$2</f>
        <v>-0.65515966208493448</v>
      </c>
      <c r="AJ42">
        <f t="shared" si="10"/>
        <v>-6.3008227530030059</v>
      </c>
      <c r="AK42">
        <f t="shared" si="11"/>
        <v>-1.9691301534339745</v>
      </c>
      <c r="AL42">
        <f>COUNTIFS($B:$B,$B42,$AK:$AK,"&lt;"&amp;$AK42)+COUNTIFS($B$2:$B42,$B42,$AK$2:$AK42,$AK42)</f>
        <v>1</v>
      </c>
      <c r="AM42" s="191">
        <f>IF(AK42=0, "NA",IF(((sim_annual_output!F42/E42)/AK42)&lt;0,100,((sim_annual_output!F42/E42)/AK42)))</f>
        <v>100</v>
      </c>
      <c r="AN42">
        <f>(S42+V42)*constants!$F$2+(T42+U42+W42+X42+Y42+Z42+AA42+AB42)*constants!$G$2</f>
        <v>269748.407906131</v>
      </c>
      <c r="AO42">
        <f>(AD42*constants!$F$2+AE42*constants!$G$2)</f>
        <v>-19562.712447253416</v>
      </c>
      <c r="AP42">
        <f t="shared" si="12"/>
        <v>-7.2522068245388827</v>
      </c>
    </row>
    <row r="43" spans="1:42">
      <c r="A43">
        <f>sim_annual_output!B43</f>
        <v>2</v>
      </c>
      <c r="B43" t="str">
        <f>sim_annual_output!C43</f>
        <v>Fire Hall</v>
      </c>
      <c r="C43" t="str">
        <f>sim_annual_output!D43</f>
        <v>1959-pre</v>
      </c>
      <c r="D43" t="str">
        <f>sim_annual_output!E43</f>
        <v>payback_less_than_20</v>
      </c>
      <c r="E43" s="45">
        <f t="array" ref="E43">IFERROR(INDEX(baseline!$J$3:$J$201,MATCH($B43&amp;$C43,baseline!$C$3:$C$201&amp;baseline!$D$3:$D$201,0)),"NA")</f>
        <v>911.73353310000005</v>
      </c>
      <c r="F43">
        <f>sim_annual_output!G43</f>
        <v>911.73353307153502</v>
      </c>
      <c r="G43">
        <f>$E43/$F43^2*sim_annual_output!I43</f>
        <v>0</v>
      </c>
      <c r="H43">
        <f>$E43/$F43^2*sim_annual_output!J43</f>
        <v>184.86471205840567</v>
      </c>
      <c r="I43">
        <f>$E43/$F43^2*sim_annual_output!K43</f>
        <v>3.1929432608271529</v>
      </c>
      <c r="J43">
        <f>$E43/$F43^2*sim_annual_output!L43</f>
        <v>23.654591104066807</v>
      </c>
      <c r="K43">
        <f>$E43/$F43^2*sim_annual_output!M43</f>
        <v>0</v>
      </c>
      <c r="L43">
        <f>$E43/$F43^2*sim_annual_output!N43</f>
        <v>64.529139565189979</v>
      </c>
      <c r="M43">
        <f>$E43/$F43^2*sim_annual_output!O43</f>
        <v>26.469743368383877</v>
      </c>
      <c r="N43">
        <f>$E43/$F43^2*sim_annual_output!P43</f>
        <v>0</v>
      </c>
      <c r="O43">
        <f>$E43/$F43^2*sim_annual_output!Q43</f>
        <v>31.335325799243574</v>
      </c>
      <c r="P43">
        <f>$E43/$F43^2*sim_annual_output!R43</f>
        <v>6.0598894520851205</v>
      </c>
      <c r="Q43">
        <f>$E43/$F43^2*sim_annual_output!S43</f>
        <v>0</v>
      </c>
      <c r="R43">
        <f t="array" ref="R43">INDEX(G$3:G$700,MATCH($B43&amp;$C43&amp;"baseline",$B$3:$B$700&amp;$C$3:$C$700&amp;$D$3:$D$700,0))</f>
        <v>0</v>
      </c>
      <c r="S43">
        <f t="array" ref="S43">INDEX(H$3:H$700,MATCH($B43&amp;$C43&amp;"baseline",$B$3:$B$700&amp;$C$3:$C$700&amp;$D$3:$D$700,0))</f>
        <v>536.82881923448883</v>
      </c>
      <c r="T43">
        <f t="array" ref="T43">INDEX(I$3:I$700,MATCH($B43&amp;$C43&amp;"baseline",$B$3:$B$700&amp;$C$3:$C$700&amp;$D$3:$D$700,0))</f>
        <v>1.4776502686079858</v>
      </c>
      <c r="U43">
        <f t="array" ref="U43">INDEX(J$3:J$700,MATCH($B43&amp;$C43&amp;"baseline",$B$3:$B$700&amp;$C$3:$C$700&amp;$D$3:$D$700,0))</f>
        <v>23.654591104066807</v>
      </c>
      <c r="V43">
        <f t="array" ref="V43">INDEX(K$3:K$700,MATCH($B43&amp;$C43&amp;"baseline",$B$3:$B$700&amp;$C$3:$C$700&amp;$D$3:$D$700,0))</f>
        <v>0</v>
      </c>
      <c r="W43">
        <f t="array" ref="W43">INDEX(L$3:L$700,MATCH($B43&amp;$C43&amp;"baseline",$B$3:$B$700&amp;$C$3:$C$700&amp;$D$3:$D$700,0))</f>
        <v>92.187096551629764</v>
      </c>
      <c r="X43">
        <f t="array" ref="X43">INDEX(M$3:M$700,MATCH($B43&amp;$C43&amp;"baseline",$B$3:$B$700&amp;$C$3:$C$700&amp;$D$3:$D$700,0))</f>
        <v>26.469743368383877</v>
      </c>
      <c r="Y43">
        <f t="array" ref="Y43">INDEX(N$3:N$700,MATCH($B43&amp;$C43&amp;"baseline",$B$3:$B$700&amp;$C$3:$C$700&amp;$D$3:$D$700,0))</f>
        <v>0</v>
      </c>
      <c r="Z43">
        <f t="array" ref="Z43">INDEX(O$3:O$700,MATCH($B43&amp;$C43&amp;"baseline",$B$3:$B$700&amp;$C$3:$C$700&amp;$D$3:$D$700,0))</f>
        <v>40.374889401222738</v>
      </c>
      <c r="AA43">
        <f t="array" ref="AA43">INDEX(P$3:P$700,MATCH($B43&amp;$C43&amp;"baseline",$B$3:$B$700&amp;$C$3:$C$700&amp;$D$3:$D$700,0))</f>
        <v>15.44068363155726</v>
      </c>
      <c r="AB43">
        <f t="array" ref="AB43">INDEX(Q$3:Q$700,MATCH($B43&amp;$C43&amp;"baseline",$B$3:$B$700&amp;$C$3:$C$700&amp;$D$3:$D$700,0))</f>
        <v>0</v>
      </c>
      <c r="AC43">
        <f t="shared" si="6"/>
        <v>736.43347355995718</v>
      </c>
      <c r="AD43">
        <f t="shared" si="7"/>
        <v>351.96410717608319</v>
      </c>
      <c r="AE43">
        <f t="shared" si="8"/>
        <v>44.363021775671939</v>
      </c>
      <c r="AF43">
        <f t="shared" si="9"/>
        <v>53.817098649235682</v>
      </c>
      <c r="AG43">
        <f>(S43+V43+Y43)*constants!$O$2+(R43+T43+U43+W43+X43+Z43+AA43+AB43)*constants!$N$2</f>
        <v>31.25195281037665</v>
      </c>
      <c r="AH43">
        <f>((S43+V43+Y43)-(H43+K43+N43))*constants!$O$2</f>
        <v>5.7018185362525475</v>
      </c>
      <c r="AI43">
        <f>((R43+T43+U43+W43+X43+Z43+AA43+AB43)-(G43+I43+J43+L43+M43+O43+P43+Q43))*constants!$N$2</f>
        <v>5.0130214606509291</v>
      </c>
      <c r="AJ43">
        <f t="shared" si="10"/>
        <v>34.285345501180345</v>
      </c>
      <c r="AK43">
        <f t="shared" si="11"/>
        <v>10.714839996903477</v>
      </c>
      <c r="AL43">
        <f>COUNTIFS($B:$B,$B43,$AK:$AK,"&lt;"&amp;$AK43)+COUNTIFS($B$2:$B43,$B43,$AK$2:$AK43,$AK43)</f>
        <v>22</v>
      </c>
      <c r="AM43" s="191">
        <f>IF(AK43=0, "NA",IF(((sim_annual_output!F43/E43)/AK43)&lt;0,100,((sim_annual_output!F43/E43)/AK43)))</f>
        <v>12.375882199715209</v>
      </c>
      <c r="AN43">
        <f>(S43+V43)*constants!$F$2+(T43+U43+W43+X43+Y43+Z43+AA43+AB43)*constants!$G$2</f>
        <v>269748.407906131</v>
      </c>
      <c r="AO43">
        <f>(AD43*constants!$F$2+AE43*constants!$G$2)</f>
        <v>101597.40412935348</v>
      </c>
      <c r="AP43">
        <f t="shared" si="12"/>
        <v>37.663764141550779</v>
      </c>
    </row>
    <row r="44" spans="1:42">
      <c r="A44">
        <f>sim_annual_output!B44</f>
        <v>2</v>
      </c>
      <c r="B44" t="str">
        <f>sim_annual_output!C44</f>
        <v>Fire Hall</v>
      </c>
      <c r="C44" t="str">
        <f>sim_annual_output!D44</f>
        <v>1959-pre</v>
      </c>
      <c r="D44" t="str">
        <f>sim_annual_output!E44</f>
        <v>plug_loads_90_percent</v>
      </c>
      <c r="E44" s="45">
        <f t="array" ref="E44">IFERROR(INDEX(baseline!$J$3:$J$201,MATCH($B44&amp;$C44,baseline!$C$3:$C$201&amp;baseline!$D$3:$D$201,0)),"NA")</f>
        <v>911.73353310000005</v>
      </c>
      <c r="F44">
        <f>sim_annual_output!G44</f>
        <v>911.73353307153502</v>
      </c>
      <c r="G44">
        <f>$E44/$F44^2*sim_annual_output!I44</f>
        <v>0</v>
      </c>
      <c r="H44">
        <f>$E44/$F44^2*sim_annual_output!J44</f>
        <v>530.83291051568369</v>
      </c>
      <c r="I44">
        <f>$E44/$F44^2*sim_annual_output!K44</f>
        <v>1.5507711066421954</v>
      </c>
      <c r="J44">
        <f>$E44/$F44^2*sim_annual_output!L44</f>
        <v>23.654591104066807</v>
      </c>
      <c r="K44">
        <f>$E44/$F44^2*sim_annual_output!M44</f>
        <v>0</v>
      </c>
      <c r="L44">
        <f>$E44/$F44^2*sim_annual_output!N44</f>
        <v>92.187096551629764</v>
      </c>
      <c r="M44">
        <f>$E44/$F44^2*sim_annual_output!O44</f>
        <v>26.469743368383877</v>
      </c>
      <c r="N44">
        <f>$E44/$F44^2*sim_annual_output!P44</f>
        <v>0</v>
      </c>
      <c r="O44">
        <f>$E44/$F44^2*sim_annual_output!Q44</f>
        <v>40.268254845756175</v>
      </c>
      <c r="P44">
        <f>$E44/$F44^2*sim_annual_output!R44</f>
        <v>15.373656196692568</v>
      </c>
      <c r="Q44">
        <f>$E44/$F44^2*sim_annual_output!S44</f>
        <v>0</v>
      </c>
      <c r="R44">
        <f t="array" ref="R44">INDEX(G$3:G$700,MATCH($B44&amp;$C44&amp;"baseline",$B$3:$B$700&amp;$C$3:$C$700&amp;$D$3:$D$700,0))</f>
        <v>0</v>
      </c>
      <c r="S44">
        <f t="array" ref="S44">INDEX(H$3:H$700,MATCH($B44&amp;$C44&amp;"baseline",$B$3:$B$700&amp;$C$3:$C$700&amp;$D$3:$D$700,0))</f>
        <v>536.82881923448883</v>
      </c>
      <c r="T44">
        <f t="array" ref="T44">INDEX(I$3:I$700,MATCH($B44&amp;$C44&amp;"baseline",$B$3:$B$700&amp;$C$3:$C$700&amp;$D$3:$D$700,0))</f>
        <v>1.4776502686079858</v>
      </c>
      <c r="U44">
        <f t="array" ref="U44">INDEX(J$3:J$700,MATCH($B44&amp;$C44&amp;"baseline",$B$3:$B$700&amp;$C$3:$C$700&amp;$D$3:$D$700,0))</f>
        <v>23.654591104066807</v>
      </c>
      <c r="V44">
        <f t="array" ref="V44">INDEX(K$3:K$700,MATCH($B44&amp;$C44&amp;"baseline",$B$3:$B$700&amp;$C$3:$C$700&amp;$D$3:$D$700,0))</f>
        <v>0</v>
      </c>
      <c r="W44">
        <f t="array" ref="W44">INDEX(L$3:L$700,MATCH($B44&amp;$C44&amp;"baseline",$B$3:$B$700&amp;$C$3:$C$700&amp;$D$3:$D$700,0))</f>
        <v>92.187096551629764</v>
      </c>
      <c r="X44">
        <f t="array" ref="X44">INDEX(M$3:M$700,MATCH($B44&amp;$C44&amp;"baseline",$B$3:$B$700&amp;$C$3:$C$700&amp;$D$3:$D$700,0))</f>
        <v>26.469743368383877</v>
      </c>
      <c r="Y44">
        <f t="array" ref="Y44">INDEX(N$3:N$700,MATCH($B44&amp;$C44&amp;"baseline",$B$3:$B$700&amp;$C$3:$C$700&amp;$D$3:$D$700,0))</f>
        <v>0</v>
      </c>
      <c r="Z44">
        <f t="array" ref="Z44">INDEX(O$3:O$700,MATCH($B44&amp;$C44&amp;"baseline",$B$3:$B$700&amp;$C$3:$C$700&amp;$D$3:$D$700,0))</f>
        <v>40.374889401222738</v>
      </c>
      <c r="AA44">
        <f t="array" ref="AA44">INDEX(P$3:P$700,MATCH($B44&amp;$C44&amp;"baseline",$B$3:$B$700&amp;$C$3:$C$700&amp;$D$3:$D$700,0))</f>
        <v>15.44068363155726</v>
      </c>
      <c r="AB44">
        <f t="array" ref="AB44">INDEX(Q$3:Q$700,MATCH($B44&amp;$C44&amp;"baseline",$B$3:$B$700&amp;$C$3:$C$700&amp;$D$3:$D$700,0))</f>
        <v>0</v>
      </c>
      <c r="AC44">
        <f t="shared" si="6"/>
        <v>736.43347355995718</v>
      </c>
      <c r="AD44">
        <f t="shared" si="7"/>
        <v>5.9959087188051399</v>
      </c>
      <c r="AE44">
        <f t="shared" si="8"/>
        <v>0.10054115229706895</v>
      </c>
      <c r="AF44">
        <f t="shared" si="9"/>
        <v>0.82783443311337501</v>
      </c>
      <c r="AG44">
        <f>(S44+V44+Y44)*constants!$O$2+(R44+T44+U44+W44+X44+Z44+AA44+AB44)*constants!$N$2</f>
        <v>31.25195281037665</v>
      </c>
      <c r="AH44">
        <f>((S44+V44+Y44)-(H44+K44+N44))*constants!$O$2</f>
        <v>9.7133721244643256E-2</v>
      </c>
      <c r="AI44">
        <f>((R44+T44+U44+W44+X44+Z44+AA44+AB44)-(G44+I44+J44+L44+M44+O44+P44+Q44))*constants!$N$2</f>
        <v>1.1361150209568792E-2</v>
      </c>
      <c r="AJ44">
        <f t="shared" si="10"/>
        <v>0.34716189453027801</v>
      </c>
      <c r="AK44">
        <f t="shared" si="11"/>
        <v>0.10849487145421205</v>
      </c>
      <c r="AL44">
        <f>COUNTIFS($B:$B,$B44,$AK:$AK,"&lt;"&amp;$AK44)+COUNTIFS($B$2:$B44,$B44,$AK$2:$AK44,$AK44)</f>
        <v>4</v>
      </c>
      <c r="AM44" s="191">
        <f>IF(AK44=0, "NA",IF(((sim_annual_output!F44/E44)/AK44)&lt;0,100,((sim_annual_output!F44/E44)/AK44)))</f>
        <v>26.99093053779983</v>
      </c>
      <c r="AN44">
        <f>(S44+V44)*constants!$F$2+(T44+U44+W44+X44+Y44+Z44+AA44+AB44)*constants!$G$2</f>
        <v>269748.407906131</v>
      </c>
      <c r="AO44">
        <f>(AD44*constants!$F$2+AE44*constants!$G$2)</f>
        <v>1160.73846316457</v>
      </c>
      <c r="AP44">
        <f t="shared" si="12"/>
        <v>0.43030410157916194</v>
      </c>
    </row>
    <row r="45" spans="1:42">
      <c r="A45">
        <f>sim_annual_output!B45</f>
        <v>2</v>
      </c>
      <c r="B45" t="str">
        <f>sim_annual_output!C45</f>
        <v>Fire Hall</v>
      </c>
      <c r="C45" t="str">
        <f>sim_annual_output!D45</f>
        <v>1959-pre</v>
      </c>
      <c r="D45" t="str">
        <f>sim_annual_output!E45</f>
        <v>pump_fan_eff_</v>
      </c>
      <c r="E45" s="45">
        <f t="array" ref="E45">IFERROR(INDEX(baseline!$J$3:$J$201,MATCH($B45&amp;$C45,baseline!$C$3:$C$201&amp;baseline!$D$3:$D$201,0)),"NA")</f>
        <v>911.73353310000005</v>
      </c>
      <c r="F45">
        <f>sim_annual_output!G45</f>
        <v>911.73353307153502</v>
      </c>
      <c r="G45">
        <f>$E45/$F45^2*sim_annual_output!I45</f>
        <v>0</v>
      </c>
      <c r="H45">
        <f>$E45/$F45^2*sim_annual_output!J45</f>
        <v>530.48863323660589</v>
      </c>
      <c r="I45">
        <f>$E45/$F45^2*sim_annual_output!K45</f>
        <v>1.5355375987184015</v>
      </c>
      <c r="J45">
        <f>$E45/$F45^2*sim_annual_output!L45</f>
        <v>23.654591104066807</v>
      </c>
      <c r="K45">
        <f>$E45/$F45^2*sim_annual_output!M45</f>
        <v>0</v>
      </c>
      <c r="L45">
        <f>$E45/$F45^2*sim_annual_output!N45</f>
        <v>92.187096551629764</v>
      </c>
      <c r="M45">
        <f>$E45/$F45^2*sim_annual_output!O45</f>
        <v>26.469743368383877</v>
      </c>
      <c r="N45">
        <f>$E45/$F45^2*sim_annual_output!P45</f>
        <v>0</v>
      </c>
      <c r="O45">
        <f>$E45/$F45^2*sim_annual_output!Q45</f>
        <v>40.249974636247622</v>
      </c>
      <c r="P45">
        <f>$E45/$F45^2*sim_annual_output!R45</f>
        <v>12.025331155042721</v>
      </c>
      <c r="Q45">
        <f>$E45/$F45^2*sim_annual_output!S45</f>
        <v>0</v>
      </c>
      <c r="R45">
        <f t="array" ref="R45">INDEX(G$3:G$700,MATCH($B45&amp;$C45&amp;"baseline",$B$3:$B$700&amp;$C$3:$C$700&amp;$D$3:$D$700,0))</f>
        <v>0</v>
      </c>
      <c r="S45">
        <f t="array" ref="S45">INDEX(H$3:H$700,MATCH($B45&amp;$C45&amp;"baseline",$B$3:$B$700&amp;$C$3:$C$700&amp;$D$3:$D$700,0))</f>
        <v>536.82881923448883</v>
      </c>
      <c r="T45">
        <f t="array" ref="T45">INDEX(I$3:I$700,MATCH($B45&amp;$C45&amp;"baseline",$B$3:$B$700&amp;$C$3:$C$700&amp;$D$3:$D$700,0))</f>
        <v>1.4776502686079858</v>
      </c>
      <c r="U45">
        <f t="array" ref="U45">INDEX(J$3:J$700,MATCH($B45&amp;$C45&amp;"baseline",$B$3:$B$700&amp;$C$3:$C$700&amp;$D$3:$D$700,0))</f>
        <v>23.654591104066807</v>
      </c>
      <c r="V45">
        <f t="array" ref="V45">INDEX(K$3:K$700,MATCH($B45&amp;$C45&amp;"baseline",$B$3:$B$700&amp;$C$3:$C$700&amp;$D$3:$D$700,0))</f>
        <v>0</v>
      </c>
      <c r="W45">
        <f t="array" ref="W45">INDEX(L$3:L$700,MATCH($B45&amp;$C45&amp;"baseline",$B$3:$B$700&amp;$C$3:$C$700&amp;$D$3:$D$700,0))</f>
        <v>92.187096551629764</v>
      </c>
      <c r="X45">
        <f t="array" ref="X45">INDEX(M$3:M$700,MATCH($B45&amp;$C45&amp;"baseline",$B$3:$B$700&amp;$C$3:$C$700&amp;$D$3:$D$700,0))</f>
        <v>26.469743368383877</v>
      </c>
      <c r="Y45">
        <f t="array" ref="Y45">INDEX(N$3:N$700,MATCH($B45&amp;$C45&amp;"baseline",$B$3:$B$700&amp;$C$3:$C$700&amp;$D$3:$D$700,0))</f>
        <v>0</v>
      </c>
      <c r="Z45">
        <f t="array" ref="Z45">INDEX(O$3:O$700,MATCH($B45&amp;$C45&amp;"baseline",$B$3:$B$700&amp;$C$3:$C$700&amp;$D$3:$D$700,0))</f>
        <v>40.374889401222738</v>
      </c>
      <c r="AA45">
        <f t="array" ref="AA45">INDEX(P$3:P$700,MATCH($B45&amp;$C45&amp;"baseline",$B$3:$B$700&amp;$C$3:$C$700&amp;$D$3:$D$700,0))</f>
        <v>15.44068363155726</v>
      </c>
      <c r="AB45">
        <f t="array" ref="AB45">INDEX(Q$3:Q$700,MATCH($B45&amp;$C45&amp;"baseline",$B$3:$B$700&amp;$C$3:$C$700&amp;$D$3:$D$700,0))</f>
        <v>0</v>
      </c>
      <c r="AC45">
        <f t="shared" si="6"/>
        <v>736.43347355995718</v>
      </c>
      <c r="AD45">
        <f t="shared" si="7"/>
        <v>6.3401859978829407</v>
      </c>
      <c r="AE45">
        <f t="shared" si="8"/>
        <v>3.482379911379212</v>
      </c>
      <c r="AF45">
        <f t="shared" si="9"/>
        <v>1.3338022050762257</v>
      </c>
      <c r="AG45">
        <f>(S45+V45+Y45)*constants!$O$2+(R45+T45+U45+W45+X45+Z45+AA45+AB45)*constants!$N$2</f>
        <v>31.25195281037665</v>
      </c>
      <c r="AH45">
        <f>((S45+V45+Y45)-(H45+K45+N45))*constants!$O$2</f>
        <v>0.10271101316570364</v>
      </c>
      <c r="AI45">
        <f>((R45+T45+U45+W45+X45+Z45+AA45+AB45)-(G45+I45+J45+L45+M45+O45+P45+Q45))*constants!$N$2</f>
        <v>0.39350892998585096</v>
      </c>
      <c r="AJ45">
        <f t="shared" si="10"/>
        <v>1.5878045962836398</v>
      </c>
      <c r="AK45">
        <f t="shared" si="11"/>
        <v>0.4962199431515546</v>
      </c>
      <c r="AL45">
        <f>COUNTIFS($B:$B,$B45,$AK:$AK,"&lt;"&amp;$AK45)+COUNTIFS($B$2:$B45,$B45,$AK$2:$AK45,$AK45)</f>
        <v>13</v>
      </c>
      <c r="AM45" s="191">
        <f>IF(AK45=0, "NA",IF(((sim_annual_output!F45/E45)/AK45)&lt;0,100,((sim_annual_output!F45/E45)/AK45)))</f>
        <v>13.133250621618881</v>
      </c>
      <c r="AN45">
        <f>(S45+V45)*constants!$F$2+(T45+U45+W45+X45+Y45+Z45+AA45+AB45)*constants!$G$2</f>
        <v>269748.407906131</v>
      </c>
      <c r="AO45">
        <f>(AD45*constants!$F$2+AE45*constants!$G$2)</f>
        <v>4164.5638165209602</v>
      </c>
      <c r="AP45">
        <f t="shared" si="12"/>
        <v>1.5438696557460962</v>
      </c>
    </row>
    <row r="46" spans="1:42">
      <c r="A46">
        <f>sim_annual_output!B46</f>
        <v>3</v>
      </c>
      <c r="B46" t="str">
        <f>sim_annual_output!C46</f>
        <v>Food Service</v>
      </c>
      <c r="C46" t="str">
        <f>sim_annual_output!D46</f>
        <v>1959-pre</v>
      </c>
      <c r="D46" t="str">
        <f>sim_annual_output!E46</f>
        <v>air_temp_reset_enabled</v>
      </c>
      <c r="E46" s="45">
        <f t="array" ref="E46">IFERROR(INDEX(baseline!$J$3:$J$201,MATCH($B46&amp;$C46,baseline!$C$3:$C$201&amp;baseline!$D$3:$D$201,0)),"NA")</f>
        <v>2568</v>
      </c>
      <c r="F46">
        <f>sim_annual_output!G46</f>
        <v>2693.60503738445</v>
      </c>
      <c r="G46">
        <f>$E46/$F46^2*sim_annual_output!I46</f>
        <v>0</v>
      </c>
      <c r="H46">
        <f>$E46/$F46^2*sim_annual_output!J46</f>
        <v>623.26663048765249</v>
      </c>
      <c r="I46">
        <f>$E46/$F46^2*sim_annual_output!K46</f>
        <v>9.836534690182468</v>
      </c>
      <c r="J46">
        <f>$E46/$F46^2*sim_annual_output!L46</f>
        <v>51.871621214795304</v>
      </c>
      <c r="K46">
        <f>$E46/$F46^2*sim_annual_output!M46</f>
        <v>0</v>
      </c>
      <c r="L46">
        <f>$E46/$F46^2*sim_annual_output!N46</f>
        <v>77.142814385854791</v>
      </c>
      <c r="M46">
        <f>$E46/$F46^2*sim_annual_output!O46</f>
        <v>11.925753702340163</v>
      </c>
      <c r="N46">
        <f>$E46/$F46^2*sim_annual_output!P46</f>
        <v>0</v>
      </c>
      <c r="O46">
        <f>$E46/$F46^2*sim_annual_output!Q46</f>
        <v>33.890573443806083</v>
      </c>
      <c r="P46">
        <f>$E46/$F46^2*sim_annual_output!R46</f>
        <v>13.971713591422594</v>
      </c>
      <c r="Q46">
        <f>$E46/$F46^2*sim_annual_output!S46</f>
        <v>0</v>
      </c>
      <c r="R46">
        <f t="array" ref="R46">INDEX(G$3:G$700,MATCH($B46&amp;$C46&amp;"baseline",$B$3:$B$700&amp;$C$3:$C$700&amp;$D$3:$D$700,0))</f>
        <v>0</v>
      </c>
      <c r="S46">
        <f t="array" ref="S46">INDEX(H$3:H$700,MATCH($B46&amp;$C46&amp;"baseline",$B$3:$B$700&amp;$C$3:$C$700&amp;$D$3:$D$700,0))</f>
        <v>593.73834634123182</v>
      </c>
      <c r="T46">
        <f t="array" ref="T46">INDEX(I$3:I$700,MATCH($B46&amp;$C46&amp;"baseline",$B$3:$B$700&amp;$C$3:$C$700&amp;$D$3:$D$700,0))</f>
        <v>2.8796811701693601</v>
      </c>
      <c r="U46">
        <f t="array" ref="U46">INDEX(J$3:J$700,MATCH($B46&amp;$C46&amp;"baseline",$B$3:$B$700&amp;$C$3:$C$700&amp;$D$3:$D$700,0))</f>
        <v>51.873587538571449</v>
      </c>
      <c r="V46">
        <f t="array" ref="V46">INDEX(K$3:K$700,MATCH($B46&amp;$C46&amp;"baseline",$B$3:$B$700&amp;$C$3:$C$700&amp;$D$3:$D$700,0))</f>
        <v>0</v>
      </c>
      <c r="W46">
        <f t="array" ref="W46">INDEX(L$3:L$700,MATCH($B46&amp;$C46&amp;"baseline",$B$3:$B$700&amp;$C$3:$C$700&amp;$D$3:$D$700,0))</f>
        <v>77.142814385854791</v>
      </c>
      <c r="X46">
        <f t="array" ref="X46">INDEX(M$3:M$700,MATCH($B46&amp;$C46&amp;"baseline",$B$3:$B$700&amp;$C$3:$C$700&amp;$D$3:$D$700,0))</f>
        <v>11.925753702340163</v>
      </c>
      <c r="Y46">
        <f t="array" ref="Y46">INDEX(N$3:N$700,MATCH($B46&amp;$C46&amp;"baseline",$B$3:$B$700&amp;$C$3:$C$700&amp;$D$3:$D$700,0))</f>
        <v>0</v>
      </c>
      <c r="Z46">
        <f t="array" ref="Z46">INDEX(O$3:O$700,MATCH($B46&amp;$C46&amp;"baseline",$B$3:$B$700&amp;$C$3:$C$700&amp;$D$3:$D$700,0))</f>
        <v>33.777509826677544</v>
      </c>
      <c r="AA46">
        <f t="array" ref="AA46">INDEX(P$3:P$700,MATCH($B46&amp;$C46&amp;"baseline",$B$3:$B$700&amp;$C$3:$C$700&amp;$D$3:$D$700,0))</f>
        <v>13.60401104528284</v>
      </c>
      <c r="AB46">
        <f t="array" ref="AB46">INDEX(Q$3:Q$700,MATCH($B46&amp;$C46&amp;"baseline",$B$3:$B$700&amp;$C$3:$C$700&amp;$D$3:$D$700,0))</f>
        <v>0</v>
      </c>
      <c r="AC46">
        <f t="shared" si="6"/>
        <v>784.94170401012786</v>
      </c>
      <c r="AD46">
        <f t="shared" si="7"/>
        <v>-29.528284146420674</v>
      </c>
      <c r="AE46">
        <f t="shared" si="8"/>
        <v>-7.4356533595052383</v>
      </c>
      <c r="AF46">
        <f t="shared" si="9"/>
        <v>-4.7091315593353897</v>
      </c>
      <c r="AG46">
        <f>(S46+V46+Y46)*constants!$O$2+(R46+T46+U46+W46+X46+Z46+AA46+AB46)*constants!$N$2</f>
        <v>31.224540627313225</v>
      </c>
      <c r="AH46">
        <f>((S46+V46+Y46)-(H46+K46+N46))*constants!$O$2</f>
        <v>-0.47835820317201488</v>
      </c>
      <c r="AI46">
        <f>((R46+T46+U46+W46+X46+Z46+AA46+AB46)-(G46+I46+J46+L46+M46+O46+P46+Q46))*constants!$N$2</f>
        <v>-0.84022882962409196</v>
      </c>
      <c r="AJ46">
        <f t="shared" si="10"/>
        <v>-4.2229189166763641</v>
      </c>
      <c r="AK46">
        <f t="shared" si="11"/>
        <v>-1.3185870327961069</v>
      </c>
      <c r="AL46">
        <f>COUNTIFS($B:$B,$B46,$AK:$AK,"&lt;"&amp;$AK46)+COUNTIFS($B$2:$B46,$B46,$AK$2:$AK46,$AK46)</f>
        <v>2</v>
      </c>
      <c r="AM46" s="191">
        <f>IF(AK46=0, "NA",IF(((sim_annual_output!F46/E46)/AK46)&lt;0,100,((sim_annual_output!F46/E46)/AK46)))</f>
        <v>100</v>
      </c>
      <c r="AN46">
        <f>(S46+V46)*constants!$F$2+(T46+U46+W46+X46+Y46+Z46+AA46+AB46)*constants!$G$2</f>
        <v>272626.08516702015</v>
      </c>
      <c r="AO46">
        <f>(AD46*constants!$F$2+AE46*constants!$G$2)</f>
        <v>-11754.581284978858</v>
      </c>
      <c r="AP46">
        <f t="shared" si="12"/>
        <v>-4.311612836965911</v>
      </c>
    </row>
    <row r="47" spans="1:42">
      <c r="A47">
        <f>sim_annual_output!B47</f>
        <v>3</v>
      </c>
      <c r="B47" t="str">
        <f>sim_annual_output!C47</f>
        <v>Food Service</v>
      </c>
      <c r="C47" t="str">
        <f>sim_annual_output!D47</f>
        <v>1959-pre</v>
      </c>
      <c r="D47" t="str">
        <f>sim_annual_output!E47</f>
        <v>baseline</v>
      </c>
      <c r="E47" s="45">
        <f t="array" ref="E47">IFERROR(INDEX(baseline!$J$3:$J$201,MATCH($B47&amp;$C47,baseline!$C$3:$C$201&amp;baseline!$D$3:$D$201,0)),"NA")</f>
        <v>2568</v>
      </c>
      <c r="F47">
        <f>sim_annual_output!G47</f>
        <v>2693.60503738445</v>
      </c>
      <c r="G47">
        <f>$E47/$F47^2*sim_annual_output!I47</f>
        <v>0</v>
      </c>
      <c r="H47">
        <f>$E47/$F47^2*sim_annual_output!J47</f>
        <v>593.73834634123182</v>
      </c>
      <c r="I47">
        <f>$E47/$F47^2*sim_annual_output!K47</f>
        <v>2.8796811701693601</v>
      </c>
      <c r="J47">
        <f>$E47/$F47^2*sim_annual_output!L47</f>
        <v>51.873587538571449</v>
      </c>
      <c r="K47">
        <f>$E47/$F47^2*sim_annual_output!M47</f>
        <v>0</v>
      </c>
      <c r="L47">
        <f>$E47/$F47^2*sim_annual_output!N47</f>
        <v>77.142814385854791</v>
      </c>
      <c r="M47">
        <f>$E47/$F47^2*sim_annual_output!O47</f>
        <v>11.925753702340163</v>
      </c>
      <c r="N47">
        <f>$E47/$F47^2*sim_annual_output!P47</f>
        <v>0</v>
      </c>
      <c r="O47">
        <f>$E47/$F47^2*sim_annual_output!Q47</f>
        <v>33.777509826677544</v>
      </c>
      <c r="P47">
        <f>$E47/$F47^2*sim_annual_output!R47</f>
        <v>13.60401104528284</v>
      </c>
      <c r="Q47">
        <f>$E47/$F47^2*sim_annual_output!S47</f>
        <v>0</v>
      </c>
      <c r="R47">
        <f t="array" ref="R47">INDEX(G$3:G$700,MATCH($B47&amp;$C47&amp;"baseline",$B$3:$B$700&amp;$C$3:$C$700&amp;$D$3:$D$700,0))</f>
        <v>0</v>
      </c>
      <c r="S47">
        <f t="array" ref="S47">INDEX(H$3:H$700,MATCH($B47&amp;$C47&amp;"baseline",$B$3:$B$700&amp;$C$3:$C$700&amp;$D$3:$D$700,0))</f>
        <v>593.73834634123182</v>
      </c>
      <c r="T47">
        <f t="array" ref="T47">INDEX(I$3:I$700,MATCH($B47&amp;$C47&amp;"baseline",$B$3:$B$700&amp;$C$3:$C$700&amp;$D$3:$D$700,0))</f>
        <v>2.8796811701693601</v>
      </c>
      <c r="U47">
        <f t="array" ref="U47">INDEX(J$3:J$700,MATCH($B47&amp;$C47&amp;"baseline",$B$3:$B$700&amp;$C$3:$C$700&amp;$D$3:$D$700,0))</f>
        <v>51.873587538571449</v>
      </c>
      <c r="V47">
        <f t="array" ref="V47">INDEX(K$3:K$700,MATCH($B47&amp;$C47&amp;"baseline",$B$3:$B$700&amp;$C$3:$C$700&amp;$D$3:$D$700,0))</f>
        <v>0</v>
      </c>
      <c r="W47">
        <f t="array" ref="W47">INDEX(L$3:L$700,MATCH($B47&amp;$C47&amp;"baseline",$B$3:$B$700&amp;$C$3:$C$700&amp;$D$3:$D$700,0))</f>
        <v>77.142814385854791</v>
      </c>
      <c r="X47">
        <f t="array" ref="X47">INDEX(M$3:M$700,MATCH($B47&amp;$C47&amp;"baseline",$B$3:$B$700&amp;$C$3:$C$700&amp;$D$3:$D$700,0))</f>
        <v>11.925753702340163</v>
      </c>
      <c r="Y47">
        <f t="array" ref="Y47">INDEX(N$3:N$700,MATCH($B47&amp;$C47&amp;"baseline",$B$3:$B$700&amp;$C$3:$C$700&amp;$D$3:$D$700,0))</f>
        <v>0</v>
      </c>
      <c r="Z47">
        <f t="array" ref="Z47">INDEX(O$3:O$700,MATCH($B47&amp;$C47&amp;"baseline",$B$3:$B$700&amp;$C$3:$C$700&amp;$D$3:$D$700,0))</f>
        <v>33.777509826677544</v>
      </c>
      <c r="AA47">
        <f t="array" ref="AA47">INDEX(P$3:P$700,MATCH($B47&amp;$C47&amp;"baseline",$B$3:$B$700&amp;$C$3:$C$700&amp;$D$3:$D$700,0))</f>
        <v>13.60401104528284</v>
      </c>
      <c r="AB47">
        <f t="array" ref="AB47">INDEX(Q$3:Q$700,MATCH($B47&amp;$C47&amp;"baseline",$B$3:$B$700&amp;$C$3:$C$700&amp;$D$3:$D$700,0))</f>
        <v>0</v>
      </c>
      <c r="AC47">
        <f t="shared" si="6"/>
        <v>784.94170401012786</v>
      </c>
      <c r="AD47">
        <f t="shared" si="7"/>
        <v>0</v>
      </c>
      <c r="AE47">
        <f t="shared" si="8"/>
        <v>0</v>
      </c>
      <c r="AF47">
        <f t="shared" si="9"/>
        <v>0</v>
      </c>
      <c r="AG47">
        <f>(S47+V47+Y47)*constants!$O$2+(R47+T47+U47+W47+X47+Z47+AA47+AB47)*constants!$N$2</f>
        <v>31.224540627313225</v>
      </c>
      <c r="AH47">
        <f>((S47+V47+Y47)-(H47+K47+N47))*constants!$O$2</f>
        <v>0</v>
      </c>
      <c r="AI47">
        <f>((R47+T47+U47+W47+X47+Z47+AA47+AB47)-(G47+I47+J47+L47+M47+O47+P47+Q47))*constants!$N$2</f>
        <v>0</v>
      </c>
      <c r="AJ47">
        <f t="shared" si="10"/>
        <v>0</v>
      </c>
      <c r="AK47">
        <f t="shared" si="11"/>
        <v>0</v>
      </c>
      <c r="AL47">
        <f>COUNTIFS($B:$B,$B47,$AK:$AK,"&lt;"&amp;$AK47)+COUNTIFS($B$2:$B47,$B47,$AK$2:$AK47,$AK47)</f>
        <v>16</v>
      </c>
      <c r="AM47" s="191" t="str">
        <f>IF(AK47=0, "NA",IF(((sim_annual_output!F47/E47)/AK47)&lt;0,100,((sim_annual_output!F47/E47)/AK47)))</f>
        <v>NA</v>
      </c>
      <c r="AN47">
        <f>(S47+V47)*constants!$F$2+(T47+U47+W47+X47+Y47+Z47+AA47+AB47)*constants!$G$2</f>
        <v>272626.08516702015</v>
      </c>
      <c r="AO47">
        <f>(AD47*constants!$F$2+AE47*constants!$G$2)</f>
        <v>0</v>
      </c>
      <c r="AP47">
        <f t="shared" si="12"/>
        <v>0</v>
      </c>
    </row>
    <row r="48" spans="1:42">
      <c r="A48">
        <f>sim_annual_output!B48</f>
        <v>3</v>
      </c>
      <c r="B48" t="str">
        <f>sim_annual_output!C48</f>
        <v>Food Service</v>
      </c>
      <c r="C48" t="str">
        <f>sim_annual_output!D48</f>
        <v>1959-pre</v>
      </c>
      <c r="D48" t="str">
        <f>sim_annual_output!E48</f>
        <v>boiler_eff_upgrade</v>
      </c>
      <c r="E48" s="45">
        <f t="array" ref="E48">IFERROR(INDEX(baseline!$J$3:$J$201,MATCH($B48&amp;$C48,baseline!$C$3:$C$201&amp;baseline!$D$3:$D$201,0)),"NA")</f>
        <v>2568</v>
      </c>
      <c r="F48">
        <f>sim_annual_output!G48</f>
        <v>2693.60503738445</v>
      </c>
      <c r="G48">
        <f>$E48/$F48^2*sim_annual_output!I48</f>
        <v>0</v>
      </c>
      <c r="H48">
        <f>$E48/$F48^2*sim_annual_output!J48</f>
        <v>585.07374062163376</v>
      </c>
      <c r="I48">
        <f>$E48/$F48^2*sim_annual_output!K48</f>
        <v>4.0063846939024046</v>
      </c>
      <c r="J48">
        <f>$E48/$F48^2*sim_annual_output!L48</f>
        <v>51.872604376683377</v>
      </c>
      <c r="K48">
        <f>$E48/$F48^2*sim_annual_output!M48</f>
        <v>0</v>
      </c>
      <c r="L48">
        <f>$E48/$F48^2*sim_annual_output!N48</f>
        <v>77.142814385854791</v>
      </c>
      <c r="M48">
        <f>$E48/$F48^2*sim_annual_output!O48</f>
        <v>11.925753702340163</v>
      </c>
      <c r="N48">
        <f>$E48/$F48^2*sim_annual_output!P48</f>
        <v>0</v>
      </c>
      <c r="O48">
        <f>$E48/$F48^2*sim_annual_output!Q48</f>
        <v>33.914169329119858</v>
      </c>
      <c r="P48">
        <f>$E48/$F48^2*sim_annual_output!R48</f>
        <v>13.81440768933072</v>
      </c>
      <c r="Q48">
        <f>$E48/$F48^2*sim_annual_output!S48</f>
        <v>0</v>
      </c>
      <c r="R48">
        <f t="array" ref="R48">INDEX(G$3:G$700,MATCH($B48&amp;$C48&amp;"baseline",$B$3:$B$700&amp;$C$3:$C$700&amp;$D$3:$D$700,0))</f>
        <v>0</v>
      </c>
      <c r="S48">
        <f t="array" ref="S48">INDEX(H$3:H$700,MATCH($B48&amp;$C48&amp;"baseline",$B$3:$B$700&amp;$C$3:$C$700&amp;$D$3:$D$700,0))</f>
        <v>593.73834634123182</v>
      </c>
      <c r="T48">
        <f t="array" ref="T48">INDEX(I$3:I$700,MATCH($B48&amp;$C48&amp;"baseline",$B$3:$B$700&amp;$C$3:$C$700&amp;$D$3:$D$700,0))</f>
        <v>2.8796811701693601</v>
      </c>
      <c r="U48">
        <f t="array" ref="U48">INDEX(J$3:J$700,MATCH($B48&amp;$C48&amp;"baseline",$B$3:$B$700&amp;$C$3:$C$700&amp;$D$3:$D$700,0))</f>
        <v>51.873587538571449</v>
      </c>
      <c r="V48">
        <f t="array" ref="V48">INDEX(K$3:K$700,MATCH($B48&amp;$C48&amp;"baseline",$B$3:$B$700&amp;$C$3:$C$700&amp;$D$3:$D$700,0))</f>
        <v>0</v>
      </c>
      <c r="W48">
        <f t="array" ref="W48">INDEX(L$3:L$700,MATCH($B48&amp;$C48&amp;"baseline",$B$3:$B$700&amp;$C$3:$C$700&amp;$D$3:$D$700,0))</f>
        <v>77.142814385854791</v>
      </c>
      <c r="X48">
        <f t="array" ref="X48">INDEX(M$3:M$700,MATCH($B48&amp;$C48&amp;"baseline",$B$3:$B$700&amp;$C$3:$C$700&amp;$D$3:$D$700,0))</f>
        <v>11.925753702340163</v>
      </c>
      <c r="Y48">
        <f t="array" ref="Y48">INDEX(N$3:N$700,MATCH($B48&amp;$C48&amp;"baseline",$B$3:$B$700&amp;$C$3:$C$700&amp;$D$3:$D$700,0))</f>
        <v>0</v>
      </c>
      <c r="Z48">
        <f t="array" ref="Z48">INDEX(O$3:O$700,MATCH($B48&amp;$C48&amp;"baseline",$B$3:$B$700&amp;$C$3:$C$700&amp;$D$3:$D$700,0))</f>
        <v>33.777509826677544</v>
      </c>
      <c r="AA48">
        <f t="array" ref="AA48">INDEX(P$3:P$700,MATCH($B48&amp;$C48&amp;"baseline",$B$3:$B$700&amp;$C$3:$C$700&amp;$D$3:$D$700,0))</f>
        <v>13.60401104528284</v>
      </c>
      <c r="AB48">
        <f t="array" ref="AB48">INDEX(Q$3:Q$700,MATCH($B48&amp;$C48&amp;"baseline",$B$3:$B$700&amp;$C$3:$C$700&amp;$D$3:$D$700,0))</f>
        <v>0</v>
      </c>
      <c r="AC48">
        <f t="shared" si="6"/>
        <v>784.94170401012786</v>
      </c>
      <c r="AD48">
        <f t="shared" si="7"/>
        <v>8.6646057195980575</v>
      </c>
      <c r="AE48">
        <f t="shared" si="8"/>
        <v>-1.4727765083351585</v>
      </c>
      <c r="AF48">
        <f t="shared" si="9"/>
        <v>0.91622462846872832</v>
      </c>
      <c r="AG48">
        <f>(S48+V48+Y48)*constants!$O$2+(R48+T48+U48+W48+X48+Z48+AA48+AB48)*constants!$N$2</f>
        <v>31.224540627313225</v>
      </c>
      <c r="AH48">
        <f>((S48+V48+Y48)-(H48+K48+N48))*constants!$O$2</f>
        <v>0.14036661265748851</v>
      </c>
      <c r="AI48">
        <f>((R48+T48+U48+W48+X48+Z48+AA48+AB48)-(G48+I48+J48+L48+M48+O48+P48+Q48))*constants!$N$2</f>
        <v>-0.16642374544187291</v>
      </c>
      <c r="AJ48">
        <f t="shared" si="10"/>
        <v>-8.3450812280617806E-2</v>
      </c>
      <c r="AK48">
        <f t="shared" si="11"/>
        <v>-2.6057132784384401E-2</v>
      </c>
      <c r="AL48">
        <f>COUNTIFS($B:$B,$B48,$AK:$AK,"&lt;"&amp;$AK48)+COUNTIFS($B$2:$B48,$B48,$AK$2:$AK48,$AK48)</f>
        <v>13</v>
      </c>
      <c r="AM48" s="191">
        <f>IF(AK48=0, "NA",IF(((sim_annual_output!F48/E48)/AK48)&lt;0,100,((sim_annual_output!F48/E48)/AK48)))</f>
        <v>100</v>
      </c>
      <c r="AN48">
        <f>(S48+V48)*constants!$F$2+(T48+U48+W48+X48+Y48+Z48+AA48+AB48)*constants!$G$2</f>
        <v>272626.08516702015</v>
      </c>
      <c r="AO48">
        <f>(AD48*constants!$F$2+AE48*constants!$G$2)</f>
        <v>269.64886155646445</v>
      </c>
      <c r="AP48">
        <f t="shared" si="12"/>
        <v>9.8907946167832134E-2</v>
      </c>
    </row>
    <row r="49" spans="1:42">
      <c r="A49">
        <f>sim_annual_output!B49</f>
        <v>3</v>
      </c>
      <c r="B49" t="str">
        <f>sim_annual_output!C49</f>
        <v>Food Service</v>
      </c>
      <c r="C49" t="str">
        <f>sim_annual_output!D49</f>
        <v>1959-pre</v>
      </c>
      <c r="D49" t="str">
        <f>sim_annual_output!E49</f>
        <v>boiler_reset</v>
      </c>
      <c r="E49" s="45">
        <f t="array" ref="E49">IFERROR(INDEX(baseline!$J$3:$J$201,MATCH($B49&amp;$C49,baseline!$C$3:$C$201&amp;baseline!$D$3:$D$201,0)),"NA")</f>
        <v>2568</v>
      </c>
      <c r="F49">
        <f>sim_annual_output!G49</f>
        <v>2693.60503738445</v>
      </c>
      <c r="G49">
        <f>$E49/$F49^2*sim_annual_output!I49</f>
        <v>0</v>
      </c>
      <c r="H49">
        <f>$E49/$F49^2*sim_annual_output!J49</f>
        <v>469.75868276940969</v>
      </c>
      <c r="I49">
        <f>$E49/$F49^2*sim_annual_output!K49</f>
        <v>4.0063846939024046</v>
      </c>
      <c r="J49">
        <f>$E49/$F49^2*sim_annual_output!L49</f>
        <v>51.872604376683377</v>
      </c>
      <c r="K49">
        <f>$E49/$F49^2*sim_annual_output!M49</f>
        <v>0</v>
      </c>
      <c r="L49">
        <f>$E49/$F49^2*sim_annual_output!N49</f>
        <v>77.142814385854791</v>
      </c>
      <c r="M49">
        <f>$E49/$F49^2*sim_annual_output!O49</f>
        <v>11.925753702340163</v>
      </c>
      <c r="N49">
        <f>$E49/$F49^2*sim_annual_output!P49</f>
        <v>0</v>
      </c>
      <c r="O49">
        <f>$E49/$F49^2*sim_annual_output!Q49</f>
        <v>33.914169329119858</v>
      </c>
      <c r="P49">
        <f>$E49/$F49^2*sim_annual_output!R49</f>
        <v>0.73737141605565726</v>
      </c>
      <c r="Q49">
        <f>$E49/$F49^2*sim_annual_output!S49</f>
        <v>0</v>
      </c>
      <c r="R49">
        <f t="array" ref="R49">INDEX(G$3:G$700,MATCH($B49&amp;$C49&amp;"baseline",$B$3:$B$700&amp;$C$3:$C$700&amp;$D$3:$D$700,0))</f>
        <v>0</v>
      </c>
      <c r="S49">
        <f t="array" ref="S49">INDEX(H$3:H$700,MATCH($B49&amp;$C49&amp;"baseline",$B$3:$B$700&amp;$C$3:$C$700&amp;$D$3:$D$700,0))</f>
        <v>593.73834634123182</v>
      </c>
      <c r="T49">
        <f t="array" ref="T49">INDEX(I$3:I$700,MATCH($B49&amp;$C49&amp;"baseline",$B$3:$B$700&amp;$C$3:$C$700&amp;$D$3:$D$700,0))</f>
        <v>2.8796811701693601</v>
      </c>
      <c r="U49">
        <f t="array" ref="U49">INDEX(J$3:J$700,MATCH($B49&amp;$C49&amp;"baseline",$B$3:$B$700&amp;$C$3:$C$700&amp;$D$3:$D$700,0))</f>
        <v>51.873587538571449</v>
      </c>
      <c r="V49">
        <f t="array" ref="V49">INDEX(K$3:K$700,MATCH($B49&amp;$C49&amp;"baseline",$B$3:$B$700&amp;$C$3:$C$700&amp;$D$3:$D$700,0))</f>
        <v>0</v>
      </c>
      <c r="W49">
        <f t="array" ref="W49">INDEX(L$3:L$700,MATCH($B49&amp;$C49&amp;"baseline",$B$3:$B$700&amp;$C$3:$C$700&amp;$D$3:$D$700,0))</f>
        <v>77.142814385854791</v>
      </c>
      <c r="X49">
        <f t="array" ref="X49">INDEX(M$3:M$700,MATCH($B49&amp;$C49&amp;"baseline",$B$3:$B$700&amp;$C$3:$C$700&amp;$D$3:$D$700,0))</f>
        <v>11.925753702340163</v>
      </c>
      <c r="Y49">
        <f t="array" ref="Y49">INDEX(N$3:N$700,MATCH($B49&amp;$C49&amp;"baseline",$B$3:$B$700&amp;$C$3:$C$700&amp;$D$3:$D$700,0))</f>
        <v>0</v>
      </c>
      <c r="Z49">
        <f t="array" ref="Z49">INDEX(O$3:O$700,MATCH($B49&amp;$C49&amp;"baseline",$B$3:$B$700&amp;$C$3:$C$700&amp;$D$3:$D$700,0))</f>
        <v>33.777509826677544</v>
      </c>
      <c r="AA49">
        <f t="array" ref="AA49">INDEX(P$3:P$700,MATCH($B49&amp;$C49&amp;"baseline",$B$3:$B$700&amp;$C$3:$C$700&amp;$D$3:$D$700,0))</f>
        <v>13.60401104528284</v>
      </c>
      <c r="AB49">
        <f t="array" ref="AB49">INDEX(Q$3:Q$700,MATCH($B49&amp;$C49&amp;"baseline",$B$3:$B$700&amp;$C$3:$C$700&amp;$D$3:$D$700,0))</f>
        <v>0</v>
      </c>
      <c r="AC49">
        <f t="shared" si="6"/>
        <v>784.94170401012786</v>
      </c>
      <c r="AD49">
        <f t="shared" si="7"/>
        <v>123.97966357182213</v>
      </c>
      <c r="AE49">
        <f t="shared" si="8"/>
        <v>11.604259764939911</v>
      </c>
      <c r="AF49">
        <f t="shared" si="9"/>
        <v>17.273120111224546</v>
      </c>
      <c r="AG49">
        <f>(S49+V49+Y49)*constants!$O$2+(R49+T49+U49+W49+X49+Z49+AA49+AB49)*constants!$N$2</f>
        <v>31.224540627313225</v>
      </c>
      <c r="AH49">
        <f>((S49+V49+Y49)-(H49+K49+N49))*constants!$O$2</f>
        <v>2.0084705498635183</v>
      </c>
      <c r="AI49">
        <f>((R49+T49+U49+W49+X49+Z49+AA49+AB49)-(G49+I49+J49+L49+M49+O49+P49+Q49))*constants!$N$2</f>
        <v>1.31128135343821</v>
      </c>
      <c r="AJ49">
        <f t="shared" si="10"/>
        <v>10.631867872534279</v>
      </c>
      <c r="AK49">
        <f t="shared" si="11"/>
        <v>3.3197519033017282</v>
      </c>
      <c r="AL49">
        <f>COUNTIFS($B:$B,$B49,$AK:$AK,"&lt;"&amp;$AK49)+COUNTIFS($B$2:$B49,$B49,$AK$2:$AK49,$AK49)</f>
        <v>37</v>
      </c>
      <c r="AM49" s="191">
        <f>IF(AK49=0, "NA",IF(((sim_annual_output!F49/E49)/AK49)&lt;0,100,((sim_annual_output!F49/E49)/AK49)))</f>
        <v>0.1089872852557762</v>
      </c>
      <c r="AN49">
        <f>(S49+V49)*constants!$F$2+(T49+U49+W49+X49+Y49+Z49+AA49+AB49)*constants!$G$2</f>
        <v>272626.08516702015</v>
      </c>
      <c r="AO49">
        <f>(AD49*constants!$F$2+AE49*constants!$G$2)</f>
        <v>32288.065774853883</v>
      </c>
      <c r="AP49">
        <f t="shared" si="12"/>
        <v>11.843351583570259</v>
      </c>
    </row>
    <row r="50" spans="1:42">
      <c r="A50">
        <f>sim_annual_output!B50</f>
        <v>3</v>
      </c>
      <c r="B50" t="str">
        <f>sim_annual_output!C50</f>
        <v>Food Service</v>
      </c>
      <c r="C50" t="str">
        <f>sim_annual_output!D50</f>
        <v>1959-pre</v>
      </c>
      <c r="D50" t="str">
        <f>sim_annual_output!E50</f>
        <v>cooling_cop_3_0</v>
      </c>
      <c r="E50" s="45">
        <f t="array" ref="E50">IFERROR(INDEX(baseline!$J$3:$J$201,MATCH($B50&amp;$C50,baseline!$C$3:$C$201&amp;baseline!$D$3:$D$201,0)),"NA")</f>
        <v>2568</v>
      </c>
      <c r="F50">
        <f>sim_annual_output!G50</f>
        <v>2693.60503738445</v>
      </c>
      <c r="G50">
        <f>$E50/$F50^2*sim_annual_output!I50</f>
        <v>0</v>
      </c>
      <c r="H50">
        <f>$E50/$F50^2*sim_annual_output!J50</f>
        <v>585.07374062163376</v>
      </c>
      <c r="I50">
        <f>$E50/$F50^2*sim_annual_output!K50</f>
        <v>2.8619842561840243</v>
      </c>
      <c r="J50">
        <f>$E50/$F50^2*sim_annual_output!L50</f>
        <v>51.872604376683377</v>
      </c>
      <c r="K50">
        <f>$E50/$F50^2*sim_annual_output!M50</f>
        <v>0</v>
      </c>
      <c r="L50">
        <f>$E50/$F50^2*sim_annual_output!N50</f>
        <v>77.142814385854791</v>
      </c>
      <c r="M50">
        <f>$E50/$F50^2*sim_annual_output!O50</f>
        <v>11.925753702340163</v>
      </c>
      <c r="N50">
        <f>$E50/$F50^2*sim_annual_output!P50</f>
        <v>0</v>
      </c>
      <c r="O50">
        <f>$E50/$F50^2*sim_annual_output!Q50</f>
        <v>33.914169329119858</v>
      </c>
      <c r="P50">
        <f>$E50/$F50^2*sim_annual_output!R50</f>
        <v>13.81440768933072</v>
      </c>
      <c r="Q50">
        <f>$E50/$F50^2*sim_annual_output!S50</f>
        <v>0</v>
      </c>
      <c r="R50">
        <f t="array" ref="R50">INDEX(G$3:G$700,MATCH($B50&amp;$C50&amp;"baseline",$B$3:$B$700&amp;$C$3:$C$700&amp;$D$3:$D$700,0))</f>
        <v>0</v>
      </c>
      <c r="S50">
        <f t="array" ref="S50">INDEX(H$3:H$700,MATCH($B50&amp;$C50&amp;"baseline",$B$3:$B$700&amp;$C$3:$C$700&amp;$D$3:$D$700,0))</f>
        <v>593.73834634123182</v>
      </c>
      <c r="T50">
        <f t="array" ref="T50">INDEX(I$3:I$700,MATCH($B50&amp;$C50&amp;"baseline",$B$3:$B$700&amp;$C$3:$C$700&amp;$D$3:$D$700,0))</f>
        <v>2.8796811701693601</v>
      </c>
      <c r="U50">
        <f t="array" ref="U50">INDEX(J$3:J$700,MATCH($B50&amp;$C50&amp;"baseline",$B$3:$B$700&amp;$C$3:$C$700&amp;$D$3:$D$700,0))</f>
        <v>51.873587538571449</v>
      </c>
      <c r="V50">
        <f t="array" ref="V50">INDEX(K$3:K$700,MATCH($B50&amp;$C50&amp;"baseline",$B$3:$B$700&amp;$C$3:$C$700&amp;$D$3:$D$700,0))</f>
        <v>0</v>
      </c>
      <c r="W50">
        <f t="array" ref="W50">INDEX(L$3:L$700,MATCH($B50&amp;$C50&amp;"baseline",$B$3:$B$700&amp;$C$3:$C$700&amp;$D$3:$D$700,0))</f>
        <v>77.142814385854791</v>
      </c>
      <c r="X50">
        <f t="array" ref="X50">INDEX(M$3:M$700,MATCH($B50&amp;$C50&amp;"baseline",$B$3:$B$700&amp;$C$3:$C$700&amp;$D$3:$D$700,0))</f>
        <v>11.925753702340163</v>
      </c>
      <c r="Y50">
        <f t="array" ref="Y50">INDEX(N$3:N$700,MATCH($B50&amp;$C50&amp;"baseline",$B$3:$B$700&amp;$C$3:$C$700&amp;$D$3:$D$700,0))</f>
        <v>0</v>
      </c>
      <c r="Z50">
        <f t="array" ref="Z50">INDEX(O$3:O$700,MATCH($B50&amp;$C50&amp;"baseline",$B$3:$B$700&amp;$C$3:$C$700&amp;$D$3:$D$700,0))</f>
        <v>33.777509826677544</v>
      </c>
      <c r="AA50">
        <f t="array" ref="AA50">INDEX(P$3:P$700,MATCH($B50&amp;$C50&amp;"baseline",$B$3:$B$700&amp;$C$3:$C$700&amp;$D$3:$D$700,0))</f>
        <v>13.60401104528284</v>
      </c>
      <c r="AB50">
        <f t="array" ref="AB50">INDEX(Q$3:Q$700,MATCH($B50&amp;$C50&amp;"baseline",$B$3:$B$700&amp;$C$3:$C$700&amp;$D$3:$D$700,0))</f>
        <v>0</v>
      </c>
      <c r="AC50">
        <f t="shared" si="6"/>
        <v>784.94170401012786</v>
      </c>
      <c r="AD50">
        <f t="shared" si="7"/>
        <v>8.6646057195980575</v>
      </c>
      <c r="AE50">
        <f t="shared" si="8"/>
        <v>-0.32837607061676977</v>
      </c>
      <c r="AF50">
        <f t="shared" si="9"/>
        <v>1.0620189507568485</v>
      </c>
      <c r="AG50">
        <f>(S50+V50+Y50)*constants!$O$2+(R50+T50+U50+W50+X50+Z50+AA50+AB50)*constants!$N$2</f>
        <v>31.224540627313225</v>
      </c>
      <c r="AH50">
        <f>((S50+V50+Y50)-(H50+K50+N50))*constants!$O$2</f>
        <v>0.14036661265748851</v>
      </c>
      <c r="AI50">
        <f>((R50+T50+U50+W50+X50+Z50+AA50+AB50)-(G50+I50+J50+L50+M50+O50+P50+Q50))*constants!$N$2</f>
        <v>-3.7106495979694988E-2</v>
      </c>
      <c r="AJ50">
        <f t="shared" si="10"/>
        <v>0.33070179609774053</v>
      </c>
      <c r="AK50">
        <f t="shared" si="11"/>
        <v>0.10326011667779353</v>
      </c>
      <c r="AL50">
        <f>COUNTIFS($B:$B,$B50,$AK:$AK,"&lt;"&amp;$AK50)+COUNTIFS($B$2:$B50,$B50,$AK$2:$AK50,$AK50)</f>
        <v>20</v>
      </c>
      <c r="AM50" s="191">
        <f>IF(AK50=0, "NA",IF(((sim_annual_output!F50/E50)/AK50)&lt;0,100,((sim_annual_output!F50/E50)/AK50)))</f>
        <v>74.507419779699234</v>
      </c>
      <c r="AN50">
        <f>(S50+V50)*constants!$F$2+(T50+U50+W50+X50+Y50+Z50+AA50+AB50)*constants!$G$2</f>
        <v>272626.08516702015</v>
      </c>
      <c r="AO50">
        <f>(AD50*constants!$F$2+AE50*constants!$G$2)</f>
        <v>1265.2772423714625</v>
      </c>
      <c r="AP50">
        <f t="shared" si="12"/>
        <v>0.4641071824056418</v>
      </c>
    </row>
    <row r="51" spans="1:42">
      <c r="A51">
        <f>sim_annual_output!B51</f>
        <v>3</v>
      </c>
      <c r="B51" t="str">
        <f>sim_annual_output!C51</f>
        <v>Food Service</v>
      </c>
      <c r="C51" t="str">
        <f>sim_annual_output!D51</f>
        <v>1959-pre</v>
      </c>
      <c r="D51" t="str">
        <f>sim_annual_output!E51</f>
        <v>dcv_enabled</v>
      </c>
      <c r="E51" s="45">
        <f t="array" ref="E51">IFERROR(INDEX(baseline!$J$3:$J$201,MATCH($B51&amp;$C51,baseline!$C$3:$C$201&amp;baseline!$D$3:$D$201,0)),"NA")</f>
        <v>2568</v>
      </c>
      <c r="F51">
        <f>sim_annual_output!G51</f>
        <v>2693.60503738445</v>
      </c>
      <c r="G51">
        <f>$E51/$F51^2*sim_annual_output!I51</f>
        <v>0</v>
      </c>
      <c r="H51">
        <f>$E51/$F51^2*sim_annual_output!J51</f>
        <v>408.53719199902861</v>
      </c>
      <c r="I51">
        <f>$E51/$F51^2*sim_annual_output!K51</f>
        <v>6.0012201648049759</v>
      </c>
      <c r="J51">
        <f>$E51/$F51^2*sim_annual_output!L51</f>
        <v>51.872604376683377</v>
      </c>
      <c r="K51">
        <f>$E51/$F51^2*sim_annual_output!M51</f>
        <v>0</v>
      </c>
      <c r="L51">
        <f>$E51/$F51^2*sim_annual_output!N51</f>
        <v>77.142814385854791</v>
      </c>
      <c r="M51">
        <f>$E51/$F51^2*sim_annual_output!O51</f>
        <v>11.925753702340163</v>
      </c>
      <c r="N51">
        <f>$E51/$F51^2*sim_annual_output!P51</f>
        <v>0</v>
      </c>
      <c r="O51">
        <f>$E51/$F51^2*sim_annual_output!Q51</f>
        <v>33.917118814784082</v>
      </c>
      <c r="P51">
        <f>$E51/$F51^2*sim_annual_output!R51</f>
        <v>13.518475961020382</v>
      </c>
      <c r="Q51">
        <f>$E51/$F51^2*sim_annual_output!S51</f>
        <v>0</v>
      </c>
      <c r="R51">
        <f t="array" ref="R51">INDEX(G$3:G$700,MATCH($B51&amp;$C51&amp;"baseline",$B$3:$B$700&amp;$C$3:$C$700&amp;$D$3:$D$700,0))</f>
        <v>0</v>
      </c>
      <c r="S51">
        <f t="array" ref="S51">INDEX(H$3:H$700,MATCH($B51&amp;$C51&amp;"baseline",$B$3:$B$700&amp;$C$3:$C$700&amp;$D$3:$D$700,0))</f>
        <v>593.73834634123182</v>
      </c>
      <c r="T51">
        <f t="array" ref="T51">INDEX(I$3:I$700,MATCH($B51&amp;$C51&amp;"baseline",$B$3:$B$700&amp;$C$3:$C$700&amp;$D$3:$D$700,0))</f>
        <v>2.8796811701693601</v>
      </c>
      <c r="U51">
        <f t="array" ref="U51">INDEX(J$3:J$700,MATCH($B51&amp;$C51&amp;"baseline",$B$3:$B$700&amp;$C$3:$C$700&amp;$D$3:$D$700,0))</f>
        <v>51.873587538571449</v>
      </c>
      <c r="V51">
        <f t="array" ref="V51">INDEX(K$3:K$700,MATCH($B51&amp;$C51&amp;"baseline",$B$3:$B$700&amp;$C$3:$C$700&amp;$D$3:$D$700,0))</f>
        <v>0</v>
      </c>
      <c r="W51">
        <f t="array" ref="W51">INDEX(L$3:L$700,MATCH($B51&amp;$C51&amp;"baseline",$B$3:$B$700&amp;$C$3:$C$700&amp;$D$3:$D$700,0))</f>
        <v>77.142814385854791</v>
      </c>
      <c r="X51">
        <f t="array" ref="X51">INDEX(M$3:M$700,MATCH($B51&amp;$C51&amp;"baseline",$B$3:$B$700&amp;$C$3:$C$700&amp;$D$3:$D$700,0))</f>
        <v>11.925753702340163</v>
      </c>
      <c r="Y51">
        <f t="array" ref="Y51">INDEX(N$3:N$700,MATCH($B51&amp;$C51&amp;"baseline",$B$3:$B$700&amp;$C$3:$C$700&amp;$D$3:$D$700,0))</f>
        <v>0</v>
      </c>
      <c r="Z51">
        <f t="array" ref="Z51">INDEX(O$3:O$700,MATCH($B51&amp;$C51&amp;"baseline",$B$3:$B$700&amp;$C$3:$C$700&amp;$D$3:$D$700,0))</f>
        <v>33.777509826677544</v>
      </c>
      <c r="AA51">
        <f t="array" ref="AA51">INDEX(P$3:P$700,MATCH($B51&amp;$C51&amp;"baseline",$B$3:$B$700&amp;$C$3:$C$700&amp;$D$3:$D$700,0))</f>
        <v>13.60401104528284</v>
      </c>
      <c r="AB51">
        <f t="array" ref="AB51">INDEX(Q$3:Q$700,MATCH($B51&amp;$C51&amp;"baseline",$B$3:$B$700&amp;$C$3:$C$700&amp;$D$3:$D$700,0))</f>
        <v>0</v>
      </c>
      <c r="AC51">
        <f t="shared" si="6"/>
        <v>784.94170401012786</v>
      </c>
      <c r="AD51">
        <f t="shared" si="7"/>
        <v>185.20115434220321</v>
      </c>
      <c r="AE51">
        <f t="shared" si="8"/>
        <v>-3.1746297365916121</v>
      </c>
      <c r="AF51">
        <f t="shared" si="9"/>
        <v>23.189814437896519</v>
      </c>
      <c r="AG51">
        <f>(S51+V51+Y51)*constants!$O$2+(R51+T51+U51+W51+X51+Z51+AA51+AB51)*constants!$N$2</f>
        <v>31.224540627313225</v>
      </c>
      <c r="AH51">
        <f>((S51+V51+Y51)-(H51+K51+N51))*constants!$O$2</f>
        <v>3.000258700343692</v>
      </c>
      <c r="AI51">
        <f>((R51+T51+U51+W51+X51+Z51+AA51+AB51)-(G51+I51+J51+L51+M51+O51+P51+Q51))*constants!$N$2</f>
        <v>-0.35873316023485219</v>
      </c>
      <c r="AJ51">
        <f t="shared" si="10"/>
        <v>8.4597739055228978</v>
      </c>
      <c r="AK51">
        <f t="shared" si="11"/>
        <v>2.64152554010884</v>
      </c>
      <c r="AL51">
        <f>COUNTIFS($B:$B,$B51,$AK:$AK,"&lt;"&amp;$AK51)+COUNTIFS($B$2:$B51,$B51,$AK$2:$AK51,$AK51)</f>
        <v>36</v>
      </c>
      <c r="AM51" s="191">
        <f>IF(AK51=0, "NA",IF(((sim_annual_output!F51/E51)/AK51)&lt;0,100,((sim_annual_output!F51/E51)/AK51)))</f>
        <v>1.1039166947377048</v>
      </c>
      <c r="AN51">
        <f>(S51+V51)*constants!$F$2+(T51+U51+W51+X51+Y51+Z51+AA51+AB51)*constants!$G$2</f>
        <v>272626.08516702015</v>
      </c>
      <c r="AO51">
        <f>(AD51*constants!$F$2+AE51*constants!$G$2)</f>
        <v>30389.078756419676</v>
      </c>
      <c r="AP51">
        <f t="shared" si="12"/>
        <v>11.146797907398435</v>
      </c>
    </row>
    <row r="52" spans="1:42">
      <c r="A52">
        <f>sim_annual_output!B52</f>
        <v>3</v>
      </c>
      <c r="B52" t="str">
        <f>sim_annual_output!C52</f>
        <v>Food Service</v>
      </c>
      <c r="C52" t="str">
        <f>sim_annual_output!D52</f>
        <v>1959-pre</v>
      </c>
      <c r="D52" t="str">
        <f>sim_annual_output!E52</f>
        <v>ecm_cold_deck_reset_control</v>
      </c>
      <c r="E52" s="45">
        <f t="array" ref="E52">IFERROR(INDEX(baseline!$J$3:$J$201,MATCH($B52&amp;$C52,baseline!$C$3:$C$201&amp;baseline!$D$3:$D$201,0)),"NA")</f>
        <v>2568</v>
      </c>
      <c r="F52">
        <f>sim_annual_output!G52</f>
        <v>2693.60503738445</v>
      </c>
      <c r="G52">
        <f>$E52/$F52^2*sim_annual_output!I52</f>
        <v>0</v>
      </c>
      <c r="H52">
        <f>$E52/$F52^2*sim_annual_output!J52</f>
        <v>565.56485927657718</v>
      </c>
      <c r="I52">
        <f>$E52/$F52^2*sim_annual_output!K52</f>
        <v>5.3307037571383642</v>
      </c>
      <c r="J52">
        <f>$E52/$F52^2*sim_annual_output!L52</f>
        <v>51.870638052907225</v>
      </c>
      <c r="K52">
        <f>$E52/$F52^2*sim_annual_output!M52</f>
        <v>0</v>
      </c>
      <c r="L52">
        <f>$E52/$F52^2*sim_annual_output!N52</f>
        <v>77.142814385854791</v>
      </c>
      <c r="M52">
        <f>$E52/$F52^2*sim_annual_output!O52</f>
        <v>11.925753702340163</v>
      </c>
      <c r="N52">
        <f>$E52/$F52^2*sim_annual_output!P52</f>
        <v>0</v>
      </c>
      <c r="O52">
        <f>$E52/$F52^2*sim_annual_output!Q52</f>
        <v>33.998721251494246</v>
      </c>
      <c r="P52">
        <f>$E52/$F52^2*sim_annual_output!R52</f>
        <v>13.681680834440701</v>
      </c>
      <c r="Q52">
        <f>$E52/$F52^2*sim_annual_output!S52</f>
        <v>0</v>
      </c>
      <c r="R52">
        <f t="array" ref="R52">INDEX(G$3:G$700,MATCH($B52&amp;$C52&amp;"baseline",$B$3:$B$700&amp;$C$3:$C$700&amp;$D$3:$D$700,0))</f>
        <v>0</v>
      </c>
      <c r="S52">
        <f t="array" ref="S52">INDEX(H$3:H$700,MATCH($B52&amp;$C52&amp;"baseline",$B$3:$B$700&amp;$C$3:$C$700&amp;$D$3:$D$700,0))</f>
        <v>593.73834634123182</v>
      </c>
      <c r="T52">
        <f t="array" ref="T52">INDEX(I$3:I$700,MATCH($B52&amp;$C52&amp;"baseline",$B$3:$B$700&amp;$C$3:$C$700&amp;$D$3:$D$700,0))</f>
        <v>2.8796811701693601</v>
      </c>
      <c r="U52">
        <f t="array" ref="U52">INDEX(J$3:J$700,MATCH($B52&amp;$C52&amp;"baseline",$B$3:$B$700&amp;$C$3:$C$700&amp;$D$3:$D$700,0))</f>
        <v>51.873587538571449</v>
      </c>
      <c r="V52">
        <f t="array" ref="V52">INDEX(K$3:K$700,MATCH($B52&amp;$C52&amp;"baseline",$B$3:$B$700&amp;$C$3:$C$700&amp;$D$3:$D$700,0))</f>
        <v>0</v>
      </c>
      <c r="W52">
        <f t="array" ref="W52">INDEX(L$3:L$700,MATCH($B52&amp;$C52&amp;"baseline",$B$3:$B$700&amp;$C$3:$C$700&amp;$D$3:$D$700,0))</f>
        <v>77.142814385854791</v>
      </c>
      <c r="X52">
        <f t="array" ref="X52">INDEX(M$3:M$700,MATCH($B52&amp;$C52&amp;"baseline",$B$3:$B$700&amp;$C$3:$C$700&amp;$D$3:$D$700,0))</f>
        <v>11.925753702340163</v>
      </c>
      <c r="Y52">
        <f t="array" ref="Y52">INDEX(N$3:N$700,MATCH($B52&amp;$C52&amp;"baseline",$B$3:$B$700&amp;$C$3:$C$700&amp;$D$3:$D$700,0))</f>
        <v>0</v>
      </c>
      <c r="Z52">
        <f t="array" ref="Z52">INDEX(O$3:O$700,MATCH($B52&amp;$C52&amp;"baseline",$B$3:$B$700&amp;$C$3:$C$700&amp;$D$3:$D$700,0))</f>
        <v>33.777509826677544</v>
      </c>
      <c r="AA52">
        <f t="array" ref="AA52">INDEX(P$3:P$700,MATCH($B52&amp;$C52&amp;"baseline",$B$3:$B$700&amp;$C$3:$C$700&amp;$D$3:$D$700,0))</f>
        <v>13.60401104528284</v>
      </c>
      <c r="AB52">
        <f t="array" ref="AB52">INDEX(Q$3:Q$700,MATCH($B52&amp;$C52&amp;"baseline",$B$3:$B$700&amp;$C$3:$C$700&amp;$D$3:$D$700,0))</f>
        <v>0</v>
      </c>
      <c r="AC52">
        <f t="shared" si="6"/>
        <v>784.94170401012786</v>
      </c>
      <c r="AD52">
        <f t="shared" si="7"/>
        <v>28.173487064654637</v>
      </c>
      <c r="AE52">
        <f t="shared" si="8"/>
        <v>-2.7469543152793392</v>
      </c>
      <c r="AF52">
        <f t="shared" si="9"/>
        <v>3.239289315305284</v>
      </c>
      <c r="AG52">
        <f>(S52+V52+Y52)*constants!$O$2+(R52+T52+U52+W52+X52+Z52+AA52+AB52)*constants!$N$2</f>
        <v>31.224540627313225</v>
      </c>
      <c r="AH52">
        <f>((S52+V52+Y52)-(H52+K52+N52))*constants!$O$2</f>
        <v>0.45641049044740511</v>
      </c>
      <c r="AI52">
        <f>((R52+T52+U52+W52+X52+Z52+AA52+AB52)-(G52+I52+J52+L52+M52+O52+P52+Q52))*constants!$N$2</f>
        <v>-0.31040583762656532</v>
      </c>
      <c r="AJ52">
        <f t="shared" si="10"/>
        <v>0.46759583932237037</v>
      </c>
      <c r="AK52">
        <f t="shared" si="11"/>
        <v>0.1460046528208398</v>
      </c>
      <c r="AL52">
        <f>COUNTIFS($B:$B,$B52,$AK:$AK,"&lt;"&amp;$AK52)+COUNTIFS($B$2:$B52,$B52,$AK$2:$AK52,$AK52)</f>
        <v>21</v>
      </c>
      <c r="AM52" s="191">
        <f>IF(AK52=0, "NA",IF(((sim_annual_output!F52/E52)/AK52)&lt;0,100,((sim_annual_output!F52/E52)/AK52)))</f>
        <v>37.507633044611559</v>
      </c>
      <c r="AN52">
        <f>(S52+V52)*constants!$F$2+(T52+U52+W52+X52+Y52+Z52+AA52+AB52)*constants!$G$2</f>
        <v>272626.08516702015</v>
      </c>
      <c r="AO52">
        <f>(AD52*constants!$F$2+AE52*constants!$G$2)</f>
        <v>2653.2039302801554</v>
      </c>
      <c r="AP52">
        <f t="shared" si="12"/>
        <v>0.97320251972760097</v>
      </c>
    </row>
    <row r="53" spans="1:42">
      <c r="A53">
        <f>sim_annual_output!B53</f>
        <v>3</v>
      </c>
      <c r="B53" t="str">
        <f>sim_annual_output!C53</f>
        <v>Food Service</v>
      </c>
      <c r="C53" t="str">
        <f>sim_annual_output!D53</f>
        <v>1959-pre</v>
      </c>
      <c r="D53" t="str">
        <f>sim_annual_output!E53</f>
        <v>economizers_enabled</v>
      </c>
      <c r="E53" s="45">
        <f t="array" ref="E53">IFERROR(INDEX(baseline!$J$3:$J$201,MATCH($B53&amp;$C53,baseline!$C$3:$C$201&amp;baseline!$D$3:$D$201,0)),"NA")</f>
        <v>2568</v>
      </c>
      <c r="F53">
        <f>sim_annual_output!G53</f>
        <v>2693.60503738445</v>
      </c>
      <c r="G53">
        <f>$E53/$F53^2*sim_annual_output!I53</f>
        <v>0</v>
      </c>
      <c r="H53">
        <f>$E53/$F53^2*sim_annual_output!J53</f>
        <v>585.07570694540982</v>
      </c>
      <c r="I53">
        <f>$E53/$F53^2*sim_annual_output!K53</f>
        <v>3.6386821477626499</v>
      </c>
      <c r="J53">
        <f>$E53/$F53^2*sim_annual_output!L53</f>
        <v>51.872604376683377</v>
      </c>
      <c r="K53">
        <f>$E53/$F53^2*sim_annual_output!M53</f>
        <v>0</v>
      </c>
      <c r="L53">
        <f>$E53/$F53^2*sim_annual_output!N53</f>
        <v>77.142814385854791</v>
      </c>
      <c r="M53">
        <f>$E53/$F53^2*sim_annual_output!O53</f>
        <v>11.925753702340163</v>
      </c>
      <c r="N53">
        <f>$E53/$F53^2*sim_annual_output!P53</f>
        <v>0</v>
      </c>
      <c r="O53">
        <f>$E53/$F53^2*sim_annual_output!Q53</f>
        <v>33.914169329119858</v>
      </c>
      <c r="P53">
        <f>$E53/$F53^2*sim_annual_output!R53</f>
        <v>13.797693937233459</v>
      </c>
      <c r="Q53">
        <f>$E53/$F53^2*sim_annual_output!S53</f>
        <v>0</v>
      </c>
      <c r="R53">
        <f t="array" ref="R53">INDEX(G$3:G$700,MATCH($B53&amp;$C53&amp;"baseline",$B$3:$B$700&amp;$C$3:$C$700&amp;$D$3:$D$700,0))</f>
        <v>0</v>
      </c>
      <c r="S53">
        <f t="array" ref="S53">INDEX(H$3:H$700,MATCH($B53&amp;$C53&amp;"baseline",$B$3:$B$700&amp;$C$3:$C$700&amp;$D$3:$D$700,0))</f>
        <v>593.73834634123182</v>
      </c>
      <c r="T53">
        <f t="array" ref="T53">INDEX(I$3:I$700,MATCH($B53&amp;$C53&amp;"baseline",$B$3:$B$700&amp;$C$3:$C$700&amp;$D$3:$D$700,0))</f>
        <v>2.8796811701693601</v>
      </c>
      <c r="U53">
        <f t="array" ref="U53">INDEX(J$3:J$700,MATCH($B53&amp;$C53&amp;"baseline",$B$3:$B$700&amp;$C$3:$C$700&amp;$D$3:$D$700,0))</f>
        <v>51.873587538571449</v>
      </c>
      <c r="V53">
        <f t="array" ref="V53">INDEX(K$3:K$700,MATCH($B53&amp;$C53&amp;"baseline",$B$3:$B$700&amp;$C$3:$C$700&amp;$D$3:$D$700,0))</f>
        <v>0</v>
      </c>
      <c r="W53">
        <f t="array" ref="W53">INDEX(L$3:L$700,MATCH($B53&amp;$C53&amp;"baseline",$B$3:$B$700&amp;$C$3:$C$700&amp;$D$3:$D$700,0))</f>
        <v>77.142814385854791</v>
      </c>
      <c r="X53">
        <f t="array" ref="X53">INDEX(M$3:M$700,MATCH($B53&amp;$C53&amp;"baseline",$B$3:$B$700&amp;$C$3:$C$700&amp;$D$3:$D$700,0))</f>
        <v>11.925753702340163</v>
      </c>
      <c r="Y53">
        <f t="array" ref="Y53">INDEX(N$3:N$700,MATCH($B53&amp;$C53&amp;"baseline",$B$3:$B$700&amp;$C$3:$C$700&amp;$D$3:$D$700,0))</f>
        <v>0</v>
      </c>
      <c r="Z53">
        <f t="array" ref="Z53">INDEX(O$3:O$700,MATCH($B53&amp;$C53&amp;"baseline",$B$3:$B$700&amp;$C$3:$C$700&amp;$D$3:$D$700,0))</f>
        <v>33.777509826677544</v>
      </c>
      <c r="AA53">
        <f t="array" ref="AA53">INDEX(P$3:P$700,MATCH($B53&amp;$C53&amp;"baseline",$B$3:$B$700&amp;$C$3:$C$700&amp;$D$3:$D$700,0))</f>
        <v>13.60401104528284</v>
      </c>
      <c r="AB53">
        <f t="array" ref="AB53">INDEX(Q$3:Q$700,MATCH($B53&amp;$C53&amp;"baseline",$B$3:$B$700&amp;$C$3:$C$700&amp;$D$3:$D$700,0))</f>
        <v>0</v>
      </c>
      <c r="AC53">
        <f t="shared" si="6"/>
        <v>784.94170401012786</v>
      </c>
      <c r="AD53">
        <f t="shared" si="7"/>
        <v>8.6626393958219978</v>
      </c>
      <c r="AE53">
        <f t="shared" si="8"/>
        <v>-1.0883602100981307</v>
      </c>
      <c r="AF53">
        <f t="shared" si="9"/>
        <v>0.96494798875231358</v>
      </c>
      <c r="AG53">
        <f>(S53+V53+Y53)*constants!$O$2+(R53+T53+U53+W53+X53+Z53+AA53+AB53)*constants!$N$2</f>
        <v>31.224540627313225</v>
      </c>
      <c r="AH53">
        <f>((S53+V53+Y53)-(H53+K53+N53))*constants!$O$2</f>
        <v>0.14033475821231636</v>
      </c>
      <c r="AI53">
        <f>((R53+T53+U53+W53+X53+Z53+AA53+AB53)-(G53+I53+J53+L53+M53+O53+P53+Q53))*constants!$N$2</f>
        <v>-0.12298470374108877</v>
      </c>
      <c r="AJ53">
        <f t="shared" si="10"/>
        <v>5.5565443470610654E-2</v>
      </c>
      <c r="AK53">
        <f t="shared" si="11"/>
        <v>1.7350054471227588E-2</v>
      </c>
      <c r="AL53">
        <f>COUNTIFS($B:$B,$B53,$AK:$AK,"&lt;"&amp;$AK53)+COUNTIFS($B$2:$B53,$B53,$AK$2:$AK53,$AK53)</f>
        <v>18</v>
      </c>
      <c r="AM53" s="191">
        <f>IF(AK53=0, "NA",IF(((sim_annual_output!F53/E53)/AK53)&lt;0,100,((sim_annual_output!F53/E53)/AK53)))</f>
        <v>105.2480378698172</v>
      </c>
      <c r="AN53">
        <f>(S53+V53)*constants!$F$2+(T53+U53+W53+X53+Y53+Z53+AA53+AB53)*constants!$G$2</f>
        <v>272626.08516702015</v>
      </c>
      <c r="AO53">
        <f>(AD53*constants!$F$2+AE53*constants!$G$2)</f>
        <v>603.73906906676393</v>
      </c>
      <c r="AP53">
        <f t="shared" si="12"/>
        <v>0.22145315577447128</v>
      </c>
    </row>
    <row r="54" spans="1:42">
      <c r="A54">
        <f>sim_annual_output!B54</f>
        <v>3</v>
      </c>
      <c r="B54" t="str">
        <f>sim_annual_output!C54</f>
        <v>Food Service</v>
      </c>
      <c r="C54" t="str">
        <f>sim_annual_output!D54</f>
        <v>1959-pre</v>
      </c>
      <c r="D54" t="str">
        <f>sim_annual_output!E54</f>
        <v>elec_reduce</v>
      </c>
      <c r="E54" s="45">
        <f t="array" ref="E54">IFERROR(INDEX(baseline!$J$3:$J$201,MATCH($B54&amp;$C54,baseline!$C$3:$C$201&amp;baseline!$D$3:$D$201,0)),"NA")</f>
        <v>2568</v>
      </c>
      <c r="F54">
        <f>sim_annual_output!G54</f>
        <v>2693.60503738445</v>
      </c>
      <c r="G54">
        <f>$E54/$F54^2*sim_annual_output!I54</f>
        <v>0</v>
      </c>
      <c r="H54">
        <f>$E54/$F54^2*sim_annual_output!J54</f>
        <v>435.8946546965816</v>
      </c>
      <c r="I54">
        <f>$E54/$F54^2*sim_annual_output!K54</f>
        <v>3.8648093820197182</v>
      </c>
      <c r="J54">
        <f>$E54/$F54^2*sim_annual_output!L54</f>
        <v>51.873587538571449</v>
      </c>
      <c r="K54">
        <f>$E54/$F54^2*sim_annual_output!M54</f>
        <v>0</v>
      </c>
      <c r="L54">
        <f>$E54/$F54^2*sim_annual_output!N54</f>
        <v>54.000166702475958</v>
      </c>
      <c r="M54">
        <f>$E54/$F54^2*sim_annual_output!O54</f>
        <v>11.925753702340163</v>
      </c>
      <c r="N54">
        <f>$E54/$F54^2*sim_annual_output!P54</f>
        <v>0</v>
      </c>
      <c r="O54">
        <f>$E54/$F54^2*sim_annual_output!Q54</f>
        <v>22.500642970466362</v>
      </c>
      <c r="P54">
        <f>$E54/$F54^2*sim_annual_output!R54</f>
        <v>10.659441190500582</v>
      </c>
      <c r="Q54">
        <f>$E54/$F54^2*sim_annual_output!S54</f>
        <v>0</v>
      </c>
      <c r="R54">
        <f t="array" ref="R54">INDEX(G$3:G$700,MATCH($B54&amp;$C54&amp;"baseline",$B$3:$B$700&amp;$C$3:$C$700&amp;$D$3:$D$700,0))</f>
        <v>0</v>
      </c>
      <c r="S54">
        <f t="array" ref="S54">INDEX(H$3:H$700,MATCH($B54&amp;$C54&amp;"baseline",$B$3:$B$700&amp;$C$3:$C$700&amp;$D$3:$D$700,0))</f>
        <v>593.73834634123182</v>
      </c>
      <c r="T54">
        <f t="array" ref="T54">INDEX(I$3:I$700,MATCH($B54&amp;$C54&amp;"baseline",$B$3:$B$700&amp;$C$3:$C$700&amp;$D$3:$D$700,0))</f>
        <v>2.8796811701693601</v>
      </c>
      <c r="U54">
        <f t="array" ref="U54">INDEX(J$3:J$700,MATCH($B54&amp;$C54&amp;"baseline",$B$3:$B$700&amp;$C$3:$C$700&amp;$D$3:$D$700,0))</f>
        <v>51.873587538571449</v>
      </c>
      <c r="V54">
        <f t="array" ref="V54">INDEX(K$3:K$700,MATCH($B54&amp;$C54&amp;"baseline",$B$3:$B$700&amp;$C$3:$C$700&amp;$D$3:$D$700,0))</f>
        <v>0</v>
      </c>
      <c r="W54">
        <f t="array" ref="W54">INDEX(L$3:L$700,MATCH($B54&amp;$C54&amp;"baseline",$B$3:$B$700&amp;$C$3:$C$700&amp;$D$3:$D$700,0))</f>
        <v>77.142814385854791</v>
      </c>
      <c r="X54">
        <f t="array" ref="X54">INDEX(M$3:M$700,MATCH($B54&amp;$C54&amp;"baseline",$B$3:$B$700&amp;$C$3:$C$700&amp;$D$3:$D$700,0))</f>
        <v>11.925753702340163</v>
      </c>
      <c r="Y54">
        <f t="array" ref="Y54">INDEX(N$3:N$700,MATCH($B54&amp;$C54&amp;"baseline",$B$3:$B$700&amp;$C$3:$C$700&amp;$D$3:$D$700,0))</f>
        <v>0</v>
      </c>
      <c r="Z54">
        <f t="array" ref="Z54">INDEX(O$3:O$700,MATCH($B54&amp;$C54&amp;"baseline",$B$3:$B$700&amp;$C$3:$C$700&amp;$D$3:$D$700,0))</f>
        <v>33.777509826677544</v>
      </c>
      <c r="AA54">
        <f t="array" ref="AA54">INDEX(P$3:P$700,MATCH($B54&amp;$C54&amp;"baseline",$B$3:$B$700&amp;$C$3:$C$700&amp;$D$3:$D$700,0))</f>
        <v>13.60401104528284</v>
      </c>
      <c r="AB54">
        <f t="array" ref="AB54">INDEX(Q$3:Q$700,MATCH($B54&amp;$C54&amp;"baseline",$B$3:$B$700&amp;$C$3:$C$700&amp;$D$3:$D$700,0))</f>
        <v>0</v>
      </c>
      <c r="AC54">
        <f t="shared" si="6"/>
        <v>784.94170401012786</v>
      </c>
      <c r="AD54">
        <f t="shared" si="7"/>
        <v>157.84369164465022</v>
      </c>
      <c r="AE54">
        <f t="shared" si="8"/>
        <v>36.378956182521904</v>
      </c>
      <c r="AF54">
        <f t="shared" si="9"/>
        <v>24.743576094240257</v>
      </c>
      <c r="AG54">
        <f>(S54+V54+Y54)*constants!$O$2+(R54+T54+U54+W54+X54+Z54+AA54+AB54)*constants!$N$2</f>
        <v>31.224540627313225</v>
      </c>
      <c r="AH54">
        <f>((S54+V54+Y54)-(H54+K54+N54))*constants!$O$2</f>
        <v>2.5570678046433333</v>
      </c>
      <c r="AI54">
        <f>((R54+T54+U54+W54+X54+Z54+AA54+AB54)-(G54+I54+J54+L54+M54+O54+P54+Q54))*constants!$N$2</f>
        <v>4.1108220486249749</v>
      </c>
      <c r="AJ54">
        <f t="shared" si="10"/>
        <v>21.354645158288303</v>
      </c>
      <c r="AK54">
        <f t="shared" si="11"/>
        <v>6.6678898532683082</v>
      </c>
      <c r="AL54">
        <f>COUNTIFS($B:$B,$B54,$AK:$AK,"&lt;"&amp;$AK54)+COUNTIFS($B$2:$B54,$B54,$AK$2:$AK54,$AK54)</f>
        <v>41</v>
      </c>
      <c r="AM54" s="191">
        <f>IF(AK54=0, "NA",IF(((sim_annual_output!F54/E54)/AK54)&lt;0,100,((sim_annual_output!F54/E54)/AK54)))</f>
        <v>7.9013043733383022</v>
      </c>
      <c r="AN54">
        <f>(S54+V54)*constants!$F$2+(T54+U54+W54+X54+Y54+Z54+AA54+AB54)*constants!$G$2</f>
        <v>272626.08516702015</v>
      </c>
      <c r="AO54">
        <f>(AD54*constants!$F$2+AE54*constants!$G$2)</f>
        <v>59903.712683186444</v>
      </c>
      <c r="AP54">
        <f t="shared" si="12"/>
        <v>21.972847039375328</v>
      </c>
    </row>
    <row r="55" spans="1:42">
      <c r="A55">
        <f>sim_annual_output!B55</f>
        <v>3</v>
      </c>
      <c r="B55" t="str">
        <f>sim_annual_output!C55</f>
        <v>Food Service</v>
      </c>
      <c r="C55" t="str">
        <f>sim_annual_output!D55</f>
        <v>1959-pre</v>
      </c>
      <c r="D55" t="str">
        <f>sim_annual_output!E55</f>
        <v>envelope_ecm_roof</v>
      </c>
      <c r="E55" s="45">
        <f t="array" ref="E55">IFERROR(INDEX(baseline!$J$3:$J$201,MATCH($B55&amp;$C55,baseline!$C$3:$C$201&amp;baseline!$D$3:$D$201,0)),"NA")</f>
        <v>2568</v>
      </c>
      <c r="F55">
        <f>sim_annual_output!G55</f>
        <v>2693.60503738445</v>
      </c>
      <c r="G55">
        <f>$E55/$F55^2*sim_annual_output!I55</f>
        <v>0</v>
      </c>
      <c r="H55">
        <f>$E55/$F55^2*sim_annual_output!J55</f>
        <v>563.91707995216484</v>
      </c>
      <c r="I55">
        <f>$E55/$F55^2*sim_annual_output!K55</f>
        <v>3.9208496096399483</v>
      </c>
      <c r="J55">
        <f>$E55/$F55^2*sim_annual_output!L55</f>
        <v>51.872604376683377</v>
      </c>
      <c r="K55">
        <f>$E55/$F55^2*sim_annual_output!M55</f>
        <v>0</v>
      </c>
      <c r="L55">
        <f>$E55/$F55^2*sim_annual_output!N55</f>
        <v>77.142814385854791</v>
      </c>
      <c r="M55">
        <f>$E55/$F55^2*sim_annual_output!O55</f>
        <v>11.925753702340163</v>
      </c>
      <c r="N55">
        <f>$E55/$F55^2*sim_annual_output!P55</f>
        <v>0</v>
      </c>
      <c r="O55">
        <f>$E55/$F55^2*sim_annual_output!Q55</f>
        <v>33.154185189638497</v>
      </c>
      <c r="P55">
        <f>$E55/$F55^2*sim_annual_output!R55</f>
        <v>13.226476880262343</v>
      </c>
      <c r="Q55">
        <f>$E55/$F55^2*sim_annual_output!S55</f>
        <v>0</v>
      </c>
      <c r="R55">
        <f t="array" ref="R55">INDEX(G$3:G$700,MATCH($B55&amp;$C55&amp;"baseline",$B$3:$B$700&amp;$C$3:$C$700&amp;$D$3:$D$700,0))</f>
        <v>0</v>
      </c>
      <c r="S55">
        <f t="array" ref="S55">INDEX(H$3:H$700,MATCH($B55&amp;$C55&amp;"baseline",$B$3:$B$700&amp;$C$3:$C$700&amp;$D$3:$D$700,0))</f>
        <v>593.73834634123182</v>
      </c>
      <c r="T55">
        <f t="array" ref="T55">INDEX(I$3:I$700,MATCH($B55&amp;$C55&amp;"baseline",$B$3:$B$700&amp;$C$3:$C$700&amp;$D$3:$D$700,0))</f>
        <v>2.8796811701693601</v>
      </c>
      <c r="U55">
        <f t="array" ref="U55">INDEX(J$3:J$700,MATCH($B55&amp;$C55&amp;"baseline",$B$3:$B$700&amp;$C$3:$C$700&amp;$D$3:$D$700,0))</f>
        <v>51.873587538571449</v>
      </c>
      <c r="V55">
        <f t="array" ref="V55">INDEX(K$3:K$700,MATCH($B55&amp;$C55&amp;"baseline",$B$3:$B$700&amp;$C$3:$C$700&amp;$D$3:$D$700,0))</f>
        <v>0</v>
      </c>
      <c r="W55">
        <f t="array" ref="W55">INDEX(L$3:L$700,MATCH($B55&amp;$C55&amp;"baseline",$B$3:$B$700&amp;$C$3:$C$700&amp;$D$3:$D$700,0))</f>
        <v>77.142814385854791</v>
      </c>
      <c r="X55">
        <f t="array" ref="X55">INDEX(M$3:M$700,MATCH($B55&amp;$C55&amp;"baseline",$B$3:$B$700&amp;$C$3:$C$700&amp;$D$3:$D$700,0))</f>
        <v>11.925753702340163</v>
      </c>
      <c r="Y55">
        <f t="array" ref="Y55">INDEX(N$3:N$700,MATCH($B55&amp;$C55&amp;"baseline",$B$3:$B$700&amp;$C$3:$C$700&amp;$D$3:$D$700,0))</f>
        <v>0</v>
      </c>
      <c r="Z55">
        <f t="array" ref="Z55">INDEX(O$3:O$700,MATCH($B55&amp;$C55&amp;"baseline",$B$3:$B$700&amp;$C$3:$C$700&amp;$D$3:$D$700,0))</f>
        <v>33.777509826677544</v>
      </c>
      <c r="AA55">
        <f t="array" ref="AA55">INDEX(P$3:P$700,MATCH($B55&amp;$C55&amp;"baseline",$B$3:$B$700&amp;$C$3:$C$700&amp;$D$3:$D$700,0))</f>
        <v>13.60401104528284</v>
      </c>
      <c r="AB55">
        <f t="array" ref="AB55">INDEX(Q$3:Q$700,MATCH($B55&amp;$C55&amp;"baseline",$B$3:$B$700&amp;$C$3:$C$700&amp;$D$3:$D$700,0))</f>
        <v>0</v>
      </c>
      <c r="AC55">
        <f t="shared" si="6"/>
        <v>784.94170401012786</v>
      </c>
      <c r="AD55">
        <f t="shared" si="7"/>
        <v>29.821266389066977</v>
      </c>
      <c r="AE55">
        <f t="shared" si="8"/>
        <v>-3.9326475522955207E-2</v>
      </c>
      <c r="AF55">
        <f t="shared" si="9"/>
        <v>3.7941594594086894</v>
      </c>
      <c r="AG55">
        <f>(S55+V55+Y55)*constants!$O$2+(R55+T55+U55+W55+X55+Z55+AA55+AB55)*constants!$N$2</f>
        <v>31.224540627313225</v>
      </c>
      <c r="AH55">
        <f>((S55+V55+Y55)-(H55+K55+N55))*constants!$O$2</f>
        <v>0.48310451550288502</v>
      </c>
      <c r="AI55">
        <f>((R55+T55+U55+W55+X55+Z55+AA55+AB55)-(G55+I55+J55+L55+M55+O55+P55+Q55))*constants!$N$2</f>
        <v>-4.4438917340939386E-3</v>
      </c>
      <c r="AJ55">
        <f t="shared" si="10"/>
        <v>1.5329629008219563</v>
      </c>
      <c r="AK55">
        <f t="shared" si="11"/>
        <v>0.47866062376879109</v>
      </c>
      <c r="AL55">
        <f>COUNTIFS($B:$B,$B55,$AK:$AK,"&lt;"&amp;$AK55)+COUNTIFS($B$2:$B55,$B55,$AK$2:$AK55,$AK55)</f>
        <v>26</v>
      </c>
      <c r="AM55" s="191">
        <f>IF(AK55=0, "NA",IF(((sim_annual_output!F55/E55)/AK55)&lt;0,100,((sim_annual_output!F55/E55)/AK55)))</f>
        <v>362.11951311175193</v>
      </c>
      <c r="AN55">
        <f>(S55+V55)*constants!$F$2+(T55+U55+W55+X55+Y55+Z55+AA55+AB55)*constants!$G$2</f>
        <v>272626.08516702015</v>
      </c>
      <c r="AO55">
        <f>(AD55*constants!$F$2+AE55*constants!$G$2)</f>
        <v>5303.7926499380173</v>
      </c>
      <c r="AP55">
        <f t="shared" si="12"/>
        <v>1.9454457729856374</v>
      </c>
    </row>
    <row r="56" spans="1:42">
      <c r="A56">
        <f>sim_annual_output!B56</f>
        <v>3</v>
      </c>
      <c r="B56" t="str">
        <f>sim_annual_output!C56</f>
        <v>Food Service</v>
      </c>
      <c r="C56" t="str">
        <f>sim_annual_output!D56</f>
        <v>1959-pre</v>
      </c>
      <c r="D56" t="str">
        <f>sim_annual_output!E56</f>
        <v>envelope_ecm_wall</v>
      </c>
      <c r="E56" s="45">
        <f t="array" ref="E56">IFERROR(INDEX(baseline!$J$3:$J$201,MATCH($B56&amp;$C56,baseline!$C$3:$C$201&amp;baseline!$D$3:$D$201,0)),"NA")</f>
        <v>2568</v>
      </c>
      <c r="F56">
        <f>sim_annual_output!G56</f>
        <v>2693.60503738445</v>
      </c>
      <c r="G56">
        <f>$E56/$F56^2*sim_annual_output!I56</f>
        <v>0</v>
      </c>
      <c r="H56">
        <f>$E56/$F56^2*sim_annual_output!J56</f>
        <v>576.37079158840083</v>
      </c>
      <c r="I56">
        <f>$E56/$F56^2*sim_annual_output!K56</f>
        <v>4.0211321222235172</v>
      </c>
      <c r="J56">
        <f>$E56/$F56^2*sim_annual_output!L56</f>
        <v>51.872604376683377</v>
      </c>
      <c r="K56">
        <f>$E56/$F56^2*sim_annual_output!M56</f>
        <v>0</v>
      </c>
      <c r="L56">
        <f>$E56/$F56^2*sim_annual_output!N56</f>
        <v>77.142814385854791</v>
      </c>
      <c r="M56">
        <f>$E56/$F56^2*sim_annual_output!O56</f>
        <v>11.925753702340163</v>
      </c>
      <c r="N56">
        <f>$E56/$F56^2*sim_annual_output!P56</f>
        <v>0</v>
      </c>
      <c r="O56">
        <f>$E56/$F56^2*sim_annual_output!Q56</f>
        <v>33.570062668293886</v>
      </c>
      <c r="P56">
        <f>$E56/$F56^2*sim_annual_output!R56</f>
        <v>13.525358094236902</v>
      </c>
      <c r="Q56">
        <f>$E56/$F56^2*sim_annual_output!S56</f>
        <v>0</v>
      </c>
      <c r="R56">
        <f t="array" ref="R56">INDEX(G$3:G$700,MATCH($B56&amp;$C56&amp;"baseline",$B$3:$B$700&amp;$C$3:$C$700&amp;$D$3:$D$700,0))</f>
        <v>0</v>
      </c>
      <c r="S56">
        <f t="array" ref="S56">INDEX(H$3:H$700,MATCH($B56&amp;$C56&amp;"baseline",$B$3:$B$700&amp;$C$3:$C$700&amp;$D$3:$D$700,0))</f>
        <v>593.73834634123182</v>
      </c>
      <c r="T56">
        <f t="array" ref="T56">INDEX(I$3:I$700,MATCH($B56&amp;$C56&amp;"baseline",$B$3:$B$700&amp;$C$3:$C$700&amp;$D$3:$D$700,0))</f>
        <v>2.8796811701693601</v>
      </c>
      <c r="U56">
        <f t="array" ref="U56">INDEX(J$3:J$700,MATCH($B56&amp;$C56&amp;"baseline",$B$3:$B$700&amp;$C$3:$C$700&amp;$D$3:$D$700,0))</f>
        <v>51.873587538571449</v>
      </c>
      <c r="V56">
        <f t="array" ref="V56">INDEX(K$3:K$700,MATCH($B56&amp;$C56&amp;"baseline",$B$3:$B$700&amp;$C$3:$C$700&amp;$D$3:$D$700,0))</f>
        <v>0</v>
      </c>
      <c r="W56">
        <f t="array" ref="W56">INDEX(L$3:L$700,MATCH($B56&amp;$C56&amp;"baseline",$B$3:$B$700&amp;$C$3:$C$700&amp;$D$3:$D$700,0))</f>
        <v>77.142814385854791</v>
      </c>
      <c r="X56">
        <f t="array" ref="X56">INDEX(M$3:M$700,MATCH($B56&amp;$C56&amp;"baseline",$B$3:$B$700&amp;$C$3:$C$700&amp;$D$3:$D$700,0))</f>
        <v>11.925753702340163</v>
      </c>
      <c r="Y56">
        <f t="array" ref="Y56">INDEX(N$3:N$700,MATCH($B56&amp;$C56&amp;"baseline",$B$3:$B$700&amp;$C$3:$C$700&amp;$D$3:$D$700,0))</f>
        <v>0</v>
      </c>
      <c r="Z56">
        <f t="array" ref="Z56">INDEX(O$3:O$700,MATCH($B56&amp;$C56&amp;"baseline",$B$3:$B$700&amp;$C$3:$C$700&amp;$D$3:$D$700,0))</f>
        <v>33.777509826677544</v>
      </c>
      <c r="AA56">
        <f t="array" ref="AA56">INDEX(P$3:P$700,MATCH($B56&amp;$C56&amp;"baseline",$B$3:$B$700&amp;$C$3:$C$700&amp;$D$3:$D$700,0))</f>
        <v>13.60401104528284</v>
      </c>
      <c r="AB56">
        <f t="array" ref="AB56">INDEX(Q$3:Q$700,MATCH($B56&amp;$C56&amp;"baseline",$B$3:$B$700&amp;$C$3:$C$700&amp;$D$3:$D$700,0))</f>
        <v>0</v>
      </c>
      <c r="AC56">
        <f t="shared" si="6"/>
        <v>784.94170401012786</v>
      </c>
      <c r="AD56">
        <f t="shared" si="7"/>
        <v>17.367554752830983</v>
      </c>
      <c r="AE56">
        <f t="shared" si="8"/>
        <v>-0.8543676807364875</v>
      </c>
      <c r="AF56">
        <f t="shared" si="9"/>
        <v>2.1037469391333845</v>
      </c>
      <c r="AG56">
        <f>(S56+V56+Y56)*constants!$O$2+(R56+T56+U56+W56+X56+Z56+AA56+AB56)*constants!$N$2</f>
        <v>31.224540627313225</v>
      </c>
      <c r="AH56">
        <f>((S56+V56+Y56)-(H56+K56+N56))*constants!$O$2</f>
        <v>0.2813543869958619</v>
      </c>
      <c r="AI56">
        <f>((R56+T56+U56+W56+X56+Z56+AA56+AB56)-(G56+I56+J56+L56+M56+O56+P56+Q56))*constants!$N$2</f>
        <v>-9.6543547923223089E-2</v>
      </c>
      <c r="AJ56">
        <f t="shared" si="10"/>
        <v>0.59187688708854269</v>
      </c>
      <c r="AK56">
        <f t="shared" si="11"/>
        <v>0.18481083907263882</v>
      </c>
      <c r="AL56">
        <f>COUNTIFS($B:$B,$B56,$AK:$AK,"&lt;"&amp;$AK56)+COUNTIFS($B$2:$B56,$B56,$AK$2:$AK56,$AK56)</f>
        <v>22</v>
      </c>
      <c r="AM56" s="191">
        <f>IF(AK56=0, "NA",IF(((sim_annual_output!F56/E56)/AK56)&lt;0,100,((sim_annual_output!F56/E56)/AK56)))</f>
        <v>859.07008589056193</v>
      </c>
      <c r="AN56">
        <f>(S56+V56)*constants!$F$2+(T56+U56+W56+X56+Y56+Z56+AA56+AB56)*constants!$G$2</f>
        <v>272626.08516702015</v>
      </c>
      <c r="AO56">
        <f>(AD56*constants!$F$2+AE56*constants!$G$2)</f>
        <v>2365.4924185160016</v>
      </c>
      <c r="AP56">
        <f t="shared" si="12"/>
        <v>0.86766914364295677</v>
      </c>
    </row>
    <row r="57" spans="1:42">
      <c r="A57">
        <f>sim_annual_output!B57</f>
        <v>3</v>
      </c>
      <c r="B57" t="str">
        <f>sim_annual_output!C57</f>
        <v>Food Service</v>
      </c>
      <c r="C57" t="str">
        <f>sim_annual_output!D57</f>
        <v>1959-pre</v>
      </c>
      <c r="D57" t="str">
        <f>sim_annual_output!E57</f>
        <v>envelope_ecm_windows</v>
      </c>
      <c r="E57" s="45">
        <f t="array" ref="E57">IFERROR(INDEX(baseline!$J$3:$J$201,MATCH($B57&amp;$C57,baseline!$C$3:$C$201&amp;baseline!$D$3:$D$201,0)),"NA")</f>
        <v>2568</v>
      </c>
      <c r="F57">
        <f>sim_annual_output!G57</f>
        <v>2693.60503738445</v>
      </c>
      <c r="G57">
        <f>$E57/$F57^2*sim_annual_output!I57</f>
        <v>0</v>
      </c>
      <c r="H57">
        <f>$E57/$F57^2*sim_annual_output!J57</f>
        <v>564.07241953048049</v>
      </c>
      <c r="I57">
        <f>$E57/$F57^2*sim_annual_output!K57</f>
        <v>4.0407953599850019</v>
      </c>
      <c r="J57">
        <f>$E57/$F57^2*sim_annual_output!L57</f>
        <v>51.872604376683377</v>
      </c>
      <c r="K57">
        <f>$E57/$F57^2*sim_annual_output!M57</f>
        <v>0</v>
      </c>
      <c r="L57">
        <f>$E57/$F57^2*sim_annual_output!N57</f>
        <v>77.142814385854791</v>
      </c>
      <c r="M57">
        <f>$E57/$F57^2*sim_annual_output!O57</f>
        <v>11.925753702340163</v>
      </c>
      <c r="N57">
        <f>$E57/$F57^2*sim_annual_output!P57</f>
        <v>0</v>
      </c>
      <c r="O57">
        <f>$E57/$F57^2*sim_annual_output!Q57</f>
        <v>33.223989683691762</v>
      </c>
      <c r="P57">
        <f>$E57/$F57^2*sim_annual_output!R57</f>
        <v>13.293331888651389</v>
      </c>
      <c r="Q57">
        <f>$E57/$F57^2*sim_annual_output!S57</f>
        <v>0</v>
      </c>
      <c r="R57">
        <f t="array" ref="R57">INDEX(G$3:G$700,MATCH($B57&amp;$C57&amp;"baseline",$B$3:$B$700&amp;$C$3:$C$700&amp;$D$3:$D$700,0))</f>
        <v>0</v>
      </c>
      <c r="S57">
        <f t="array" ref="S57">INDEX(H$3:H$700,MATCH($B57&amp;$C57&amp;"baseline",$B$3:$B$700&amp;$C$3:$C$700&amp;$D$3:$D$700,0))</f>
        <v>593.73834634123182</v>
      </c>
      <c r="T57">
        <f t="array" ref="T57">INDEX(I$3:I$700,MATCH($B57&amp;$C57&amp;"baseline",$B$3:$B$700&amp;$C$3:$C$700&amp;$D$3:$D$700,0))</f>
        <v>2.8796811701693601</v>
      </c>
      <c r="U57">
        <f t="array" ref="U57">INDEX(J$3:J$700,MATCH($B57&amp;$C57&amp;"baseline",$B$3:$B$700&amp;$C$3:$C$700&amp;$D$3:$D$700,0))</f>
        <v>51.873587538571449</v>
      </c>
      <c r="V57">
        <f t="array" ref="V57">INDEX(K$3:K$700,MATCH($B57&amp;$C57&amp;"baseline",$B$3:$B$700&amp;$C$3:$C$700&amp;$D$3:$D$700,0))</f>
        <v>0</v>
      </c>
      <c r="W57">
        <f t="array" ref="W57">INDEX(L$3:L$700,MATCH($B57&amp;$C57&amp;"baseline",$B$3:$B$700&amp;$C$3:$C$700&amp;$D$3:$D$700,0))</f>
        <v>77.142814385854791</v>
      </c>
      <c r="X57">
        <f t="array" ref="X57">INDEX(M$3:M$700,MATCH($B57&amp;$C57&amp;"baseline",$B$3:$B$700&amp;$C$3:$C$700&amp;$D$3:$D$700,0))</f>
        <v>11.925753702340163</v>
      </c>
      <c r="Y57">
        <f t="array" ref="Y57">INDEX(N$3:N$700,MATCH($B57&amp;$C57&amp;"baseline",$B$3:$B$700&amp;$C$3:$C$700&amp;$D$3:$D$700,0))</f>
        <v>0</v>
      </c>
      <c r="Z57">
        <f t="array" ref="Z57">INDEX(O$3:O$700,MATCH($B57&amp;$C57&amp;"baseline",$B$3:$B$700&amp;$C$3:$C$700&amp;$D$3:$D$700,0))</f>
        <v>33.777509826677544</v>
      </c>
      <c r="AA57">
        <f t="array" ref="AA57">INDEX(P$3:P$700,MATCH($B57&amp;$C57&amp;"baseline",$B$3:$B$700&amp;$C$3:$C$700&amp;$D$3:$D$700,0))</f>
        <v>13.60401104528284</v>
      </c>
      <c r="AB57">
        <f t="array" ref="AB57">INDEX(Q$3:Q$700,MATCH($B57&amp;$C57&amp;"baseline",$B$3:$B$700&amp;$C$3:$C$700&amp;$D$3:$D$700,0))</f>
        <v>0</v>
      </c>
      <c r="AC57">
        <f t="shared" si="6"/>
        <v>784.94170401012786</v>
      </c>
      <c r="AD57">
        <f t="shared" si="7"/>
        <v>29.66592681075133</v>
      </c>
      <c r="AE57">
        <f t="shared" si="8"/>
        <v>-0.29593172831030756</v>
      </c>
      <c r="AF57">
        <f t="shared" si="9"/>
        <v>3.7416785134991462</v>
      </c>
      <c r="AG57">
        <f>(S57+V57+Y57)*constants!$O$2+(R57+T57+U57+W57+X57+Z57+AA57+AB57)*constants!$N$2</f>
        <v>31.224540627313225</v>
      </c>
      <c r="AH57">
        <f>((S57+V57+Y57)-(H57+K57+N57))*constants!$O$2</f>
        <v>0.48058801433417153</v>
      </c>
      <c r="AI57">
        <f>((R57+T57+U57+W57+X57+Z57+AA57+AB57)-(G57+I57+J57+L57+M57+O57+P57+Q57))*constants!$N$2</f>
        <v>-3.3440285299064752E-2</v>
      </c>
      <c r="AJ57">
        <f t="shared" si="10"/>
        <v>1.4320394153179972</v>
      </c>
      <c r="AK57">
        <f t="shared" si="11"/>
        <v>0.4471477290351068</v>
      </c>
      <c r="AL57">
        <f>COUNTIFS($B:$B,$B57,$AK:$AK,"&lt;"&amp;$AK57)+COUNTIFS($B$2:$B57,$B57,$AK$2:$AK57,$AK57)</f>
        <v>25</v>
      </c>
      <c r="AM57" s="191">
        <f>IF(AK57=0, "NA",IF(((sim_annual_output!F57/E57)/AK57)&lt;0,100,((sim_annual_output!F57/E57)/AK57)))</f>
        <v>234.86467399509323</v>
      </c>
      <c r="AN57">
        <f>(S57+V57)*constants!$F$2+(T57+U57+W57+X57+Y57+Z57+AA57+AB57)*constants!$G$2</f>
        <v>272626.08516702015</v>
      </c>
      <c r="AO57">
        <f>(AD57*constants!$F$2+AE57*constants!$G$2)</f>
        <v>5052.740295494521</v>
      </c>
      <c r="AP57">
        <f t="shared" si="12"/>
        <v>1.8533590769199644</v>
      </c>
    </row>
    <row r="58" spans="1:42">
      <c r="A58">
        <f>sim_annual_output!B58</f>
        <v>3</v>
      </c>
      <c r="B58" t="str">
        <f>sim_annual_output!C58</f>
        <v>Food Service</v>
      </c>
      <c r="C58" t="str">
        <f>sim_annual_output!D58</f>
        <v>1959-pre</v>
      </c>
      <c r="D58" t="str">
        <f>sim_annual_output!E58</f>
        <v>exhaust_fans_occ_control</v>
      </c>
      <c r="E58" s="45">
        <f t="array" ref="E58">IFERROR(INDEX(baseline!$J$3:$J$201,MATCH($B58&amp;$C58,baseline!$C$3:$C$201&amp;baseline!$D$3:$D$201,0)),"NA")</f>
        <v>2568</v>
      </c>
      <c r="F58">
        <f>sim_annual_output!G58</f>
        <v>2693.60503738445</v>
      </c>
      <c r="G58">
        <f>$E58/$F58^2*sim_annual_output!I58</f>
        <v>0</v>
      </c>
      <c r="H58">
        <f>$E58/$F58^2*sim_annual_output!J58</f>
        <v>585.07177429785759</v>
      </c>
      <c r="I58">
        <f>$E58/$F58^2*sim_annual_output!K58</f>
        <v>4.0063846939024046</v>
      </c>
      <c r="J58">
        <f>$E58/$F58^2*sim_annual_output!L58</f>
        <v>51.872604376683377</v>
      </c>
      <c r="K58">
        <f>$E58/$F58^2*sim_annual_output!M58</f>
        <v>0</v>
      </c>
      <c r="L58">
        <f>$E58/$F58^2*sim_annual_output!N58</f>
        <v>77.142814385854791</v>
      </c>
      <c r="M58">
        <f>$E58/$F58^2*sim_annual_output!O58</f>
        <v>11.925753702340163</v>
      </c>
      <c r="N58">
        <f>$E58/$F58^2*sim_annual_output!P58</f>
        <v>0</v>
      </c>
      <c r="O58">
        <f>$E58/$F58^2*sim_annual_output!Q58</f>
        <v>22.404293105435091</v>
      </c>
      <c r="P58">
        <f>$E58/$F58^2*sim_annual_output!R58</f>
        <v>13.812441365554571</v>
      </c>
      <c r="Q58">
        <f>$E58/$F58^2*sim_annual_output!S58</f>
        <v>0</v>
      </c>
      <c r="R58">
        <f t="array" ref="R58">INDEX(G$3:G$700,MATCH($B58&amp;$C58&amp;"baseline",$B$3:$B$700&amp;$C$3:$C$700&amp;$D$3:$D$700,0))</f>
        <v>0</v>
      </c>
      <c r="S58">
        <f t="array" ref="S58">INDEX(H$3:H$700,MATCH($B58&amp;$C58&amp;"baseline",$B$3:$B$700&amp;$C$3:$C$700&amp;$D$3:$D$700,0))</f>
        <v>593.73834634123182</v>
      </c>
      <c r="T58">
        <f t="array" ref="T58">INDEX(I$3:I$700,MATCH($B58&amp;$C58&amp;"baseline",$B$3:$B$700&amp;$C$3:$C$700&amp;$D$3:$D$700,0))</f>
        <v>2.8796811701693601</v>
      </c>
      <c r="U58">
        <f t="array" ref="U58">INDEX(J$3:J$700,MATCH($B58&amp;$C58&amp;"baseline",$B$3:$B$700&amp;$C$3:$C$700&amp;$D$3:$D$700,0))</f>
        <v>51.873587538571449</v>
      </c>
      <c r="V58">
        <f t="array" ref="V58">INDEX(K$3:K$700,MATCH($B58&amp;$C58&amp;"baseline",$B$3:$B$700&amp;$C$3:$C$700&amp;$D$3:$D$700,0))</f>
        <v>0</v>
      </c>
      <c r="W58">
        <f t="array" ref="W58">INDEX(L$3:L$700,MATCH($B58&amp;$C58&amp;"baseline",$B$3:$B$700&amp;$C$3:$C$700&amp;$D$3:$D$700,0))</f>
        <v>77.142814385854791</v>
      </c>
      <c r="X58">
        <f t="array" ref="X58">INDEX(M$3:M$700,MATCH($B58&amp;$C58&amp;"baseline",$B$3:$B$700&amp;$C$3:$C$700&amp;$D$3:$D$700,0))</f>
        <v>11.925753702340163</v>
      </c>
      <c r="Y58">
        <f t="array" ref="Y58">INDEX(N$3:N$700,MATCH($B58&amp;$C58&amp;"baseline",$B$3:$B$700&amp;$C$3:$C$700&amp;$D$3:$D$700,0))</f>
        <v>0</v>
      </c>
      <c r="Z58">
        <f t="array" ref="Z58">INDEX(O$3:O$700,MATCH($B58&amp;$C58&amp;"baseline",$B$3:$B$700&amp;$C$3:$C$700&amp;$D$3:$D$700,0))</f>
        <v>33.777509826677544</v>
      </c>
      <c r="AA58">
        <f t="array" ref="AA58">INDEX(P$3:P$700,MATCH($B58&amp;$C58&amp;"baseline",$B$3:$B$700&amp;$C$3:$C$700&amp;$D$3:$D$700,0))</f>
        <v>13.60401104528284</v>
      </c>
      <c r="AB58">
        <f t="array" ref="AB58">INDEX(Q$3:Q$700,MATCH($B58&amp;$C58&amp;"baseline",$B$3:$B$700&amp;$C$3:$C$700&amp;$D$3:$D$700,0))</f>
        <v>0</v>
      </c>
      <c r="AC58">
        <f t="shared" si="6"/>
        <v>784.94170401012786</v>
      </c>
      <c r="AD58">
        <f t="shared" si="7"/>
        <v>8.6665720433742308</v>
      </c>
      <c r="AE58">
        <f t="shared" si="8"/>
        <v>10.039066039125743</v>
      </c>
      <c r="AF58">
        <f t="shared" si="9"/>
        <v>2.3830608039980787</v>
      </c>
      <c r="AG58">
        <f>(S58+V58+Y58)*constants!$O$2+(R58+T58+U58+W58+X58+Z58+AA58+AB58)*constants!$N$2</f>
        <v>31.224540627313225</v>
      </c>
      <c r="AH58">
        <f>((S58+V58+Y58)-(H58+K58+N58))*constants!$O$2</f>
        <v>0.14039846710266254</v>
      </c>
      <c r="AI58">
        <f>((R58+T58+U58+W58+X58+Z58+AA58+AB58)-(G58+I58+J58+L58+M58+O58+P58+Q58))*constants!$N$2</f>
        <v>1.1344144624212089</v>
      </c>
      <c r="AJ58">
        <f t="shared" si="10"/>
        <v>4.0827275723273475</v>
      </c>
      <c r="AK58">
        <f t="shared" si="11"/>
        <v>1.2748129295238715</v>
      </c>
      <c r="AL58">
        <f>COUNTIFS($B:$B,$B58,$AK:$AK,"&lt;"&amp;$AK58)+COUNTIFS($B$2:$B58,$B58,$AK$2:$AK58,$AK58)</f>
        <v>28</v>
      </c>
      <c r="AM58" s="191">
        <f>IF(AK58=0, "NA",IF(((sim_annual_output!F58/E58)/AK58)&lt;0,100,((sim_annual_output!F58/E58)/AK58)))</f>
        <v>2.0119041331241312</v>
      </c>
      <c r="AN58">
        <f>(S58+V58)*constants!$F$2+(T58+U58+W58+X58+Y58+Z58+AA58+AB58)*constants!$G$2</f>
        <v>272626.08516702015</v>
      </c>
      <c r="AO58">
        <f>(AD58*constants!$F$2+AE58*constants!$G$2)</f>
        <v>10285.303849803382</v>
      </c>
      <c r="AP58">
        <f t="shared" si="12"/>
        <v>3.7726778211638292</v>
      </c>
    </row>
    <row r="59" spans="1:42">
      <c r="A59">
        <f>sim_annual_output!B59</f>
        <v>3</v>
      </c>
      <c r="B59" t="str">
        <f>sim_annual_output!C59</f>
        <v>Food Service</v>
      </c>
      <c r="C59" t="str">
        <f>sim_annual_output!D59</f>
        <v>1959-pre</v>
      </c>
      <c r="D59" t="str">
        <f>sim_annual_output!E59</f>
        <v>fans_to_variable</v>
      </c>
      <c r="E59" s="45">
        <f t="array" ref="E59">IFERROR(INDEX(baseline!$J$3:$J$201,MATCH($B59&amp;$C59,baseline!$C$3:$C$201&amp;baseline!$D$3:$D$201,0)),"NA")</f>
        <v>2568</v>
      </c>
      <c r="F59">
        <f>sim_annual_output!G59</f>
        <v>2693.60503738445</v>
      </c>
      <c r="G59">
        <f>$E59/$F59^2*sim_annual_output!I59</f>
        <v>0</v>
      </c>
      <c r="H59">
        <f>$E59/$F59^2*sim_annual_output!J59</f>
        <v>585.31264896043569</v>
      </c>
      <c r="I59">
        <f>$E59/$F59^2*sim_annual_output!K59</f>
        <v>3.9975362369097365</v>
      </c>
      <c r="J59">
        <f>$E59/$F59^2*sim_annual_output!L59</f>
        <v>51.872604376683377</v>
      </c>
      <c r="K59">
        <f>$E59/$F59^2*sim_annual_output!M59</f>
        <v>0</v>
      </c>
      <c r="L59">
        <f>$E59/$F59^2*sim_annual_output!N59</f>
        <v>77.142814385854791</v>
      </c>
      <c r="M59">
        <f>$E59/$F59^2*sim_annual_output!O59</f>
        <v>11.925753702340163</v>
      </c>
      <c r="N59">
        <f>$E59/$F59^2*sim_annual_output!P59</f>
        <v>0</v>
      </c>
      <c r="O59">
        <f>$E59/$F59^2*sim_annual_output!Q59</f>
        <v>33.730318056049981</v>
      </c>
      <c r="P59">
        <f>$E59/$F59^2*sim_annual_output!R59</f>
        <v>13.81440768933072</v>
      </c>
      <c r="Q59">
        <f>$E59/$F59^2*sim_annual_output!S59</f>
        <v>0</v>
      </c>
      <c r="R59">
        <f t="array" ref="R59">INDEX(G$3:G$700,MATCH($B59&amp;$C59&amp;"baseline",$B$3:$B$700&amp;$C$3:$C$700&amp;$D$3:$D$700,0))</f>
        <v>0</v>
      </c>
      <c r="S59">
        <f t="array" ref="S59">INDEX(H$3:H$700,MATCH($B59&amp;$C59&amp;"baseline",$B$3:$B$700&amp;$C$3:$C$700&amp;$D$3:$D$700,0))</f>
        <v>593.73834634123182</v>
      </c>
      <c r="T59">
        <f t="array" ref="T59">INDEX(I$3:I$700,MATCH($B59&amp;$C59&amp;"baseline",$B$3:$B$700&amp;$C$3:$C$700&amp;$D$3:$D$700,0))</f>
        <v>2.8796811701693601</v>
      </c>
      <c r="U59">
        <f t="array" ref="U59">INDEX(J$3:J$700,MATCH($B59&amp;$C59&amp;"baseline",$B$3:$B$700&amp;$C$3:$C$700&amp;$D$3:$D$700,0))</f>
        <v>51.873587538571449</v>
      </c>
      <c r="V59">
        <f t="array" ref="V59">INDEX(K$3:K$700,MATCH($B59&amp;$C59&amp;"baseline",$B$3:$B$700&amp;$C$3:$C$700&amp;$D$3:$D$700,0))</f>
        <v>0</v>
      </c>
      <c r="W59">
        <f t="array" ref="W59">INDEX(L$3:L$700,MATCH($B59&amp;$C59&amp;"baseline",$B$3:$B$700&amp;$C$3:$C$700&amp;$D$3:$D$700,0))</f>
        <v>77.142814385854791</v>
      </c>
      <c r="X59">
        <f t="array" ref="X59">INDEX(M$3:M$700,MATCH($B59&amp;$C59&amp;"baseline",$B$3:$B$700&amp;$C$3:$C$700&amp;$D$3:$D$700,0))</f>
        <v>11.925753702340163</v>
      </c>
      <c r="Y59">
        <f t="array" ref="Y59">INDEX(N$3:N$700,MATCH($B59&amp;$C59&amp;"baseline",$B$3:$B$700&amp;$C$3:$C$700&amp;$D$3:$D$700,0))</f>
        <v>0</v>
      </c>
      <c r="Z59">
        <f t="array" ref="Z59">INDEX(O$3:O$700,MATCH($B59&amp;$C59&amp;"baseline",$B$3:$B$700&amp;$C$3:$C$700&amp;$D$3:$D$700,0))</f>
        <v>33.777509826677544</v>
      </c>
      <c r="AA59">
        <f t="array" ref="AA59">INDEX(P$3:P$700,MATCH($B59&amp;$C59&amp;"baseline",$B$3:$B$700&amp;$C$3:$C$700&amp;$D$3:$D$700,0))</f>
        <v>13.60401104528284</v>
      </c>
      <c r="AB59">
        <f t="array" ref="AB59">INDEX(Q$3:Q$700,MATCH($B59&amp;$C59&amp;"baseline",$B$3:$B$700&amp;$C$3:$C$700&amp;$D$3:$D$700,0))</f>
        <v>0</v>
      </c>
      <c r="AC59">
        <f t="shared" si="6"/>
        <v>784.94170401012786</v>
      </c>
      <c r="AD59">
        <f t="shared" si="7"/>
        <v>8.4256973807961231</v>
      </c>
      <c r="AE59">
        <f t="shared" si="8"/>
        <v>-1.2800767782726155</v>
      </c>
      <c r="AF59">
        <f t="shared" si="9"/>
        <v>0.91033774432136805</v>
      </c>
      <c r="AG59">
        <f>(S59+V59+Y59)*constants!$O$2+(R59+T59+U59+W59+X59+Z59+AA59+AB59)*constants!$N$2</f>
        <v>31.224540627313225</v>
      </c>
      <c r="AH59">
        <f>((S59+V59+Y59)-(H59+K59+N59))*constants!$O$2</f>
        <v>0.1364962975688972</v>
      </c>
      <c r="AI59">
        <f>((R59+T59+U59+W59+X59+Z59+AA59+AB59)-(G59+I59+J59+L59+M59+O59+P59+Q59))*constants!$N$2</f>
        <v>-0.14464867594480554</v>
      </c>
      <c r="AJ59">
        <f t="shared" si="10"/>
        <v>-2.610888170690066E-2</v>
      </c>
      <c r="AK59">
        <f t="shared" si="11"/>
        <v>-8.1523783759083479E-3</v>
      </c>
      <c r="AL59">
        <f>COUNTIFS($B:$B,$B59,$AK:$AK,"&lt;"&amp;$AK59)+COUNTIFS($B$2:$B59,$B59,$AK$2:$AK59,$AK59)</f>
        <v>15</v>
      </c>
      <c r="AM59" s="191">
        <f>IF(AK59=0, "NA",IF(((sim_annual_output!F59/E59)/AK59)&lt;0,100,((sim_annual_output!F59/E59)/AK59)))</f>
        <v>100</v>
      </c>
      <c r="AN59">
        <f>(S59+V59)*constants!$F$2+(T59+U59+W59+X59+Y59+Z59+AA59+AB59)*constants!$G$2</f>
        <v>272626.08516702015</v>
      </c>
      <c r="AO59">
        <f>(AD59*constants!$F$2+AE59*constants!$G$2)</f>
        <v>394.53303406533064</v>
      </c>
      <c r="AP59">
        <f t="shared" si="12"/>
        <v>0.14471580510119789</v>
      </c>
    </row>
    <row r="60" spans="1:42">
      <c r="A60">
        <f>sim_annual_output!B60</f>
        <v>3</v>
      </c>
      <c r="B60" t="str">
        <f>sim_annual_output!C60</f>
        <v>Food Service</v>
      </c>
      <c r="C60" t="str">
        <f>sim_annual_output!D60</f>
        <v>1959-pre</v>
      </c>
      <c r="D60" t="str">
        <f>sim_annual_output!E60</f>
        <v>hrv_enabled</v>
      </c>
      <c r="E60" s="45">
        <f t="array" ref="E60">IFERROR(INDEX(baseline!$J$3:$J$201,MATCH($B60&amp;$C60,baseline!$C$3:$C$201&amp;baseline!$D$3:$D$201,0)),"NA")</f>
        <v>2568</v>
      </c>
      <c r="F60">
        <f>sim_annual_output!G60</f>
        <v>2693.60503738445</v>
      </c>
      <c r="G60">
        <f>$E60/$F60^2*sim_annual_output!I60</f>
        <v>0</v>
      </c>
      <c r="H60">
        <f>$E60/$F60^2*sim_annual_output!J60</f>
        <v>367.24439269991183</v>
      </c>
      <c r="I60">
        <f>$E60/$F60^2*sim_annual_output!K60</f>
        <v>6.0651256875297994</v>
      </c>
      <c r="J60">
        <f>$E60/$F60^2*sim_annual_output!L60</f>
        <v>51.872604376683377</v>
      </c>
      <c r="K60">
        <f>$E60/$F60^2*sim_annual_output!M60</f>
        <v>0</v>
      </c>
      <c r="L60">
        <f>$E60/$F60^2*sim_annual_output!N60</f>
        <v>77.142814385854791</v>
      </c>
      <c r="M60">
        <f>$E60/$F60^2*sim_annual_output!O60</f>
        <v>11.925753702340163</v>
      </c>
      <c r="N60">
        <f>$E60/$F60^2*sim_annual_output!P60</f>
        <v>0</v>
      </c>
      <c r="O60">
        <f>$E60/$F60^2*sim_annual_output!Q60</f>
        <v>33.912203005343713</v>
      </c>
      <c r="P60">
        <f>$E60/$F60^2*sim_annual_output!R60</f>
        <v>13.301197183755981</v>
      </c>
      <c r="Q60">
        <f>$E60/$F60^2*sim_annual_output!S60</f>
        <v>6.2008020280840412</v>
      </c>
      <c r="R60">
        <f t="array" ref="R60">INDEX(G$3:G$700,MATCH($B60&amp;$C60&amp;"baseline",$B$3:$B$700&amp;$C$3:$C$700&amp;$D$3:$D$700,0))</f>
        <v>0</v>
      </c>
      <c r="S60">
        <f t="array" ref="S60">INDEX(H$3:H$700,MATCH($B60&amp;$C60&amp;"baseline",$B$3:$B$700&amp;$C$3:$C$700&amp;$D$3:$D$700,0))</f>
        <v>593.73834634123182</v>
      </c>
      <c r="T60">
        <f t="array" ref="T60">INDEX(I$3:I$700,MATCH($B60&amp;$C60&amp;"baseline",$B$3:$B$700&amp;$C$3:$C$700&amp;$D$3:$D$700,0))</f>
        <v>2.8796811701693601</v>
      </c>
      <c r="U60">
        <f t="array" ref="U60">INDEX(J$3:J$700,MATCH($B60&amp;$C60&amp;"baseline",$B$3:$B$700&amp;$C$3:$C$700&amp;$D$3:$D$700,0))</f>
        <v>51.873587538571449</v>
      </c>
      <c r="V60">
        <f t="array" ref="V60">INDEX(K$3:K$700,MATCH($B60&amp;$C60&amp;"baseline",$B$3:$B$700&amp;$C$3:$C$700&amp;$D$3:$D$700,0))</f>
        <v>0</v>
      </c>
      <c r="W60">
        <f t="array" ref="W60">INDEX(L$3:L$700,MATCH($B60&amp;$C60&amp;"baseline",$B$3:$B$700&amp;$C$3:$C$700&amp;$D$3:$D$700,0))</f>
        <v>77.142814385854791</v>
      </c>
      <c r="X60">
        <f t="array" ref="X60">INDEX(M$3:M$700,MATCH($B60&amp;$C60&amp;"baseline",$B$3:$B$700&amp;$C$3:$C$700&amp;$D$3:$D$700,0))</f>
        <v>11.925753702340163</v>
      </c>
      <c r="Y60">
        <f t="array" ref="Y60">INDEX(N$3:N$700,MATCH($B60&amp;$C60&amp;"baseline",$B$3:$B$700&amp;$C$3:$C$700&amp;$D$3:$D$700,0))</f>
        <v>0</v>
      </c>
      <c r="Z60">
        <f t="array" ref="Z60">INDEX(O$3:O$700,MATCH($B60&amp;$C60&amp;"baseline",$B$3:$B$700&amp;$C$3:$C$700&amp;$D$3:$D$700,0))</f>
        <v>33.777509826677544</v>
      </c>
      <c r="AA60">
        <f t="array" ref="AA60">INDEX(P$3:P$700,MATCH($B60&amp;$C60&amp;"baseline",$B$3:$B$700&amp;$C$3:$C$700&amp;$D$3:$D$700,0))</f>
        <v>13.60401104528284</v>
      </c>
      <c r="AB60">
        <f t="array" ref="AB60">INDEX(Q$3:Q$700,MATCH($B60&amp;$C60&amp;"baseline",$B$3:$B$700&amp;$C$3:$C$700&amp;$D$3:$D$700,0))</f>
        <v>0</v>
      </c>
      <c r="AC60">
        <f t="shared" si="6"/>
        <v>784.94170401012786</v>
      </c>
      <c r="AD60">
        <f t="shared" si="7"/>
        <v>226.49395364131999</v>
      </c>
      <c r="AE60">
        <f t="shared" si="8"/>
        <v>-9.2171427006957174</v>
      </c>
      <c r="AF60">
        <f t="shared" si="9"/>
        <v>27.680630272362343</v>
      </c>
      <c r="AG60">
        <f>(S60+V60+Y60)*constants!$O$2+(R60+T60+U60+W60+X60+Z60+AA60+AB60)*constants!$N$2</f>
        <v>31.224540627313225</v>
      </c>
      <c r="AH60">
        <f>((S60+V60+Y60)-(H60+K60+N60))*constants!$O$2</f>
        <v>3.6692020489893835</v>
      </c>
      <c r="AI60">
        <f>((R60+T60+U60+W60+X60+Z60+AA60+AB60)-(G60+I60+J60+L60+M60+O60+P60+Q60))*constants!$N$2</f>
        <v>-1.0415371251786161</v>
      </c>
      <c r="AJ60">
        <f t="shared" si="10"/>
        <v>8.4153837687279065</v>
      </c>
      <c r="AK60">
        <f t="shared" si="11"/>
        <v>2.6276649238107677</v>
      </c>
      <c r="AL60">
        <f>COUNTIFS($B:$B,$B60,$AK:$AK,"&lt;"&amp;$AK60)+COUNTIFS($B$2:$B60,$B60,$AK$2:$AK60,$AK60)</f>
        <v>35</v>
      </c>
      <c r="AM60" s="191">
        <f>IF(AK60=0, "NA",IF(((sim_annual_output!F60/E60)/AK60)&lt;0,100,((sim_annual_output!F60/E60)/AK60)))</f>
        <v>42.588363076758007</v>
      </c>
      <c r="AN60">
        <f>(S60+V60)*constants!$F$2+(T60+U60+W60+X60+Y60+Z60+AA60+AB60)*constants!$G$2</f>
        <v>272626.08516702015</v>
      </c>
      <c r="AO60">
        <f>(AD60*constants!$F$2+AE60*constants!$G$2)</f>
        <v>32523.503552191003</v>
      </c>
      <c r="AP60">
        <f t="shared" si="12"/>
        <v>11.929710809684988</v>
      </c>
    </row>
    <row r="61" spans="1:42">
      <c r="A61">
        <f>sim_annual_output!B61</f>
        <v>3</v>
      </c>
      <c r="B61" t="str">
        <f>sim_annual_output!C61</f>
        <v>Food Service</v>
      </c>
      <c r="C61" t="str">
        <f>sim_annual_output!D61</f>
        <v>1959-pre</v>
      </c>
      <c r="D61" t="str">
        <f>sim_annual_output!E61</f>
        <v>infil_reduce</v>
      </c>
      <c r="E61" s="45">
        <f t="array" ref="E61">IFERROR(INDEX(baseline!$J$3:$J$201,MATCH($B61&amp;$C61,baseline!$C$3:$C$201&amp;baseline!$D$3:$D$201,0)),"NA")</f>
        <v>2568</v>
      </c>
      <c r="F61">
        <f>sim_annual_output!G61</f>
        <v>2693.60503738445</v>
      </c>
      <c r="G61">
        <f>$E61/$F61^2*sim_annual_output!I61</f>
        <v>0</v>
      </c>
      <c r="H61">
        <f>$E61/$F61^2*sim_annual_output!J61</f>
        <v>327.02520618257205</v>
      </c>
      <c r="I61">
        <f>$E61/$F61^2*sim_annual_output!K61</f>
        <v>5.1389871889638936</v>
      </c>
      <c r="J61">
        <f>$E61/$F61^2*sim_annual_output!L61</f>
        <v>51.871621214795304</v>
      </c>
      <c r="K61">
        <f>$E61/$F61^2*sim_annual_output!M61</f>
        <v>0</v>
      </c>
      <c r="L61">
        <f>$E61/$F61^2*sim_annual_output!N61</f>
        <v>77.142814385854791</v>
      </c>
      <c r="M61">
        <f>$E61/$F61^2*sim_annual_output!O61</f>
        <v>11.925753702340163</v>
      </c>
      <c r="N61">
        <f>$E61/$F61^2*sim_annual_output!P61</f>
        <v>0</v>
      </c>
      <c r="O61">
        <f>$E61/$F61^2*sim_annual_output!Q61</f>
        <v>27.903117545434146</v>
      </c>
      <c r="P61">
        <f>$E61/$F61^2*sim_annual_output!R61</f>
        <v>8.1209171954929715</v>
      </c>
      <c r="Q61">
        <f>$E61/$F61^2*sim_annual_output!S61</f>
        <v>0</v>
      </c>
      <c r="R61">
        <f t="array" ref="R61">INDEX(G$3:G$700,MATCH($B61&amp;$C61&amp;"baseline",$B$3:$B$700&amp;$C$3:$C$700&amp;$D$3:$D$700,0))</f>
        <v>0</v>
      </c>
      <c r="S61">
        <f t="array" ref="S61">INDEX(H$3:H$700,MATCH($B61&amp;$C61&amp;"baseline",$B$3:$B$700&amp;$C$3:$C$700&amp;$D$3:$D$700,0))</f>
        <v>593.73834634123182</v>
      </c>
      <c r="T61">
        <f t="array" ref="T61">INDEX(I$3:I$700,MATCH($B61&amp;$C61&amp;"baseline",$B$3:$B$700&amp;$C$3:$C$700&amp;$D$3:$D$700,0))</f>
        <v>2.8796811701693601</v>
      </c>
      <c r="U61">
        <f t="array" ref="U61">INDEX(J$3:J$700,MATCH($B61&amp;$C61&amp;"baseline",$B$3:$B$700&amp;$C$3:$C$700&amp;$D$3:$D$700,0))</f>
        <v>51.873587538571449</v>
      </c>
      <c r="V61">
        <f t="array" ref="V61">INDEX(K$3:K$700,MATCH($B61&amp;$C61&amp;"baseline",$B$3:$B$700&amp;$C$3:$C$700&amp;$D$3:$D$700,0))</f>
        <v>0</v>
      </c>
      <c r="W61">
        <f t="array" ref="W61">INDEX(L$3:L$700,MATCH($B61&amp;$C61&amp;"baseline",$B$3:$B$700&amp;$C$3:$C$700&amp;$D$3:$D$700,0))</f>
        <v>77.142814385854791</v>
      </c>
      <c r="X61">
        <f t="array" ref="X61">INDEX(M$3:M$700,MATCH($B61&amp;$C61&amp;"baseline",$B$3:$B$700&amp;$C$3:$C$700&amp;$D$3:$D$700,0))</f>
        <v>11.925753702340163</v>
      </c>
      <c r="Y61">
        <f t="array" ref="Y61">INDEX(N$3:N$700,MATCH($B61&amp;$C61&amp;"baseline",$B$3:$B$700&amp;$C$3:$C$700&amp;$D$3:$D$700,0))</f>
        <v>0</v>
      </c>
      <c r="Z61">
        <f t="array" ref="Z61">INDEX(O$3:O$700,MATCH($B61&amp;$C61&amp;"baseline",$B$3:$B$700&amp;$C$3:$C$700&amp;$D$3:$D$700,0))</f>
        <v>33.777509826677544</v>
      </c>
      <c r="AA61">
        <f t="array" ref="AA61">INDEX(P$3:P$700,MATCH($B61&amp;$C61&amp;"baseline",$B$3:$B$700&amp;$C$3:$C$700&amp;$D$3:$D$700,0))</f>
        <v>13.60401104528284</v>
      </c>
      <c r="AB61">
        <f t="array" ref="AB61">INDEX(Q$3:Q$700,MATCH($B61&amp;$C61&amp;"baseline",$B$3:$B$700&amp;$C$3:$C$700&amp;$D$3:$D$700,0))</f>
        <v>0</v>
      </c>
      <c r="AC61">
        <f t="shared" si="6"/>
        <v>784.94170401012786</v>
      </c>
      <c r="AD61">
        <f t="shared" si="7"/>
        <v>266.71314015865977</v>
      </c>
      <c r="AE61">
        <f t="shared" si="8"/>
        <v>9.1001464360148816</v>
      </c>
      <c r="AF61">
        <f t="shared" si="9"/>
        <v>35.138059958541319</v>
      </c>
      <c r="AG61">
        <f>(S61+V61+Y61)*constants!$O$2+(R61+T61+U61+W61+X61+Z61+AA61+AB61)*constants!$N$2</f>
        <v>31.224540627313225</v>
      </c>
      <c r="AH61">
        <f>((S61+V61+Y61)-(H61+K61+N61))*constants!$O$2</f>
        <v>4.3207528705702885</v>
      </c>
      <c r="AI61">
        <f>((R61+T61+U61+W61+X61+Z61+AA61+AB61)-(G61+I61+J61+L61+M61+O61+P61+Q61))*constants!$N$2</f>
        <v>1.0283165472696816</v>
      </c>
      <c r="AJ61">
        <f t="shared" si="10"/>
        <v>17.130978744202714</v>
      </c>
      <c r="AK61">
        <f t="shared" si="11"/>
        <v>5.3490694178399698</v>
      </c>
      <c r="AL61">
        <f>COUNTIFS($B:$B,$B61,$AK:$AK,"&lt;"&amp;$AK61)+COUNTIFS($B$2:$B61,$B61,$AK$2:$AK61,$AK61)</f>
        <v>38</v>
      </c>
      <c r="AM61" s="191">
        <f>IF(AK61=0, "NA",IF(((sim_annual_output!F61/E61)/AK61)&lt;0,100,((sim_annual_output!F61/E61)/AK61)))</f>
        <v>5.9226055738313201</v>
      </c>
      <c r="AN61">
        <f>(S61+V61)*constants!$F$2+(T61+U61+W61+X61+Y61+Z61+AA61+AB61)*constants!$G$2</f>
        <v>272626.08516702015</v>
      </c>
      <c r="AO61">
        <f>(AD61*constants!$F$2+AE61*constants!$G$2)</f>
        <v>55658.779487733045</v>
      </c>
      <c r="AP61">
        <f t="shared" si="12"/>
        <v>20.415793834854266</v>
      </c>
    </row>
    <row r="62" spans="1:42">
      <c r="A62">
        <f>sim_annual_output!B62</f>
        <v>3</v>
      </c>
      <c r="B62" t="str">
        <f>sim_annual_output!C62</f>
        <v>Food Service</v>
      </c>
      <c r="C62" t="str">
        <f>sim_annual_output!D62</f>
        <v>1959-pre</v>
      </c>
      <c r="D62" t="str">
        <f>sim_annual_output!E62</f>
        <v>infil_reduce_plus_setback</v>
      </c>
      <c r="E62" s="45">
        <f t="array" ref="E62">IFERROR(INDEX(baseline!$J$3:$J$201,MATCH($B62&amp;$C62,baseline!$C$3:$C$201&amp;baseline!$D$3:$D$201,0)),"NA")</f>
        <v>2568</v>
      </c>
      <c r="F62">
        <f>sim_annual_output!G62</f>
        <v>2693.60503738445</v>
      </c>
      <c r="G62">
        <f>$E62/$F62^2*sim_annual_output!I62</f>
        <v>0</v>
      </c>
      <c r="H62">
        <f>$E62/$F62^2*sim_annual_output!J62</f>
        <v>297.66799220467612</v>
      </c>
      <c r="I62">
        <f>$E62/$F62^2*sim_annual_output!K62</f>
        <v>2.4067803020056653</v>
      </c>
      <c r="J62">
        <f>$E62/$F62^2*sim_annual_output!L62</f>
        <v>51.871621214795304</v>
      </c>
      <c r="K62">
        <f>$E62/$F62^2*sim_annual_output!M62</f>
        <v>0</v>
      </c>
      <c r="L62">
        <f>$E62/$F62^2*sim_annual_output!N62</f>
        <v>77.142814385854791</v>
      </c>
      <c r="M62">
        <f>$E62/$F62^2*sim_annual_output!O62</f>
        <v>11.925753702340163</v>
      </c>
      <c r="N62">
        <f>$E62/$F62^2*sim_annual_output!P62</f>
        <v>0</v>
      </c>
      <c r="O62">
        <f>$E62/$F62^2*sim_annual_output!Q62</f>
        <v>28.088935142280171</v>
      </c>
      <c r="P62">
        <f>$E62/$F62^2*sim_annual_output!R62</f>
        <v>7.9419817318634651</v>
      </c>
      <c r="Q62">
        <f>$E62/$F62^2*sim_annual_output!S62</f>
        <v>0</v>
      </c>
      <c r="R62">
        <f t="array" ref="R62">INDEX(G$3:G$700,MATCH($B62&amp;$C62&amp;"baseline",$B$3:$B$700&amp;$C$3:$C$700&amp;$D$3:$D$700,0))</f>
        <v>0</v>
      </c>
      <c r="S62">
        <f t="array" ref="S62">INDEX(H$3:H$700,MATCH($B62&amp;$C62&amp;"baseline",$B$3:$B$700&amp;$C$3:$C$700&amp;$D$3:$D$700,0))</f>
        <v>593.73834634123182</v>
      </c>
      <c r="T62">
        <f t="array" ref="T62">INDEX(I$3:I$700,MATCH($B62&amp;$C62&amp;"baseline",$B$3:$B$700&amp;$C$3:$C$700&amp;$D$3:$D$700,0))</f>
        <v>2.8796811701693601</v>
      </c>
      <c r="U62">
        <f t="array" ref="U62">INDEX(J$3:J$700,MATCH($B62&amp;$C62&amp;"baseline",$B$3:$B$700&amp;$C$3:$C$700&amp;$D$3:$D$700,0))</f>
        <v>51.873587538571449</v>
      </c>
      <c r="V62">
        <f t="array" ref="V62">INDEX(K$3:K$700,MATCH($B62&amp;$C62&amp;"baseline",$B$3:$B$700&amp;$C$3:$C$700&amp;$D$3:$D$700,0))</f>
        <v>0</v>
      </c>
      <c r="W62">
        <f t="array" ref="W62">INDEX(L$3:L$700,MATCH($B62&amp;$C62&amp;"baseline",$B$3:$B$700&amp;$C$3:$C$700&amp;$D$3:$D$700,0))</f>
        <v>77.142814385854791</v>
      </c>
      <c r="X62">
        <f t="array" ref="X62">INDEX(M$3:M$700,MATCH($B62&amp;$C62&amp;"baseline",$B$3:$B$700&amp;$C$3:$C$700&amp;$D$3:$D$700,0))</f>
        <v>11.925753702340163</v>
      </c>
      <c r="Y62">
        <f t="array" ref="Y62">INDEX(N$3:N$700,MATCH($B62&amp;$C62&amp;"baseline",$B$3:$B$700&amp;$C$3:$C$700&amp;$D$3:$D$700,0))</f>
        <v>0</v>
      </c>
      <c r="Z62">
        <f t="array" ref="Z62">INDEX(O$3:O$700,MATCH($B62&amp;$C62&amp;"baseline",$B$3:$B$700&amp;$C$3:$C$700&amp;$D$3:$D$700,0))</f>
        <v>33.777509826677544</v>
      </c>
      <c r="AA62">
        <f t="array" ref="AA62">INDEX(P$3:P$700,MATCH($B62&amp;$C62&amp;"baseline",$B$3:$B$700&amp;$C$3:$C$700&amp;$D$3:$D$700,0))</f>
        <v>13.60401104528284</v>
      </c>
      <c r="AB62">
        <f t="array" ref="AB62">INDEX(Q$3:Q$700,MATCH($B62&amp;$C62&amp;"baseline",$B$3:$B$700&amp;$C$3:$C$700&amp;$D$3:$D$700,0))</f>
        <v>0</v>
      </c>
      <c r="AC62">
        <f t="shared" si="6"/>
        <v>784.94170401012786</v>
      </c>
      <c r="AD62">
        <f t="shared" si="7"/>
        <v>296.07035413655569</v>
      </c>
      <c r="AE62">
        <f t="shared" si="8"/>
        <v>11.82547118975657</v>
      </c>
      <c r="AF62">
        <f t="shared" si="9"/>
        <v>39.225311096776636</v>
      </c>
      <c r="AG62">
        <f>(S62+V62+Y62)*constants!$O$2+(R62+T62+U62+W62+X62+Z62+AA62+AB62)*constants!$N$2</f>
        <v>31.224540627313225</v>
      </c>
      <c r="AH62">
        <f>((S62+V62+Y62)-(H62+K62+N62))*constants!$O$2</f>
        <v>4.7963397370122021</v>
      </c>
      <c r="AI62">
        <f>((R62+T62+U62+W62+X62+Z62+AA62+AB62)-(G62+I62+J62+L62+M62+O62+P62+Q62))*constants!$N$2</f>
        <v>1.3362782444424923</v>
      </c>
      <c r="AJ62">
        <f t="shared" si="10"/>
        <v>19.640378555610432</v>
      </c>
      <c r="AK62">
        <f t="shared" si="11"/>
        <v>6.1326179814546942</v>
      </c>
      <c r="AL62">
        <f>COUNTIFS($B:$B,$B62,$AK:$AK,"&lt;"&amp;$AK62)+COUNTIFS($B$2:$B62,$B62,$AK$2:$AK62,$AK62)</f>
        <v>39</v>
      </c>
      <c r="AM62" s="191">
        <f>IF(AK62=0, "NA",IF(((sim_annual_output!F62/E62)/AK62)&lt;0,100,((sim_annual_output!F62/E62)/AK62)))</f>
        <v>5.4381907815001087</v>
      </c>
      <c r="AN62">
        <f>(S62+V62)*constants!$F$2+(T62+U62+W62+X62+Y62+Z62+AA62+AB62)*constants!$G$2</f>
        <v>272626.08516702015</v>
      </c>
      <c r="AO62">
        <f>(AD62*constants!$F$2+AE62*constants!$G$2)</f>
        <v>63284.753325531688</v>
      </c>
      <c r="AP62">
        <f t="shared" si="12"/>
        <v>23.21302207261688</v>
      </c>
    </row>
    <row r="63" spans="1:42">
      <c r="A63">
        <f>sim_annual_output!B63</f>
        <v>3</v>
      </c>
      <c r="B63" t="str">
        <f>sim_annual_output!C63</f>
        <v>Food Service</v>
      </c>
      <c r="C63" t="str">
        <f>sim_annual_output!D63</f>
        <v>1959-pre</v>
      </c>
      <c r="D63" t="str">
        <f>sim_annual_output!E63</f>
        <v>lights_reduce_70p</v>
      </c>
      <c r="E63" s="45">
        <f t="array" ref="E63">IFERROR(INDEX(baseline!$J$3:$J$201,MATCH($B63&amp;$C63,baseline!$C$3:$C$201&amp;baseline!$D$3:$D$201,0)),"NA")</f>
        <v>2568</v>
      </c>
      <c r="F63">
        <f>sim_annual_output!G63</f>
        <v>2693.60503738445</v>
      </c>
      <c r="G63">
        <f>$E63/$F63^2*sim_annual_output!I63</f>
        <v>0</v>
      </c>
      <c r="H63">
        <f>$E63/$F63^2*sim_annual_output!J63</f>
        <v>613.75847186808687</v>
      </c>
      <c r="I63">
        <f>$E63/$F63^2*sim_annual_output!K63</f>
        <v>2.6859982782187406</v>
      </c>
      <c r="J63">
        <f>$E63/$F63^2*sim_annual_output!L63</f>
        <v>51.873587538571449</v>
      </c>
      <c r="K63">
        <f>$E63/$F63^2*sim_annual_output!M63</f>
        <v>0</v>
      </c>
      <c r="L63">
        <f>$E63/$F63^2*sim_annual_output!N63</f>
        <v>54.000166702475958</v>
      </c>
      <c r="M63">
        <f>$E63/$F63^2*sim_annual_output!O63</f>
        <v>11.925753702340163</v>
      </c>
      <c r="N63">
        <f>$E63/$F63^2*sim_annual_output!P63</f>
        <v>0</v>
      </c>
      <c r="O63">
        <f>$E63/$F63^2*sim_annual_output!Q63</f>
        <v>33.995771765830021</v>
      </c>
      <c r="P63">
        <f>$E63/$F63^2*sim_annual_output!R63</f>
        <v>13.958932486877629</v>
      </c>
      <c r="Q63">
        <f>$E63/$F63^2*sim_annual_output!S63</f>
        <v>0</v>
      </c>
      <c r="R63">
        <f t="array" ref="R63">INDEX(G$3:G$700,MATCH($B63&amp;$C63&amp;"baseline",$B$3:$B$700&amp;$C$3:$C$700&amp;$D$3:$D$700,0))</f>
        <v>0</v>
      </c>
      <c r="S63">
        <f t="array" ref="S63">INDEX(H$3:H$700,MATCH($B63&amp;$C63&amp;"baseline",$B$3:$B$700&amp;$C$3:$C$700&amp;$D$3:$D$700,0))</f>
        <v>593.73834634123182</v>
      </c>
      <c r="T63">
        <f t="array" ref="T63">INDEX(I$3:I$700,MATCH($B63&amp;$C63&amp;"baseline",$B$3:$B$700&amp;$C$3:$C$700&amp;$D$3:$D$700,0))</f>
        <v>2.8796811701693601</v>
      </c>
      <c r="U63">
        <f t="array" ref="U63">INDEX(J$3:J$700,MATCH($B63&amp;$C63&amp;"baseline",$B$3:$B$700&amp;$C$3:$C$700&amp;$D$3:$D$700,0))</f>
        <v>51.873587538571449</v>
      </c>
      <c r="V63">
        <f t="array" ref="V63">INDEX(K$3:K$700,MATCH($B63&amp;$C63&amp;"baseline",$B$3:$B$700&amp;$C$3:$C$700&amp;$D$3:$D$700,0))</f>
        <v>0</v>
      </c>
      <c r="W63">
        <f t="array" ref="W63">INDEX(L$3:L$700,MATCH($B63&amp;$C63&amp;"baseline",$B$3:$B$700&amp;$C$3:$C$700&amp;$D$3:$D$700,0))</f>
        <v>77.142814385854791</v>
      </c>
      <c r="X63">
        <f t="array" ref="X63">INDEX(M$3:M$700,MATCH($B63&amp;$C63&amp;"baseline",$B$3:$B$700&amp;$C$3:$C$700&amp;$D$3:$D$700,0))</f>
        <v>11.925753702340163</v>
      </c>
      <c r="Y63">
        <f t="array" ref="Y63">INDEX(N$3:N$700,MATCH($B63&amp;$C63&amp;"baseline",$B$3:$B$700&amp;$C$3:$C$700&amp;$D$3:$D$700,0))</f>
        <v>0</v>
      </c>
      <c r="Z63">
        <f t="array" ref="Z63">INDEX(O$3:O$700,MATCH($B63&amp;$C63&amp;"baseline",$B$3:$B$700&amp;$C$3:$C$700&amp;$D$3:$D$700,0))</f>
        <v>33.777509826677544</v>
      </c>
      <c r="AA63">
        <f t="array" ref="AA63">INDEX(P$3:P$700,MATCH($B63&amp;$C63&amp;"baseline",$B$3:$B$700&amp;$C$3:$C$700&amp;$D$3:$D$700,0))</f>
        <v>13.60401104528284</v>
      </c>
      <c r="AB63">
        <f t="array" ref="AB63">INDEX(Q$3:Q$700,MATCH($B63&amp;$C63&amp;"baseline",$B$3:$B$700&amp;$C$3:$C$700&amp;$D$3:$D$700,0))</f>
        <v>0</v>
      </c>
      <c r="AC63">
        <f t="shared" si="6"/>
        <v>784.94170401012786</v>
      </c>
      <c r="AD63">
        <f t="shared" si="7"/>
        <v>-20.020125526855054</v>
      </c>
      <c r="AE63">
        <f t="shared" si="8"/>
        <v>22.763147194582189</v>
      </c>
      <c r="AF63">
        <f t="shared" si="9"/>
        <v>0.34945546321637949</v>
      </c>
      <c r="AG63">
        <f>(S63+V63+Y63)*constants!$O$2+(R63+T63+U63+W63+X63+Z63+AA63+AB63)*constants!$N$2</f>
        <v>31.224540627313225</v>
      </c>
      <c r="AH63">
        <f>((S63+V63+Y63)-(H63+K63+N63))*constants!$O$2</f>
        <v>-0.32432603353505185</v>
      </c>
      <c r="AI63">
        <f>((R63+T63+U63+W63+X63+Z63+AA63+AB63)-(G63+I63+J63+L63+M63+O63+P63+Q63))*constants!$N$2</f>
        <v>2.5722356329877876</v>
      </c>
      <c r="AJ63">
        <f t="shared" si="10"/>
        <v>7.1991758863104254</v>
      </c>
      <c r="AK63">
        <f t="shared" si="11"/>
        <v>2.2479095994527358</v>
      </c>
      <c r="AL63">
        <f>COUNTIFS($B:$B,$B63,$AK:$AK,"&lt;"&amp;$AK63)+COUNTIFS($B$2:$B63,$B63,$AK$2:$AK63,$AK63)</f>
        <v>33</v>
      </c>
      <c r="AM63" s="191">
        <f>IF(AK63=0, "NA",IF(((sim_annual_output!F63/E63)/AK63)&lt;0,100,((sim_annual_output!F63/E63)/AK63)))</f>
        <v>18.780785400996574</v>
      </c>
      <c r="AN63">
        <f>(S63+V63)*constants!$F$2+(T63+U63+W63+X63+Y63+Z63+AA63+AB63)*constants!$G$2</f>
        <v>272626.08516702015</v>
      </c>
      <c r="AO63">
        <f>(AD63*constants!$F$2+AE63*constants!$G$2)</f>
        <v>16220.335589979451</v>
      </c>
      <c r="AP63">
        <f t="shared" si="12"/>
        <v>5.949663833540475</v>
      </c>
    </row>
    <row r="64" spans="1:42">
      <c r="A64">
        <f>sim_annual_output!B64</f>
        <v>3</v>
      </c>
      <c r="B64" t="str">
        <f>sim_annual_output!C64</f>
        <v>Food Service</v>
      </c>
      <c r="C64" t="str">
        <f>sim_annual_output!D64</f>
        <v>1959-pre</v>
      </c>
      <c r="D64" t="str">
        <f>sim_annual_output!E64</f>
        <v>load_reduce</v>
      </c>
      <c r="E64" s="45">
        <f t="array" ref="E64">IFERROR(INDEX(baseline!$J$3:$J$201,MATCH($B64&amp;$C64,baseline!$C$3:$C$201&amp;baseline!$D$3:$D$201,0)),"NA")</f>
        <v>2568</v>
      </c>
      <c r="F64">
        <f>sim_annual_output!G64</f>
        <v>2693.60503738445</v>
      </c>
      <c r="G64">
        <f>$E64/$F64^2*sim_annual_output!I64</f>
        <v>0</v>
      </c>
      <c r="H64">
        <f>$E64/$F64^2*sim_annual_output!J64</f>
        <v>234.19801019626942</v>
      </c>
      <c r="I64">
        <f>$E64/$F64^2*sim_annual_output!K64</f>
        <v>2.4067803020056653</v>
      </c>
      <c r="J64">
        <f>$E64/$F64^2*sim_annual_output!L64</f>
        <v>51.871621214795304</v>
      </c>
      <c r="K64">
        <f>$E64/$F64^2*sim_annual_output!M64</f>
        <v>0</v>
      </c>
      <c r="L64">
        <f>$E64/$F64^2*sim_annual_output!N64</f>
        <v>77.142814385854791</v>
      </c>
      <c r="M64">
        <f>$E64/$F64^2*sim_annual_output!O64</f>
        <v>11.925753702340163</v>
      </c>
      <c r="N64">
        <f>$E64/$F64^2*sim_annual_output!P64</f>
        <v>0</v>
      </c>
      <c r="O64">
        <f>$E64/$F64^2*sim_annual_output!Q64</f>
        <v>28.088935142280171</v>
      </c>
      <c r="P64">
        <f>$E64/$F64^2*sim_annual_output!R64</f>
        <v>0.42964174508842962</v>
      </c>
      <c r="Q64">
        <f>$E64/$F64^2*sim_annual_output!S64</f>
        <v>0</v>
      </c>
      <c r="R64">
        <f t="array" ref="R64">INDEX(G$3:G$700,MATCH($B64&amp;$C64&amp;"baseline",$B$3:$B$700&amp;$C$3:$C$700&amp;$D$3:$D$700,0))</f>
        <v>0</v>
      </c>
      <c r="S64">
        <f t="array" ref="S64">INDEX(H$3:H$700,MATCH($B64&amp;$C64&amp;"baseline",$B$3:$B$700&amp;$C$3:$C$700&amp;$D$3:$D$700,0))</f>
        <v>593.73834634123182</v>
      </c>
      <c r="T64">
        <f t="array" ref="T64">INDEX(I$3:I$700,MATCH($B64&amp;$C64&amp;"baseline",$B$3:$B$700&amp;$C$3:$C$700&amp;$D$3:$D$700,0))</f>
        <v>2.8796811701693601</v>
      </c>
      <c r="U64">
        <f t="array" ref="U64">INDEX(J$3:J$700,MATCH($B64&amp;$C64&amp;"baseline",$B$3:$B$700&amp;$C$3:$C$700&amp;$D$3:$D$700,0))</f>
        <v>51.873587538571449</v>
      </c>
      <c r="V64">
        <f t="array" ref="V64">INDEX(K$3:K$700,MATCH($B64&amp;$C64&amp;"baseline",$B$3:$B$700&amp;$C$3:$C$700&amp;$D$3:$D$700,0))</f>
        <v>0</v>
      </c>
      <c r="W64">
        <f t="array" ref="W64">INDEX(L$3:L$700,MATCH($B64&amp;$C64&amp;"baseline",$B$3:$B$700&amp;$C$3:$C$700&amp;$D$3:$D$700,0))</f>
        <v>77.142814385854791</v>
      </c>
      <c r="X64">
        <f t="array" ref="X64">INDEX(M$3:M$700,MATCH($B64&amp;$C64&amp;"baseline",$B$3:$B$700&amp;$C$3:$C$700&amp;$D$3:$D$700,0))</f>
        <v>11.925753702340163</v>
      </c>
      <c r="Y64">
        <f t="array" ref="Y64">INDEX(N$3:N$700,MATCH($B64&amp;$C64&amp;"baseline",$B$3:$B$700&amp;$C$3:$C$700&amp;$D$3:$D$700,0))</f>
        <v>0</v>
      </c>
      <c r="Z64">
        <f t="array" ref="Z64">INDEX(O$3:O$700,MATCH($B64&amp;$C64&amp;"baseline",$B$3:$B$700&amp;$C$3:$C$700&amp;$D$3:$D$700,0))</f>
        <v>33.777509826677544</v>
      </c>
      <c r="AA64">
        <f t="array" ref="AA64">INDEX(P$3:P$700,MATCH($B64&amp;$C64&amp;"baseline",$B$3:$B$700&amp;$C$3:$C$700&amp;$D$3:$D$700,0))</f>
        <v>13.60401104528284</v>
      </c>
      <c r="AB64">
        <f t="array" ref="AB64">INDEX(Q$3:Q$700,MATCH($B64&amp;$C64&amp;"baseline",$B$3:$B$700&amp;$C$3:$C$700&amp;$D$3:$D$700,0))</f>
        <v>0</v>
      </c>
      <c r="AC64">
        <f t="shared" si="6"/>
        <v>784.94170401012786</v>
      </c>
      <c r="AD64">
        <f t="shared" si="7"/>
        <v>359.5403361449624</v>
      </c>
      <c r="AE64">
        <f t="shared" si="8"/>
        <v>19.337811176531631</v>
      </c>
      <c r="AF64">
        <f t="shared" si="9"/>
        <v>48.268316664265996</v>
      </c>
      <c r="AG64">
        <f>(S64+V64+Y64)*constants!$O$2+(R64+T64+U64+W64+X64+Z64+AA64+AB64)*constants!$N$2</f>
        <v>31.224540627313225</v>
      </c>
      <c r="AH64">
        <f>((S64+V64+Y64)-(H64+K64+N64))*constants!$O$2</f>
        <v>5.8245534455483909</v>
      </c>
      <c r="AI64">
        <f>((R64+T64+U64+W64+X64+Z64+AA64+AB64)-(G64+I64+J64+L64+M64+O64+P64+Q64))*constants!$N$2</f>
        <v>2.1851726629480743</v>
      </c>
      <c r="AJ64">
        <f t="shared" si="10"/>
        <v>25.652022247815143</v>
      </c>
      <c r="AK64">
        <f t="shared" si="11"/>
        <v>8.0097261084964657</v>
      </c>
      <c r="AL64">
        <f>COUNTIFS($B:$B,$B64,$AK:$AK,"&lt;"&amp;$AK64)+COUNTIFS($B$2:$B64,$B64,$AK$2:$AK64,$AK64)</f>
        <v>43</v>
      </c>
      <c r="AM64" s="191">
        <f>IF(AK64=0, "NA",IF(((sim_annual_output!F64/E64)/AK64)&lt;0,100,((sim_annual_output!F64/E64)/AK64)))</f>
        <v>4.2089026346495775</v>
      </c>
      <c r="AN64">
        <f>(S64+V64)*constants!$F$2+(T64+U64+W64+X64+Y64+Z64+AA64+AB64)*constants!$G$2</f>
        <v>272626.08516702015</v>
      </c>
      <c r="AO64">
        <f>(AD64*constants!$F$2+AE64*constants!$G$2)</f>
        <v>81181.61589353079</v>
      </c>
      <c r="AP64">
        <f t="shared" si="12"/>
        <v>29.777640625913008</v>
      </c>
    </row>
    <row r="65" spans="1:42">
      <c r="A65">
        <f>sim_annual_output!B65</f>
        <v>3</v>
      </c>
      <c r="B65" t="str">
        <f>sim_annual_output!C65</f>
        <v>Food Service</v>
      </c>
      <c r="C65" t="str">
        <f>sim_annual_output!D65</f>
        <v>1959-pre</v>
      </c>
      <c r="D65" t="str">
        <f>sim_annual_output!E65</f>
        <v>occupancy_setback</v>
      </c>
      <c r="E65" s="45">
        <f t="array" ref="E65">IFERROR(INDEX(baseline!$J$3:$J$201,MATCH($B65&amp;$C65,baseline!$C$3:$C$201&amp;baseline!$D$3:$D$201,0)),"NA")</f>
        <v>2568</v>
      </c>
      <c r="F65">
        <f>sim_annual_output!G65</f>
        <v>2693.60503738445</v>
      </c>
      <c r="G65">
        <f>$E65/$F65^2*sim_annual_output!I65</f>
        <v>0</v>
      </c>
      <c r="H65">
        <f>$E65/$F65^2*sim_annual_output!J65</f>
        <v>547.67917820873117</v>
      </c>
      <c r="I65">
        <f>$E65/$F65^2*sim_annual_output!K65</f>
        <v>1.7303649230106088</v>
      </c>
      <c r="J65">
        <f>$E65/$F65^2*sim_annual_output!L65</f>
        <v>51.872604376683377</v>
      </c>
      <c r="K65">
        <f>$E65/$F65^2*sim_annual_output!M65</f>
        <v>0</v>
      </c>
      <c r="L65">
        <f>$E65/$F65^2*sim_annual_output!N65</f>
        <v>77.142814385854791</v>
      </c>
      <c r="M65">
        <f>$E65/$F65^2*sim_annual_output!O65</f>
        <v>11.925753702340163</v>
      </c>
      <c r="N65">
        <f>$E65/$F65^2*sim_annual_output!P65</f>
        <v>0</v>
      </c>
      <c r="O65">
        <f>$E65/$F65^2*sim_annual_output!Q65</f>
        <v>36.963937505926062</v>
      </c>
      <c r="P65">
        <f>$E65/$F65^2*sim_annual_output!R65</f>
        <v>14.666809046291059</v>
      </c>
      <c r="Q65">
        <f>$E65/$F65^2*sim_annual_output!S65</f>
        <v>0</v>
      </c>
      <c r="R65">
        <f t="array" ref="R65">INDEX(G$3:G$700,MATCH($B65&amp;$C65&amp;"baseline",$B$3:$B$700&amp;$C$3:$C$700&amp;$D$3:$D$700,0))</f>
        <v>0</v>
      </c>
      <c r="S65">
        <f t="array" ref="S65">INDEX(H$3:H$700,MATCH($B65&amp;$C65&amp;"baseline",$B$3:$B$700&amp;$C$3:$C$700&amp;$D$3:$D$700,0))</f>
        <v>593.73834634123182</v>
      </c>
      <c r="T65">
        <f t="array" ref="T65">INDEX(I$3:I$700,MATCH($B65&amp;$C65&amp;"baseline",$B$3:$B$700&amp;$C$3:$C$700&amp;$D$3:$D$700,0))</f>
        <v>2.8796811701693601</v>
      </c>
      <c r="U65">
        <f t="array" ref="U65">INDEX(J$3:J$700,MATCH($B65&amp;$C65&amp;"baseline",$B$3:$B$700&amp;$C$3:$C$700&amp;$D$3:$D$700,0))</f>
        <v>51.873587538571449</v>
      </c>
      <c r="V65">
        <f t="array" ref="V65">INDEX(K$3:K$700,MATCH($B65&amp;$C65&amp;"baseline",$B$3:$B$700&amp;$C$3:$C$700&amp;$D$3:$D$700,0))</f>
        <v>0</v>
      </c>
      <c r="W65">
        <f t="array" ref="W65">INDEX(L$3:L$700,MATCH($B65&amp;$C65&amp;"baseline",$B$3:$B$700&amp;$C$3:$C$700&amp;$D$3:$D$700,0))</f>
        <v>77.142814385854791</v>
      </c>
      <c r="X65">
        <f t="array" ref="X65">INDEX(M$3:M$700,MATCH($B65&amp;$C65&amp;"baseline",$B$3:$B$700&amp;$C$3:$C$700&amp;$D$3:$D$700,0))</f>
        <v>11.925753702340163</v>
      </c>
      <c r="Y65">
        <f t="array" ref="Y65">INDEX(N$3:N$700,MATCH($B65&amp;$C65&amp;"baseline",$B$3:$B$700&amp;$C$3:$C$700&amp;$D$3:$D$700,0))</f>
        <v>0</v>
      </c>
      <c r="Z65">
        <f t="array" ref="Z65">INDEX(O$3:O$700,MATCH($B65&amp;$C65&amp;"baseline",$B$3:$B$700&amp;$C$3:$C$700&amp;$D$3:$D$700,0))</f>
        <v>33.777509826677544</v>
      </c>
      <c r="AA65">
        <f t="array" ref="AA65">INDEX(P$3:P$700,MATCH($B65&amp;$C65&amp;"baseline",$B$3:$B$700&amp;$C$3:$C$700&amp;$D$3:$D$700,0))</f>
        <v>13.60401104528284</v>
      </c>
      <c r="AB65">
        <f t="array" ref="AB65">INDEX(Q$3:Q$700,MATCH($B65&amp;$C65&amp;"baseline",$B$3:$B$700&amp;$C$3:$C$700&amp;$D$3:$D$700,0))</f>
        <v>0</v>
      </c>
      <c r="AC65">
        <f t="shared" si="6"/>
        <v>784.94170401012786</v>
      </c>
      <c r="AD65">
        <f t="shared" si="7"/>
        <v>46.059168132500645</v>
      </c>
      <c r="AE65">
        <f t="shared" si="8"/>
        <v>-3.0989262712099048</v>
      </c>
      <c r="AF65">
        <f t="shared" si="9"/>
        <v>5.473048717097651</v>
      </c>
      <c r="AG65">
        <f>(S65+V65+Y65)*constants!$O$2+(R65+T65+U65+W65+X65+Z65+AA65+AB65)*constants!$N$2</f>
        <v>31.224540627313225</v>
      </c>
      <c r="AH65">
        <f>((S65+V65+Y65)-(H65+K65+N65))*constants!$O$2</f>
        <v>0.74615852374651037</v>
      </c>
      <c r="AI65">
        <f>((R65+T65+U65+W65+X65+Z65+AA65+AB65)-(G65+I65+J65+L65+M65+O65+P65+Q65))*constants!$N$2</f>
        <v>-0.35017866864671926</v>
      </c>
      <c r="AJ65">
        <f t="shared" si="10"/>
        <v>1.2681687132761637</v>
      </c>
      <c r="AK65">
        <f t="shared" si="11"/>
        <v>0.39597985509979111</v>
      </c>
      <c r="AL65">
        <f>COUNTIFS($B:$B,$B65,$AK:$AK,"&lt;"&amp;$AK65)+COUNTIFS($B$2:$B65,$B65,$AK$2:$AK65,$AK65)</f>
        <v>24</v>
      </c>
      <c r="AM65" s="191">
        <f>IF(AK65=0, "NA",IF(((sim_annual_output!F65/E65)/AK65)&lt;0,100,((sim_annual_output!F65/E65)/AK65)))</f>
        <v>4.2171797448590622</v>
      </c>
      <c r="AN65">
        <f>(S65+V65)*constants!$F$2+(T65+U65+W65+X65+Y65+Z65+AA65+AB65)*constants!$G$2</f>
        <v>272626.08516702015</v>
      </c>
      <c r="AO65">
        <f>(AD65*constants!$F$2+AE65*constants!$G$2)</f>
        <v>5548.5252397649974</v>
      </c>
      <c r="AP65">
        <f t="shared" si="12"/>
        <v>2.0352143619587171</v>
      </c>
    </row>
    <row r="66" spans="1:42">
      <c r="A66">
        <f>sim_annual_output!B66</f>
        <v>3</v>
      </c>
      <c r="B66" t="str">
        <f>sim_annual_output!C66</f>
        <v>Food Service</v>
      </c>
      <c r="C66" t="str">
        <f>sim_annual_output!D66</f>
        <v>1959-pre</v>
      </c>
      <c r="D66" t="str">
        <f>sim_annual_output!E66</f>
        <v>payback_less_than_20</v>
      </c>
      <c r="E66" s="45">
        <f t="array" ref="E66">IFERROR(INDEX(baseline!$J$3:$J$201,MATCH($B66&amp;$C66,baseline!$C$3:$C$201&amp;baseline!$D$3:$D$201,0)),"NA")</f>
        <v>2568</v>
      </c>
      <c r="F66">
        <f>sim_annual_output!G66</f>
        <v>2693.60503738445</v>
      </c>
      <c r="G66">
        <f>$E66/$F66^2*sim_annual_output!I66</f>
        <v>0</v>
      </c>
      <c r="H66">
        <f>$E66/$F66^2*sim_annual_output!J66</f>
        <v>143.930967766512</v>
      </c>
      <c r="I66">
        <f>$E66/$F66^2*sim_annual_output!K66</f>
        <v>7.1721659735013592</v>
      </c>
      <c r="J66">
        <f>$E66/$F66^2*sim_annual_output!L66</f>
        <v>51.870638052907225</v>
      </c>
      <c r="K66">
        <f>$E66/$F66^2*sim_annual_output!M66</f>
        <v>0</v>
      </c>
      <c r="L66">
        <f>$E66/$F66^2*sim_annual_output!N66</f>
        <v>54.000166702475958</v>
      </c>
      <c r="M66">
        <f>$E66/$F66^2*sim_annual_output!O66</f>
        <v>11.925753702340163</v>
      </c>
      <c r="N66">
        <f>$E66/$F66^2*sim_annual_output!P66</f>
        <v>0</v>
      </c>
      <c r="O66">
        <f>$E66/$F66^2*sim_annual_output!Q66</f>
        <v>14.817232815166415</v>
      </c>
      <c r="P66">
        <f>$E66/$F66^2*sim_annual_output!R66</f>
        <v>0.17401965418913509</v>
      </c>
      <c r="Q66">
        <f>$E66/$F66^2*sim_annual_output!S66</f>
        <v>0</v>
      </c>
      <c r="R66">
        <f t="array" ref="R66">INDEX(G$3:G$700,MATCH($B66&amp;$C66&amp;"baseline",$B$3:$B$700&amp;$C$3:$C$700&amp;$D$3:$D$700,0))</f>
        <v>0</v>
      </c>
      <c r="S66">
        <f t="array" ref="S66">INDEX(H$3:H$700,MATCH($B66&amp;$C66&amp;"baseline",$B$3:$B$700&amp;$C$3:$C$700&amp;$D$3:$D$700,0))</f>
        <v>593.73834634123182</v>
      </c>
      <c r="T66">
        <f t="array" ref="T66">INDEX(I$3:I$700,MATCH($B66&amp;$C66&amp;"baseline",$B$3:$B$700&amp;$C$3:$C$700&amp;$D$3:$D$700,0))</f>
        <v>2.8796811701693601</v>
      </c>
      <c r="U66">
        <f t="array" ref="U66">INDEX(J$3:J$700,MATCH($B66&amp;$C66&amp;"baseline",$B$3:$B$700&amp;$C$3:$C$700&amp;$D$3:$D$700,0))</f>
        <v>51.873587538571449</v>
      </c>
      <c r="V66">
        <f t="array" ref="V66">INDEX(K$3:K$700,MATCH($B66&amp;$C66&amp;"baseline",$B$3:$B$700&amp;$C$3:$C$700&amp;$D$3:$D$700,0))</f>
        <v>0</v>
      </c>
      <c r="W66">
        <f t="array" ref="W66">INDEX(L$3:L$700,MATCH($B66&amp;$C66&amp;"baseline",$B$3:$B$700&amp;$C$3:$C$700&amp;$D$3:$D$700,0))</f>
        <v>77.142814385854791</v>
      </c>
      <c r="X66">
        <f t="array" ref="X66">INDEX(M$3:M$700,MATCH($B66&amp;$C66&amp;"baseline",$B$3:$B$700&amp;$C$3:$C$700&amp;$D$3:$D$700,0))</f>
        <v>11.925753702340163</v>
      </c>
      <c r="Y66">
        <f t="array" ref="Y66">INDEX(N$3:N$700,MATCH($B66&amp;$C66&amp;"baseline",$B$3:$B$700&amp;$C$3:$C$700&amp;$D$3:$D$700,0))</f>
        <v>0</v>
      </c>
      <c r="Z66">
        <f t="array" ref="Z66">INDEX(O$3:O$700,MATCH($B66&amp;$C66&amp;"baseline",$B$3:$B$700&amp;$C$3:$C$700&amp;$D$3:$D$700,0))</f>
        <v>33.777509826677544</v>
      </c>
      <c r="AA66">
        <f t="array" ref="AA66">INDEX(P$3:P$700,MATCH($B66&amp;$C66&amp;"baseline",$B$3:$B$700&amp;$C$3:$C$700&amp;$D$3:$D$700,0))</f>
        <v>13.60401104528284</v>
      </c>
      <c r="AB66">
        <f t="array" ref="AB66">INDEX(Q$3:Q$700,MATCH($B66&amp;$C66&amp;"baseline",$B$3:$B$700&amp;$C$3:$C$700&amp;$D$3:$D$700,0))</f>
        <v>0</v>
      </c>
      <c r="AC66">
        <f t="shared" si="6"/>
        <v>784.94170401012786</v>
      </c>
      <c r="AD66">
        <f t="shared" si="7"/>
        <v>449.80737857471979</v>
      </c>
      <c r="AE66">
        <f t="shared" si="8"/>
        <v>51.243380768315916</v>
      </c>
      <c r="AF66">
        <f t="shared" si="9"/>
        <v>63.83286259135631</v>
      </c>
      <c r="AG66">
        <f>(S66+V66+Y66)*constants!$O$2+(R66+T66+U66+W66+X66+Z66+AA66+AB66)*constants!$N$2</f>
        <v>31.224540627313225</v>
      </c>
      <c r="AH66">
        <f>((S66+V66+Y66)-(H66+K66+N66))*constants!$O$2</f>
        <v>7.2868795329104605</v>
      </c>
      <c r="AI66">
        <f>((R66+T66+U66+W66+X66+Z66+AA66+AB66)-(G66+I66+J66+L66+M66+O66+P66+Q66))*constants!$N$2</f>
        <v>5.7905020268196985</v>
      </c>
      <c r="AJ66">
        <f t="shared" si="10"/>
        <v>41.881742043278955</v>
      </c>
      <c r="AK66">
        <f t="shared" si="11"/>
        <v>13.07738155973016</v>
      </c>
      <c r="AL66">
        <f>COUNTIFS($B:$B,$B66,$AK:$AK,"&lt;"&amp;$AK66)+COUNTIFS($B$2:$B66,$B66,$AK$2:$AK66,$AK66)</f>
        <v>44</v>
      </c>
      <c r="AM66" s="191">
        <f>IF(AK66=0, "NA",IF(((sim_annual_output!F66/E66)/AK66)&lt;0,100,((sim_annual_output!F66/E66)/AK66)))</f>
        <v>7.4892605814829469</v>
      </c>
      <c r="AN66">
        <f>(S66+V66)*constants!$F$2+(T66+U66+W66+X66+Y66+Z66+AA66+AB66)*constants!$G$2</f>
        <v>272626.08516702015</v>
      </c>
      <c r="AO66">
        <f>(AD66*constants!$F$2+AE66*constants!$G$2)</f>
        <v>125097.2620333097</v>
      </c>
      <c r="AP66">
        <f t="shared" si="12"/>
        <v>45.88602075867788</v>
      </c>
    </row>
    <row r="67" spans="1:42">
      <c r="A67">
        <f>sim_annual_output!B67</f>
        <v>3</v>
      </c>
      <c r="B67" t="str">
        <f>sim_annual_output!C67</f>
        <v>Food Service</v>
      </c>
      <c r="C67" t="str">
        <f>sim_annual_output!D67</f>
        <v>1959-pre</v>
      </c>
      <c r="D67" t="str">
        <f>sim_annual_output!E67</f>
        <v>plug_loads_90_percent</v>
      </c>
      <c r="E67" s="45">
        <f t="array" ref="E67">IFERROR(INDEX(baseline!$J$3:$J$201,MATCH($B67&amp;$C67,baseline!$C$3:$C$201&amp;baseline!$D$3:$D$201,0)),"NA")</f>
        <v>2568</v>
      </c>
      <c r="F67">
        <f>sim_annual_output!G67</f>
        <v>2693.60503738445</v>
      </c>
      <c r="G67">
        <f>$E67/$F67^2*sim_annual_output!I67</f>
        <v>0</v>
      </c>
      <c r="H67">
        <f>$E67/$F67^2*sim_annual_output!J67</f>
        <v>585.71476217265808</v>
      </c>
      <c r="I67">
        <f>$E67/$F67^2*sim_annual_output!K67</f>
        <v>3.9365801998491357</v>
      </c>
      <c r="J67">
        <f>$E67/$F67^2*sim_annual_output!L67</f>
        <v>51.872604376683377</v>
      </c>
      <c r="K67">
        <f>$E67/$F67^2*sim_annual_output!M67</f>
        <v>0</v>
      </c>
      <c r="L67">
        <f>$E67/$F67^2*sim_annual_output!N67</f>
        <v>77.142814385854791</v>
      </c>
      <c r="M67">
        <f>$E67/$F67^2*sim_annual_output!O67</f>
        <v>11.925753702340163</v>
      </c>
      <c r="N67">
        <f>$E67/$F67^2*sim_annual_output!P67</f>
        <v>0</v>
      </c>
      <c r="O67">
        <f>$E67/$F67^2*sim_annual_output!Q67</f>
        <v>33.924000948000604</v>
      </c>
      <c r="P67">
        <f>$E67/$F67^2*sim_annual_output!R67</f>
        <v>13.779997023248121</v>
      </c>
      <c r="Q67">
        <f>$E67/$F67^2*sim_annual_output!S67</f>
        <v>0</v>
      </c>
      <c r="R67">
        <f t="array" ref="R67">INDEX(G$3:G$700,MATCH($B67&amp;$C67&amp;"baseline",$B$3:$B$700&amp;$C$3:$C$700&amp;$D$3:$D$700,0))</f>
        <v>0</v>
      </c>
      <c r="S67">
        <f t="array" ref="S67">INDEX(H$3:H$700,MATCH($B67&amp;$C67&amp;"baseline",$B$3:$B$700&amp;$C$3:$C$700&amp;$D$3:$D$700,0))</f>
        <v>593.73834634123182</v>
      </c>
      <c r="T67">
        <f t="array" ref="T67">INDEX(I$3:I$700,MATCH($B67&amp;$C67&amp;"baseline",$B$3:$B$700&amp;$C$3:$C$700&amp;$D$3:$D$700,0))</f>
        <v>2.8796811701693601</v>
      </c>
      <c r="U67">
        <f t="array" ref="U67">INDEX(J$3:J$700,MATCH($B67&amp;$C67&amp;"baseline",$B$3:$B$700&amp;$C$3:$C$700&amp;$D$3:$D$700,0))</f>
        <v>51.873587538571449</v>
      </c>
      <c r="V67">
        <f t="array" ref="V67">INDEX(K$3:K$700,MATCH($B67&amp;$C67&amp;"baseline",$B$3:$B$700&amp;$C$3:$C$700&amp;$D$3:$D$700,0))</f>
        <v>0</v>
      </c>
      <c r="W67">
        <f t="array" ref="W67">INDEX(L$3:L$700,MATCH($B67&amp;$C67&amp;"baseline",$B$3:$B$700&amp;$C$3:$C$700&amp;$D$3:$D$700,0))</f>
        <v>77.142814385854791</v>
      </c>
      <c r="X67">
        <f t="array" ref="X67">INDEX(M$3:M$700,MATCH($B67&amp;$C67&amp;"baseline",$B$3:$B$700&amp;$C$3:$C$700&amp;$D$3:$D$700,0))</f>
        <v>11.925753702340163</v>
      </c>
      <c r="Y67">
        <f t="array" ref="Y67">INDEX(N$3:N$700,MATCH($B67&amp;$C67&amp;"baseline",$B$3:$B$700&amp;$C$3:$C$700&amp;$D$3:$D$700,0))</f>
        <v>0</v>
      </c>
      <c r="Z67">
        <f t="array" ref="Z67">INDEX(O$3:O$700,MATCH($B67&amp;$C67&amp;"baseline",$B$3:$B$700&amp;$C$3:$C$700&amp;$D$3:$D$700,0))</f>
        <v>33.777509826677544</v>
      </c>
      <c r="AA67">
        <f t="array" ref="AA67">INDEX(P$3:P$700,MATCH($B67&amp;$C67&amp;"baseline",$B$3:$B$700&amp;$C$3:$C$700&amp;$D$3:$D$700,0))</f>
        <v>13.60401104528284</v>
      </c>
      <c r="AB67">
        <f t="array" ref="AB67">INDEX(Q$3:Q$700,MATCH($B67&amp;$C67&amp;"baseline",$B$3:$B$700&amp;$C$3:$C$700&amp;$D$3:$D$700,0))</f>
        <v>0</v>
      </c>
      <c r="AC67">
        <f t="shared" ref="AC67:AC130" si="13">SUM(R67:AB67)</f>
        <v>784.94170401012786</v>
      </c>
      <c r="AD67">
        <f t="shared" ref="AD67:AD130" si="14">(S67+V67+Y67)-(H67+K67+N67)</f>
        <v>8.0235841685737341</v>
      </c>
      <c r="AE67">
        <f t="shared" ref="AE67:AE130" si="15">(R67+T67+U67+W67+X67+Z67+AA67+AB67)-(G67+I67+J67+L67+M67+O67+P67+Q67)</f>
        <v>-1.3783929670800319</v>
      </c>
      <c r="AF67">
        <f t="shared" ref="AF67:AF130" si="16">(AD67+AE67)/AC67*100</f>
        <v>0.84658404153386169</v>
      </c>
      <c r="AG67">
        <f>(S67+V67+Y67)*constants!$O$2+(R67+T67+U67+W67+X67+Z67+AA67+AB67)*constants!$N$2</f>
        <v>31.224540627313225</v>
      </c>
      <c r="AH67">
        <f>((S67+V67+Y67)-(H67+K67+N67))*constants!$O$2</f>
        <v>0.12998206353089448</v>
      </c>
      <c r="AI67">
        <f>((R67+T67+U67+W67+X67+Z67+AA67+AB67)-(G67+I67+J67+L67+M67+O67+P67+Q67))*constants!$N$2</f>
        <v>-0.15575840528004362</v>
      </c>
      <c r="AJ67">
        <f t="shared" ref="AJ67:AJ130" si="17">(AH67+AI67)/AG67*100</f>
        <v>-8.2551548337597161E-2</v>
      </c>
      <c r="AK67">
        <f t="shared" ref="AK67:AK130" si="18">AH67+AI67</f>
        <v>-2.577634174914914E-2</v>
      </c>
      <c r="AL67">
        <f>COUNTIFS($B:$B,$B67,$AK:$AK,"&lt;"&amp;$AK67)+COUNTIFS($B$2:$B67,$B67,$AK$2:$AK67,$AK67)</f>
        <v>14</v>
      </c>
      <c r="AM67" s="191">
        <f>IF(AK67=0, "NA",IF(((sim_annual_output!F67/E67)/AK67)&lt;0,100,((sim_annual_output!F67/E67)/AK67)))</f>
        <v>100</v>
      </c>
      <c r="AN67">
        <f>(S67+V67)*constants!$F$2+(T67+U67+W67+X67+Y67+Z67+AA67+AB67)*constants!$G$2</f>
        <v>272626.08516702015</v>
      </c>
      <c r="AO67">
        <f>(AD67*constants!$F$2+AE67*constants!$G$2)</f>
        <v>237.0196848150706</v>
      </c>
      <c r="AP67">
        <f t="shared" ref="AP67:AP130" si="19">AO67/AN67*100</f>
        <v>8.6939474140878395E-2</v>
      </c>
    </row>
    <row r="68" spans="1:42">
      <c r="A68">
        <f>sim_annual_output!B68</f>
        <v>3</v>
      </c>
      <c r="B68" t="str">
        <f>sim_annual_output!C68</f>
        <v>Food Service</v>
      </c>
      <c r="C68" t="str">
        <f>sim_annual_output!D68</f>
        <v>1959-pre</v>
      </c>
      <c r="D68" t="str">
        <f>sim_annual_output!E68</f>
        <v>pump_fan_eff_</v>
      </c>
      <c r="E68" s="45">
        <f t="array" ref="E68">IFERROR(INDEX(baseline!$J$3:$J$201,MATCH($B68&amp;$C68,baseline!$C$3:$C$201&amp;baseline!$D$3:$D$201,0)),"NA")</f>
        <v>2568</v>
      </c>
      <c r="F68">
        <f>sim_annual_output!G68</f>
        <v>2693.60503738445</v>
      </c>
      <c r="G68">
        <f>$E68/$F68^2*sim_annual_output!I68</f>
        <v>0</v>
      </c>
      <c r="H68">
        <f>$E68/$F68^2*sim_annual_output!J68</f>
        <v>585.07374062163376</v>
      </c>
      <c r="I68">
        <f>$E68/$F68^2*sim_annual_output!K68</f>
        <v>4.0063846939024046</v>
      </c>
      <c r="J68">
        <f>$E68/$F68^2*sim_annual_output!L68</f>
        <v>51.872604376683377</v>
      </c>
      <c r="K68">
        <f>$E68/$F68^2*sim_annual_output!M68</f>
        <v>0</v>
      </c>
      <c r="L68">
        <f>$E68/$F68^2*sim_annual_output!N68</f>
        <v>77.142814385854791</v>
      </c>
      <c r="M68">
        <f>$E68/$F68^2*sim_annual_output!O68</f>
        <v>11.925753702340163</v>
      </c>
      <c r="N68">
        <f>$E68/$F68^2*sim_annual_output!P68</f>
        <v>0</v>
      </c>
      <c r="O68">
        <f>$E68/$F68^2*sim_annual_output!Q68</f>
        <v>33.914169329119858</v>
      </c>
      <c r="P68">
        <f>$E68/$F68^2*sim_annual_output!R68</f>
        <v>10.803965988047491</v>
      </c>
      <c r="Q68">
        <f>$E68/$F68^2*sim_annual_output!S68</f>
        <v>0</v>
      </c>
      <c r="R68">
        <f t="array" ref="R68">INDEX(G$3:G$700,MATCH($B68&amp;$C68&amp;"baseline",$B$3:$B$700&amp;$C$3:$C$700&amp;$D$3:$D$700,0))</f>
        <v>0</v>
      </c>
      <c r="S68">
        <f t="array" ref="S68">INDEX(H$3:H$700,MATCH($B68&amp;$C68&amp;"baseline",$B$3:$B$700&amp;$C$3:$C$700&amp;$D$3:$D$700,0))</f>
        <v>593.73834634123182</v>
      </c>
      <c r="T68">
        <f t="array" ref="T68">INDEX(I$3:I$700,MATCH($B68&amp;$C68&amp;"baseline",$B$3:$B$700&amp;$C$3:$C$700&amp;$D$3:$D$700,0))</f>
        <v>2.8796811701693601</v>
      </c>
      <c r="U68">
        <f t="array" ref="U68">INDEX(J$3:J$700,MATCH($B68&amp;$C68&amp;"baseline",$B$3:$B$700&amp;$C$3:$C$700&amp;$D$3:$D$700,0))</f>
        <v>51.873587538571449</v>
      </c>
      <c r="V68">
        <f t="array" ref="V68">INDEX(K$3:K$700,MATCH($B68&amp;$C68&amp;"baseline",$B$3:$B$700&amp;$C$3:$C$700&amp;$D$3:$D$700,0))</f>
        <v>0</v>
      </c>
      <c r="W68">
        <f t="array" ref="W68">INDEX(L$3:L$700,MATCH($B68&amp;$C68&amp;"baseline",$B$3:$B$700&amp;$C$3:$C$700&amp;$D$3:$D$700,0))</f>
        <v>77.142814385854791</v>
      </c>
      <c r="X68">
        <f t="array" ref="X68">INDEX(M$3:M$700,MATCH($B68&amp;$C68&amp;"baseline",$B$3:$B$700&amp;$C$3:$C$700&amp;$D$3:$D$700,0))</f>
        <v>11.925753702340163</v>
      </c>
      <c r="Y68">
        <f t="array" ref="Y68">INDEX(N$3:N$700,MATCH($B68&amp;$C68&amp;"baseline",$B$3:$B$700&amp;$C$3:$C$700&amp;$D$3:$D$700,0))</f>
        <v>0</v>
      </c>
      <c r="Z68">
        <f t="array" ref="Z68">INDEX(O$3:O$700,MATCH($B68&amp;$C68&amp;"baseline",$B$3:$B$700&amp;$C$3:$C$700&amp;$D$3:$D$700,0))</f>
        <v>33.777509826677544</v>
      </c>
      <c r="AA68">
        <f t="array" ref="AA68">INDEX(P$3:P$700,MATCH($B68&amp;$C68&amp;"baseline",$B$3:$B$700&amp;$C$3:$C$700&amp;$D$3:$D$700,0))</f>
        <v>13.60401104528284</v>
      </c>
      <c r="AB68">
        <f t="array" ref="AB68">INDEX(Q$3:Q$700,MATCH($B68&amp;$C68&amp;"baseline",$B$3:$B$700&amp;$C$3:$C$700&amp;$D$3:$D$700,0))</f>
        <v>0</v>
      </c>
      <c r="AC68">
        <f t="shared" si="13"/>
        <v>784.94170401012786</v>
      </c>
      <c r="AD68">
        <f t="shared" si="14"/>
        <v>8.6646057195980575</v>
      </c>
      <c r="AE68">
        <f t="shared" si="15"/>
        <v>1.5376651929480829</v>
      </c>
      <c r="AF68">
        <f t="shared" si="16"/>
        <v>1.2997488680273388</v>
      </c>
      <c r="AG68">
        <f>(S68+V68+Y68)*constants!$O$2+(R68+T68+U68+W68+X68+Z68+AA68+AB68)*constants!$N$2</f>
        <v>31.224540627313225</v>
      </c>
      <c r="AH68">
        <f>((S68+V68+Y68)-(H68+K68+N68))*constants!$O$2</f>
        <v>0.14036661265748851</v>
      </c>
      <c r="AI68">
        <f>((R68+T68+U68+W68+X68+Z68+AA68+AB68)-(G68+I68+J68+L68+M68+O68+P68+Q68))*constants!$N$2</f>
        <v>0.17375616680313338</v>
      </c>
      <c r="AJ68">
        <f t="shared" si="17"/>
        <v>1.0060124925772245</v>
      </c>
      <c r="AK68">
        <f t="shared" si="18"/>
        <v>0.31412277946062189</v>
      </c>
      <c r="AL68">
        <f>COUNTIFS($B:$B,$B68,$AK:$AK,"&lt;"&amp;$AK68)+COUNTIFS($B$2:$B68,$B68,$AK$2:$AK68,$AK68)</f>
        <v>23</v>
      </c>
      <c r="AM68" s="191">
        <f>IF(AK68=0, "NA",IF(((sim_annual_output!F68/E68)/AK68)&lt;0,100,((sim_annual_output!F68/E68)/AK68)))</f>
        <v>12.801076763642333</v>
      </c>
      <c r="AN68">
        <f>(S68+V68)*constants!$F$2+(T68+U68+W68+X68+Y68+Z68+AA68+AB68)*constants!$G$2</f>
        <v>272626.08516702015</v>
      </c>
      <c r="AO68">
        <f>(AD68*constants!$F$2+AE68*constants!$G$2)</f>
        <v>2888.7331416728844</v>
      </c>
      <c r="AP68">
        <f t="shared" si="19"/>
        <v>1.0595952841061216</v>
      </c>
    </row>
    <row r="69" spans="1:42">
      <c r="A69">
        <f>sim_annual_output!B69</f>
        <v>4</v>
      </c>
      <c r="B69" t="str">
        <f>sim_annual_output!C69</f>
        <v>Food Service</v>
      </c>
      <c r="C69" t="str">
        <f>sim_annual_output!D69</f>
        <v>2005-2014</v>
      </c>
      <c r="D69" t="str">
        <f>sim_annual_output!E69</f>
        <v>air_temp_reset_enabled</v>
      </c>
      <c r="E69" s="45">
        <f t="array" ref="E69">IFERROR(INDEX(baseline!$J$3:$J$201,MATCH($B69&amp;$C69,baseline!$C$3:$C$201&amp;baseline!$D$3:$D$201,0)),"NA")</f>
        <v>2568</v>
      </c>
      <c r="F69">
        <f>sim_annual_output!G69</f>
        <v>2693.60503738445</v>
      </c>
      <c r="G69">
        <f>$E69/$F69^2*sim_annual_output!I69</f>
        <v>0</v>
      </c>
      <c r="H69">
        <f>$E69/$F69^2*sim_annual_output!J69</f>
        <v>392.31698716958039</v>
      </c>
      <c r="I69">
        <f>$E69/$F69^2*sim_annual_output!K69</f>
        <v>5.2127243305694595</v>
      </c>
      <c r="J69">
        <f>$E69/$F69^2*sim_annual_output!L69</f>
        <v>51.870638052907225</v>
      </c>
      <c r="K69">
        <f>$E69/$F69^2*sim_annual_output!M69</f>
        <v>0</v>
      </c>
      <c r="L69">
        <f>$E69/$F69^2*sim_annual_output!N69</f>
        <v>77.142814385854791</v>
      </c>
      <c r="M69">
        <f>$E69/$F69^2*sim_annual_output!O69</f>
        <v>11.925753702340163</v>
      </c>
      <c r="N69">
        <f>$E69/$F69^2*sim_annual_output!P69</f>
        <v>0</v>
      </c>
      <c r="O69">
        <f>$E69/$F69^2*sim_annual_output!Q69</f>
        <v>26.963214780435202</v>
      </c>
      <c r="P69">
        <f>$E69/$F69^2*sim_annual_output!R69</f>
        <v>8.7009827094567544</v>
      </c>
      <c r="Q69">
        <f>$E69/$F69^2*sim_annual_output!S69</f>
        <v>0</v>
      </c>
      <c r="R69">
        <f t="array" ref="R69">INDEX(G$3:G$700,MATCH($B69&amp;$C69&amp;"baseline",$B$3:$B$700&amp;$C$3:$C$700&amp;$D$3:$D$700,0))</f>
        <v>0</v>
      </c>
      <c r="S69">
        <f t="array" ref="S69">INDEX(H$3:H$700,MATCH($B69&amp;$C69&amp;"baseline",$B$3:$B$700&amp;$C$3:$C$700&amp;$D$3:$D$700,0))</f>
        <v>312.99155339220079</v>
      </c>
      <c r="T69">
        <f t="array" ref="T69">INDEX(I$3:I$700,MATCH($B69&amp;$C69&amp;"baseline",$B$3:$B$700&amp;$C$3:$C$700&amp;$D$3:$D$700,0))</f>
        <v>2.0616904792916175</v>
      </c>
      <c r="U69">
        <f t="array" ref="U69">INDEX(J$3:J$700,MATCH($B69&amp;$C69&amp;"baseline",$B$3:$B$700&amp;$C$3:$C$700&amp;$D$3:$D$700,0))</f>
        <v>51.871621214795304</v>
      </c>
      <c r="V69">
        <f t="array" ref="V69">INDEX(K$3:K$700,MATCH($B69&amp;$C69&amp;"baseline",$B$3:$B$700&amp;$C$3:$C$700&amp;$D$3:$D$700,0))</f>
        <v>0</v>
      </c>
      <c r="W69">
        <f t="array" ref="W69">INDEX(L$3:L$700,MATCH($B69&amp;$C69&amp;"baseline",$B$3:$B$700&amp;$C$3:$C$700&amp;$D$3:$D$700,0))</f>
        <v>77.142814385854791</v>
      </c>
      <c r="X69">
        <f t="array" ref="X69">INDEX(M$3:M$700,MATCH($B69&amp;$C69&amp;"baseline",$B$3:$B$700&amp;$C$3:$C$700&amp;$D$3:$D$700,0))</f>
        <v>11.925753702340163</v>
      </c>
      <c r="Y69">
        <f t="array" ref="Y69">INDEX(N$3:N$700,MATCH($B69&amp;$C69&amp;"baseline",$B$3:$B$700&amp;$C$3:$C$700&amp;$D$3:$D$700,0))</f>
        <v>0</v>
      </c>
      <c r="Z69">
        <f t="array" ref="Z69">INDEX(O$3:O$700,MATCH($B69&amp;$C69&amp;"baseline",$B$3:$B$700&amp;$C$3:$C$700&amp;$D$3:$D$700,0))</f>
        <v>24.540703888220349</v>
      </c>
      <c r="AA69">
        <f t="array" ref="AA69">INDEX(P$3:P$700,MATCH($B69&amp;$C69&amp;"baseline",$B$3:$B$700&amp;$C$3:$C$700&amp;$D$3:$D$700,0))</f>
        <v>6.4180808053484402</v>
      </c>
      <c r="AB69">
        <f t="array" ref="AB69">INDEX(Q$3:Q$700,MATCH($B69&amp;$C69&amp;"baseline",$B$3:$B$700&amp;$C$3:$C$700&amp;$D$3:$D$700,0))</f>
        <v>0</v>
      </c>
      <c r="AC69">
        <f t="shared" si="13"/>
        <v>486.95221786805138</v>
      </c>
      <c r="AD69">
        <f t="shared" si="14"/>
        <v>-79.325433777379601</v>
      </c>
      <c r="AE69">
        <f t="shared" si="15"/>
        <v>-7.8554634857129031</v>
      </c>
      <c r="AF69">
        <f t="shared" si="16"/>
        <v>-17.903378209218008</v>
      </c>
      <c r="AG69">
        <f>(S69+V69+Y69)*constants!$O$2+(R69+T69+U69+W69+X69+Z69+AA69+AB69)*constants!$N$2</f>
        <v>24.72801825072478</v>
      </c>
      <c r="AH69">
        <f>((S69+V69+Y69)-(H69+K69+N69))*constants!$O$2</f>
        <v>-1.2850720271935494</v>
      </c>
      <c r="AI69">
        <f>((R69+T69+U69+W69+X69+Z69+AA69+AB69)-(G69+I69+J69+L69+M69+O69+P69+Q69))*constants!$N$2</f>
        <v>-0.88766737388555805</v>
      </c>
      <c r="AJ69">
        <f t="shared" si="17"/>
        <v>-8.7865488412741062</v>
      </c>
      <c r="AK69">
        <f t="shared" si="18"/>
        <v>-2.1727394010791077</v>
      </c>
      <c r="AL69">
        <f>COUNTIFS($B:$B,$B69,$AK:$AK,"&lt;"&amp;$AK69)+COUNTIFS($B$2:$B69,$B69,$AK$2:$AK69,$AK69)</f>
        <v>1</v>
      </c>
      <c r="AM69" s="191">
        <f>IF(AK69=0, "NA",IF(((sim_annual_output!F69/E69)/AK69)&lt;0,100,((sim_annual_output!F69/E69)/AK69)))</f>
        <v>100</v>
      </c>
      <c r="AN69">
        <f>(S69+V69)*constants!$F$2+(T69+U69+W69+X69+Y69+Z69+AA69+AB69)*constants!$G$2</f>
        <v>207371.26615119402</v>
      </c>
      <c r="AO69">
        <f>(AD69*constants!$F$2+AE69*constants!$G$2)</f>
        <v>-21033.505878721175</v>
      </c>
      <c r="AP69">
        <f t="shared" si="19"/>
        <v>-10.142922049473182</v>
      </c>
    </row>
    <row r="70" spans="1:42">
      <c r="A70">
        <f>sim_annual_output!B70</f>
        <v>4</v>
      </c>
      <c r="B70" t="str">
        <f>sim_annual_output!C70</f>
        <v>Food Service</v>
      </c>
      <c r="C70" t="str">
        <f>sim_annual_output!D70</f>
        <v>2005-2014</v>
      </c>
      <c r="D70" t="str">
        <f>sim_annual_output!E70</f>
        <v>baseline</v>
      </c>
      <c r="E70" s="45">
        <f t="array" ref="E70">IFERROR(INDEX(baseline!$J$3:$J$201,MATCH($B70&amp;$C70,baseline!$C$3:$C$201&amp;baseline!$D$3:$D$201,0)),"NA")</f>
        <v>2568</v>
      </c>
      <c r="F70">
        <f>sim_annual_output!G70</f>
        <v>2693.60503738445</v>
      </c>
      <c r="G70">
        <f>$E70/$F70^2*sim_annual_output!I70</f>
        <v>0</v>
      </c>
      <c r="H70">
        <f>$E70/$F70^2*sim_annual_output!J70</f>
        <v>312.99155339220079</v>
      </c>
      <c r="I70">
        <f>$E70/$F70^2*sim_annual_output!K70</f>
        <v>2.0616904792916175</v>
      </c>
      <c r="J70">
        <f>$E70/$F70^2*sim_annual_output!L70</f>
        <v>51.871621214795304</v>
      </c>
      <c r="K70">
        <f>$E70/$F70^2*sim_annual_output!M70</f>
        <v>0</v>
      </c>
      <c r="L70">
        <f>$E70/$F70^2*sim_annual_output!N70</f>
        <v>77.142814385854791</v>
      </c>
      <c r="M70">
        <f>$E70/$F70^2*sim_annual_output!O70</f>
        <v>11.925753702340163</v>
      </c>
      <c r="N70">
        <f>$E70/$F70^2*sim_annual_output!P70</f>
        <v>0</v>
      </c>
      <c r="O70">
        <f>$E70/$F70^2*sim_annual_output!Q70</f>
        <v>24.540703888220349</v>
      </c>
      <c r="P70">
        <f>$E70/$F70^2*sim_annual_output!R70</f>
        <v>6.4180808053484402</v>
      </c>
      <c r="Q70">
        <f>$E70/$F70^2*sim_annual_output!S70</f>
        <v>0</v>
      </c>
      <c r="R70">
        <f t="array" ref="R70">INDEX(G$3:G$700,MATCH($B70&amp;$C70&amp;"baseline",$B$3:$B$700&amp;$C$3:$C$700&amp;$D$3:$D$700,0))</f>
        <v>0</v>
      </c>
      <c r="S70">
        <f t="array" ref="S70">INDEX(H$3:H$700,MATCH($B70&amp;$C70&amp;"baseline",$B$3:$B$700&amp;$C$3:$C$700&amp;$D$3:$D$700,0))</f>
        <v>312.99155339220079</v>
      </c>
      <c r="T70">
        <f t="array" ref="T70">INDEX(I$3:I$700,MATCH($B70&amp;$C70&amp;"baseline",$B$3:$B$700&amp;$C$3:$C$700&amp;$D$3:$D$700,0))</f>
        <v>2.0616904792916175</v>
      </c>
      <c r="U70">
        <f t="array" ref="U70">INDEX(J$3:J$700,MATCH($B70&amp;$C70&amp;"baseline",$B$3:$B$700&amp;$C$3:$C$700&amp;$D$3:$D$700,0))</f>
        <v>51.871621214795304</v>
      </c>
      <c r="V70">
        <f t="array" ref="V70">INDEX(K$3:K$700,MATCH($B70&amp;$C70&amp;"baseline",$B$3:$B$700&amp;$C$3:$C$700&amp;$D$3:$D$700,0))</f>
        <v>0</v>
      </c>
      <c r="W70">
        <f t="array" ref="W70">INDEX(L$3:L$700,MATCH($B70&amp;$C70&amp;"baseline",$B$3:$B$700&amp;$C$3:$C$700&amp;$D$3:$D$700,0))</f>
        <v>77.142814385854791</v>
      </c>
      <c r="X70">
        <f t="array" ref="X70">INDEX(M$3:M$700,MATCH($B70&amp;$C70&amp;"baseline",$B$3:$B$700&amp;$C$3:$C$700&amp;$D$3:$D$700,0))</f>
        <v>11.925753702340163</v>
      </c>
      <c r="Y70">
        <f t="array" ref="Y70">INDEX(N$3:N$700,MATCH($B70&amp;$C70&amp;"baseline",$B$3:$B$700&amp;$C$3:$C$700&amp;$D$3:$D$700,0))</f>
        <v>0</v>
      </c>
      <c r="Z70">
        <f t="array" ref="Z70">INDEX(O$3:O$700,MATCH($B70&amp;$C70&amp;"baseline",$B$3:$B$700&amp;$C$3:$C$700&amp;$D$3:$D$700,0))</f>
        <v>24.540703888220349</v>
      </c>
      <c r="AA70">
        <f t="array" ref="AA70">INDEX(P$3:P$700,MATCH($B70&amp;$C70&amp;"baseline",$B$3:$B$700&amp;$C$3:$C$700&amp;$D$3:$D$700,0))</f>
        <v>6.4180808053484402</v>
      </c>
      <c r="AB70">
        <f t="array" ref="AB70">INDEX(Q$3:Q$700,MATCH($B70&amp;$C70&amp;"baseline",$B$3:$B$700&amp;$C$3:$C$700&amp;$D$3:$D$700,0))</f>
        <v>0</v>
      </c>
      <c r="AC70">
        <f t="shared" si="13"/>
        <v>486.95221786805138</v>
      </c>
      <c r="AD70">
        <f t="shared" si="14"/>
        <v>0</v>
      </c>
      <c r="AE70">
        <f t="shared" si="15"/>
        <v>0</v>
      </c>
      <c r="AF70">
        <f t="shared" si="16"/>
        <v>0</v>
      </c>
      <c r="AG70">
        <f>(S70+V70+Y70)*constants!$O$2+(R70+T70+U70+W70+X70+Z70+AA70+AB70)*constants!$N$2</f>
        <v>24.72801825072478</v>
      </c>
      <c r="AH70">
        <f>((S70+V70+Y70)-(H70+K70+N70))*constants!$O$2</f>
        <v>0</v>
      </c>
      <c r="AI70">
        <f>((R70+T70+U70+W70+X70+Z70+AA70+AB70)-(G70+I70+J70+L70+M70+O70+P70+Q70))*constants!$N$2</f>
        <v>0</v>
      </c>
      <c r="AJ70">
        <f t="shared" si="17"/>
        <v>0</v>
      </c>
      <c r="AK70">
        <f t="shared" si="18"/>
        <v>0</v>
      </c>
      <c r="AL70">
        <f>COUNTIFS($B:$B,$B70,$AK:$AK,"&lt;"&amp;$AK70)+COUNTIFS($B$2:$B70,$B70,$AK$2:$AK70,$AK70)</f>
        <v>17</v>
      </c>
      <c r="AM70" s="191" t="str">
        <f>IF(AK70=0, "NA",IF(((sim_annual_output!F70/E70)/AK70)&lt;0,100,((sim_annual_output!F70/E70)/AK70)))</f>
        <v>NA</v>
      </c>
      <c r="AN70">
        <f>(S70+V70)*constants!$F$2+(T70+U70+W70+X70+Y70+Z70+AA70+AB70)*constants!$G$2</f>
        <v>207371.26615119402</v>
      </c>
      <c r="AO70">
        <f>(AD70*constants!$F$2+AE70*constants!$G$2)</f>
        <v>0</v>
      </c>
      <c r="AP70">
        <f t="shared" si="19"/>
        <v>0</v>
      </c>
    </row>
    <row r="71" spans="1:42">
      <c r="A71">
        <f>sim_annual_output!B71</f>
        <v>4</v>
      </c>
      <c r="B71" t="str">
        <f>sim_annual_output!C71</f>
        <v>Food Service</v>
      </c>
      <c r="C71" t="str">
        <f>sim_annual_output!D71</f>
        <v>2005-2014</v>
      </c>
      <c r="D71" t="str">
        <f>sim_annual_output!E71</f>
        <v>boiler_eff_upgrade</v>
      </c>
      <c r="E71" s="45">
        <f t="array" ref="E71">IFERROR(INDEX(baseline!$J$3:$J$201,MATCH($B71&amp;$C71,baseline!$C$3:$C$201&amp;baseline!$D$3:$D$201,0)),"NA")</f>
        <v>2568</v>
      </c>
      <c r="F71">
        <f>sim_annual_output!G71</f>
        <v>2693.60503738445</v>
      </c>
      <c r="G71">
        <f>$E71/$F71^2*sim_annual_output!I71</f>
        <v>0</v>
      </c>
      <c r="H71">
        <f>$E71/$F71^2*sim_annual_output!J71</f>
        <v>315.87025140048206</v>
      </c>
      <c r="I71">
        <f>$E71/$F71^2*sim_annual_output!K71</f>
        <v>3.668177004404876</v>
      </c>
      <c r="J71">
        <f>$E71/$F71^2*sim_annual_output!L71</f>
        <v>51.871621214795304</v>
      </c>
      <c r="K71">
        <f>$E71/$F71^2*sim_annual_output!M71</f>
        <v>0</v>
      </c>
      <c r="L71">
        <f>$E71/$F71^2*sim_annual_output!N71</f>
        <v>77.142814385854791</v>
      </c>
      <c r="M71">
        <f>$E71/$F71^2*sim_annual_output!O71</f>
        <v>11.925753702340163</v>
      </c>
      <c r="N71">
        <f>$E71/$F71^2*sim_annual_output!P71</f>
        <v>0</v>
      </c>
      <c r="O71">
        <f>$E71/$F71^2*sim_annual_output!Q71</f>
        <v>27.010406551062765</v>
      </c>
      <c r="P71">
        <f>$E71/$F71^2*sim_annual_output!R71</f>
        <v>7.8603792951533062</v>
      </c>
      <c r="Q71">
        <f>$E71/$F71^2*sim_annual_output!S71</f>
        <v>0</v>
      </c>
      <c r="R71">
        <f t="array" ref="R71">INDEX(G$3:G$700,MATCH($B71&amp;$C71&amp;"baseline",$B$3:$B$700&amp;$C$3:$C$700&amp;$D$3:$D$700,0))</f>
        <v>0</v>
      </c>
      <c r="S71">
        <f t="array" ref="S71">INDEX(H$3:H$700,MATCH($B71&amp;$C71&amp;"baseline",$B$3:$B$700&amp;$C$3:$C$700&amp;$D$3:$D$700,0))</f>
        <v>312.99155339220079</v>
      </c>
      <c r="T71">
        <f t="array" ref="T71">INDEX(I$3:I$700,MATCH($B71&amp;$C71&amp;"baseline",$B$3:$B$700&amp;$C$3:$C$700&amp;$D$3:$D$700,0))</f>
        <v>2.0616904792916175</v>
      </c>
      <c r="U71">
        <f t="array" ref="U71">INDEX(J$3:J$700,MATCH($B71&amp;$C71&amp;"baseline",$B$3:$B$700&amp;$C$3:$C$700&amp;$D$3:$D$700,0))</f>
        <v>51.871621214795304</v>
      </c>
      <c r="V71">
        <f t="array" ref="V71">INDEX(K$3:K$700,MATCH($B71&amp;$C71&amp;"baseline",$B$3:$B$700&amp;$C$3:$C$700&amp;$D$3:$D$700,0))</f>
        <v>0</v>
      </c>
      <c r="W71">
        <f t="array" ref="W71">INDEX(L$3:L$700,MATCH($B71&amp;$C71&amp;"baseline",$B$3:$B$700&amp;$C$3:$C$700&amp;$D$3:$D$700,0))</f>
        <v>77.142814385854791</v>
      </c>
      <c r="X71">
        <f t="array" ref="X71">INDEX(M$3:M$700,MATCH($B71&amp;$C71&amp;"baseline",$B$3:$B$700&amp;$C$3:$C$700&amp;$D$3:$D$700,0))</f>
        <v>11.925753702340163</v>
      </c>
      <c r="Y71">
        <f t="array" ref="Y71">INDEX(N$3:N$700,MATCH($B71&amp;$C71&amp;"baseline",$B$3:$B$700&amp;$C$3:$C$700&amp;$D$3:$D$700,0))</f>
        <v>0</v>
      </c>
      <c r="Z71">
        <f t="array" ref="Z71">INDEX(O$3:O$700,MATCH($B71&amp;$C71&amp;"baseline",$B$3:$B$700&amp;$C$3:$C$700&amp;$D$3:$D$700,0))</f>
        <v>24.540703888220349</v>
      </c>
      <c r="AA71">
        <f t="array" ref="AA71">INDEX(P$3:P$700,MATCH($B71&amp;$C71&amp;"baseline",$B$3:$B$700&amp;$C$3:$C$700&amp;$D$3:$D$700,0))</f>
        <v>6.4180808053484402</v>
      </c>
      <c r="AB71">
        <f t="array" ref="AB71">INDEX(Q$3:Q$700,MATCH($B71&amp;$C71&amp;"baseline",$B$3:$B$700&amp;$C$3:$C$700&amp;$D$3:$D$700,0))</f>
        <v>0</v>
      </c>
      <c r="AC71">
        <f t="shared" si="13"/>
        <v>486.95221786805138</v>
      </c>
      <c r="AD71">
        <f t="shared" si="14"/>
        <v>-2.8786980082812761</v>
      </c>
      <c r="AE71">
        <f t="shared" si="15"/>
        <v>-5.5184876777605325</v>
      </c>
      <c r="AF71">
        <f t="shared" si="16"/>
        <v>-1.7244373016321657</v>
      </c>
      <c r="AG71">
        <f>(S71+V71+Y71)*constants!$O$2+(R71+T71+U71+W71+X71+Z71+AA71+AB71)*constants!$N$2</f>
        <v>24.72801825072478</v>
      </c>
      <c r="AH71">
        <f>((S71+V71+Y71)-(H71+K71+N71))*constants!$O$2</f>
        <v>-4.6634907734156669E-2</v>
      </c>
      <c r="AI71">
        <f>((R71+T71+U71+W71+X71+Z71+AA71+AB71)-(G71+I71+J71+L71+M71+O71+P71+Q71))*constants!$N$2</f>
        <v>-0.62358910758694019</v>
      </c>
      <c r="AJ71">
        <f t="shared" si="17"/>
        <v>-2.7103830502124957</v>
      </c>
      <c r="AK71">
        <f t="shared" si="18"/>
        <v>-0.67022401532109688</v>
      </c>
      <c r="AL71">
        <f>COUNTIFS($B:$B,$B71,$AK:$AK,"&lt;"&amp;$AK71)+COUNTIFS($B$2:$B71,$B71,$AK$2:$AK71,$AK71)</f>
        <v>3</v>
      </c>
      <c r="AM71" s="191">
        <f>IF(AK71=0, "NA",IF(((sim_annual_output!F71/E71)/AK71)&lt;0,100,((sim_annual_output!F71/E71)/AK71)))</f>
        <v>100</v>
      </c>
      <c r="AN71">
        <f>(S71+V71)*constants!$F$2+(T71+U71+W71+X71+Y71+Z71+AA71+AB71)*constants!$G$2</f>
        <v>207371.26615119402</v>
      </c>
      <c r="AO71">
        <f>(AD71*constants!$F$2+AE71*constants!$G$2)</f>
        <v>-5316.3712231340123</v>
      </c>
      <c r="AP71">
        <f t="shared" si="19"/>
        <v>-2.563697141752443</v>
      </c>
    </row>
    <row r="72" spans="1:42">
      <c r="A72">
        <f>sim_annual_output!B72</f>
        <v>4</v>
      </c>
      <c r="B72" t="str">
        <f>sim_annual_output!C72</f>
        <v>Food Service</v>
      </c>
      <c r="C72" t="str">
        <f>sim_annual_output!D72</f>
        <v>2005-2014</v>
      </c>
      <c r="D72" t="str">
        <f>sim_annual_output!E72</f>
        <v>boiler_reset</v>
      </c>
      <c r="E72" s="45">
        <f t="array" ref="E72">IFERROR(INDEX(baseline!$J$3:$J$201,MATCH($B72&amp;$C72,baseline!$C$3:$C$201&amp;baseline!$D$3:$D$201,0)),"NA")</f>
        <v>2568</v>
      </c>
      <c r="F72">
        <f>sim_annual_output!G72</f>
        <v>2693.60503738445</v>
      </c>
      <c r="G72">
        <f>$E72/$F72^2*sim_annual_output!I72</f>
        <v>0</v>
      </c>
      <c r="H72">
        <f>$E72/$F72^2*sim_annual_output!J72</f>
        <v>247.33305302094084</v>
      </c>
      <c r="I72">
        <f>$E72/$F72^2*sim_annual_output!K72</f>
        <v>3.668177004404876</v>
      </c>
      <c r="J72">
        <f>$E72/$F72^2*sim_annual_output!L72</f>
        <v>51.871621214795304</v>
      </c>
      <c r="K72">
        <f>$E72/$F72^2*sim_annual_output!M72</f>
        <v>0</v>
      </c>
      <c r="L72">
        <f>$E72/$F72^2*sim_annual_output!N72</f>
        <v>77.142814385854791</v>
      </c>
      <c r="M72">
        <f>$E72/$F72^2*sim_annual_output!O72</f>
        <v>11.925753702340163</v>
      </c>
      <c r="N72">
        <f>$E72/$F72^2*sim_annual_output!P72</f>
        <v>0</v>
      </c>
      <c r="O72">
        <f>$E72/$F72^2*sim_annual_output!Q72</f>
        <v>27.010406551062765</v>
      </c>
      <c r="P72">
        <f>$E72/$F72^2*sim_annual_output!R72</f>
        <v>0.46306924928295273</v>
      </c>
      <c r="Q72">
        <f>$E72/$F72^2*sim_annual_output!S72</f>
        <v>0</v>
      </c>
      <c r="R72">
        <f t="array" ref="R72">INDEX(G$3:G$700,MATCH($B72&amp;$C72&amp;"baseline",$B$3:$B$700&amp;$C$3:$C$700&amp;$D$3:$D$700,0))</f>
        <v>0</v>
      </c>
      <c r="S72">
        <f t="array" ref="S72">INDEX(H$3:H$700,MATCH($B72&amp;$C72&amp;"baseline",$B$3:$B$700&amp;$C$3:$C$700&amp;$D$3:$D$700,0))</f>
        <v>312.99155339220079</v>
      </c>
      <c r="T72">
        <f t="array" ref="T72">INDEX(I$3:I$700,MATCH($B72&amp;$C72&amp;"baseline",$B$3:$B$700&amp;$C$3:$C$700&amp;$D$3:$D$700,0))</f>
        <v>2.0616904792916175</v>
      </c>
      <c r="U72">
        <f t="array" ref="U72">INDEX(J$3:J$700,MATCH($B72&amp;$C72&amp;"baseline",$B$3:$B$700&amp;$C$3:$C$700&amp;$D$3:$D$700,0))</f>
        <v>51.871621214795304</v>
      </c>
      <c r="V72">
        <f t="array" ref="V72">INDEX(K$3:K$700,MATCH($B72&amp;$C72&amp;"baseline",$B$3:$B$700&amp;$C$3:$C$700&amp;$D$3:$D$700,0))</f>
        <v>0</v>
      </c>
      <c r="W72">
        <f t="array" ref="W72">INDEX(L$3:L$700,MATCH($B72&amp;$C72&amp;"baseline",$B$3:$B$700&amp;$C$3:$C$700&amp;$D$3:$D$700,0))</f>
        <v>77.142814385854791</v>
      </c>
      <c r="X72">
        <f t="array" ref="X72">INDEX(M$3:M$700,MATCH($B72&amp;$C72&amp;"baseline",$B$3:$B$700&amp;$C$3:$C$700&amp;$D$3:$D$700,0))</f>
        <v>11.925753702340163</v>
      </c>
      <c r="Y72">
        <f t="array" ref="Y72">INDEX(N$3:N$700,MATCH($B72&amp;$C72&amp;"baseline",$B$3:$B$700&amp;$C$3:$C$700&amp;$D$3:$D$700,0))</f>
        <v>0</v>
      </c>
      <c r="Z72">
        <f t="array" ref="Z72">INDEX(O$3:O$700,MATCH($B72&amp;$C72&amp;"baseline",$B$3:$B$700&amp;$C$3:$C$700&amp;$D$3:$D$700,0))</f>
        <v>24.540703888220349</v>
      </c>
      <c r="AA72">
        <f t="array" ref="AA72">INDEX(P$3:P$700,MATCH($B72&amp;$C72&amp;"baseline",$B$3:$B$700&amp;$C$3:$C$700&amp;$D$3:$D$700,0))</f>
        <v>6.4180808053484402</v>
      </c>
      <c r="AB72">
        <f t="array" ref="AB72">INDEX(Q$3:Q$700,MATCH($B72&amp;$C72&amp;"baseline",$B$3:$B$700&amp;$C$3:$C$700&amp;$D$3:$D$700,0))</f>
        <v>0</v>
      </c>
      <c r="AC72">
        <f t="shared" si="13"/>
        <v>486.95221786805138</v>
      </c>
      <c r="AD72">
        <f t="shared" si="14"/>
        <v>65.658500371259947</v>
      </c>
      <c r="AE72">
        <f t="shared" si="15"/>
        <v>1.8788223681098088</v>
      </c>
      <c r="AF72">
        <f t="shared" si="16"/>
        <v>13.869394215937266</v>
      </c>
      <c r="AG72">
        <f>(S72+V72+Y72)*constants!$O$2+(R72+T72+U72+W72+X72+Z72+AA72+AB72)*constants!$N$2</f>
        <v>24.72801825072478</v>
      </c>
      <c r="AH72">
        <f>((S72+V72+Y72)-(H72+K72+N72))*constants!$O$2</f>
        <v>1.0636677060144111</v>
      </c>
      <c r="AI72">
        <f>((R72+T72+U72+W72+X72+Z72+AA72+AB72)-(G72+I72+J72+L72+M72+O72+P72+Q72))*constants!$N$2</f>
        <v>0.2123069275964084</v>
      </c>
      <c r="AJ72">
        <f t="shared" si="17"/>
        <v>5.1600359586980682</v>
      </c>
      <c r="AK72">
        <f t="shared" si="18"/>
        <v>1.2759746336108195</v>
      </c>
      <c r="AL72">
        <f>COUNTIFS($B:$B,$B72,$AK:$AK,"&lt;"&amp;$AK72)+COUNTIFS($B$2:$B72,$B72,$AK$2:$AK72,$AK72)</f>
        <v>29</v>
      </c>
      <c r="AM72" s="191">
        <f>IF(AK72=0, "NA",IF(((sim_annual_output!F72/E72)/AK72)&lt;0,100,((sim_annual_output!F72/E72)/AK72)))</f>
        <v>0.28355637967479064</v>
      </c>
      <c r="AN72">
        <f>(S72+V72)*constants!$F$2+(T72+U72+W72+X72+Y72+Z72+AA72+AB72)*constants!$G$2</f>
        <v>207371.26615119402</v>
      </c>
      <c r="AO72">
        <f>(AD72*constants!$F$2+AE72*constants!$G$2)</f>
        <v>13387.447026711065</v>
      </c>
      <c r="AP72">
        <f t="shared" si="19"/>
        <v>6.4557868962184477</v>
      </c>
    </row>
    <row r="73" spans="1:42">
      <c r="A73">
        <f>sim_annual_output!B73</f>
        <v>4</v>
      </c>
      <c r="B73" t="str">
        <f>sim_annual_output!C73</f>
        <v>Food Service</v>
      </c>
      <c r="C73" t="str">
        <f>sim_annual_output!D73</f>
        <v>2005-2014</v>
      </c>
      <c r="D73" t="str">
        <f>sim_annual_output!E73</f>
        <v>cooling_cop_3_0</v>
      </c>
      <c r="E73" s="45">
        <f t="array" ref="E73">IFERROR(INDEX(baseline!$J$3:$J$201,MATCH($B73&amp;$C73,baseline!$C$3:$C$201&amp;baseline!$D$3:$D$201,0)),"NA")</f>
        <v>2568</v>
      </c>
      <c r="F73">
        <f>sim_annual_output!G73</f>
        <v>2693.60503738445</v>
      </c>
      <c r="G73">
        <f>$E73/$F73^2*sim_annual_output!I73</f>
        <v>0</v>
      </c>
      <c r="H73">
        <f>$E73/$F73^2*sim_annual_output!J73</f>
        <v>315.87025140048206</v>
      </c>
      <c r="I73">
        <f>$E73/$F73^2*sim_annual_output!K73</f>
        <v>3.668177004404876</v>
      </c>
      <c r="J73">
        <f>$E73/$F73^2*sim_annual_output!L73</f>
        <v>51.871621214795304</v>
      </c>
      <c r="K73">
        <f>$E73/$F73^2*sim_annual_output!M73</f>
        <v>0</v>
      </c>
      <c r="L73">
        <f>$E73/$F73^2*sim_annual_output!N73</f>
        <v>77.142814385854791</v>
      </c>
      <c r="M73">
        <f>$E73/$F73^2*sim_annual_output!O73</f>
        <v>11.925753702340163</v>
      </c>
      <c r="N73">
        <f>$E73/$F73^2*sim_annual_output!P73</f>
        <v>0</v>
      </c>
      <c r="O73">
        <f>$E73/$F73^2*sim_annual_output!Q73</f>
        <v>27.010406551062765</v>
      </c>
      <c r="P73">
        <f>$E73/$F73^2*sim_annual_output!R73</f>
        <v>7.8603792951533062</v>
      </c>
      <c r="Q73">
        <f>$E73/$F73^2*sim_annual_output!S73</f>
        <v>0</v>
      </c>
      <c r="R73">
        <f t="array" ref="R73">INDEX(G$3:G$700,MATCH($B73&amp;$C73&amp;"baseline",$B$3:$B$700&amp;$C$3:$C$700&amp;$D$3:$D$700,0))</f>
        <v>0</v>
      </c>
      <c r="S73">
        <f t="array" ref="S73">INDEX(H$3:H$700,MATCH($B73&amp;$C73&amp;"baseline",$B$3:$B$700&amp;$C$3:$C$700&amp;$D$3:$D$700,0))</f>
        <v>312.99155339220079</v>
      </c>
      <c r="T73">
        <f t="array" ref="T73">INDEX(I$3:I$700,MATCH($B73&amp;$C73&amp;"baseline",$B$3:$B$700&amp;$C$3:$C$700&amp;$D$3:$D$700,0))</f>
        <v>2.0616904792916175</v>
      </c>
      <c r="U73">
        <f t="array" ref="U73">INDEX(J$3:J$700,MATCH($B73&amp;$C73&amp;"baseline",$B$3:$B$700&amp;$C$3:$C$700&amp;$D$3:$D$700,0))</f>
        <v>51.871621214795304</v>
      </c>
      <c r="V73">
        <f t="array" ref="V73">INDEX(K$3:K$700,MATCH($B73&amp;$C73&amp;"baseline",$B$3:$B$700&amp;$C$3:$C$700&amp;$D$3:$D$700,0))</f>
        <v>0</v>
      </c>
      <c r="W73">
        <f t="array" ref="W73">INDEX(L$3:L$700,MATCH($B73&amp;$C73&amp;"baseline",$B$3:$B$700&amp;$C$3:$C$700&amp;$D$3:$D$700,0))</f>
        <v>77.142814385854791</v>
      </c>
      <c r="X73">
        <f t="array" ref="X73">INDEX(M$3:M$700,MATCH($B73&amp;$C73&amp;"baseline",$B$3:$B$700&amp;$C$3:$C$700&amp;$D$3:$D$700,0))</f>
        <v>11.925753702340163</v>
      </c>
      <c r="Y73">
        <f t="array" ref="Y73">INDEX(N$3:N$700,MATCH($B73&amp;$C73&amp;"baseline",$B$3:$B$700&amp;$C$3:$C$700&amp;$D$3:$D$700,0))</f>
        <v>0</v>
      </c>
      <c r="Z73">
        <f t="array" ref="Z73">INDEX(O$3:O$700,MATCH($B73&amp;$C73&amp;"baseline",$B$3:$B$700&amp;$C$3:$C$700&amp;$D$3:$D$700,0))</f>
        <v>24.540703888220349</v>
      </c>
      <c r="AA73">
        <f t="array" ref="AA73">INDEX(P$3:P$700,MATCH($B73&amp;$C73&amp;"baseline",$B$3:$B$700&amp;$C$3:$C$700&amp;$D$3:$D$700,0))</f>
        <v>6.4180808053484402</v>
      </c>
      <c r="AB73">
        <f t="array" ref="AB73">INDEX(Q$3:Q$700,MATCH($B73&amp;$C73&amp;"baseline",$B$3:$B$700&amp;$C$3:$C$700&amp;$D$3:$D$700,0))</f>
        <v>0</v>
      </c>
      <c r="AC73">
        <f t="shared" si="13"/>
        <v>486.95221786805138</v>
      </c>
      <c r="AD73">
        <f t="shared" si="14"/>
        <v>-2.8786980082812761</v>
      </c>
      <c r="AE73">
        <f t="shared" si="15"/>
        <v>-5.5184876777605325</v>
      </c>
      <c r="AF73">
        <f t="shared" si="16"/>
        <v>-1.7244373016321657</v>
      </c>
      <c r="AG73">
        <f>(S73+V73+Y73)*constants!$O$2+(R73+T73+U73+W73+X73+Z73+AA73+AB73)*constants!$N$2</f>
        <v>24.72801825072478</v>
      </c>
      <c r="AH73">
        <f>((S73+V73+Y73)-(H73+K73+N73))*constants!$O$2</f>
        <v>-4.6634907734156669E-2</v>
      </c>
      <c r="AI73">
        <f>((R73+T73+U73+W73+X73+Z73+AA73+AB73)-(G73+I73+J73+L73+M73+O73+P73+Q73))*constants!$N$2</f>
        <v>-0.62358910758694019</v>
      </c>
      <c r="AJ73">
        <f t="shared" si="17"/>
        <v>-2.7103830502124957</v>
      </c>
      <c r="AK73">
        <f t="shared" si="18"/>
        <v>-0.67022401532109688</v>
      </c>
      <c r="AL73">
        <f>COUNTIFS($B:$B,$B73,$AK:$AK,"&lt;"&amp;$AK73)+COUNTIFS($B$2:$B73,$B73,$AK$2:$AK73,$AK73)</f>
        <v>4</v>
      </c>
      <c r="AM73" s="191">
        <f>IF(AK73=0, "NA",IF(((sim_annual_output!F73/E73)/AK73)&lt;0,100,((sim_annual_output!F73/E73)/AK73)))</f>
        <v>100</v>
      </c>
      <c r="AN73">
        <f>(S73+V73)*constants!$F$2+(T73+U73+W73+X73+Y73+Z73+AA73+AB73)*constants!$G$2</f>
        <v>207371.26615119402</v>
      </c>
      <c r="AO73">
        <f>(AD73*constants!$F$2+AE73*constants!$G$2)</f>
        <v>-5316.3712231340123</v>
      </c>
      <c r="AP73">
        <f t="shared" si="19"/>
        <v>-2.563697141752443</v>
      </c>
    </row>
    <row r="74" spans="1:42">
      <c r="A74">
        <f>sim_annual_output!B74</f>
        <v>4</v>
      </c>
      <c r="B74" t="str">
        <f>sim_annual_output!C74</f>
        <v>Food Service</v>
      </c>
      <c r="C74" t="str">
        <f>sim_annual_output!D74</f>
        <v>2005-2014</v>
      </c>
      <c r="D74" t="str">
        <f>sim_annual_output!E74</f>
        <v>dcv_enabled</v>
      </c>
      <c r="E74" s="45">
        <f t="array" ref="E74">IFERROR(INDEX(baseline!$J$3:$J$201,MATCH($B74&amp;$C74,baseline!$C$3:$C$201&amp;baseline!$D$3:$D$201,0)),"NA")</f>
        <v>2568</v>
      </c>
      <c r="F74">
        <f>sim_annual_output!G74</f>
        <v>2693.60503738445</v>
      </c>
      <c r="G74">
        <f>$E74/$F74^2*sim_annual_output!I74</f>
        <v>0</v>
      </c>
      <c r="H74">
        <f>$E74/$F74^2*sim_annual_output!J74</f>
        <v>148.63244791528285</v>
      </c>
      <c r="I74">
        <f>$E74/$F74^2*sim_annual_output!K74</f>
        <v>6.6904166483449972</v>
      </c>
      <c r="J74">
        <f>$E74/$F74^2*sim_annual_output!L74</f>
        <v>51.871621214795304</v>
      </c>
      <c r="K74">
        <f>$E74/$F74^2*sim_annual_output!M74</f>
        <v>0</v>
      </c>
      <c r="L74">
        <f>$E74/$F74^2*sim_annual_output!N74</f>
        <v>77.142814385854791</v>
      </c>
      <c r="M74">
        <f>$E74/$F74^2*sim_annual_output!O74</f>
        <v>11.925753702340163</v>
      </c>
      <c r="N74">
        <f>$E74/$F74^2*sim_annual_output!P74</f>
        <v>0</v>
      </c>
      <c r="O74">
        <f>$E74/$F74^2*sim_annual_output!Q74</f>
        <v>27.01237287483891</v>
      </c>
      <c r="P74">
        <f>$E74/$F74^2*sim_annual_output!R74</f>
        <v>6.9283418252589559</v>
      </c>
      <c r="Q74">
        <f>$E74/$F74^2*sim_annual_output!S74</f>
        <v>0</v>
      </c>
      <c r="R74">
        <f t="array" ref="R74">INDEX(G$3:G$700,MATCH($B74&amp;$C74&amp;"baseline",$B$3:$B$700&amp;$C$3:$C$700&amp;$D$3:$D$700,0))</f>
        <v>0</v>
      </c>
      <c r="S74">
        <f t="array" ref="S74">INDEX(H$3:H$700,MATCH($B74&amp;$C74&amp;"baseline",$B$3:$B$700&amp;$C$3:$C$700&amp;$D$3:$D$700,0))</f>
        <v>312.99155339220079</v>
      </c>
      <c r="T74">
        <f t="array" ref="T74">INDEX(I$3:I$700,MATCH($B74&amp;$C74&amp;"baseline",$B$3:$B$700&amp;$C$3:$C$700&amp;$D$3:$D$700,0))</f>
        <v>2.0616904792916175</v>
      </c>
      <c r="U74">
        <f t="array" ref="U74">INDEX(J$3:J$700,MATCH($B74&amp;$C74&amp;"baseline",$B$3:$B$700&amp;$C$3:$C$700&amp;$D$3:$D$700,0))</f>
        <v>51.871621214795304</v>
      </c>
      <c r="V74">
        <f t="array" ref="V74">INDEX(K$3:K$700,MATCH($B74&amp;$C74&amp;"baseline",$B$3:$B$700&amp;$C$3:$C$700&amp;$D$3:$D$700,0))</f>
        <v>0</v>
      </c>
      <c r="W74">
        <f t="array" ref="W74">INDEX(L$3:L$700,MATCH($B74&amp;$C74&amp;"baseline",$B$3:$B$700&amp;$C$3:$C$700&amp;$D$3:$D$700,0))</f>
        <v>77.142814385854791</v>
      </c>
      <c r="X74">
        <f t="array" ref="X74">INDEX(M$3:M$700,MATCH($B74&amp;$C74&amp;"baseline",$B$3:$B$700&amp;$C$3:$C$700&amp;$D$3:$D$700,0))</f>
        <v>11.925753702340163</v>
      </c>
      <c r="Y74">
        <f t="array" ref="Y74">INDEX(N$3:N$700,MATCH($B74&amp;$C74&amp;"baseline",$B$3:$B$700&amp;$C$3:$C$700&amp;$D$3:$D$700,0))</f>
        <v>0</v>
      </c>
      <c r="Z74">
        <f t="array" ref="Z74">INDEX(O$3:O$700,MATCH($B74&amp;$C74&amp;"baseline",$B$3:$B$700&amp;$C$3:$C$700&amp;$D$3:$D$700,0))</f>
        <v>24.540703888220349</v>
      </c>
      <c r="AA74">
        <f t="array" ref="AA74">INDEX(P$3:P$700,MATCH($B74&amp;$C74&amp;"baseline",$B$3:$B$700&amp;$C$3:$C$700&amp;$D$3:$D$700,0))</f>
        <v>6.4180808053484402</v>
      </c>
      <c r="AB74">
        <f t="array" ref="AB74">INDEX(Q$3:Q$700,MATCH($B74&amp;$C74&amp;"baseline",$B$3:$B$700&amp;$C$3:$C$700&amp;$D$3:$D$700,0))</f>
        <v>0</v>
      </c>
      <c r="AC74">
        <f t="shared" si="13"/>
        <v>486.95221786805138</v>
      </c>
      <c r="AD74">
        <f t="shared" si="14"/>
        <v>164.35910547691793</v>
      </c>
      <c r="AE74">
        <f t="shared" si="15"/>
        <v>-7.6106561755824771</v>
      </c>
      <c r="AF74">
        <f t="shared" si="16"/>
        <v>32.189698198234581</v>
      </c>
      <c r="AG74">
        <f>(S74+V74+Y74)*constants!$O$2+(R74+T74+U74+W74+X74+Z74+AA74+AB74)*constants!$N$2</f>
        <v>24.72801825072478</v>
      </c>
      <c r="AH74">
        <f>((S74+V74+Y74)-(H74+K74+N74))*constants!$O$2</f>
        <v>2.6626175087260702</v>
      </c>
      <c r="AI74">
        <f>((R74+T74+U74+W74+X74+Z74+AA74+AB74)-(G74+I74+J74+L74+M74+O74+P74+Q74))*constants!$N$2</f>
        <v>-0.86000414784081991</v>
      </c>
      <c r="AJ74">
        <f t="shared" si="17"/>
        <v>7.2897607184207551</v>
      </c>
      <c r="AK74">
        <f t="shared" si="18"/>
        <v>1.8026133608852501</v>
      </c>
      <c r="AL74">
        <f>COUNTIFS($B:$B,$B74,$AK:$AK,"&lt;"&amp;$AK74)+COUNTIFS($B$2:$B74,$B74,$AK$2:$AK74,$AK74)</f>
        <v>31</v>
      </c>
      <c r="AM74" s="191">
        <f>IF(AK74=0, "NA",IF(((sim_annual_output!F74/E74)/AK74)&lt;0,100,((sim_annual_output!F74/E74)/AK74)))</f>
        <v>1.6176647785802181</v>
      </c>
      <c r="AN74">
        <f>(S74+V74)*constants!$F$2+(T74+U74+W74+X74+Y74+Z74+AA74+AB74)*constants!$G$2</f>
        <v>207371.26615119402</v>
      </c>
      <c r="AO74">
        <f>(AD74*constants!$F$2+AE74*constants!$G$2)</f>
        <v>22799.009007611556</v>
      </c>
      <c r="AP74">
        <f t="shared" si="19"/>
        <v>10.994295126205595</v>
      </c>
    </row>
    <row r="75" spans="1:42">
      <c r="A75">
        <f>sim_annual_output!B75</f>
        <v>4</v>
      </c>
      <c r="B75" t="str">
        <f>sim_annual_output!C75</f>
        <v>Food Service</v>
      </c>
      <c r="C75" t="str">
        <f>sim_annual_output!D75</f>
        <v>2005-2014</v>
      </c>
      <c r="D75" t="str">
        <f>sim_annual_output!E75</f>
        <v>ecm_cold_deck_reset_control</v>
      </c>
      <c r="E75" s="45">
        <f t="array" ref="E75">IFERROR(INDEX(baseline!$J$3:$J$201,MATCH($B75&amp;$C75,baseline!$C$3:$C$201&amp;baseline!$D$3:$D$201,0)),"NA")</f>
        <v>2568</v>
      </c>
      <c r="F75">
        <f>sim_annual_output!G75</f>
        <v>2693.60503738445</v>
      </c>
      <c r="G75">
        <f>$E75/$F75^2*sim_annual_output!I75</f>
        <v>0</v>
      </c>
      <c r="H75">
        <f>$E75/$F75^2*sim_annual_output!J75</f>
        <v>310.65457758424839</v>
      </c>
      <c r="I75">
        <f>$E75/$F75^2*sim_annual_output!K75</f>
        <v>3.9061021813188352</v>
      </c>
      <c r="J75">
        <f>$E75/$F75^2*sim_annual_output!L75</f>
        <v>51.870638052907225</v>
      </c>
      <c r="K75">
        <f>$E75/$F75^2*sim_annual_output!M75</f>
        <v>0</v>
      </c>
      <c r="L75">
        <f>$E75/$F75^2*sim_annual_output!N75</f>
        <v>77.142814385854791</v>
      </c>
      <c r="M75">
        <f>$E75/$F75^2*sim_annual_output!O75</f>
        <v>11.925753702340163</v>
      </c>
      <c r="N75">
        <f>$E75/$F75^2*sim_annual_output!P75</f>
        <v>0</v>
      </c>
      <c r="O75">
        <f>$E75/$F75^2*sim_annual_output!Q75</f>
        <v>27.019255008055428</v>
      </c>
      <c r="P75">
        <f>$E75/$F75^2*sim_annual_output!R75</f>
        <v>7.9115037133331647</v>
      </c>
      <c r="Q75">
        <f>$E75/$F75^2*sim_annual_output!S75</f>
        <v>0</v>
      </c>
      <c r="R75">
        <f t="array" ref="R75">INDEX(G$3:G$700,MATCH($B75&amp;$C75&amp;"baseline",$B$3:$B$700&amp;$C$3:$C$700&amp;$D$3:$D$700,0))</f>
        <v>0</v>
      </c>
      <c r="S75">
        <f t="array" ref="S75">INDEX(H$3:H$700,MATCH($B75&amp;$C75&amp;"baseline",$B$3:$B$700&amp;$C$3:$C$700&amp;$D$3:$D$700,0))</f>
        <v>312.99155339220079</v>
      </c>
      <c r="T75">
        <f t="array" ref="T75">INDEX(I$3:I$700,MATCH($B75&amp;$C75&amp;"baseline",$B$3:$B$700&amp;$C$3:$C$700&amp;$D$3:$D$700,0))</f>
        <v>2.0616904792916175</v>
      </c>
      <c r="U75">
        <f t="array" ref="U75">INDEX(J$3:J$700,MATCH($B75&amp;$C75&amp;"baseline",$B$3:$B$700&amp;$C$3:$C$700&amp;$D$3:$D$700,0))</f>
        <v>51.871621214795304</v>
      </c>
      <c r="V75">
        <f t="array" ref="V75">INDEX(K$3:K$700,MATCH($B75&amp;$C75&amp;"baseline",$B$3:$B$700&amp;$C$3:$C$700&amp;$D$3:$D$700,0))</f>
        <v>0</v>
      </c>
      <c r="W75">
        <f t="array" ref="W75">INDEX(L$3:L$700,MATCH($B75&amp;$C75&amp;"baseline",$B$3:$B$700&amp;$C$3:$C$700&amp;$D$3:$D$700,0))</f>
        <v>77.142814385854791</v>
      </c>
      <c r="X75">
        <f t="array" ref="X75">INDEX(M$3:M$700,MATCH($B75&amp;$C75&amp;"baseline",$B$3:$B$700&amp;$C$3:$C$700&amp;$D$3:$D$700,0))</f>
        <v>11.925753702340163</v>
      </c>
      <c r="Y75">
        <f t="array" ref="Y75">INDEX(N$3:N$700,MATCH($B75&amp;$C75&amp;"baseline",$B$3:$B$700&amp;$C$3:$C$700&amp;$D$3:$D$700,0))</f>
        <v>0</v>
      </c>
      <c r="Z75">
        <f t="array" ref="Z75">INDEX(O$3:O$700,MATCH($B75&amp;$C75&amp;"baseline",$B$3:$B$700&amp;$C$3:$C$700&amp;$D$3:$D$700,0))</f>
        <v>24.540703888220349</v>
      </c>
      <c r="AA75">
        <f t="array" ref="AA75">INDEX(P$3:P$700,MATCH($B75&amp;$C75&amp;"baseline",$B$3:$B$700&amp;$C$3:$C$700&amp;$D$3:$D$700,0))</f>
        <v>6.4180808053484402</v>
      </c>
      <c r="AB75">
        <f t="array" ref="AB75">INDEX(Q$3:Q$700,MATCH($B75&amp;$C75&amp;"baseline",$B$3:$B$700&amp;$C$3:$C$700&amp;$D$3:$D$700,0))</f>
        <v>0</v>
      </c>
      <c r="AC75">
        <f t="shared" si="13"/>
        <v>486.95221786805138</v>
      </c>
      <c r="AD75">
        <f t="shared" si="14"/>
        <v>2.336975807952399</v>
      </c>
      <c r="AE75">
        <f t="shared" si="15"/>
        <v>-5.8154025679589267</v>
      </c>
      <c r="AF75">
        <f t="shared" si="16"/>
        <v>-0.71432609450586204</v>
      </c>
      <c r="AG75">
        <f>(S75+V75+Y75)*constants!$O$2+(R75+T75+U75+W75+X75+Z75+AA75+AB75)*constants!$N$2</f>
        <v>24.72801825072478</v>
      </c>
      <c r="AH75">
        <f>((S75+V75+Y75)-(H75+K75+N75))*constants!$O$2</f>
        <v>3.785900808882886E-2</v>
      </c>
      <c r="AI75">
        <f>((R75+T75+U75+W75+X75+Z75+AA75+AB75)-(G75+I75+J75+L75+M75+O75+P75+Q75))*constants!$N$2</f>
        <v>-0.65714049017935872</v>
      </c>
      <c r="AJ75">
        <f t="shared" si="17"/>
        <v>-2.5043716638003479</v>
      </c>
      <c r="AK75">
        <f t="shared" si="18"/>
        <v>-0.61928148209052991</v>
      </c>
      <c r="AL75">
        <f>COUNTIFS($B:$B,$B75,$AK:$AK,"&lt;"&amp;$AK75)+COUNTIFS($B$2:$B75,$B75,$AK$2:$AK75,$AK75)</f>
        <v>7</v>
      </c>
      <c r="AM75" s="191">
        <f>IF(AK75=0, "NA",IF(((sim_annual_output!F75/E75)/AK75)&lt;0,100,((sim_annual_output!F75/E75)/AK75)))</f>
        <v>100</v>
      </c>
      <c r="AN75">
        <f>(S75+V75)*constants!$F$2+(T75+U75+W75+X75+Y75+Z75+AA75+AB75)*constants!$G$2</f>
        <v>207371.26615119402</v>
      </c>
      <c r="AO75">
        <f>(AD75*constants!$F$2+AE75*constants!$G$2)</f>
        <v>-4641.081564500787</v>
      </c>
      <c r="AP75">
        <f t="shared" si="19"/>
        <v>-2.2380543122676322</v>
      </c>
    </row>
    <row r="76" spans="1:42">
      <c r="A76">
        <f>sim_annual_output!B76</f>
        <v>4</v>
      </c>
      <c r="B76" t="str">
        <f>sim_annual_output!C76</f>
        <v>Food Service</v>
      </c>
      <c r="C76" t="str">
        <f>sim_annual_output!D76</f>
        <v>2005-2014</v>
      </c>
      <c r="D76" t="str">
        <f>sim_annual_output!E76</f>
        <v>economizers_enabled</v>
      </c>
      <c r="E76" s="45">
        <f t="array" ref="E76">IFERROR(INDEX(baseline!$J$3:$J$201,MATCH($B76&amp;$C76,baseline!$C$3:$C$201&amp;baseline!$D$3:$D$201,0)),"NA")</f>
        <v>2568</v>
      </c>
      <c r="F76">
        <f>sim_annual_output!G76</f>
        <v>2693.60503738445</v>
      </c>
      <c r="G76">
        <f>$E76/$F76^2*sim_annual_output!I76</f>
        <v>0</v>
      </c>
      <c r="H76">
        <f>$E76/$F76^2*sim_annual_output!J76</f>
        <v>315.87615037181052</v>
      </c>
      <c r="I76">
        <f>$E76/$F76^2*sim_annual_output!K76</f>
        <v>3.0989262712099088</v>
      </c>
      <c r="J76">
        <f>$E76/$F76^2*sim_annual_output!L76</f>
        <v>51.871621214795304</v>
      </c>
      <c r="K76">
        <f>$E76/$F76^2*sim_annual_output!M76</f>
        <v>0</v>
      </c>
      <c r="L76">
        <f>$E76/$F76^2*sim_annual_output!N76</f>
        <v>77.142814385854791</v>
      </c>
      <c r="M76">
        <f>$E76/$F76^2*sim_annual_output!O76</f>
        <v>11.925753702340163</v>
      </c>
      <c r="N76">
        <f>$E76/$F76^2*sim_annual_output!P76</f>
        <v>0</v>
      </c>
      <c r="O76">
        <f>$E76/$F76^2*sim_annual_output!Q76</f>
        <v>27.010406551062765</v>
      </c>
      <c r="P76">
        <f>$E76/$F76^2*sim_annual_output!R76</f>
        <v>7.8495645143844897</v>
      </c>
      <c r="Q76">
        <f>$E76/$F76^2*sim_annual_output!S76</f>
        <v>0</v>
      </c>
      <c r="R76">
        <f t="array" ref="R76">INDEX(G$3:G$700,MATCH($B76&amp;$C76&amp;"baseline",$B$3:$B$700&amp;$C$3:$C$700&amp;$D$3:$D$700,0))</f>
        <v>0</v>
      </c>
      <c r="S76">
        <f t="array" ref="S76">INDEX(H$3:H$700,MATCH($B76&amp;$C76&amp;"baseline",$B$3:$B$700&amp;$C$3:$C$700&amp;$D$3:$D$700,0))</f>
        <v>312.99155339220079</v>
      </c>
      <c r="T76">
        <f t="array" ref="T76">INDEX(I$3:I$700,MATCH($B76&amp;$C76&amp;"baseline",$B$3:$B$700&amp;$C$3:$C$700&amp;$D$3:$D$700,0))</f>
        <v>2.0616904792916175</v>
      </c>
      <c r="U76">
        <f t="array" ref="U76">INDEX(J$3:J$700,MATCH($B76&amp;$C76&amp;"baseline",$B$3:$B$700&amp;$C$3:$C$700&amp;$D$3:$D$700,0))</f>
        <v>51.871621214795304</v>
      </c>
      <c r="V76">
        <f t="array" ref="V76">INDEX(K$3:K$700,MATCH($B76&amp;$C76&amp;"baseline",$B$3:$B$700&amp;$C$3:$C$700&amp;$D$3:$D$700,0))</f>
        <v>0</v>
      </c>
      <c r="W76">
        <f t="array" ref="W76">INDEX(L$3:L$700,MATCH($B76&amp;$C76&amp;"baseline",$B$3:$B$700&amp;$C$3:$C$700&amp;$D$3:$D$700,0))</f>
        <v>77.142814385854791</v>
      </c>
      <c r="X76">
        <f t="array" ref="X76">INDEX(M$3:M$700,MATCH($B76&amp;$C76&amp;"baseline",$B$3:$B$700&amp;$C$3:$C$700&amp;$D$3:$D$700,0))</f>
        <v>11.925753702340163</v>
      </c>
      <c r="Y76">
        <f t="array" ref="Y76">INDEX(N$3:N$700,MATCH($B76&amp;$C76&amp;"baseline",$B$3:$B$700&amp;$C$3:$C$700&amp;$D$3:$D$700,0))</f>
        <v>0</v>
      </c>
      <c r="Z76">
        <f t="array" ref="Z76">INDEX(O$3:O$700,MATCH($B76&amp;$C76&amp;"baseline",$B$3:$B$700&amp;$C$3:$C$700&amp;$D$3:$D$700,0))</f>
        <v>24.540703888220349</v>
      </c>
      <c r="AA76">
        <f t="array" ref="AA76">INDEX(P$3:P$700,MATCH($B76&amp;$C76&amp;"baseline",$B$3:$B$700&amp;$C$3:$C$700&amp;$D$3:$D$700,0))</f>
        <v>6.4180808053484402</v>
      </c>
      <c r="AB76">
        <f t="array" ref="AB76">INDEX(Q$3:Q$700,MATCH($B76&amp;$C76&amp;"baseline",$B$3:$B$700&amp;$C$3:$C$700&amp;$D$3:$D$700,0))</f>
        <v>0</v>
      </c>
      <c r="AC76">
        <f t="shared" si="13"/>
        <v>486.95221786805138</v>
      </c>
      <c r="AD76">
        <f t="shared" si="14"/>
        <v>-2.8845969796097393</v>
      </c>
      <c r="AE76">
        <f t="shared" si="15"/>
        <v>-4.9384221637967585</v>
      </c>
      <c r="AF76">
        <f t="shared" si="16"/>
        <v>-1.6065270587855272</v>
      </c>
      <c r="AG76">
        <f>(S76+V76+Y76)*constants!$O$2+(R76+T76+U76+W76+X76+Z76+AA76+AB76)*constants!$N$2</f>
        <v>24.72801825072478</v>
      </c>
      <c r="AH76">
        <f>((S76+V76+Y76)-(H76+K76+N76))*constants!$O$2</f>
        <v>-4.6730471069677773E-2</v>
      </c>
      <c r="AI76">
        <f>((R76+T76+U76+W76+X76+Z76+AA76+AB76)-(G76+I76+J76+L76+M76+O76+P76+Q76))*constants!$N$2</f>
        <v>-0.55804170450903368</v>
      </c>
      <c r="AJ76">
        <f t="shared" si="17"/>
        <v>-2.445696090348791</v>
      </c>
      <c r="AK76">
        <f t="shared" si="18"/>
        <v>-0.60477217557871144</v>
      </c>
      <c r="AL76">
        <f>COUNTIFS($B:$B,$B76,$AK:$AK,"&lt;"&amp;$AK76)+COUNTIFS($B$2:$B76,$B76,$AK$2:$AK76,$AK76)</f>
        <v>9</v>
      </c>
      <c r="AM76" s="191">
        <f>IF(AK76=0, "NA",IF(((sim_annual_output!F76/E76)/AK76)&lt;0,100,((sim_annual_output!F76/E76)/AK76)))</f>
        <v>100</v>
      </c>
      <c r="AN76">
        <f>(S76+V76)*constants!$F$2+(T76+U76+W76+X76+Y76+Z76+AA76+AB76)*constants!$G$2</f>
        <v>207371.26615119402</v>
      </c>
      <c r="AO76">
        <f>(AD76*constants!$F$2+AE76*constants!$G$2)</f>
        <v>-4812.7701418533234</v>
      </c>
      <c r="AP76">
        <f t="shared" si="19"/>
        <v>-2.3208471603507212</v>
      </c>
    </row>
    <row r="77" spans="1:42">
      <c r="A77">
        <f>sim_annual_output!B77</f>
        <v>4</v>
      </c>
      <c r="B77" t="str">
        <f>sim_annual_output!C77</f>
        <v>Food Service</v>
      </c>
      <c r="C77" t="str">
        <f>sim_annual_output!D77</f>
        <v>2005-2014</v>
      </c>
      <c r="D77" t="str">
        <f>sim_annual_output!E77</f>
        <v>elec_reduce</v>
      </c>
      <c r="E77" s="45">
        <f t="array" ref="E77">IFERROR(INDEX(baseline!$J$3:$J$201,MATCH($B77&amp;$C77,baseline!$C$3:$C$201&amp;baseline!$D$3:$D$201,0)),"NA")</f>
        <v>2568</v>
      </c>
      <c r="F77">
        <f>sim_annual_output!G77</f>
        <v>2693.60503738445</v>
      </c>
      <c r="G77">
        <f>$E77/$F77^2*sim_annual_output!I77</f>
        <v>0</v>
      </c>
      <c r="H77">
        <f>$E77/$F77^2*sim_annual_output!J77</f>
        <v>158.61940637434068</v>
      </c>
      <c r="I77">
        <f>$E77/$F77^2*sim_annual_output!K77</f>
        <v>4.3750704019302331</v>
      </c>
      <c r="J77">
        <f>$E77/$F77^2*sim_annual_output!L77</f>
        <v>51.871621214795304</v>
      </c>
      <c r="K77">
        <f>$E77/$F77^2*sim_annual_output!M77</f>
        <v>0</v>
      </c>
      <c r="L77">
        <f>$E77/$F77^2*sim_annual_output!N77</f>
        <v>54.000166702475958</v>
      </c>
      <c r="M77">
        <f>$E77/$F77^2*sim_annual_output!O77</f>
        <v>11.925753702340163</v>
      </c>
      <c r="N77">
        <f>$E77/$F77^2*sim_annual_output!P77</f>
        <v>0</v>
      </c>
      <c r="O77">
        <f>$E77/$F77^2*sim_annual_output!Q77</f>
        <v>13.460469409624006</v>
      </c>
      <c r="P77">
        <f>$E77/$F77^2*sim_annual_output!R77</f>
        <v>4.9915129057527619</v>
      </c>
      <c r="Q77">
        <f>$E77/$F77^2*sim_annual_output!S77</f>
        <v>0</v>
      </c>
      <c r="R77">
        <f t="array" ref="R77">INDEX(G$3:G$700,MATCH($B77&amp;$C77&amp;"baseline",$B$3:$B$700&amp;$C$3:$C$700&amp;$D$3:$D$700,0))</f>
        <v>0</v>
      </c>
      <c r="S77">
        <f t="array" ref="S77">INDEX(H$3:H$700,MATCH($B77&amp;$C77&amp;"baseline",$B$3:$B$700&amp;$C$3:$C$700&amp;$D$3:$D$700,0))</f>
        <v>312.99155339220079</v>
      </c>
      <c r="T77">
        <f t="array" ref="T77">INDEX(I$3:I$700,MATCH($B77&amp;$C77&amp;"baseline",$B$3:$B$700&amp;$C$3:$C$700&amp;$D$3:$D$700,0))</f>
        <v>2.0616904792916175</v>
      </c>
      <c r="U77">
        <f t="array" ref="U77">INDEX(J$3:J$700,MATCH($B77&amp;$C77&amp;"baseline",$B$3:$B$700&amp;$C$3:$C$700&amp;$D$3:$D$700,0))</f>
        <v>51.871621214795304</v>
      </c>
      <c r="V77">
        <f t="array" ref="V77">INDEX(K$3:K$700,MATCH($B77&amp;$C77&amp;"baseline",$B$3:$B$700&amp;$C$3:$C$700&amp;$D$3:$D$700,0))</f>
        <v>0</v>
      </c>
      <c r="W77">
        <f t="array" ref="W77">INDEX(L$3:L$700,MATCH($B77&amp;$C77&amp;"baseline",$B$3:$B$700&amp;$C$3:$C$700&amp;$D$3:$D$700,0))</f>
        <v>77.142814385854791</v>
      </c>
      <c r="X77">
        <f t="array" ref="X77">INDEX(M$3:M$700,MATCH($B77&amp;$C77&amp;"baseline",$B$3:$B$700&amp;$C$3:$C$700&amp;$D$3:$D$700,0))</f>
        <v>11.925753702340163</v>
      </c>
      <c r="Y77">
        <f t="array" ref="Y77">INDEX(N$3:N$700,MATCH($B77&amp;$C77&amp;"baseline",$B$3:$B$700&amp;$C$3:$C$700&amp;$D$3:$D$700,0))</f>
        <v>0</v>
      </c>
      <c r="Z77">
        <f t="array" ref="Z77">INDEX(O$3:O$700,MATCH($B77&amp;$C77&amp;"baseline",$B$3:$B$700&amp;$C$3:$C$700&amp;$D$3:$D$700,0))</f>
        <v>24.540703888220349</v>
      </c>
      <c r="AA77">
        <f t="array" ref="AA77">INDEX(P$3:P$700,MATCH($B77&amp;$C77&amp;"baseline",$B$3:$B$700&amp;$C$3:$C$700&amp;$D$3:$D$700,0))</f>
        <v>6.4180808053484402</v>
      </c>
      <c r="AB77">
        <f t="array" ref="AB77">INDEX(Q$3:Q$700,MATCH($B77&amp;$C77&amp;"baseline",$B$3:$B$700&amp;$C$3:$C$700&amp;$D$3:$D$700,0))</f>
        <v>0</v>
      </c>
      <c r="AC77">
        <f t="shared" si="13"/>
        <v>486.95221786805138</v>
      </c>
      <c r="AD77">
        <f t="shared" si="14"/>
        <v>154.3721470178601</v>
      </c>
      <c r="AE77">
        <f t="shared" si="15"/>
        <v>33.336070138932257</v>
      </c>
      <c r="AF77">
        <f t="shared" si="16"/>
        <v>38.547563861318181</v>
      </c>
      <c r="AG77">
        <f>(S77+V77+Y77)*constants!$O$2+(R77+T77+U77+W77+X77+Z77+AA77+AB77)*constants!$N$2</f>
        <v>24.72801825072478</v>
      </c>
      <c r="AH77">
        <f>((S77+V77+Y77)-(H77+K77+N77))*constants!$O$2</f>
        <v>2.5008287816893335</v>
      </c>
      <c r="AI77">
        <f>((R77+T77+U77+W77+X77+Z77+AA77+AB77)-(G77+I77+J77+L77+M77+O77+P77+Q77))*constants!$N$2</f>
        <v>3.7669759256993451</v>
      </c>
      <c r="AJ77">
        <f t="shared" si="17"/>
        <v>25.346975418076497</v>
      </c>
      <c r="AK77">
        <f t="shared" si="18"/>
        <v>6.2678047073886791</v>
      </c>
      <c r="AL77">
        <f>COUNTIFS($B:$B,$B77,$AK:$AK,"&lt;"&amp;$AK77)+COUNTIFS($B$2:$B77,$B77,$AK$2:$AK77,$AK77)</f>
        <v>40</v>
      </c>
      <c r="AM77" s="191">
        <f>IF(AK77=0, "NA",IF(((sim_annual_output!F77/E77)/AK77)&lt;0,100,((sim_annual_output!F77/E77)/AK77)))</f>
        <v>8.4056587143597916</v>
      </c>
      <c r="AN77">
        <f>(S77+V77)*constants!$F$2+(T77+U77+W77+X77+Y77+Z77+AA77+AB77)*constants!$G$2</f>
        <v>207371.26615119402</v>
      </c>
      <c r="AO77">
        <f>(AD77*constants!$F$2+AE77*constants!$G$2)</f>
        <v>56634.995337068023</v>
      </c>
      <c r="AP77">
        <f t="shared" si="19"/>
        <v>27.310917461330224</v>
      </c>
    </row>
    <row r="78" spans="1:42">
      <c r="A78">
        <f>sim_annual_output!B78</f>
        <v>4</v>
      </c>
      <c r="B78" t="str">
        <f>sim_annual_output!C78</f>
        <v>Food Service</v>
      </c>
      <c r="C78" t="str">
        <f>sim_annual_output!D78</f>
        <v>2005-2014</v>
      </c>
      <c r="D78" t="str">
        <f>sim_annual_output!E78</f>
        <v>envelope_ecm_roof</v>
      </c>
      <c r="E78" s="45">
        <f t="array" ref="E78">IFERROR(INDEX(baseline!$J$3:$J$201,MATCH($B78&amp;$C78,baseline!$C$3:$C$201&amp;baseline!$D$3:$D$201,0)),"NA")</f>
        <v>2568</v>
      </c>
      <c r="F78">
        <f>sim_annual_output!G78</f>
        <v>2693.60503738445</v>
      </c>
      <c r="G78">
        <f>$E78/$F78^2*sim_annual_output!I78</f>
        <v>0</v>
      </c>
      <c r="H78">
        <f>$E78/$F78^2*sim_annual_output!J78</f>
        <v>301.91820104682097</v>
      </c>
      <c r="I78">
        <f>$E78/$F78^2*sim_annual_output!K78</f>
        <v>3.6662106806287276</v>
      </c>
      <c r="J78">
        <f>$E78/$F78^2*sim_annual_output!L78</f>
        <v>51.871621214795304</v>
      </c>
      <c r="K78">
        <f>$E78/$F78^2*sim_annual_output!M78</f>
        <v>0</v>
      </c>
      <c r="L78">
        <f>$E78/$F78^2*sim_annual_output!N78</f>
        <v>77.142814385854791</v>
      </c>
      <c r="M78">
        <f>$E78/$F78^2*sim_annual_output!O78</f>
        <v>11.925753702340163</v>
      </c>
      <c r="N78">
        <f>$E78/$F78^2*sim_annual_output!P78</f>
        <v>0</v>
      </c>
      <c r="O78">
        <f>$E78/$F78^2*sim_annual_output!Q78</f>
        <v>26.710542175200128</v>
      </c>
      <c r="P78">
        <f>$E78/$F78^2*sim_annual_output!R78</f>
        <v>7.5093905011108131</v>
      </c>
      <c r="Q78">
        <f>$E78/$F78^2*sim_annual_output!S78</f>
        <v>0</v>
      </c>
      <c r="R78">
        <f t="array" ref="R78">INDEX(G$3:G$700,MATCH($B78&amp;$C78&amp;"baseline",$B$3:$B$700&amp;$C$3:$C$700&amp;$D$3:$D$700,0))</f>
        <v>0</v>
      </c>
      <c r="S78">
        <f t="array" ref="S78">INDEX(H$3:H$700,MATCH($B78&amp;$C78&amp;"baseline",$B$3:$B$700&amp;$C$3:$C$700&amp;$D$3:$D$700,0))</f>
        <v>312.99155339220079</v>
      </c>
      <c r="T78">
        <f t="array" ref="T78">INDEX(I$3:I$700,MATCH($B78&amp;$C78&amp;"baseline",$B$3:$B$700&amp;$C$3:$C$700&amp;$D$3:$D$700,0))</f>
        <v>2.0616904792916175</v>
      </c>
      <c r="U78">
        <f t="array" ref="U78">INDEX(J$3:J$700,MATCH($B78&amp;$C78&amp;"baseline",$B$3:$B$700&amp;$C$3:$C$700&amp;$D$3:$D$700,0))</f>
        <v>51.871621214795304</v>
      </c>
      <c r="V78">
        <f t="array" ref="V78">INDEX(K$3:K$700,MATCH($B78&amp;$C78&amp;"baseline",$B$3:$B$700&amp;$C$3:$C$700&amp;$D$3:$D$700,0))</f>
        <v>0</v>
      </c>
      <c r="W78">
        <f t="array" ref="W78">INDEX(L$3:L$700,MATCH($B78&amp;$C78&amp;"baseline",$B$3:$B$700&amp;$C$3:$C$700&amp;$D$3:$D$700,0))</f>
        <v>77.142814385854791</v>
      </c>
      <c r="X78">
        <f t="array" ref="X78">INDEX(M$3:M$700,MATCH($B78&amp;$C78&amp;"baseline",$B$3:$B$700&amp;$C$3:$C$700&amp;$D$3:$D$700,0))</f>
        <v>11.925753702340163</v>
      </c>
      <c r="Y78">
        <f t="array" ref="Y78">INDEX(N$3:N$700,MATCH($B78&amp;$C78&amp;"baseline",$B$3:$B$700&amp;$C$3:$C$700&amp;$D$3:$D$700,0))</f>
        <v>0</v>
      </c>
      <c r="Z78">
        <f t="array" ref="Z78">INDEX(O$3:O$700,MATCH($B78&amp;$C78&amp;"baseline",$B$3:$B$700&amp;$C$3:$C$700&amp;$D$3:$D$700,0))</f>
        <v>24.540703888220349</v>
      </c>
      <c r="AA78">
        <f t="array" ref="AA78">INDEX(P$3:P$700,MATCH($B78&amp;$C78&amp;"baseline",$B$3:$B$700&amp;$C$3:$C$700&amp;$D$3:$D$700,0))</f>
        <v>6.4180808053484402</v>
      </c>
      <c r="AB78">
        <f t="array" ref="AB78">INDEX(Q$3:Q$700,MATCH($B78&amp;$C78&amp;"baseline",$B$3:$B$700&amp;$C$3:$C$700&amp;$D$3:$D$700,0))</f>
        <v>0</v>
      </c>
      <c r="AC78">
        <f t="shared" si="13"/>
        <v>486.95221786805138</v>
      </c>
      <c r="AD78">
        <f t="shared" si="14"/>
        <v>11.073352345379817</v>
      </c>
      <c r="AE78">
        <f t="shared" si="15"/>
        <v>-4.865668184079226</v>
      </c>
      <c r="AF78">
        <f t="shared" si="16"/>
        <v>1.2748035502289625</v>
      </c>
      <c r="AG78">
        <f>(S78+V78+Y78)*constants!$O$2+(R78+T78+U78+W78+X78+Z78+AA78+AB78)*constants!$N$2</f>
        <v>24.72801825072478</v>
      </c>
      <c r="AH78">
        <f>((S78+V78+Y78)-(H78+K78+N78))*constants!$O$2</f>
        <v>0.17938830799515304</v>
      </c>
      <c r="AI78">
        <f>((R78+T78+U78+W78+X78+Z78+AA78+AB78)-(G78+I78+J78+L78+M78+O78+P78+Q78))*constants!$N$2</f>
        <v>-0.54982050480095257</v>
      </c>
      <c r="AJ78">
        <f t="shared" si="17"/>
        <v>-1.4980262188820657</v>
      </c>
      <c r="AK78">
        <f t="shared" si="18"/>
        <v>-0.37043219680579953</v>
      </c>
      <c r="AL78">
        <f>COUNTIFS($B:$B,$B78,$AK:$AK,"&lt;"&amp;$AK78)+COUNTIFS($B$2:$B78,$B78,$AK$2:$AK78,$AK78)</f>
        <v>12</v>
      </c>
      <c r="AM78" s="191">
        <f>IF(AK78=0, "NA",IF(((sim_annual_output!F78/E78)/AK78)&lt;0,100,((sim_annual_output!F78/E78)/AK78)))</f>
        <v>0</v>
      </c>
      <c r="AN78">
        <f>(S78+V78)*constants!$F$2+(T78+U78+W78+X78+Y78+Z78+AA78+AB78)*constants!$G$2</f>
        <v>207371.26615119402</v>
      </c>
      <c r="AO78">
        <f>(AD78*constants!$F$2+AE78*constants!$G$2)</f>
        <v>-2251.0012503259395</v>
      </c>
      <c r="AP78">
        <f t="shared" si="19"/>
        <v>-1.0854933241738218</v>
      </c>
    </row>
    <row r="79" spans="1:42">
      <c r="A79">
        <f>sim_annual_output!B79</f>
        <v>4</v>
      </c>
      <c r="B79" t="str">
        <f>sim_annual_output!C79</f>
        <v>Food Service</v>
      </c>
      <c r="C79" t="str">
        <f>sim_annual_output!D79</f>
        <v>2005-2014</v>
      </c>
      <c r="D79" t="str">
        <f>sim_annual_output!E79</f>
        <v>envelope_ecm_wall</v>
      </c>
      <c r="E79" s="45">
        <f t="array" ref="E79">IFERROR(INDEX(baseline!$J$3:$J$201,MATCH($B79&amp;$C79,baseline!$C$3:$C$201&amp;baseline!$D$3:$D$201,0)),"NA")</f>
        <v>2568</v>
      </c>
      <c r="F79">
        <f>sim_annual_output!G79</f>
        <v>2693.60503738445</v>
      </c>
      <c r="G79">
        <f>$E79/$F79^2*sim_annual_output!I79</f>
        <v>0</v>
      </c>
      <c r="H79">
        <f>$E79/$F79^2*sim_annual_output!J79</f>
        <v>312.93846265024479</v>
      </c>
      <c r="I79">
        <f>$E79/$F79^2*sim_annual_output!K79</f>
        <v>3.6780086232856184</v>
      </c>
      <c r="J79">
        <f>$E79/$F79^2*sim_annual_output!L79</f>
        <v>51.871621214795304</v>
      </c>
      <c r="K79">
        <f>$E79/$F79^2*sim_annual_output!M79</f>
        <v>0</v>
      </c>
      <c r="L79">
        <f>$E79/$F79^2*sim_annual_output!N79</f>
        <v>77.142814385854791</v>
      </c>
      <c r="M79">
        <f>$E79/$F79^2*sim_annual_output!O79</f>
        <v>11.925753702340163</v>
      </c>
      <c r="N79">
        <f>$E79/$F79^2*sim_annual_output!P79</f>
        <v>0</v>
      </c>
      <c r="O79">
        <f>$E79/$F79^2*sim_annual_output!Q79</f>
        <v>27.003524417846243</v>
      </c>
      <c r="P79">
        <f>$E79/$F79^2*sim_annual_output!R79</f>
        <v>7.7905748011000373</v>
      </c>
      <c r="Q79">
        <f>$E79/$F79^2*sim_annual_output!S79</f>
        <v>0</v>
      </c>
      <c r="R79">
        <f t="array" ref="R79">INDEX(G$3:G$700,MATCH($B79&amp;$C79&amp;"baseline",$B$3:$B$700&amp;$C$3:$C$700&amp;$D$3:$D$700,0))</f>
        <v>0</v>
      </c>
      <c r="S79">
        <f t="array" ref="S79">INDEX(H$3:H$700,MATCH($B79&amp;$C79&amp;"baseline",$B$3:$B$700&amp;$C$3:$C$700&amp;$D$3:$D$700,0))</f>
        <v>312.99155339220079</v>
      </c>
      <c r="T79">
        <f t="array" ref="T79">INDEX(I$3:I$700,MATCH($B79&amp;$C79&amp;"baseline",$B$3:$B$700&amp;$C$3:$C$700&amp;$D$3:$D$700,0))</f>
        <v>2.0616904792916175</v>
      </c>
      <c r="U79">
        <f t="array" ref="U79">INDEX(J$3:J$700,MATCH($B79&amp;$C79&amp;"baseline",$B$3:$B$700&amp;$C$3:$C$700&amp;$D$3:$D$700,0))</f>
        <v>51.871621214795304</v>
      </c>
      <c r="V79">
        <f t="array" ref="V79">INDEX(K$3:K$700,MATCH($B79&amp;$C79&amp;"baseline",$B$3:$B$700&amp;$C$3:$C$700&amp;$D$3:$D$700,0))</f>
        <v>0</v>
      </c>
      <c r="W79">
        <f t="array" ref="W79">INDEX(L$3:L$700,MATCH($B79&amp;$C79&amp;"baseline",$B$3:$B$700&amp;$C$3:$C$700&amp;$D$3:$D$700,0))</f>
        <v>77.142814385854791</v>
      </c>
      <c r="X79">
        <f t="array" ref="X79">INDEX(M$3:M$700,MATCH($B79&amp;$C79&amp;"baseline",$B$3:$B$700&amp;$C$3:$C$700&amp;$D$3:$D$700,0))</f>
        <v>11.925753702340163</v>
      </c>
      <c r="Y79">
        <f t="array" ref="Y79">INDEX(N$3:N$700,MATCH($B79&amp;$C79&amp;"baseline",$B$3:$B$700&amp;$C$3:$C$700&amp;$D$3:$D$700,0))</f>
        <v>0</v>
      </c>
      <c r="Z79">
        <f t="array" ref="Z79">INDEX(O$3:O$700,MATCH($B79&amp;$C79&amp;"baseline",$B$3:$B$700&amp;$C$3:$C$700&amp;$D$3:$D$700,0))</f>
        <v>24.540703888220349</v>
      </c>
      <c r="AA79">
        <f t="array" ref="AA79">INDEX(P$3:P$700,MATCH($B79&amp;$C79&amp;"baseline",$B$3:$B$700&amp;$C$3:$C$700&amp;$D$3:$D$700,0))</f>
        <v>6.4180808053484402</v>
      </c>
      <c r="AB79">
        <f t="array" ref="AB79">INDEX(Q$3:Q$700,MATCH($B79&amp;$C79&amp;"baseline",$B$3:$B$700&amp;$C$3:$C$700&amp;$D$3:$D$700,0))</f>
        <v>0</v>
      </c>
      <c r="AC79">
        <f t="shared" si="13"/>
        <v>486.95221786805138</v>
      </c>
      <c r="AD79">
        <f t="shared" si="14"/>
        <v>5.3090741955998055E-2</v>
      </c>
      <c r="AE79">
        <f t="shared" si="15"/>
        <v>-5.4516326693714916</v>
      </c>
      <c r="AF79">
        <f t="shared" si="16"/>
        <v>-1.1086389442995261</v>
      </c>
      <c r="AG79">
        <f>(S79+V79+Y79)*constants!$O$2+(R79+T79+U79+W79+X79+Z79+AA79+AB79)*constants!$N$2</f>
        <v>24.72801825072478</v>
      </c>
      <c r="AH79">
        <f>((S79+V79+Y79)-(H79+K79+N79))*constants!$O$2</f>
        <v>8.6007001968716845E-4</v>
      </c>
      <c r="AI79">
        <f>((R79+T79+U79+W79+X79+Z79+AA79+AB79)-(G79+I79+J79+L79+M79+O79+P79+Q79))*constants!$N$2</f>
        <v>-0.61603449163897861</v>
      </c>
      <c r="AJ79">
        <f t="shared" si="17"/>
        <v>-2.4877627288278981</v>
      </c>
      <c r="AK79">
        <f t="shared" si="18"/>
        <v>-0.61517442161929148</v>
      </c>
      <c r="AL79">
        <f>COUNTIFS($B:$B,$B79,$AK:$AK,"&lt;"&amp;$AK79)+COUNTIFS($B$2:$B79,$B79,$AK$2:$AK79,$AK79)</f>
        <v>8</v>
      </c>
      <c r="AM79" s="191">
        <f>IF(AK79=0, "NA",IF(((sim_annual_output!F79/E79)/AK79)&lt;0,100,((sim_annual_output!F79/E79)/AK79)))</f>
        <v>0</v>
      </c>
      <c r="AN79">
        <f>(S79+V79)*constants!$F$2+(T79+U79+W79+X79+Y79+Z79+AA79+AB79)*constants!$G$2</f>
        <v>207371.26615119402</v>
      </c>
      <c r="AO79">
        <f>(AD79*constants!$F$2+AE79*constants!$G$2)</f>
        <v>-4733.4171795430739</v>
      </c>
      <c r="AP79">
        <f t="shared" si="19"/>
        <v>-2.2825810284111148</v>
      </c>
    </row>
    <row r="80" spans="1:42">
      <c r="A80">
        <f>sim_annual_output!B80</f>
        <v>4</v>
      </c>
      <c r="B80" t="str">
        <f>sim_annual_output!C80</f>
        <v>Food Service</v>
      </c>
      <c r="C80" t="str">
        <f>sim_annual_output!D80</f>
        <v>2005-2014</v>
      </c>
      <c r="D80" t="str">
        <f>sim_annual_output!E80</f>
        <v>envelope_ecm_windows</v>
      </c>
      <c r="E80" s="45">
        <f t="array" ref="E80">IFERROR(INDEX(baseline!$J$3:$J$201,MATCH($B80&amp;$C80,baseline!$C$3:$C$201&amp;baseline!$D$3:$D$201,0)),"NA")</f>
        <v>2568</v>
      </c>
      <c r="F80">
        <f>sim_annual_output!G80</f>
        <v>2693.60503738445</v>
      </c>
      <c r="G80">
        <f>$E80/$F80^2*sim_annual_output!I80</f>
        <v>0</v>
      </c>
      <c r="H80">
        <f>$E80/$F80^2*sim_annual_output!J80</f>
        <v>306.02486825330692</v>
      </c>
      <c r="I80">
        <f>$E80/$F80^2*sim_annual_output!K80</f>
        <v>3.775341650204965</v>
      </c>
      <c r="J80">
        <f>$E80/$F80^2*sim_annual_output!L80</f>
        <v>51.871621214795304</v>
      </c>
      <c r="K80">
        <f>$E80/$F80^2*sim_annual_output!M80</f>
        <v>0</v>
      </c>
      <c r="L80">
        <f>$E80/$F80^2*sim_annual_output!N80</f>
        <v>77.142814385854791</v>
      </c>
      <c r="M80">
        <f>$E80/$F80^2*sim_annual_output!O80</f>
        <v>11.925753702340163</v>
      </c>
      <c r="N80">
        <f>$E80/$F80^2*sim_annual_output!P80</f>
        <v>0</v>
      </c>
      <c r="O80">
        <f>$E80/$F80^2*sim_annual_output!Q80</f>
        <v>27.024170817495801</v>
      </c>
      <c r="P80">
        <f>$E80/$F80^2*sim_annual_output!R80</f>
        <v>7.7197871451586941</v>
      </c>
      <c r="Q80">
        <f>$E80/$F80^2*sim_annual_output!S80</f>
        <v>0</v>
      </c>
      <c r="R80">
        <f t="array" ref="R80">INDEX(G$3:G$700,MATCH($B80&amp;$C80&amp;"baseline",$B$3:$B$700&amp;$C$3:$C$700&amp;$D$3:$D$700,0))</f>
        <v>0</v>
      </c>
      <c r="S80">
        <f t="array" ref="S80">INDEX(H$3:H$700,MATCH($B80&amp;$C80&amp;"baseline",$B$3:$B$700&amp;$C$3:$C$700&amp;$D$3:$D$700,0))</f>
        <v>312.99155339220079</v>
      </c>
      <c r="T80">
        <f t="array" ref="T80">INDEX(I$3:I$700,MATCH($B80&amp;$C80&amp;"baseline",$B$3:$B$700&amp;$C$3:$C$700&amp;$D$3:$D$700,0))</f>
        <v>2.0616904792916175</v>
      </c>
      <c r="U80">
        <f t="array" ref="U80">INDEX(J$3:J$700,MATCH($B80&amp;$C80&amp;"baseline",$B$3:$B$700&amp;$C$3:$C$700&amp;$D$3:$D$700,0))</f>
        <v>51.871621214795304</v>
      </c>
      <c r="V80">
        <f t="array" ref="V80">INDEX(K$3:K$700,MATCH($B80&amp;$C80&amp;"baseline",$B$3:$B$700&amp;$C$3:$C$700&amp;$D$3:$D$700,0))</f>
        <v>0</v>
      </c>
      <c r="W80">
        <f t="array" ref="W80">INDEX(L$3:L$700,MATCH($B80&amp;$C80&amp;"baseline",$B$3:$B$700&amp;$C$3:$C$700&amp;$D$3:$D$700,0))</f>
        <v>77.142814385854791</v>
      </c>
      <c r="X80">
        <f t="array" ref="X80">INDEX(M$3:M$700,MATCH($B80&amp;$C80&amp;"baseline",$B$3:$B$700&amp;$C$3:$C$700&amp;$D$3:$D$700,0))</f>
        <v>11.925753702340163</v>
      </c>
      <c r="Y80">
        <f t="array" ref="Y80">INDEX(N$3:N$700,MATCH($B80&amp;$C80&amp;"baseline",$B$3:$B$700&amp;$C$3:$C$700&amp;$D$3:$D$700,0))</f>
        <v>0</v>
      </c>
      <c r="Z80">
        <f t="array" ref="Z80">INDEX(O$3:O$700,MATCH($B80&amp;$C80&amp;"baseline",$B$3:$B$700&amp;$C$3:$C$700&amp;$D$3:$D$700,0))</f>
        <v>24.540703888220349</v>
      </c>
      <c r="AA80">
        <f t="array" ref="AA80">INDEX(P$3:P$700,MATCH($B80&amp;$C80&amp;"baseline",$B$3:$B$700&amp;$C$3:$C$700&amp;$D$3:$D$700,0))</f>
        <v>6.4180808053484402</v>
      </c>
      <c r="AB80">
        <f t="array" ref="AB80">INDEX(Q$3:Q$700,MATCH($B80&amp;$C80&amp;"baseline",$B$3:$B$700&amp;$C$3:$C$700&amp;$D$3:$D$700,0))</f>
        <v>0</v>
      </c>
      <c r="AC80">
        <f t="shared" si="13"/>
        <v>486.95221786805138</v>
      </c>
      <c r="AD80">
        <f t="shared" si="14"/>
        <v>6.9666851388938653</v>
      </c>
      <c r="AE80">
        <f t="shared" si="15"/>
        <v>-5.4988244399990265</v>
      </c>
      <c r="AF80">
        <f t="shared" si="16"/>
        <v>0.30143834344185749</v>
      </c>
      <c r="AG80">
        <f>(S80+V80+Y80)*constants!$O$2+(R80+T80+U80+W80+X80+Z80+AA80+AB80)*constants!$N$2</f>
        <v>24.72801825072478</v>
      </c>
      <c r="AH80">
        <f>((S80+V80+Y80)-(H80+K80+N80))*constants!$O$2</f>
        <v>0.11286029925008061</v>
      </c>
      <c r="AI80">
        <f>((R80+T80+U80+W80+X80+Z80+AA80+AB80)-(G80+I80+J80+L80+M80+O80+P80+Q80))*constants!$N$2</f>
        <v>-0.62136716171989004</v>
      </c>
      <c r="AJ80">
        <f t="shared" si="17"/>
        <v>-2.0563995760351927</v>
      </c>
      <c r="AK80">
        <f t="shared" si="18"/>
        <v>-0.50850686246980947</v>
      </c>
      <c r="AL80">
        <f>COUNTIFS($B:$B,$B80,$AK:$AK,"&lt;"&amp;$AK80)+COUNTIFS($B$2:$B80,$B80,$AK$2:$AK80,$AK80)</f>
        <v>10</v>
      </c>
      <c r="AM80" s="191">
        <f>IF(AK80=0, "NA",IF(((sim_annual_output!F80/E80)/AK80)&lt;0,100,((sim_annual_output!F80/E80)/AK80)))</f>
        <v>100</v>
      </c>
      <c r="AN80">
        <f>(S80+V80)*constants!$F$2+(T80+U80+W80+X80+Y80+Z80+AA80+AB80)*constants!$G$2</f>
        <v>207371.26615119402</v>
      </c>
      <c r="AO80">
        <f>(AD80*constants!$F$2+AE80*constants!$G$2)</f>
        <v>-3536.9406229371516</v>
      </c>
      <c r="AP80">
        <f t="shared" si="19"/>
        <v>-1.7056078638968113</v>
      </c>
    </row>
    <row r="81" spans="1:42">
      <c r="A81">
        <f>sim_annual_output!B81</f>
        <v>4</v>
      </c>
      <c r="B81" t="str">
        <f>sim_annual_output!C81</f>
        <v>Food Service</v>
      </c>
      <c r="C81" t="str">
        <f>sim_annual_output!D81</f>
        <v>2005-2014</v>
      </c>
      <c r="D81" t="str">
        <f>sim_annual_output!E81</f>
        <v>exhaust_fans_occ_control</v>
      </c>
      <c r="E81" s="45">
        <f t="array" ref="E81">IFERROR(INDEX(baseline!$J$3:$J$201,MATCH($B81&amp;$C81,baseline!$C$3:$C$201&amp;baseline!$D$3:$D$201,0)),"NA")</f>
        <v>2568</v>
      </c>
      <c r="F81">
        <f>sim_annual_output!G81</f>
        <v>2693.60503738445</v>
      </c>
      <c r="G81">
        <f>$E81/$F81^2*sim_annual_output!I81</f>
        <v>0</v>
      </c>
      <c r="H81">
        <f>$E81/$F81^2*sim_annual_output!J81</f>
        <v>315.86926823859397</v>
      </c>
      <c r="I81">
        <f>$E81/$F81^2*sim_annual_output!K81</f>
        <v>3.668177004404876</v>
      </c>
      <c r="J81">
        <f>$E81/$F81^2*sim_annual_output!L81</f>
        <v>51.871621214795304</v>
      </c>
      <c r="K81">
        <f>$E81/$F81^2*sim_annual_output!M81</f>
        <v>0</v>
      </c>
      <c r="L81">
        <f>$E81/$F81^2*sim_annual_output!N81</f>
        <v>77.142814385854791</v>
      </c>
      <c r="M81">
        <f>$E81/$F81^2*sim_annual_output!O81</f>
        <v>11.925753702340163</v>
      </c>
      <c r="N81">
        <f>$E81/$F81^2*sim_annual_output!P81</f>
        <v>0</v>
      </c>
      <c r="O81">
        <f>$E81/$F81^2*sim_annual_output!Q81</f>
        <v>15.500530327377991</v>
      </c>
      <c r="P81">
        <f>$E81/$F81^2*sim_annual_output!R81</f>
        <v>7.8603792951533062</v>
      </c>
      <c r="Q81">
        <f>$E81/$F81^2*sim_annual_output!S81</f>
        <v>0</v>
      </c>
      <c r="R81">
        <f t="array" ref="R81">INDEX(G$3:G$700,MATCH($B81&amp;$C81&amp;"baseline",$B$3:$B$700&amp;$C$3:$C$700&amp;$D$3:$D$700,0))</f>
        <v>0</v>
      </c>
      <c r="S81">
        <f t="array" ref="S81">INDEX(H$3:H$700,MATCH($B81&amp;$C81&amp;"baseline",$B$3:$B$700&amp;$C$3:$C$700&amp;$D$3:$D$700,0))</f>
        <v>312.99155339220079</v>
      </c>
      <c r="T81">
        <f t="array" ref="T81">INDEX(I$3:I$700,MATCH($B81&amp;$C81&amp;"baseline",$B$3:$B$700&amp;$C$3:$C$700&amp;$D$3:$D$700,0))</f>
        <v>2.0616904792916175</v>
      </c>
      <c r="U81">
        <f t="array" ref="U81">INDEX(J$3:J$700,MATCH($B81&amp;$C81&amp;"baseline",$B$3:$B$700&amp;$C$3:$C$700&amp;$D$3:$D$700,0))</f>
        <v>51.871621214795304</v>
      </c>
      <c r="V81">
        <f t="array" ref="V81">INDEX(K$3:K$700,MATCH($B81&amp;$C81&amp;"baseline",$B$3:$B$700&amp;$C$3:$C$700&amp;$D$3:$D$700,0))</f>
        <v>0</v>
      </c>
      <c r="W81">
        <f t="array" ref="W81">INDEX(L$3:L$700,MATCH($B81&amp;$C81&amp;"baseline",$B$3:$B$700&amp;$C$3:$C$700&amp;$D$3:$D$700,0))</f>
        <v>77.142814385854791</v>
      </c>
      <c r="X81">
        <f t="array" ref="X81">INDEX(M$3:M$700,MATCH($B81&amp;$C81&amp;"baseline",$B$3:$B$700&amp;$C$3:$C$700&amp;$D$3:$D$700,0))</f>
        <v>11.925753702340163</v>
      </c>
      <c r="Y81">
        <f t="array" ref="Y81">INDEX(N$3:N$700,MATCH($B81&amp;$C81&amp;"baseline",$B$3:$B$700&amp;$C$3:$C$700&amp;$D$3:$D$700,0))</f>
        <v>0</v>
      </c>
      <c r="Z81">
        <f t="array" ref="Z81">INDEX(O$3:O$700,MATCH($B81&amp;$C81&amp;"baseline",$B$3:$B$700&amp;$C$3:$C$700&amp;$D$3:$D$700,0))</f>
        <v>24.540703888220349</v>
      </c>
      <c r="AA81">
        <f t="array" ref="AA81">INDEX(P$3:P$700,MATCH($B81&amp;$C81&amp;"baseline",$B$3:$B$700&amp;$C$3:$C$700&amp;$D$3:$D$700,0))</f>
        <v>6.4180808053484402</v>
      </c>
      <c r="AB81">
        <f t="array" ref="AB81">INDEX(Q$3:Q$700,MATCH($B81&amp;$C81&amp;"baseline",$B$3:$B$700&amp;$C$3:$C$700&amp;$D$3:$D$700,0))</f>
        <v>0</v>
      </c>
      <c r="AC81">
        <f t="shared" si="13"/>
        <v>486.95221786805138</v>
      </c>
      <c r="AD81">
        <f t="shared" si="14"/>
        <v>-2.8777148463931894</v>
      </c>
      <c r="AE81">
        <f t="shared" si="15"/>
        <v>5.9913885459242522</v>
      </c>
      <c r="AF81">
        <f t="shared" si="16"/>
        <v>0.63942078612213438</v>
      </c>
      <c r="AG81">
        <f>(S81+V81+Y81)*constants!$O$2+(R81+T81+U81+W81+X81+Z81+AA81+AB81)*constants!$N$2</f>
        <v>24.72801825072478</v>
      </c>
      <c r="AH81">
        <f>((S81+V81+Y81)-(H81+K81+N81))*constants!$O$2</f>
        <v>-4.6618980511569666E-2</v>
      </c>
      <c r="AI81">
        <f>((R81+T81+U81+W81+X81+Z81+AA81+AB81)-(G81+I81+J81+L81+M81+O81+P81+Q81))*constants!$N$2</f>
        <v>0.67702690568944046</v>
      </c>
      <c r="AJ81">
        <f t="shared" si="17"/>
        <v>2.5493669520378712</v>
      </c>
      <c r="AK81">
        <f t="shared" si="18"/>
        <v>0.63040792517787081</v>
      </c>
      <c r="AL81">
        <f>COUNTIFS($B:$B,$B81,$AK:$AK,"&lt;"&amp;$AK81)+COUNTIFS($B$2:$B81,$B81,$AK$2:$AK81,$AK81)</f>
        <v>27</v>
      </c>
      <c r="AM81" s="191">
        <f>IF(AK81=0, "NA",IF(((sim_annual_output!F81/E81)/AK81)&lt;0,100,((sim_annual_output!F81/E81)/AK81)))</f>
        <v>4.0684789950023159</v>
      </c>
      <c r="AN81">
        <f>(S81+V81)*constants!$F$2+(T81+U81+W81+X81+Y81+Z81+AA81+AB81)*constants!$G$2</f>
        <v>207371.26615119402</v>
      </c>
      <c r="AO81">
        <f>(AD81*constants!$F$2+AE81*constants!$G$2)</f>
        <v>4697.3970774497184</v>
      </c>
      <c r="AP81">
        <f t="shared" si="19"/>
        <v>2.2652111667316794</v>
      </c>
    </row>
    <row r="82" spans="1:42">
      <c r="A82">
        <f>sim_annual_output!B82</f>
        <v>4</v>
      </c>
      <c r="B82" t="str">
        <f>sim_annual_output!C82</f>
        <v>Food Service</v>
      </c>
      <c r="C82" t="str">
        <f>sim_annual_output!D82</f>
        <v>2005-2014</v>
      </c>
      <c r="D82" t="str">
        <f>sim_annual_output!E82</f>
        <v>fans_to_variable</v>
      </c>
      <c r="E82" s="45">
        <f t="array" ref="E82">IFERROR(INDEX(baseline!$J$3:$J$201,MATCH($B82&amp;$C82,baseline!$C$3:$C$201&amp;baseline!$D$3:$D$201,0)),"NA")</f>
        <v>2568</v>
      </c>
      <c r="F82">
        <f>sim_annual_output!G82</f>
        <v>2693.60503738445</v>
      </c>
      <c r="G82">
        <f>$E82/$F82^2*sim_annual_output!I82</f>
        <v>0</v>
      </c>
      <c r="H82">
        <f>$E82/$F82^2*sim_annual_output!J82</f>
        <v>316.01182671236472</v>
      </c>
      <c r="I82">
        <f>$E82/$F82^2*sim_annual_output!K82</f>
        <v>3.6632611949645053</v>
      </c>
      <c r="J82">
        <f>$E82/$F82^2*sim_annual_output!L82</f>
        <v>51.871621214795304</v>
      </c>
      <c r="K82">
        <f>$E82/$F82^2*sim_annual_output!M82</f>
        <v>0</v>
      </c>
      <c r="L82">
        <f>$E82/$F82^2*sim_annual_output!N82</f>
        <v>77.142814385854791</v>
      </c>
      <c r="M82">
        <f>$E82/$F82^2*sim_annual_output!O82</f>
        <v>11.925753702340163</v>
      </c>
      <c r="N82">
        <f>$E82/$F82^2*sim_annual_output!P82</f>
        <v>0</v>
      </c>
      <c r="O82">
        <f>$E82/$F82^2*sim_annual_output!Q82</f>
        <v>26.894393448270005</v>
      </c>
      <c r="P82">
        <f>$E82/$F82^2*sim_annual_output!R82</f>
        <v>7.8613624570413805</v>
      </c>
      <c r="Q82">
        <f>$E82/$F82^2*sim_annual_output!S82</f>
        <v>0</v>
      </c>
      <c r="R82">
        <f t="array" ref="R82">INDEX(G$3:G$700,MATCH($B82&amp;$C82&amp;"baseline",$B$3:$B$700&amp;$C$3:$C$700&amp;$D$3:$D$700,0))</f>
        <v>0</v>
      </c>
      <c r="S82">
        <f t="array" ref="S82">INDEX(H$3:H$700,MATCH($B82&amp;$C82&amp;"baseline",$B$3:$B$700&amp;$C$3:$C$700&amp;$D$3:$D$700,0))</f>
        <v>312.99155339220079</v>
      </c>
      <c r="T82">
        <f t="array" ref="T82">INDEX(I$3:I$700,MATCH($B82&amp;$C82&amp;"baseline",$B$3:$B$700&amp;$C$3:$C$700&amp;$D$3:$D$700,0))</f>
        <v>2.0616904792916175</v>
      </c>
      <c r="U82">
        <f t="array" ref="U82">INDEX(J$3:J$700,MATCH($B82&amp;$C82&amp;"baseline",$B$3:$B$700&amp;$C$3:$C$700&amp;$D$3:$D$700,0))</f>
        <v>51.871621214795304</v>
      </c>
      <c r="V82">
        <f t="array" ref="V82">INDEX(K$3:K$700,MATCH($B82&amp;$C82&amp;"baseline",$B$3:$B$700&amp;$C$3:$C$700&amp;$D$3:$D$700,0))</f>
        <v>0</v>
      </c>
      <c r="W82">
        <f t="array" ref="W82">INDEX(L$3:L$700,MATCH($B82&amp;$C82&amp;"baseline",$B$3:$B$700&amp;$C$3:$C$700&amp;$D$3:$D$700,0))</f>
        <v>77.142814385854791</v>
      </c>
      <c r="X82">
        <f t="array" ref="X82">INDEX(M$3:M$700,MATCH($B82&amp;$C82&amp;"baseline",$B$3:$B$700&amp;$C$3:$C$700&amp;$D$3:$D$700,0))</f>
        <v>11.925753702340163</v>
      </c>
      <c r="Y82">
        <f t="array" ref="Y82">INDEX(N$3:N$700,MATCH($B82&amp;$C82&amp;"baseline",$B$3:$B$700&amp;$C$3:$C$700&amp;$D$3:$D$700,0))</f>
        <v>0</v>
      </c>
      <c r="Z82">
        <f t="array" ref="Z82">INDEX(O$3:O$700,MATCH($B82&amp;$C82&amp;"baseline",$B$3:$B$700&amp;$C$3:$C$700&amp;$D$3:$D$700,0))</f>
        <v>24.540703888220349</v>
      </c>
      <c r="AA82">
        <f t="array" ref="AA82">INDEX(P$3:P$700,MATCH($B82&amp;$C82&amp;"baseline",$B$3:$B$700&amp;$C$3:$C$700&amp;$D$3:$D$700,0))</f>
        <v>6.4180808053484402</v>
      </c>
      <c r="AB82">
        <f t="array" ref="AB82">INDEX(Q$3:Q$700,MATCH($B82&amp;$C82&amp;"baseline",$B$3:$B$700&amp;$C$3:$C$700&amp;$D$3:$D$700,0))</f>
        <v>0</v>
      </c>
      <c r="AC82">
        <f t="shared" si="13"/>
        <v>486.95221786805138</v>
      </c>
      <c r="AD82">
        <f t="shared" si="14"/>
        <v>-3.0202733201639376</v>
      </c>
      <c r="AE82">
        <f t="shared" si="15"/>
        <v>-5.3985419274154367</v>
      </c>
      <c r="AF82">
        <f t="shared" si="16"/>
        <v>-1.7288791258489773</v>
      </c>
      <c r="AG82">
        <f>(S82+V82+Y82)*constants!$O$2+(R82+T82+U82+W82+X82+Z82+AA82+AB82)*constants!$N$2</f>
        <v>24.72801825072478</v>
      </c>
      <c r="AH82">
        <f>((S82+V82+Y82)-(H82+K82+N82))*constants!$O$2</f>
        <v>-4.8928427786655786E-2</v>
      </c>
      <c r="AI82">
        <f>((R82+T82+U82+W82+X82+Z82+AA82+AB82)-(G82+I82+J82+L82+M82+O82+P82+Q82))*constants!$N$2</f>
        <v>-0.61003523779794433</v>
      </c>
      <c r="AJ82">
        <f t="shared" si="17"/>
        <v>-2.6648462440587442</v>
      </c>
      <c r="AK82">
        <f t="shared" si="18"/>
        <v>-0.65896366558460007</v>
      </c>
      <c r="AL82">
        <f>COUNTIFS($B:$B,$B82,$AK:$AK,"&lt;"&amp;$AK82)+COUNTIFS($B$2:$B82,$B82,$AK$2:$AK82,$AK82)</f>
        <v>5</v>
      </c>
      <c r="AM82" s="191">
        <f>IF(AK82=0, "NA",IF(((sim_annual_output!F82/E82)/AK82)&lt;0,100,((sim_annual_output!F82/E82)/AK82)))</f>
        <v>100</v>
      </c>
      <c r="AN82">
        <f>(S82+V82)*constants!$F$2+(T82+U82+W82+X82+Y82+Z82+AA82+AB82)*constants!$G$2</f>
        <v>207371.26615119402</v>
      </c>
      <c r="AO82">
        <f>(AD82*constants!$F$2+AE82*constants!$G$2)</f>
        <v>-5237.3604011607749</v>
      </c>
      <c r="AP82">
        <f t="shared" si="19"/>
        <v>-2.525595999082257</v>
      </c>
    </row>
    <row r="83" spans="1:42">
      <c r="A83">
        <f>sim_annual_output!B83</f>
        <v>4</v>
      </c>
      <c r="B83" t="str">
        <f>sim_annual_output!C83</f>
        <v>Food Service</v>
      </c>
      <c r="C83" t="str">
        <f>sim_annual_output!D83</f>
        <v>2005-2014</v>
      </c>
      <c r="D83" t="str">
        <f>sim_annual_output!E83</f>
        <v>hrv_enabled</v>
      </c>
      <c r="E83" s="45">
        <f t="array" ref="E83">IFERROR(INDEX(baseline!$J$3:$J$201,MATCH($B83&amp;$C83,baseline!$C$3:$C$201&amp;baseline!$D$3:$D$201,0)),"NA")</f>
        <v>2568</v>
      </c>
      <c r="F83">
        <f>sim_annual_output!G83</f>
        <v>2693.60503738445</v>
      </c>
      <c r="G83">
        <f>$E83/$F83^2*sim_annual_output!I83</f>
        <v>0</v>
      </c>
      <c r="H83">
        <f>$E83/$F83^2*sim_annual_output!J83</f>
        <v>105.52866441833338</v>
      </c>
      <c r="I83">
        <f>$E83/$F83^2*sim_annual_output!K83</f>
        <v>7.1662670021729147</v>
      </c>
      <c r="J83">
        <f>$E83/$F83^2*sim_annual_output!L83</f>
        <v>51.871621214795304</v>
      </c>
      <c r="K83">
        <f>$E83/$F83^2*sim_annual_output!M83</f>
        <v>0</v>
      </c>
      <c r="L83">
        <f>$E83/$F83^2*sim_annual_output!N83</f>
        <v>77.142814385854791</v>
      </c>
      <c r="M83">
        <f>$E83/$F83^2*sim_annual_output!O83</f>
        <v>11.925753702340163</v>
      </c>
      <c r="N83">
        <f>$E83/$F83^2*sim_annual_output!P83</f>
        <v>0</v>
      </c>
      <c r="O83">
        <f>$E83/$F83^2*sim_annual_output!Q83</f>
        <v>27.005490741622392</v>
      </c>
      <c r="P83">
        <f>$E83/$F83^2*sim_annual_output!R83</f>
        <v>6.8034802654735307</v>
      </c>
      <c r="Q83">
        <f>$E83/$F83^2*sim_annual_output!S83</f>
        <v>6.1998188661959661</v>
      </c>
      <c r="R83">
        <f t="array" ref="R83">INDEX(G$3:G$700,MATCH($B83&amp;$C83&amp;"baseline",$B$3:$B$700&amp;$C$3:$C$700&amp;$D$3:$D$700,0))</f>
        <v>0</v>
      </c>
      <c r="S83">
        <f t="array" ref="S83">INDEX(H$3:H$700,MATCH($B83&amp;$C83&amp;"baseline",$B$3:$B$700&amp;$C$3:$C$700&amp;$D$3:$D$700,0))</f>
        <v>312.99155339220079</v>
      </c>
      <c r="T83">
        <f t="array" ref="T83">INDEX(I$3:I$700,MATCH($B83&amp;$C83&amp;"baseline",$B$3:$B$700&amp;$C$3:$C$700&amp;$D$3:$D$700,0))</f>
        <v>2.0616904792916175</v>
      </c>
      <c r="U83">
        <f t="array" ref="U83">INDEX(J$3:J$700,MATCH($B83&amp;$C83&amp;"baseline",$B$3:$B$700&amp;$C$3:$C$700&amp;$D$3:$D$700,0))</f>
        <v>51.871621214795304</v>
      </c>
      <c r="V83">
        <f t="array" ref="V83">INDEX(K$3:K$700,MATCH($B83&amp;$C83&amp;"baseline",$B$3:$B$700&amp;$C$3:$C$700&amp;$D$3:$D$700,0))</f>
        <v>0</v>
      </c>
      <c r="W83">
        <f t="array" ref="W83">INDEX(L$3:L$700,MATCH($B83&amp;$C83&amp;"baseline",$B$3:$B$700&amp;$C$3:$C$700&amp;$D$3:$D$700,0))</f>
        <v>77.142814385854791</v>
      </c>
      <c r="X83">
        <f t="array" ref="X83">INDEX(M$3:M$700,MATCH($B83&amp;$C83&amp;"baseline",$B$3:$B$700&amp;$C$3:$C$700&amp;$D$3:$D$700,0))</f>
        <v>11.925753702340163</v>
      </c>
      <c r="Y83">
        <f t="array" ref="Y83">INDEX(N$3:N$700,MATCH($B83&amp;$C83&amp;"baseline",$B$3:$B$700&amp;$C$3:$C$700&amp;$D$3:$D$700,0))</f>
        <v>0</v>
      </c>
      <c r="Z83">
        <f t="array" ref="Z83">INDEX(O$3:O$700,MATCH($B83&amp;$C83&amp;"baseline",$B$3:$B$700&amp;$C$3:$C$700&amp;$D$3:$D$700,0))</f>
        <v>24.540703888220349</v>
      </c>
      <c r="AA83">
        <f t="array" ref="AA83">INDEX(P$3:P$700,MATCH($B83&amp;$C83&amp;"baseline",$B$3:$B$700&amp;$C$3:$C$700&amp;$D$3:$D$700,0))</f>
        <v>6.4180808053484402</v>
      </c>
      <c r="AB83">
        <f t="array" ref="AB83">INDEX(Q$3:Q$700,MATCH($B83&amp;$C83&amp;"baseline",$B$3:$B$700&amp;$C$3:$C$700&amp;$D$3:$D$700,0))</f>
        <v>0</v>
      </c>
      <c r="AC83">
        <f t="shared" si="13"/>
        <v>486.95221786805138</v>
      </c>
      <c r="AD83">
        <f t="shared" si="14"/>
        <v>207.46288897386739</v>
      </c>
      <c r="AE83">
        <f t="shared" si="15"/>
        <v>-14.154581702604361</v>
      </c>
      <c r="AF83">
        <f t="shared" si="16"/>
        <v>39.697592531274488</v>
      </c>
      <c r="AG83">
        <f>(S83+V83+Y83)*constants!$O$2+(R83+T83+U83+W83+X83+Z83+AA83+AB83)*constants!$N$2</f>
        <v>24.72801825072478</v>
      </c>
      <c r="AH83">
        <f>((S83+V83+Y83)-(H83+K83+N83))*constants!$O$2</f>
        <v>3.3608988013766514</v>
      </c>
      <c r="AI83">
        <f>((R83+T83+U83+W83+X83+Z83+AA83+AB83)-(G83+I83+J83+L83+M83+O83+P83+Q83))*constants!$N$2</f>
        <v>-1.5994677323942927</v>
      </c>
      <c r="AJ83">
        <f t="shared" si="17"/>
        <v>7.1232197061757301</v>
      </c>
      <c r="AK83">
        <f t="shared" si="18"/>
        <v>1.7614310689823587</v>
      </c>
      <c r="AL83">
        <f>COUNTIFS($B:$B,$B83,$AK:$AK,"&lt;"&amp;$AK83)+COUNTIFS($B$2:$B83,$B83,$AK$2:$AK83,$AK83)</f>
        <v>30</v>
      </c>
      <c r="AM83" s="191">
        <f>IF(AK83=0, "NA",IF(((sim_annual_output!F83/E83)/AK83)&lt;0,100,((sim_annual_output!F83/E83)/AK83)))</f>
        <v>63.532402595786984</v>
      </c>
      <c r="AN83">
        <f>(S83+V83)*constants!$F$2+(T83+U83+W83+X83+Y83+Z83+AA83+AB83)*constants!$G$2</f>
        <v>207371.26615119402</v>
      </c>
      <c r="AO83">
        <f>(AD83*constants!$F$2+AE83*constants!$G$2)</f>
        <v>24821.371045056469</v>
      </c>
      <c r="AP83">
        <f t="shared" si="19"/>
        <v>11.969532474648272</v>
      </c>
    </row>
    <row r="84" spans="1:42">
      <c r="A84">
        <f>sim_annual_output!B84</f>
        <v>4</v>
      </c>
      <c r="B84" t="str">
        <f>sim_annual_output!C84</f>
        <v>Food Service</v>
      </c>
      <c r="C84" t="str">
        <f>sim_annual_output!D84</f>
        <v>2005-2014</v>
      </c>
      <c r="D84" t="str">
        <f>sim_annual_output!E84</f>
        <v>lights_reduce_70p</v>
      </c>
      <c r="E84" s="45">
        <f t="array" ref="E84">IFERROR(INDEX(baseline!$J$3:$J$201,MATCH($B84&amp;$C84,baseline!$C$3:$C$201&amp;baseline!$D$3:$D$201,0)),"NA")</f>
        <v>2568</v>
      </c>
      <c r="F84">
        <f>sim_annual_output!G84</f>
        <v>2693.60503738445</v>
      </c>
      <c r="G84">
        <f>$E84/$F84^2*sim_annual_output!I84</f>
        <v>0</v>
      </c>
      <c r="H84">
        <f>$E84/$F84^2*sim_annual_output!J84</f>
        <v>324.37263540854781</v>
      </c>
      <c r="I84">
        <f>$E84/$F84^2*sim_annual_output!K84</f>
        <v>2.3153462464147641</v>
      </c>
      <c r="J84">
        <f>$E84/$F84^2*sim_annual_output!L84</f>
        <v>51.871621214795304</v>
      </c>
      <c r="K84">
        <f>$E84/$F84^2*sim_annual_output!M84</f>
        <v>0</v>
      </c>
      <c r="L84">
        <f>$E84/$F84^2*sim_annual_output!N84</f>
        <v>54.000166702475958</v>
      </c>
      <c r="M84">
        <f>$E84/$F84^2*sim_annual_output!O84</f>
        <v>11.925753702340163</v>
      </c>
      <c r="N84">
        <f>$E84/$F84^2*sim_annual_output!P84</f>
        <v>0</v>
      </c>
      <c r="O84">
        <f>$E84/$F84^2*sim_annual_output!Q84</f>
        <v>24.960514014428036</v>
      </c>
      <c r="P84">
        <f>$E84/$F84^2*sim_annual_output!R84</f>
        <v>7.0148600714094851</v>
      </c>
      <c r="Q84">
        <f>$E84/$F84^2*sim_annual_output!S84</f>
        <v>0</v>
      </c>
      <c r="R84">
        <f t="array" ref="R84">INDEX(G$3:G$700,MATCH($B84&amp;$C84&amp;"baseline",$B$3:$B$700&amp;$C$3:$C$700&amp;$D$3:$D$700,0))</f>
        <v>0</v>
      </c>
      <c r="S84">
        <f t="array" ref="S84">INDEX(H$3:H$700,MATCH($B84&amp;$C84&amp;"baseline",$B$3:$B$700&amp;$C$3:$C$700&amp;$D$3:$D$700,0))</f>
        <v>312.99155339220079</v>
      </c>
      <c r="T84">
        <f t="array" ref="T84">INDEX(I$3:I$700,MATCH($B84&amp;$C84&amp;"baseline",$B$3:$B$700&amp;$C$3:$C$700&amp;$D$3:$D$700,0))</f>
        <v>2.0616904792916175</v>
      </c>
      <c r="U84">
        <f t="array" ref="U84">INDEX(J$3:J$700,MATCH($B84&amp;$C84&amp;"baseline",$B$3:$B$700&amp;$C$3:$C$700&amp;$D$3:$D$700,0))</f>
        <v>51.871621214795304</v>
      </c>
      <c r="V84">
        <f t="array" ref="V84">INDEX(K$3:K$700,MATCH($B84&amp;$C84&amp;"baseline",$B$3:$B$700&amp;$C$3:$C$700&amp;$D$3:$D$700,0))</f>
        <v>0</v>
      </c>
      <c r="W84">
        <f t="array" ref="W84">INDEX(L$3:L$700,MATCH($B84&amp;$C84&amp;"baseline",$B$3:$B$700&amp;$C$3:$C$700&amp;$D$3:$D$700,0))</f>
        <v>77.142814385854791</v>
      </c>
      <c r="X84">
        <f t="array" ref="X84">INDEX(M$3:M$700,MATCH($B84&amp;$C84&amp;"baseline",$B$3:$B$700&amp;$C$3:$C$700&amp;$D$3:$D$700,0))</f>
        <v>11.925753702340163</v>
      </c>
      <c r="Y84">
        <f t="array" ref="Y84">INDEX(N$3:N$700,MATCH($B84&amp;$C84&amp;"baseline",$B$3:$B$700&amp;$C$3:$C$700&amp;$D$3:$D$700,0))</f>
        <v>0</v>
      </c>
      <c r="Z84">
        <f t="array" ref="Z84">INDEX(O$3:O$700,MATCH($B84&amp;$C84&amp;"baseline",$B$3:$B$700&amp;$C$3:$C$700&amp;$D$3:$D$700,0))</f>
        <v>24.540703888220349</v>
      </c>
      <c r="AA84">
        <f t="array" ref="AA84">INDEX(P$3:P$700,MATCH($B84&amp;$C84&amp;"baseline",$B$3:$B$700&amp;$C$3:$C$700&amp;$D$3:$D$700,0))</f>
        <v>6.4180808053484402</v>
      </c>
      <c r="AB84">
        <f t="array" ref="AB84">INDEX(Q$3:Q$700,MATCH($B84&amp;$C84&amp;"baseline",$B$3:$B$700&amp;$C$3:$C$700&amp;$D$3:$D$700,0))</f>
        <v>0</v>
      </c>
      <c r="AC84">
        <f t="shared" si="13"/>
        <v>486.95221786805138</v>
      </c>
      <c r="AD84">
        <f t="shared" si="14"/>
        <v>-11.381082016347023</v>
      </c>
      <c r="AE84">
        <f t="shared" si="15"/>
        <v>21.872402523986977</v>
      </c>
      <c r="AF84">
        <f t="shared" si="16"/>
        <v>2.1544866462612089</v>
      </c>
      <c r="AG84">
        <f>(S84+V84+Y84)*constants!$O$2+(R84+T84+U84+W84+X84+Z84+AA84+AB84)*constants!$N$2</f>
        <v>24.72801825072478</v>
      </c>
      <c r="AH84">
        <f>((S84+V84+Y84)-(H84+K84+N84))*constants!$O$2</f>
        <v>-0.18437352866482176</v>
      </c>
      <c r="AI84">
        <f>((R84+T84+U84+W84+X84+Z84+AA84+AB84)-(G84+I84+J84+L84+M84+O84+P84+Q84))*constants!$N$2</f>
        <v>2.4715814852105287</v>
      </c>
      <c r="AJ84">
        <f t="shared" si="17"/>
        <v>9.2494591897944307</v>
      </c>
      <c r="AK84">
        <f t="shared" si="18"/>
        <v>2.2872079565457071</v>
      </c>
      <c r="AL84">
        <f>COUNTIFS($B:$B,$B84,$AK:$AK,"&lt;"&amp;$AK84)+COUNTIFS($B$2:$B84,$B84,$AK$2:$AK84,$AK84)</f>
        <v>34</v>
      </c>
      <c r="AM84" s="191">
        <f>IF(AK84=0, "NA",IF(((sim_annual_output!F84/E84)/AK84)&lt;0,100,((sim_annual_output!F84/E84)/AK84)))</f>
        <v>18.45809764142377</v>
      </c>
      <c r="AN84">
        <f>(S84+V84)*constants!$F$2+(T84+U84+W84+X84+Y84+Z84+AA84+AB84)*constants!$G$2</f>
        <v>207371.26615119402</v>
      </c>
      <c r="AO84">
        <f>(AD84*constants!$F$2+AE84*constants!$G$2)</f>
        <v>16991.776514942554</v>
      </c>
      <c r="AP84">
        <f t="shared" si="19"/>
        <v>8.1938914828025791</v>
      </c>
    </row>
    <row r="85" spans="1:42">
      <c r="A85">
        <f>sim_annual_output!B85</f>
        <v>4</v>
      </c>
      <c r="B85" t="str">
        <f>sim_annual_output!C85</f>
        <v>Food Service</v>
      </c>
      <c r="C85" t="str">
        <f>sim_annual_output!D85</f>
        <v>2005-2014</v>
      </c>
      <c r="D85" t="str">
        <f>sim_annual_output!E85</f>
        <v>load_reduce</v>
      </c>
      <c r="E85" s="45">
        <f t="array" ref="E85">IFERROR(INDEX(baseline!$J$3:$J$201,MATCH($B85&amp;$C85,baseline!$C$3:$C$201&amp;baseline!$D$3:$D$201,0)),"NA")</f>
        <v>2568</v>
      </c>
      <c r="F85">
        <f>sim_annual_output!G85</f>
        <v>2693.60503738445</v>
      </c>
      <c r="G85">
        <f>$E85/$F85^2*sim_annual_output!I85</f>
        <v>0</v>
      </c>
      <c r="H85">
        <f>$E85/$F85^2*sim_annual_output!J85</f>
        <v>221.47687852647721</v>
      </c>
      <c r="I85">
        <f>$E85/$F85^2*sim_annual_output!K85</f>
        <v>1.7333144086748316</v>
      </c>
      <c r="J85">
        <f>$E85/$F85^2*sim_annual_output!L85</f>
        <v>51.871621214795304</v>
      </c>
      <c r="K85">
        <f>$E85/$F85^2*sim_annual_output!M85</f>
        <v>0</v>
      </c>
      <c r="L85">
        <f>$E85/$F85^2*sim_annual_output!N85</f>
        <v>77.142814385854791</v>
      </c>
      <c r="M85">
        <f>$E85/$F85^2*sim_annual_output!O85</f>
        <v>11.925753702340163</v>
      </c>
      <c r="N85">
        <f>$E85/$F85^2*sim_annual_output!P85</f>
        <v>0</v>
      </c>
      <c r="O85">
        <f>$E85/$F85^2*sim_annual_output!Q85</f>
        <v>27.034002436376543</v>
      </c>
      <c r="P85">
        <f>$E85/$F85^2*sim_annual_output!R85</f>
        <v>0.41587747865539065</v>
      </c>
      <c r="Q85">
        <f>$E85/$F85^2*sim_annual_output!S85</f>
        <v>0</v>
      </c>
      <c r="R85">
        <f t="array" ref="R85">INDEX(G$3:G$700,MATCH($B85&amp;$C85&amp;"baseline",$B$3:$B$700&amp;$C$3:$C$700&amp;$D$3:$D$700,0))</f>
        <v>0</v>
      </c>
      <c r="S85">
        <f t="array" ref="S85">INDEX(H$3:H$700,MATCH($B85&amp;$C85&amp;"baseline",$B$3:$B$700&amp;$C$3:$C$700&amp;$D$3:$D$700,0))</f>
        <v>312.99155339220079</v>
      </c>
      <c r="T85">
        <f t="array" ref="T85">INDEX(I$3:I$700,MATCH($B85&amp;$C85&amp;"baseline",$B$3:$B$700&amp;$C$3:$C$700&amp;$D$3:$D$700,0))</f>
        <v>2.0616904792916175</v>
      </c>
      <c r="U85">
        <f t="array" ref="U85">INDEX(J$3:J$700,MATCH($B85&amp;$C85&amp;"baseline",$B$3:$B$700&amp;$C$3:$C$700&amp;$D$3:$D$700,0))</f>
        <v>51.871621214795304</v>
      </c>
      <c r="V85">
        <f t="array" ref="V85">INDEX(K$3:K$700,MATCH($B85&amp;$C85&amp;"baseline",$B$3:$B$700&amp;$C$3:$C$700&amp;$D$3:$D$700,0))</f>
        <v>0</v>
      </c>
      <c r="W85">
        <f t="array" ref="W85">INDEX(L$3:L$700,MATCH($B85&amp;$C85&amp;"baseline",$B$3:$B$700&amp;$C$3:$C$700&amp;$D$3:$D$700,0))</f>
        <v>77.142814385854791</v>
      </c>
      <c r="X85">
        <f t="array" ref="X85">INDEX(M$3:M$700,MATCH($B85&amp;$C85&amp;"baseline",$B$3:$B$700&amp;$C$3:$C$700&amp;$D$3:$D$700,0))</f>
        <v>11.925753702340163</v>
      </c>
      <c r="Y85">
        <f t="array" ref="Y85">INDEX(N$3:N$700,MATCH($B85&amp;$C85&amp;"baseline",$B$3:$B$700&amp;$C$3:$C$700&amp;$D$3:$D$700,0))</f>
        <v>0</v>
      </c>
      <c r="Z85">
        <f t="array" ref="Z85">INDEX(O$3:O$700,MATCH($B85&amp;$C85&amp;"baseline",$B$3:$B$700&amp;$C$3:$C$700&amp;$D$3:$D$700,0))</f>
        <v>24.540703888220349</v>
      </c>
      <c r="AA85">
        <f t="array" ref="AA85">INDEX(P$3:P$700,MATCH($B85&amp;$C85&amp;"baseline",$B$3:$B$700&amp;$C$3:$C$700&amp;$D$3:$D$700,0))</f>
        <v>6.4180808053484402</v>
      </c>
      <c r="AB85">
        <f t="array" ref="AB85">INDEX(Q$3:Q$700,MATCH($B85&amp;$C85&amp;"baseline",$B$3:$B$700&amp;$C$3:$C$700&amp;$D$3:$D$700,0))</f>
        <v>0</v>
      </c>
      <c r="AC85">
        <f t="shared" si="13"/>
        <v>486.95221786805138</v>
      </c>
      <c r="AD85">
        <f t="shared" si="14"/>
        <v>91.514674865723578</v>
      </c>
      <c r="AE85">
        <f t="shared" si="15"/>
        <v>3.8372808491536432</v>
      </c>
      <c r="AF85">
        <f t="shared" si="16"/>
        <v>19.581378257674263</v>
      </c>
      <c r="AG85">
        <f>(S85+V85+Y85)*constants!$O$2+(R85+T85+U85+W85+X85+Z85+AA85+AB85)*constants!$N$2</f>
        <v>24.72801825072478</v>
      </c>
      <c r="AH85">
        <f>((S85+V85+Y85)-(H85+K85+N85))*constants!$O$2</f>
        <v>1.4825377328247218</v>
      </c>
      <c r="AI85">
        <f>((R85+T85+U85+W85+X85+Z85+AA85+AB85)-(G85+I85+J85+L85+M85+O85+P85+Q85))*constants!$N$2</f>
        <v>0.43361273595436167</v>
      </c>
      <c r="AJ85">
        <f t="shared" si="17"/>
        <v>7.7489042969422801</v>
      </c>
      <c r="AK85">
        <f t="shared" si="18"/>
        <v>1.9161504687790836</v>
      </c>
      <c r="AL85">
        <f>COUNTIFS($B:$B,$B85,$AK:$AK,"&lt;"&amp;$AK85)+COUNTIFS($B$2:$B85,$B85,$AK$2:$AK85,$AK85)</f>
        <v>32</v>
      </c>
      <c r="AM85" s="191">
        <f>IF(AK85=0, "NA",IF(((sim_annual_output!F85/E85)/AK85)&lt;0,100,((sim_annual_output!F85/E85)/AK85)))</f>
        <v>1.060318072649679</v>
      </c>
      <c r="AN85">
        <f>(S85+V85)*constants!$F$2+(T85+U85+W85+X85+Y85+Z85+AA85+AB85)*constants!$G$2</f>
        <v>207371.26615119402</v>
      </c>
      <c r="AO85">
        <f>(AD85*constants!$F$2+AE85*constants!$G$2)</f>
        <v>19719.56113972819</v>
      </c>
      <c r="AP85">
        <f t="shared" si="19"/>
        <v>9.5093025691180824</v>
      </c>
    </row>
    <row r="86" spans="1:42">
      <c r="A86">
        <f>sim_annual_output!B86</f>
        <v>4</v>
      </c>
      <c r="B86" t="str">
        <f>sim_annual_output!C86</f>
        <v>Food Service</v>
      </c>
      <c r="C86" t="str">
        <f>sim_annual_output!D86</f>
        <v>2005-2014</v>
      </c>
      <c r="D86" t="str">
        <f>sim_annual_output!E86</f>
        <v>occupancy_setback</v>
      </c>
      <c r="E86" s="45">
        <f t="array" ref="E86">IFERROR(INDEX(baseline!$J$3:$J$201,MATCH($B86&amp;$C86,baseline!$C$3:$C$201&amp;baseline!$D$3:$D$201,0)),"NA")</f>
        <v>2568</v>
      </c>
      <c r="F86">
        <f>sim_annual_output!G86</f>
        <v>2693.60503738445</v>
      </c>
      <c r="G86">
        <f>$E86/$F86^2*sim_annual_output!I86</f>
        <v>0</v>
      </c>
      <c r="H86">
        <f>$E86/$F86^2*sim_annual_output!J86</f>
        <v>282.94514293076486</v>
      </c>
      <c r="I86">
        <f>$E86/$F86^2*sim_annual_output!K86</f>
        <v>1.7333144086748316</v>
      </c>
      <c r="J86">
        <f>$E86/$F86^2*sim_annual_output!L86</f>
        <v>51.871621214795304</v>
      </c>
      <c r="K86">
        <f>$E86/$F86^2*sim_annual_output!M86</f>
        <v>0</v>
      </c>
      <c r="L86">
        <f>$E86/$F86^2*sim_annual_output!N86</f>
        <v>77.142814385854791</v>
      </c>
      <c r="M86">
        <f>$E86/$F86^2*sim_annual_output!O86</f>
        <v>11.925753702340163</v>
      </c>
      <c r="N86">
        <f>$E86/$F86^2*sim_annual_output!P86</f>
        <v>0</v>
      </c>
      <c r="O86">
        <f>$E86/$F86^2*sim_annual_output!Q86</f>
        <v>27.034002436376543</v>
      </c>
      <c r="P86">
        <f>$E86/$F86^2*sim_annual_output!R86</f>
        <v>7.7247029545990653</v>
      </c>
      <c r="Q86">
        <f>$E86/$F86^2*sim_annual_output!S86</f>
        <v>0</v>
      </c>
      <c r="R86">
        <f t="array" ref="R86">INDEX(G$3:G$700,MATCH($B86&amp;$C86&amp;"baseline",$B$3:$B$700&amp;$C$3:$C$700&amp;$D$3:$D$700,0))</f>
        <v>0</v>
      </c>
      <c r="S86">
        <f t="array" ref="S86">INDEX(H$3:H$700,MATCH($B86&amp;$C86&amp;"baseline",$B$3:$B$700&amp;$C$3:$C$700&amp;$D$3:$D$700,0))</f>
        <v>312.99155339220079</v>
      </c>
      <c r="T86">
        <f t="array" ref="T86">INDEX(I$3:I$700,MATCH($B86&amp;$C86&amp;"baseline",$B$3:$B$700&amp;$C$3:$C$700&amp;$D$3:$D$700,0))</f>
        <v>2.0616904792916175</v>
      </c>
      <c r="U86">
        <f t="array" ref="U86">INDEX(J$3:J$700,MATCH($B86&amp;$C86&amp;"baseline",$B$3:$B$700&amp;$C$3:$C$700&amp;$D$3:$D$700,0))</f>
        <v>51.871621214795304</v>
      </c>
      <c r="V86">
        <f t="array" ref="V86">INDEX(K$3:K$700,MATCH($B86&amp;$C86&amp;"baseline",$B$3:$B$700&amp;$C$3:$C$700&amp;$D$3:$D$700,0))</f>
        <v>0</v>
      </c>
      <c r="W86">
        <f t="array" ref="W86">INDEX(L$3:L$700,MATCH($B86&amp;$C86&amp;"baseline",$B$3:$B$700&amp;$C$3:$C$700&amp;$D$3:$D$700,0))</f>
        <v>77.142814385854791</v>
      </c>
      <c r="X86">
        <f t="array" ref="X86">INDEX(M$3:M$700,MATCH($B86&amp;$C86&amp;"baseline",$B$3:$B$700&amp;$C$3:$C$700&amp;$D$3:$D$700,0))</f>
        <v>11.925753702340163</v>
      </c>
      <c r="Y86">
        <f t="array" ref="Y86">INDEX(N$3:N$700,MATCH($B86&amp;$C86&amp;"baseline",$B$3:$B$700&amp;$C$3:$C$700&amp;$D$3:$D$700,0))</f>
        <v>0</v>
      </c>
      <c r="Z86">
        <f t="array" ref="Z86">INDEX(O$3:O$700,MATCH($B86&amp;$C86&amp;"baseline",$B$3:$B$700&amp;$C$3:$C$700&amp;$D$3:$D$700,0))</f>
        <v>24.540703888220349</v>
      </c>
      <c r="AA86">
        <f t="array" ref="AA86">INDEX(P$3:P$700,MATCH($B86&amp;$C86&amp;"baseline",$B$3:$B$700&amp;$C$3:$C$700&amp;$D$3:$D$700,0))</f>
        <v>6.4180808053484402</v>
      </c>
      <c r="AB86">
        <f t="array" ref="AB86">INDEX(Q$3:Q$700,MATCH($B86&amp;$C86&amp;"baseline",$B$3:$B$700&amp;$C$3:$C$700&amp;$D$3:$D$700,0))</f>
        <v>0</v>
      </c>
      <c r="AC86">
        <f t="shared" si="13"/>
        <v>486.95221786805138</v>
      </c>
      <c r="AD86">
        <f t="shared" si="14"/>
        <v>30.046410461435926</v>
      </c>
      <c r="AE86">
        <f t="shared" si="15"/>
        <v>-3.4715446267900063</v>
      </c>
      <c r="AF86">
        <f t="shared" si="16"/>
        <v>5.4573867536725889</v>
      </c>
      <c r="AG86">
        <f>(S86+V86+Y86)*constants!$O$2+(R86+T86+U86+W86+X86+Z86+AA86+AB86)*constants!$N$2</f>
        <v>24.72801825072478</v>
      </c>
      <c r="AH86">
        <f>((S86+V86+Y86)-(H86+K86+N86))*constants!$O$2</f>
        <v>0.48675184947526196</v>
      </c>
      <c r="AI86">
        <f>((R86+T86+U86+W86+X86+Z86+AA86+AB86)-(G86+I86+J86+L86+M86+O86+P86+Q86))*constants!$N$2</f>
        <v>-0.39228454282727071</v>
      </c>
      <c r="AJ86">
        <f t="shared" si="17"/>
        <v>0.38202538387896251</v>
      </c>
      <c r="AK86">
        <f t="shared" si="18"/>
        <v>9.4467306647991245E-2</v>
      </c>
      <c r="AL86">
        <f>COUNTIFS($B:$B,$B86,$AK:$AK,"&lt;"&amp;$AK86)+COUNTIFS($B$2:$B86,$B86,$AK$2:$AK86,$AK86)</f>
        <v>19</v>
      </c>
      <c r="AM86" s="191">
        <f>IF(AK86=0, "NA",IF(((sim_annual_output!F86/E86)/AK86)&lt;0,100,((sim_annual_output!F86/E86)/AK86)))</f>
        <v>17.677207952181782</v>
      </c>
      <c r="AN86">
        <f>(S86+V86)*constants!$F$2+(T86+U86+W86+X86+Y86+Z86+AA86+AB86)*constants!$G$2</f>
        <v>207371.26615119402</v>
      </c>
      <c r="AO86">
        <f>(AD86*constants!$F$2+AE86*constants!$G$2)</f>
        <v>2358.0636472897254</v>
      </c>
      <c r="AP86">
        <f t="shared" si="19"/>
        <v>1.1371216905096511</v>
      </c>
    </row>
    <row r="87" spans="1:42">
      <c r="A87">
        <f>sim_annual_output!B87</f>
        <v>4</v>
      </c>
      <c r="B87" t="str">
        <f>sim_annual_output!C87</f>
        <v>Food Service</v>
      </c>
      <c r="C87" t="str">
        <f>sim_annual_output!D87</f>
        <v>2005-2014</v>
      </c>
      <c r="D87" t="str">
        <f>sim_annual_output!E87</f>
        <v>payback_less_than_20</v>
      </c>
      <c r="E87" s="45">
        <f t="array" ref="E87">IFERROR(INDEX(baseline!$J$3:$J$201,MATCH($B87&amp;$C87,baseline!$C$3:$C$201&amp;baseline!$D$3:$D$201,0)),"NA")</f>
        <v>2568</v>
      </c>
      <c r="F87">
        <f>sim_annual_output!G87</f>
        <v>2693.60503738445</v>
      </c>
      <c r="G87">
        <f>$E87/$F87^2*sim_annual_output!I87</f>
        <v>0</v>
      </c>
      <c r="H87">
        <f>$E87/$F87^2*sim_annual_output!J87</f>
        <v>131.73877719250373</v>
      </c>
      <c r="I87">
        <f>$E87/$F87^2*sim_annual_output!K87</f>
        <v>5.1291555700831521</v>
      </c>
      <c r="J87">
        <f>$E87/$F87^2*sim_annual_output!L87</f>
        <v>51.870638052907225</v>
      </c>
      <c r="K87">
        <f>$E87/$F87^2*sim_annual_output!M87</f>
        <v>0</v>
      </c>
      <c r="L87">
        <f>$E87/$F87^2*sim_annual_output!N87</f>
        <v>54.000166702475958</v>
      </c>
      <c r="M87">
        <f>$E87/$F87^2*sim_annual_output!O87</f>
        <v>11.925753702340163</v>
      </c>
      <c r="N87">
        <f>$E87/$F87^2*sim_annual_output!P87</f>
        <v>0</v>
      </c>
      <c r="O87">
        <f>$E87/$F87^2*sim_annual_output!Q87</f>
        <v>13.832104603316054</v>
      </c>
      <c r="P87">
        <f>$E87/$F87^2*sim_annual_output!R87</f>
        <v>0.16812068286068985</v>
      </c>
      <c r="Q87">
        <f>$E87/$F87^2*sim_annual_output!S87</f>
        <v>0</v>
      </c>
      <c r="R87">
        <f t="array" ref="R87">INDEX(G$3:G$700,MATCH($B87&amp;$C87&amp;"baseline",$B$3:$B$700&amp;$C$3:$C$700&amp;$D$3:$D$700,0))</f>
        <v>0</v>
      </c>
      <c r="S87">
        <f t="array" ref="S87">INDEX(H$3:H$700,MATCH($B87&amp;$C87&amp;"baseline",$B$3:$B$700&amp;$C$3:$C$700&amp;$D$3:$D$700,0))</f>
        <v>312.99155339220079</v>
      </c>
      <c r="T87">
        <f t="array" ref="T87">INDEX(I$3:I$700,MATCH($B87&amp;$C87&amp;"baseline",$B$3:$B$700&amp;$C$3:$C$700&amp;$D$3:$D$700,0))</f>
        <v>2.0616904792916175</v>
      </c>
      <c r="U87">
        <f t="array" ref="U87">INDEX(J$3:J$700,MATCH($B87&amp;$C87&amp;"baseline",$B$3:$B$700&amp;$C$3:$C$700&amp;$D$3:$D$700,0))</f>
        <v>51.871621214795304</v>
      </c>
      <c r="V87">
        <f t="array" ref="V87">INDEX(K$3:K$700,MATCH($B87&amp;$C87&amp;"baseline",$B$3:$B$700&amp;$C$3:$C$700&amp;$D$3:$D$700,0))</f>
        <v>0</v>
      </c>
      <c r="W87">
        <f t="array" ref="W87">INDEX(L$3:L$700,MATCH($B87&amp;$C87&amp;"baseline",$B$3:$B$700&amp;$C$3:$C$700&amp;$D$3:$D$700,0))</f>
        <v>77.142814385854791</v>
      </c>
      <c r="X87">
        <f t="array" ref="X87">INDEX(M$3:M$700,MATCH($B87&amp;$C87&amp;"baseline",$B$3:$B$700&amp;$C$3:$C$700&amp;$D$3:$D$700,0))</f>
        <v>11.925753702340163</v>
      </c>
      <c r="Y87">
        <f t="array" ref="Y87">INDEX(N$3:N$700,MATCH($B87&amp;$C87&amp;"baseline",$B$3:$B$700&amp;$C$3:$C$700&amp;$D$3:$D$700,0))</f>
        <v>0</v>
      </c>
      <c r="Z87">
        <f t="array" ref="Z87">INDEX(O$3:O$700,MATCH($B87&amp;$C87&amp;"baseline",$B$3:$B$700&amp;$C$3:$C$700&amp;$D$3:$D$700,0))</f>
        <v>24.540703888220349</v>
      </c>
      <c r="AA87">
        <f t="array" ref="AA87">INDEX(P$3:P$700,MATCH($B87&amp;$C87&amp;"baseline",$B$3:$B$700&amp;$C$3:$C$700&amp;$D$3:$D$700,0))</f>
        <v>6.4180808053484402</v>
      </c>
      <c r="AB87">
        <f t="array" ref="AB87">INDEX(Q$3:Q$700,MATCH($B87&amp;$C87&amp;"baseline",$B$3:$B$700&amp;$C$3:$C$700&amp;$D$3:$D$700,0))</f>
        <v>0</v>
      </c>
      <c r="AC87">
        <f t="shared" si="13"/>
        <v>486.95221786805138</v>
      </c>
      <c r="AD87">
        <f t="shared" si="14"/>
        <v>181.25277619969705</v>
      </c>
      <c r="AE87">
        <f t="shared" si="15"/>
        <v>37.034725161867442</v>
      </c>
      <c r="AF87">
        <f t="shared" si="16"/>
        <v>44.827293798405798</v>
      </c>
      <c r="AG87">
        <f>(S87+V87+Y87)*constants!$O$2+(R87+T87+U87+W87+X87+Z87+AA87+AB87)*constants!$N$2</f>
        <v>24.72801825072478</v>
      </c>
      <c r="AH87">
        <f>((S87+V87+Y87)-(H87+K87+N87))*constants!$O$2</f>
        <v>2.9362949744350919</v>
      </c>
      <c r="AI87">
        <f>((R87+T87+U87+W87+X87+Z87+AA87+AB87)-(G87+I87+J87+L87+M87+O87+P87+Q87))*constants!$N$2</f>
        <v>4.1849239432910208</v>
      </c>
      <c r="AJ87">
        <f t="shared" si="17"/>
        <v>28.798178833103172</v>
      </c>
      <c r="AK87">
        <f t="shared" si="18"/>
        <v>7.1212189177261127</v>
      </c>
      <c r="AL87">
        <f>COUNTIFS($B:$B,$B87,$AK:$AK,"&lt;"&amp;$AK87)+COUNTIFS($B$2:$B87,$B87,$AK$2:$AK87,$AK87)</f>
        <v>42</v>
      </c>
      <c r="AM87" s="191">
        <f>IF(AK87=0, "NA",IF(((sim_annual_output!F87/E87)/AK87)&lt;0,100,((sim_annual_output!F87/E87)/AK87)))</f>
        <v>9.3045152298936529</v>
      </c>
      <c r="AN87">
        <f>(S87+V87)*constants!$F$2+(T87+U87+W87+X87+Y87+Z87+AA87+AB87)*constants!$G$2</f>
        <v>207371.26615119402</v>
      </c>
      <c r="AO87">
        <f>(AD87*constants!$F$2+AE87*constants!$G$2)</f>
        <v>64664.457830570449</v>
      </c>
      <c r="AP87">
        <f t="shared" si="19"/>
        <v>31.182940158847135</v>
      </c>
    </row>
    <row r="88" spans="1:42">
      <c r="A88">
        <f>sim_annual_output!B88</f>
        <v>4</v>
      </c>
      <c r="B88" t="str">
        <f>sim_annual_output!C88</f>
        <v>Food Service</v>
      </c>
      <c r="C88" t="str">
        <f>sim_annual_output!D88</f>
        <v>2005-2014</v>
      </c>
      <c r="D88" t="str">
        <f>sim_annual_output!E88</f>
        <v>plug_loads_90_percent</v>
      </c>
      <c r="E88" s="45">
        <f t="array" ref="E88">IFERROR(INDEX(baseline!$J$3:$J$201,MATCH($B88&amp;$C88,baseline!$C$3:$C$201&amp;baseline!$D$3:$D$201,0)),"NA")</f>
        <v>2568</v>
      </c>
      <c r="F88">
        <f>sim_annual_output!G88</f>
        <v>2693.60503738445</v>
      </c>
      <c r="G88">
        <f>$E88/$F88^2*sim_annual_output!I88</f>
        <v>0</v>
      </c>
      <c r="H88">
        <f>$E88/$F88^2*sim_annual_output!J88</f>
        <v>315.72474344104705</v>
      </c>
      <c r="I88">
        <f>$E88/$F88^2*sim_annual_output!K88</f>
        <v>3.5895240533589394</v>
      </c>
      <c r="J88">
        <f>$E88/$F88^2*sim_annual_output!L88</f>
        <v>51.871621214795304</v>
      </c>
      <c r="K88">
        <f>$E88/$F88^2*sim_annual_output!M88</f>
        <v>0</v>
      </c>
      <c r="L88">
        <f>$E88/$F88^2*sim_annual_output!N88</f>
        <v>77.142814385854791</v>
      </c>
      <c r="M88">
        <f>$E88/$F88^2*sim_annual_output!O88</f>
        <v>11.925753702340163</v>
      </c>
      <c r="N88">
        <f>$E88/$F88^2*sim_annual_output!P88</f>
        <v>0</v>
      </c>
      <c r="O88">
        <f>$E88/$F88^2*sim_annual_output!Q88</f>
        <v>27.003524417846243</v>
      </c>
      <c r="P88">
        <f>$E88/$F88^2*sim_annual_output!R88</f>
        <v>7.8544803238248617</v>
      </c>
      <c r="Q88">
        <f>$E88/$F88^2*sim_annual_output!S88</f>
        <v>0</v>
      </c>
      <c r="R88">
        <f t="array" ref="R88">INDEX(G$3:G$700,MATCH($B88&amp;$C88&amp;"baseline",$B$3:$B$700&amp;$C$3:$C$700&amp;$D$3:$D$700,0))</f>
        <v>0</v>
      </c>
      <c r="S88">
        <f t="array" ref="S88">INDEX(H$3:H$700,MATCH($B88&amp;$C88&amp;"baseline",$B$3:$B$700&amp;$C$3:$C$700&amp;$D$3:$D$700,0))</f>
        <v>312.99155339220079</v>
      </c>
      <c r="T88">
        <f t="array" ref="T88">INDEX(I$3:I$700,MATCH($B88&amp;$C88&amp;"baseline",$B$3:$B$700&amp;$C$3:$C$700&amp;$D$3:$D$700,0))</f>
        <v>2.0616904792916175</v>
      </c>
      <c r="U88">
        <f t="array" ref="U88">INDEX(J$3:J$700,MATCH($B88&amp;$C88&amp;"baseline",$B$3:$B$700&amp;$C$3:$C$700&amp;$D$3:$D$700,0))</f>
        <v>51.871621214795304</v>
      </c>
      <c r="V88">
        <f t="array" ref="V88">INDEX(K$3:K$700,MATCH($B88&amp;$C88&amp;"baseline",$B$3:$B$700&amp;$C$3:$C$700&amp;$D$3:$D$700,0))</f>
        <v>0</v>
      </c>
      <c r="W88">
        <f t="array" ref="W88">INDEX(L$3:L$700,MATCH($B88&amp;$C88&amp;"baseline",$B$3:$B$700&amp;$C$3:$C$700&amp;$D$3:$D$700,0))</f>
        <v>77.142814385854791</v>
      </c>
      <c r="X88">
        <f t="array" ref="X88">INDEX(M$3:M$700,MATCH($B88&amp;$C88&amp;"baseline",$B$3:$B$700&amp;$C$3:$C$700&amp;$D$3:$D$700,0))</f>
        <v>11.925753702340163</v>
      </c>
      <c r="Y88">
        <f t="array" ref="Y88">INDEX(N$3:N$700,MATCH($B88&amp;$C88&amp;"baseline",$B$3:$B$700&amp;$C$3:$C$700&amp;$D$3:$D$700,0))</f>
        <v>0</v>
      </c>
      <c r="Z88">
        <f t="array" ref="Z88">INDEX(O$3:O$700,MATCH($B88&amp;$C88&amp;"baseline",$B$3:$B$700&amp;$C$3:$C$700&amp;$D$3:$D$700,0))</f>
        <v>24.540703888220349</v>
      </c>
      <c r="AA88">
        <f t="array" ref="AA88">INDEX(P$3:P$700,MATCH($B88&amp;$C88&amp;"baseline",$B$3:$B$700&amp;$C$3:$C$700&amp;$D$3:$D$700,0))</f>
        <v>6.4180808053484402</v>
      </c>
      <c r="AB88">
        <f t="array" ref="AB88">INDEX(Q$3:Q$700,MATCH($B88&amp;$C88&amp;"baseline",$B$3:$B$700&amp;$C$3:$C$700&amp;$D$3:$D$700,0))</f>
        <v>0</v>
      </c>
      <c r="AC88">
        <f t="shared" si="13"/>
        <v>486.95221786805138</v>
      </c>
      <c r="AD88">
        <f t="shared" si="14"/>
        <v>-2.7331900488462679</v>
      </c>
      <c r="AE88">
        <f t="shared" si="15"/>
        <v>-5.4270536221696375</v>
      </c>
      <c r="AF88">
        <f t="shared" si="16"/>
        <v>-1.6757791363478447</v>
      </c>
      <c r="AG88">
        <f>(S88+V88+Y88)*constants!$O$2+(R88+T88+U88+W88+X88+Z88+AA88+AB88)*constants!$N$2</f>
        <v>24.72801825072478</v>
      </c>
      <c r="AH88">
        <f>((S88+V88+Y88)-(H88+K88+N88))*constants!$O$2</f>
        <v>-4.427767879130954E-2</v>
      </c>
      <c r="AI88">
        <f>((R88+T88+U88+W88+X88+Z88+AA88+AB88)-(G88+I88+J88+L88+M88+O88+P88+Q88))*constants!$N$2</f>
        <v>-0.61325705930516905</v>
      </c>
      <c r="AJ88">
        <f t="shared" si="17"/>
        <v>-2.6590676674108575</v>
      </c>
      <c r="AK88">
        <f t="shared" si="18"/>
        <v>-0.65753473809647855</v>
      </c>
      <c r="AL88">
        <f>COUNTIFS($B:$B,$B88,$AK:$AK,"&lt;"&amp;$AK88)+COUNTIFS($B$2:$B88,$B88,$AK$2:$AK88,$AK88)</f>
        <v>6</v>
      </c>
      <c r="AM88" s="191">
        <f>IF(AK88=0, "NA",IF(((sim_annual_output!F88/E88)/AK88)&lt;0,100,((sim_annual_output!F88/E88)/AK88)))</f>
        <v>100</v>
      </c>
      <c r="AN88">
        <f>(S88+V88)*constants!$F$2+(T88+U88+W88+X88+Y88+Z88+AA88+AB88)*constants!$G$2</f>
        <v>207371.26615119402</v>
      </c>
      <c r="AO88">
        <f>(AD88*constants!$F$2+AE88*constants!$G$2)</f>
        <v>-5210.777670031066</v>
      </c>
      <c r="AP88">
        <f t="shared" si="19"/>
        <v>-2.512777091418199</v>
      </c>
    </row>
    <row r="89" spans="1:42">
      <c r="A89">
        <f>sim_annual_output!B89</f>
        <v>4</v>
      </c>
      <c r="B89" t="str">
        <f>sim_annual_output!C89</f>
        <v>Food Service</v>
      </c>
      <c r="C89" t="str">
        <f>sim_annual_output!D89</f>
        <v>2005-2014</v>
      </c>
      <c r="D89" t="str">
        <f>sim_annual_output!E89</f>
        <v>pump_fan_eff_</v>
      </c>
      <c r="E89" s="45">
        <f t="array" ref="E89">IFERROR(INDEX(baseline!$J$3:$J$201,MATCH($B89&amp;$C89,baseline!$C$3:$C$201&amp;baseline!$D$3:$D$201,0)),"NA")</f>
        <v>2568</v>
      </c>
      <c r="F89">
        <f>sim_annual_output!G89</f>
        <v>2693.60503738445</v>
      </c>
      <c r="G89">
        <f>$E89/$F89^2*sim_annual_output!I89</f>
        <v>0</v>
      </c>
      <c r="H89">
        <f>$E89/$F89^2*sim_annual_output!J89</f>
        <v>315.87025140048206</v>
      </c>
      <c r="I89">
        <f>$E89/$F89^2*sim_annual_output!K89</f>
        <v>3.668177004404876</v>
      </c>
      <c r="J89">
        <f>$E89/$F89^2*sim_annual_output!L89</f>
        <v>51.871621214795304</v>
      </c>
      <c r="K89">
        <f>$E89/$F89^2*sim_annual_output!M89</f>
        <v>0</v>
      </c>
      <c r="L89">
        <f>$E89/$F89^2*sim_annual_output!N89</f>
        <v>77.142814385854791</v>
      </c>
      <c r="M89">
        <f>$E89/$F89^2*sim_annual_output!O89</f>
        <v>11.925753702340163</v>
      </c>
      <c r="N89">
        <f>$E89/$F89^2*sim_annual_output!P89</f>
        <v>0</v>
      </c>
      <c r="O89">
        <f>$E89/$F89^2*sim_annual_output!Q89</f>
        <v>27.010406551062765</v>
      </c>
      <c r="P89">
        <f>$E89/$F89^2*sim_annual_output!R89</f>
        <v>6.1477112861280334</v>
      </c>
      <c r="Q89">
        <f>$E89/$F89^2*sim_annual_output!S89</f>
        <v>0</v>
      </c>
      <c r="R89">
        <f t="array" ref="R89">INDEX(G$3:G$700,MATCH($B89&amp;$C89&amp;"baseline",$B$3:$B$700&amp;$C$3:$C$700&amp;$D$3:$D$700,0))</f>
        <v>0</v>
      </c>
      <c r="S89">
        <f t="array" ref="S89">INDEX(H$3:H$700,MATCH($B89&amp;$C89&amp;"baseline",$B$3:$B$700&amp;$C$3:$C$700&amp;$D$3:$D$700,0))</f>
        <v>312.99155339220079</v>
      </c>
      <c r="T89">
        <f t="array" ref="T89">INDEX(I$3:I$700,MATCH($B89&amp;$C89&amp;"baseline",$B$3:$B$700&amp;$C$3:$C$700&amp;$D$3:$D$700,0))</f>
        <v>2.0616904792916175</v>
      </c>
      <c r="U89">
        <f t="array" ref="U89">INDEX(J$3:J$700,MATCH($B89&amp;$C89&amp;"baseline",$B$3:$B$700&amp;$C$3:$C$700&amp;$D$3:$D$700,0))</f>
        <v>51.871621214795304</v>
      </c>
      <c r="V89">
        <f t="array" ref="V89">INDEX(K$3:K$700,MATCH($B89&amp;$C89&amp;"baseline",$B$3:$B$700&amp;$C$3:$C$700&amp;$D$3:$D$700,0))</f>
        <v>0</v>
      </c>
      <c r="W89">
        <f t="array" ref="W89">INDEX(L$3:L$700,MATCH($B89&amp;$C89&amp;"baseline",$B$3:$B$700&amp;$C$3:$C$700&amp;$D$3:$D$700,0))</f>
        <v>77.142814385854791</v>
      </c>
      <c r="X89">
        <f t="array" ref="X89">INDEX(M$3:M$700,MATCH($B89&amp;$C89&amp;"baseline",$B$3:$B$700&amp;$C$3:$C$700&amp;$D$3:$D$700,0))</f>
        <v>11.925753702340163</v>
      </c>
      <c r="Y89">
        <f t="array" ref="Y89">INDEX(N$3:N$700,MATCH($B89&amp;$C89&amp;"baseline",$B$3:$B$700&amp;$C$3:$C$700&amp;$D$3:$D$700,0))</f>
        <v>0</v>
      </c>
      <c r="Z89">
        <f t="array" ref="Z89">INDEX(O$3:O$700,MATCH($B89&amp;$C89&amp;"baseline",$B$3:$B$700&amp;$C$3:$C$700&amp;$D$3:$D$700,0))</f>
        <v>24.540703888220349</v>
      </c>
      <c r="AA89">
        <f t="array" ref="AA89">INDEX(P$3:P$700,MATCH($B89&amp;$C89&amp;"baseline",$B$3:$B$700&amp;$C$3:$C$700&amp;$D$3:$D$700,0))</f>
        <v>6.4180808053484402</v>
      </c>
      <c r="AB89">
        <f t="array" ref="AB89">INDEX(Q$3:Q$700,MATCH($B89&amp;$C89&amp;"baseline",$B$3:$B$700&amp;$C$3:$C$700&amp;$D$3:$D$700,0))</f>
        <v>0</v>
      </c>
      <c r="AC89">
        <f t="shared" si="13"/>
        <v>486.95221786805138</v>
      </c>
      <c r="AD89">
        <f t="shared" si="14"/>
        <v>-2.8786980082812761</v>
      </c>
      <c r="AE89">
        <f t="shared" si="15"/>
        <v>-3.8058196687352677</v>
      </c>
      <c r="AF89">
        <f t="shared" si="16"/>
        <v>-1.3727255840998831</v>
      </c>
      <c r="AG89">
        <f>(S89+V89+Y89)*constants!$O$2+(R89+T89+U89+W89+X89+Z89+AA89+AB89)*constants!$N$2</f>
        <v>24.72801825072478</v>
      </c>
      <c r="AH89">
        <f>((S89+V89+Y89)-(H89+K89+N89))*constants!$O$2</f>
        <v>-4.6634907734156669E-2</v>
      </c>
      <c r="AI89">
        <f>((R89+T89+U89+W89+X89+Z89+AA89+AB89)-(G89+I89+J89+L89+M89+O89+P89+Q89))*constants!$N$2</f>
        <v>-0.43005762256708524</v>
      </c>
      <c r="AJ89">
        <f t="shared" si="17"/>
        <v>-1.9277425528722667</v>
      </c>
      <c r="AK89">
        <f t="shared" si="18"/>
        <v>-0.47669253030124192</v>
      </c>
      <c r="AL89">
        <f>COUNTIFS($B:$B,$B89,$AK:$AK,"&lt;"&amp;$AK89)+COUNTIFS($B$2:$B89,$B89,$AK$2:$AK89,$AK89)</f>
        <v>11</v>
      </c>
      <c r="AM89" s="191">
        <f>IF(AK89=0, "NA",IF(((sim_annual_output!F89/E89)/AK89)&lt;0,100,((sim_annual_output!F89/E89)/AK89)))</f>
        <v>100</v>
      </c>
      <c r="AN89">
        <f>(S89+V89)*constants!$F$2+(T89+U89+W89+X89+Y89+Z89+AA89+AB89)*constants!$G$2</f>
        <v>207371.26615119402</v>
      </c>
      <c r="AO89">
        <f>(AD89*constants!$F$2+AE89*constants!$G$2)</f>
        <v>-3826.350055282031</v>
      </c>
      <c r="AP89">
        <f t="shared" si="19"/>
        <v>-1.8451688733444129</v>
      </c>
    </row>
    <row r="90" spans="1:42">
      <c r="A90">
        <f>sim_annual_output!B90</f>
        <v>5</v>
      </c>
      <c r="B90" t="str">
        <f>sim_annual_output!C90</f>
        <v>Hangar</v>
      </c>
      <c r="C90" t="str">
        <f>sim_annual_output!D90</f>
        <v>1959-pre</v>
      </c>
      <c r="D90" t="str">
        <f>sim_annual_output!E90</f>
        <v>air_temp_reset_enabled</v>
      </c>
      <c r="E90" s="45">
        <f t="array" ref="E90">IFERROR(INDEX(baseline!$J$3:$J$201,MATCH($B90&amp;$C90,baseline!$C$3:$C$201&amp;baseline!$D$3:$D$201,0)),"NA")</f>
        <v>6423</v>
      </c>
      <c r="F90">
        <f>sim_annual_output!G90</f>
        <v>6276.5798484957804</v>
      </c>
      <c r="G90">
        <f>$E90/$F90^2*sim_annual_output!I90</f>
        <v>0</v>
      </c>
      <c r="H90">
        <f>$E90/$F90^2*sim_annual_output!J90</f>
        <v>458.28112373596099</v>
      </c>
      <c r="I90">
        <f>$E90/$F90^2*sim_annual_output!K90</f>
        <v>4.8323020406564456</v>
      </c>
      <c r="J90">
        <f>$E90/$F90^2*sim_annual_output!L90</f>
        <v>0</v>
      </c>
      <c r="K90">
        <f>$E90/$F90^2*sim_annual_output!M90</f>
        <v>5.8426924673391563</v>
      </c>
      <c r="L90">
        <f>$E90/$F90^2*sim_annual_output!N90</f>
        <v>57.202771682211207</v>
      </c>
      <c r="M90">
        <f>$E90/$F90^2*sim_annual_output!O90</f>
        <v>6.3657767088535149</v>
      </c>
      <c r="N90">
        <f>$E90/$F90^2*sim_annual_output!P90</f>
        <v>0</v>
      </c>
      <c r="O90">
        <f>$E90/$F90^2*sim_annual_output!Q90</f>
        <v>10.627894281919851</v>
      </c>
      <c r="P90">
        <f>$E90/$F90^2*sim_annual_output!R90</f>
        <v>10.358426642351848</v>
      </c>
      <c r="Q90">
        <f>$E90/$F90^2*sim_annual_output!S90</f>
        <v>0</v>
      </c>
      <c r="R90">
        <f t="array" ref="R90">INDEX(G$3:G$700,MATCH($B90&amp;$C90&amp;"baseline",$B$3:$B$700&amp;$C$3:$C$700&amp;$D$3:$D$700,0))</f>
        <v>0</v>
      </c>
      <c r="S90">
        <f t="array" ref="S90">INDEX(H$3:H$700,MATCH($B90&amp;$C90&amp;"baseline",$B$3:$B$700&amp;$C$3:$C$700&amp;$D$3:$D$700,0))</f>
        <v>454.51808740458199</v>
      </c>
      <c r="T90">
        <f t="array" ref="T90">INDEX(I$3:I$700,MATCH($B90&amp;$C90&amp;"baseline",$B$3:$B$700&amp;$C$3:$C$700&amp;$D$3:$D$700,0))</f>
        <v>0.35415746914651736</v>
      </c>
      <c r="U90">
        <f t="array" ref="U90">INDEX(J$3:J$700,MATCH($B90&amp;$C90&amp;"baseline",$B$3:$B$700&amp;$C$3:$C$700&amp;$D$3:$D$700,0))</f>
        <v>0</v>
      </c>
      <c r="V90">
        <f t="array" ref="V90">INDEX(K$3:K$700,MATCH($B90&amp;$C90&amp;"baseline",$B$3:$B$700&amp;$C$3:$C$700&amp;$D$3:$D$700,0))</f>
        <v>5.8426924673391563</v>
      </c>
      <c r="W90">
        <f t="array" ref="W90">INDEX(L$3:L$700,MATCH($B90&amp;$C90&amp;"baseline",$B$3:$B$700&amp;$C$3:$C$700&amp;$D$3:$D$700,0))</f>
        <v>57.202771682211207</v>
      </c>
      <c r="X90">
        <f t="array" ref="X90">INDEX(M$3:M$700,MATCH($B90&amp;$C90&amp;"baseline",$B$3:$B$700&amp;$C$3:$C$700&amp;$D$3:$D$700,0))</f>
        <v>6.3657767088535149</v>
      </c>
      <c r="Y90">
        <f t="array" ref="Y90">INDEX(N$3:N$700,MATCH($B90&amp;$C90&amp;"baseline",$B$3:$B$700&amp;$C$3:$C$700&amp;$D$3:$D$700,0))</f>
        <v>0</v>
      </c>
      <c r="Z90">
        <f t="array" ref="Z90">INDEX(O$3:O$700,MATCH($B90&amp;$C90&amp;"baseline",$B$3:$B$700&amp;$C$3:$C$700&amp;$D$3:$D$700,0))</f>
        <v>10.585322923735998</v>
      </c>
      <c r="AA90">
        <f t="array" ref="AA90">INDEX(P$3:P$700,MATCH($B90&amp;$C90&amp;"baseline",$B$3:$B$700&amp;$C$3:$C$700&amp;$D$3:$D$700,0))</f>
        <v>9.1188755003390369</v>
      </c>
      <c r="AB90">
        <f t="array" ref="AB90">INDEX(Q$3:Q$700,MATCH($B90&amp;$C90&amp;"baseline",$B$3:$B$700&amp;$C$3:$C$700&amp;$D$3:$D$700,0))</f>
        <v>0</v>
      </c>
      <c r="AC90">
        <f t="shared" si="13"/>
        <v>543.98768415620748</v>
      </c>
      <c r="AD90">
        <f t="shared" si="14"/>
        <v>-3.7630363313789985</v>
      </c>
      <c r="AE90">
        <f t="shared" si="15"/>
        <v>-5.7602670717065934</v>
      </c>
      <c r="AF90">
        <f t="shared" si="16"/>
        <v>-1.7506468768419672</v>
      </c>
      <c r="AG90">
        <f>(S90+V90+Y90)*constants!$O$2+(R90+T90+U90+W90+X90+Z90+AA90+AB90)*constants!$N$2</f>
        <v>16.907684818049468</v>
      </c>
      <c r="AH90">
        <f>((S90+V90+Y90)-(H90+K90+N90))*constants!$O$2</f>
        <v>-6.0961188568339771E-2</v>
      </c>
      <c r="AI90">
        <f>((R90+T90+U90+W90+X90+Z90+AA90+AB90)-(G90+I90+J90+L90+M90+O90+P90+Q90))*constants!$N$2</f>
        <v>-0.6509101791028451</v>
      </c>
      <c r="AJ90">
        <f t="shared" si="17"/>
        <v>-4.2103420742220159</v>
      </c>
      <c r="AK90">
        <f t="shared" si="18"/>
        <v>-0.71187136767118486</v>
      </c>
      <c r="AL90">
        <f>COUNTIFS($B:$B,$B90,$AK:$AK,"&lt;"&amp;$AK90)+COUNTIFS($B$2:$B90,$B90,$AK$2:$AK90,$AK90)</f>
        <v>1</v>
      </c>
      <c r="AM90" s="191">
        <f>IF(AK90=0, "NA",IF(((sim_annual_output!F90/E90)/AK90)&lt;0,100,((sim_annual_output!F90/E90)/AK90)))</f>
        <v>100</v>
      </c>
      <c r="AN90">
        <f>(S90+V90)*constants!$F$2+(T90+U90+W90+X90+Y90+Z90+AA90+AB90)*constants!$G$2</f>
        <v>155159.98632440294</v>
      </c>
      <c r="AO90">
        <f>(AD90*constants!$F$2+AE90*constants!$G$2)</f>
        <v>-5685.0158557015766</v>
      </c>
      <c r="AP90">
        <f t="shared" si="19"/>
        <v>-3.6639703253231466</v>
      </c>
    </row>
    <row r="91" spans="1:42">
      <c r="A91">
        <f>sim_annual_output!B91</f>
        <v>5</v>
      </c>
      <c r="B91" t="str">
        <f>sim_annual_output!C91</f>
        <v>Hangar</v>
      </c>
      <c r="C91" t="str">
        <f>sim_annual_output!D91</f>
        <v>1959-pre</v>
      </c>
      <c r="D91" t="str">
        <f>sim_annual_output!E91</f>
        <v>baseline</v>
      </c>
      <c r="E91" s="45">
        <f t="array" ref="E91">IFERROR(INDEX(baseline!$J$3:$J$201,MATCH($B91&amp;$C91,baseline!$C$3:$C$201&amp;baseline!$D$3:$D$201,0)),"NA")</f>
        <v>6423</v>
      </c>
      <c r="F91">
        <f>sim_annual_output!G91</f>
        <v>6276.5798484957804</v>
      </c>
      <c r="G91">
        <f>$E91/$F91^2*sim_annual_output!I91</f>
        <v>0</v>
      </c>
      <c r="H91">
        <f>$E91/$F91^2*sim_annual_output!J91</f>
        <v>454.51808740458199</v>
      </c>
      <c r="I91">
        <f>$E91/$F91^2*sim_annual_output!K91</f>
        <v>0.35415746914651736</v>
      </c>
      <c r="J91">
        <f>$E91/$F91^2*sim_annual_output!L91</f>
        <v>0</v>
      </c>
      <c r="K91">
        <f>$E91/$F91^2*sim_annual_output!M91</f>
        <v>5.8426924673391563</v>
      </c>
      <c r="L91">
        <f>$E91/$F91^2*sim_annual_output!N91</f>
        <v>57.202771682211207</v>
      </c>
      <c r="M91">
        <f>$E91/$F91^2*sim_annual_output!O91</f>
        <v>6.3657767088535149</v>
      </c>
      <c r="N91">
        <f>$E91/$F91^2*sim_annual_output!P91</f>
        <v>0</v>
      </c>
      <c r="O91">
        <f>$E91/$F91^2*sim_annual_output!Q91</f>
        <v>10.585322923735998</v>
      </c>
      <c r="P91">
        <f>$E91/$F91^2*sim_annual_output!R91</f>
        <v>9.1188755003390369</v>
      </c>
      <c r="Q91">
        <f>$E91/$F91^2*sim_annual_output!S91</f>
        <v>0</v>
      </c>
      <c r="R91">
        <f t="array" ref="R91">INDEX(G$3:G$700,MATCH($B91&amp;$C91&amp;"baseline",$B$3:$B$700&amp;$C$3:$C$700&amp;$D$3:$D$700,0))</f>
        <v>0</v>
      </c>
      <c r="S91">
        <f t="array" ref="S91">INDEX(H$3:H$700,MATCH($B91&amp;$C91&amp;"baseline",$B$3:$B$700&amp;$C$3:$C$700&amp;$D$3:$D$700,0))</f>
        <v>454.51808740458199</v>
      </c>
      <c r="T91">
        <f t="array" ref="T91">INDEX(I$3:I$700,MATCH($B91&amp;$C91&amp;"baseline",$B$3:$B$700&amp;$C$3:$C$700&amp;$D$3:$D$700,0))</f>
        <v>0.35415746914651736</v>
      </c>
      <c r="U91">
        <f t="array" ref="U91">INDEX(J$3:J$700,MATCH($B91&amp;$C91&amp;"baseline",$B$3:$B$700&amp;$C$3:$C$700&amp;$D$3:$D$700,0))</f>
        <v>0</v>
      </c>
      <c r="V91">
        <f t="array" ref="V91">INDEX(K$3:K$700,MATCH($B91&amp;$C91&amp;"baseline",$B$3:$B$700&amp;$C$3:$C$700&amp;$D$3:$D$700,0))</f>
        <v>5.8426924673391563</v>
      </c>
      <c r="W91">
        <f t="array" ref="W91">INDEX(L$3:L$700,MATCH($B91&amp;$C91&amp;"baseline",$B$3:$B$700&amp;$C$3:$C$700&amp;$D$3:$D$700,0))</f>
        <v>57.202771682211207</v>
      </c>
      <c r="X91">
        <f t="array" ref="X91">INDEX(M$3:M$700,MATCH($B91&amp;$C91&amp;"baseline",$B$3:$B$700&amp;$C$3:$C$700&amp;$D$3:$D$700,0))</f>
        <v>6.3657767088535149</v>
      </c>
      <c r="Y91">
        <f t="array" ref="Y91">INDEX(N$3:N$700,MATCH($B91&amp;$C91&amp;"baseline",$B$3:$B$700&amp;$C$3:$C$700&amp;$D$3:$D$700,0))</f>
        <v>0</v>
      </c>
      <c r="Z91">
        <f t="array" ref="Z91">INDEX(O$3:O$700,MATCH($B91&amp;$C91&amp;"baseline",$B$3:$B$700&amp;$C$3:$C$700&amp;$D$3:$D$700,0))</f>
        <v>10.585322923735998</v>
      </c>
      <c r="AA91">
        <f t="array" ref="AA91">INDEX(P$3:P$700,MATCH($B91&amp;$C91&amp;"baseline",$B$3:$B$700&amp;$C$3:$C$700&amp;$D$3:$D$700,0))</f>
        <v>9.1188755003390369</v>
      </c>
      <c r="AB91">
        <f t="array" ref="AB91">INDEX(Q$3:Q$700,MATCH($B91&amp;$C91&amp;"baseline",$B$3:$B$700&amp;$C$3:$C$700&amp;$D$3:$D$700,0))</f>
        <v>0</v>
      </c>
      <c r="AC91">
        <f t="shared" si="13"/>
        <v>543.98768415620748</v>
      </c>
      <c r="AD91">
        <f t="shared" si="14"/>
        <v>0</v>
      </c>
      <c r="AE91">
        <f t="shared" si="15"/>
        <v>0</v>
      </c>
      <c r="AF91">
        <f t="shared" si="16"/>
        <v>0</v>
      </c>
      <c r="AG91">
        <f>(S91+V91+Y91)*constants!$O$2+(R91+T91+U91+W91+X91+Z91+AA91+AB91)*constants!$N$2</f>
        <v>16.907684818049468</v>
      </c>
      <c r="AH91">
        <f>((S91+V91+Y91)-(H91+K91+N91))*constants!$O$2</f>
        <v>0</v>
      </c>
      <c r="AI91">
        <f>((R91+T91+U91+W91+X91+Z91+AA91+AB91)-(G91+I91+J91+L91+M91+O91+P91+Q91))*constants!$N$2</f>
        <v>0</v>
      </c>
      <c r="AJ91">
        <f t="shared" si="17"/>
        <v>0</v>
      </c>
      <c r="AK91">
        <f t="shared" si="18"/>
        <v>0</v>
      </c>
      <c r="AL91">
        <f>COUNTIFS($B:$B,$B91,$AK:$AK,"&lt;"&amp;$AK91)+COUNTIFS($B$2:$B91,$B91,$AK$2:$AK91,$AK91)</f>
        <v>6</v>
      </c>
      <c r="AM91" s="191" t="str">
        <f>IF(AK91=0, "NA",IF(((sim_annual_output!F91/E91)/AK91)&lt;0,100,((sim_annual_output!F91/E91)/AK91)))</f>
        <v>NA</v>
      </c>
      <c r="AN91">
        <f>(S91+V91)*constants!$F$2+(T91+U91+W91+X91+Y91+Z91+AA91+AB91)*constants!$G$2</f>
        <v>155159.98632440294</v>
      </c>
      <c r="AO91">
        <f>(AD91*constants!$F$2+AE91*constants!$G$2)</f>
        <v>0</v>
      </c>
      <c r="AP91">
        <f t="shared" si="19"/>
        <v>0</v>
      </c>
    </row>
    <row r="92" spans="1:42">
      <c r="A92">
        <f>sim_annual_output!B92</f>
        <v>5</v>
      </c>
      <c r="B92" t="str">
        <f>sim_annual_output!C92</f>
        <v>Hangar</v>
      </c>
      <c r="C92" t="str">
        <f>sim_annual_output!D92</f>
        <v>1959-pre</v>
      </c>
      <c r="D92" t="str">
        <f>sim_annual_output!E92</f>
        <v>boiler_eff_upgrade</v>
      </c>
      <c r="E92" s="45">
        <f t="array" ref="E92">IFERROR(INDEX(baseline!$J$3:$J$201,MATCH($B92&amp;$C92,baseline!$C$3:$C$201&amp;baseline!$D$3:$D$201,0)),"NA")</f>
        <v>6423</v>
      </c>
      <c r="F92">
        <f>sim_annual_output!G92</f>
        <v>6276.5798484957804</v>
      </c>
      <c r="G92">
        <f>$E92/$F92^2*sim_annual_output!I92</f>
        <v>0</v>
      </c>
      <c r="H92">
        <f>$E92/$F92^2*sim_annual_output!J92</f>
        <v>450.83792935562474</v>
      </c>
      <c r="I92">
        <f>$E92/$F92^2*sim_annual_output!K92</f>
        <v>0.44020595909260213</v>
      </c>
      <c r="J92">
        <f>$E92/$F92^2*sim_annual_output!L92</f>
        <v>0</v>
      </c>
      <c r="K92">
        <f>$E92/$F92^2*sim_annual_output!M92</f>
        <v>5.8426924673391563</v>
      </c>
      <c r="L92">
        <f>$E92/$F92^2*sim_annual_output!N92</f>
        <v>57.202771682211207</v>
      </c>
      <c r="M92">
        <f>$E92/$F92^2*sim_annual_output!O92</f>
        <v>6.3657767088535149</v>
      </c>
      <c r="N92">
        <f>$E92/$F92^2*sim_annual_output!P92</f>
        <v>0</v>
      </c>
      <c r="O92">
        <f>$E92/$F92^2*sim_annual_output!Q92</f>
        <v>10.627894281919851</v>
      </c>
      <c r="P92">
        <f>$E92/$F92^2*sim_annual_output!R92</f>
        <v>9.1166110663930873</v>
      </c>
      <c r="Q92">
        <f>$E92/$F92^2*sim_annual_output!S92</f>
        <v>0</v>
      </c>
      <c r="R92">
        <f t="array" ref="R92">INDEX(G$3:G$700,MATCH($B92&amp;$C92&amp;"baseline",$B$3:$B$700&amp;$C$3:$C$700&amp;$D$3:$D$700,0))</f>
        <v>0</v>
      </c>
      <c r="S92">
        <f t="array" ref="S92">INDEX(H$3:H$700,MATCH($B92&amp;$C92&amp;"baseline",$B$3:$B$700&amp;$C$3:$C$700&amp;$D$3:$D$700,0))</f>
        <v>454.51808740458199</v>
      </c>
      <c r="T92">
        <f t="array" ref="T92">INDEX(I$3:I$700,MATCH($B92&amp;$C92&amp;"baseline",$B$3:$B$700&amp;$C$3:$C$700&amp;$D$3:$D$700,0))</f>
        <v>0.35415746914651736</v>
      </c>
      <c r="U92">
        <f t="array" ref="U92">INDEX(J$3:J$700,MATCH($B92&amp;$C92&amp;"baseline",$B$3:$B$700&amp;$C$3:$C$700&amp;$D$3:$D$700,0))</f>
        <v>0</v>
      </c>
      <c r="V92">
        <f t="array" ref="V92">INDEX(K$3:K$700,MATCH($B92&amp;$C92&amp;"baseline",$B$3:$B$700&amp;$C$3:$C$700&amp;$D$3:$D$700,0))</f>
        <v>5.8426924673391563</v>
      </c>
      <c r="W92">
        <f t="array" ref="W92">INDEX(L$3:L$700,MATCH($B92&amp;$C92&amp;"baseline",$B$3:$B$700&amp;$C$3:$C$700&amp;$D$3:$D$700,0))</f>
        <v>57.202771682211207</v>
      </c>
      <c r="X92">
        <f t="array" ref="X92">INDEX(M$3:M$700,MATCH($B92&amp;$C92&amp;"baseline",$B$3:$B$700&amp;$C$3:$C$700&amp;$D$3:$D$700,0))</f>
        <v>6.3657767088535149</v>
      </c>
      <c r="Y92">
        <f t="array" ref="Y92">INDEX(N$3:N$700,MATCH($B92&amp;$C92&amp;"baseline",$B$3:$B$700&amp;$C$3:$C$700&amp;$D$3:$D$700,0))</f>
        <v>0</v>
      </c>
      <c r="Z92">
        <f t="array" ref="Z92">INDEX(O$3:O$700,MATCH($B92&amp;$C92&amp;"baseline",$B$3:$B$700&amp;$C$3:$C$700&amp;$D$3:$D$700,0))</f>
        <v>10.585322923735998</v>
      </c>
      <c r="AA92">
        <f t="array" ref="AA92">INDEX(P$3:P$700,MATCH($B92&amp;$C92&amp;"baseline",$B$3:$B$700&amp;$C$3:$C$700&amp;$D$3:$D$700,0))</f>
        <v>9.1188755003390369</v>
      </c>
      <c r="AB92">
        <f t="array" ref="AB92">INDEX(Q$3:Q$700,MATCH($B92&amp;$C92&amp;"baseline",$B$3:$B$700&amp;$C$3:$C$700&amp;$D$3:$D$700,0))</f>
        <v>0</v>
      </c>
      <c r="AC92">
        <f t="shared" si="13"/>
        <v>543.98768415620748</v>
      </c>
      <c r="AD92">
        <f t="shared" si="14"/>
        <v>3.680158048957253</v>
      </c>
      <c r="AE92">
        <f t="shared" si="15"/>
        <v>-0.12635541418399043</v>
      </c>
      <c r="AF92">
        <f t="shared" si="16"/>
        <v>0.65328733320234122</v>
      </c>
      <c r="AG92">
        <f>(S92+V92+Y92)*constants!$O$2+(R92+T92+U92+W92+X92+Z92+AA92+AB92)*constants!$N$2</f>
        <v>16.907684818049468</v>
      </c>
      <c r="AH92">
        <f>((S92+V92+Y92)-(H92+K92+N92))*constants!$O$2</f>
        <v>5.9618560393107492E-2</v>
      </c>
      <c r="AI92">
        <f>((R92+T92+U92+W92+X92+Z92+AA92+AB92)-(G92+I92+J92+L92+M92+O92+P92+Q92))*constants!$N$2</f>
        <v>-1.427816180279092E-2</v>
      </c>
      <c r="AJ92">
        <f t="shared" si="17"/>
        <v>0.26816444166213882</v>
      </c>
      <c r="AK92">
        <f t="shared" si="18"/>
        <v>4.534039859031657E-2</v>
      </c>
      <c r="AL92">
        <f>COUNTIFS($B:$B,$B92,$AK:$AK,"&lt;"&amp;$AK92)+COUNTIFS($B$2:$B92,$B92,$AK$2:$AK92,$AK92)</f>
        <v>17</v>
      </c>
      <c r="AM92" s="191">
        <f>IF(AK92=0, "NA",IF(((sim_annual_output!F92/E92)/AK92)&lt;0,100,((sim_annual_output!F92/E92)/AK92)))</f>
        <v>583.53497231225037</v>
      </c>
      <c r="AN92">
        <f>(S92+V92)*constants!$F$2+(T92+U92+W92+X92+Y92+Z92+AA92+AB92)*constants!$G$2</f>
        <v>155159.98632440294</v>
      </c>
      <c r="AO92">
        <f>(AD92*constants!$F$2+AE92*constants!$G$2)</f>
        <v>548.81908042327655</v>
      </c>
      <c r="AP92">
        <f t="shared" si="19"/>
        <v>0.35371173549591922</v>
      </c>
    </row>
    <row r="93" spans="1:42">
      <c r="A93">
        <f>sim_annual_output!B93</f>
        <v>5</v>
      </c>
      <c r="B93" t="str">
        <f>sim_annual_output!C93</f>
        <v>Hangar</v>
      </c>
      <c r="C93" t="str">
        <f>sim_annual_output!D93</f>
        <v>1959-pre</v>
      </c>
      <c r="D93" t="str">
        <f>sim_annual_output!E93</f>
        <v>boiler_reset</v>
      </c>
      <c r="E93" s="45">
        <f t="array" ref="E93">IFERROR(INDEX(baseline!$J$3:$J$201,MATCH($B93&amp;$C93,baseline!$C$3:$C$201&amp;baseline!$D$3:$D$201,0)),"NA")</f>
        <v>6423</v>
      </c>
      <c r="F93">
        <f>sim_annual_output!G93</f>
        <v>6276.5798484957804</v>
      </c>
      <c r="G93">
        <f>$E93/$F93^2*sim_annual_output!I93</f>
        <v>0</v>
      </c>
      <c r="H93">
        <f>$E93/$F93^2*sim_annual_output!J93</f>
        <v>371.88708116972435</v>
      </c>
      <c r="I93">
        <f>$E93/$F93^2*sim_annual_output!K93</f>
        <v>0.44020595909260213</v>
      </c>
      <c r="J93">
        <f>$E93/$F93^2*sim_annual_output!L93</f>
        <v>0</v>
      </c>
      <c r="K93">
        <f>$E93/$F93^2*sim_annual_output!M93</f>
        <v>5.8426924673391563</v>
      </c>
      <c r="L93">
        <f>$E93/$F93^2*sim_annual_output!N93</f>
        <v>57.202771682211207</v>
      </c>
      <c r="M93">
        <f>$E93/$F93^2*sim_annual_output!O93</f>
        <v>6.3657767088535149</v>
      </c>
      <c r="N93">
        <f>$E93/$F93^2*sim_annual_output!P93</f>
        <v>0</v>
      </c>
      <c r="O93">
        <f>$E93/$F93^2*sim_annual_output!Q93</f>
        <v>10.627894281919851</v>
      </c>
      <c r="P93">
        <f>$E93/$F93^2*sim_annual_output!R93</f>
        <v>0.38902975191414119</v>
      </c>
      <c r="Q93">
        <f>$E93/$F93^2*sim_annual_output!S93</f>
        <v>0</v>
      </c>
      <c r="R93">
        <f t="array" ref="R93">INDEX(G$3:G$700,MATCH($B93&amp;$C93&amp;"baseline",$B$3:$B$700&amp;$C$3:$C$700&amp;$D$3:$D$700,0))</f>
        <v>0</v>
      </c>
      <c r="S93">
        <f t="array" ref="S93">INDEX(H$3:H$700,MATCH($B93&amp;$C93&amp;"baseline",$B$3:$B$700&amp;$C$3:$C$700&amp;$D$3:$D$700,0))</f>
        <v>454.51808740458199</v>
      </c>
      <c r="T93">
        <f t="array" ref="T93">INDEX(I$3:I$700,MATCH($B93&amp;$C93&amp;"baseline",$B$3:$B$700&amp;$C$3:$C$700&amp;$D$3:$D$700,0))</f>
        <v>0.35415746914651736</v>
      </c>
      <c r="U93">
        <f t="array" ref="U93">INDEX(J$3:J$700,MATCH($B93&amp;$C93&amp;"baseline",$B$3:$B$700&amp;$C$3:$C$700&amp;$D$3:$D$700,0))</f>
        <v>0</v>
      </c>
      <c r="V93">
        <f t="array" ref="V93">INDEX(K$3:K$700,MATCH($B93&amp;$C93&amp;"baseline",$B$3:$B$700&amp;$C$3:$C$700&amp;$D$3:$D$700,0))</f>
        <v>5.8426924673391563</v>
      </c>
      <c r="W93">
        <f t="array" ref="W93">INDEX(L$3:L$700,MATCH($B93&amp;$C93&amp;"baseline",$B$3:$B$700&amp;$C$3:$C$700&amp;$D$3:$D$700,0))</f>
        <v>57.202771682211207</v>
      </c>
      <c r="X93">
        <f t="array" ref="X93">INDEX(M$3:M$700,MATCH($B93&amp;$C93&amp;"baseline",$B$3:$B$700&amp;$C$3:$C$700&amp;$D$3:$D$700,0))</f>
        <v>6.3657767088535149</v>
      </c>
      <c r="Y93">
        <f t="array" ref="Y93">INDEX(N$3:N$700,MATCH($B93&amp;$C93&amp;"baseline",$B$3:$B$700&amp;$C$3:$C$700&amp;$D$3:$D$700,0))</f>
        <v>0</v>
      </c>
      <c r="Z93">
        <f t="array" ref="Z93">INDEX(O$3:O$700,MATCH($B93&amp;$C93&amp;"baseline",$B$3:$B$700&amp;$C$3:$C$700&amp;$D$3:$D$700,0))</f>
        <v>10.585322923735998</v>
      </c>
      <c r="AA93">
        <f t="array" ref="AA93">INDEX(P$3:P$700,MATCH($B93&amp;$C93&amp;"baseline",$B$3:$B$700&amp;$C$3:$C$700&amp;$D$3:$D$700,0))</f>
        <v>9.1188755003390369</v>
      </c>
      <c r="AB93">
        <f t="array" ref="AB93">INDEX(Q$3:Q$700,MATCH($B93&amp;$C93&amp;"baseline",$B$3:$B$700&amp;$C$3:$C$700&amp;$D$3:$D$700,0))</f>
        <v>0</v>
      </c>
      <c r="AC93">
        <f t="shared" si="13"/>
        <v>543.98768415620748</v>
      </c>
      <c r="AD93">
        <f t="shared" si="14"/>
        <v>82.631006234857637</v>
      </c>
      <c r="AE93">
        <f t="shared" si="15"/>
        <v>8.6012259002949634</v>
      </c>
      <c r="AF93">
        <f t="shared" si="16"/>
        <v>16.771010593128615</v>
      </c>
      <c r="AG93">
        <f>(S93+V93+Y93)*constants!$O$2+(R93+T93+U93+W93+X93+Z93+AA93+AB93)*constants!$N$2</f>
        <v>16.907684818049468</v>
      </c>
      <c r="AH93">
        <f>((S93+V93+Y93)-(H93+K93+N93))*constants!$O$2</f>
        <v>1.3386223010046936</v>
      </c>
      <c r="AI93">
        <f>((R93+T93+U93+W93+X93+Z93+AA93+AB93)-(G93+I93+J93+L93+M93+O93+P93+Q93))*constants!$N$2</f>
        <v>0.97193852673333092</v>
      </c>
      <c r="AJ93">
        <f t="shared" si="17"/>
        <v>13.665743433254862</v>
      </c>
      <c r="AK93">
        <f t="shared" si="18"/>
        <v>2.3105608277380245</v>
      </c>
      <c r="AL93">
        <f>COUNTIFS($B:$B,$B93,$AK:$AK,"&lt;"&amp;$AK93)+COUNTIFS($B$2:$B93,$B93,$AK$2:$AK93,$AK93)</f>
        <v>59</v>
      </c>
      <c r="AM93" s="191">
        <f>IF(AK93=0, "NA",IF(((sim_annual_output!F93/E93)/AK93)&lt;0,100,((sim_annual_output!F93/E93)/AK93)))</f>
        <v>6.2606749296054531E-2</v>
      </c>
      <c r="AN93">
        <f>(S93+V93)*constants!$F$2+(T93+U93+W93+X93+Y93+Z93+AA93+AB93)*constants!$G$2</f>
        <v>155159.98632440294</v>
      </c>
      <c r="AO93">
        <f>(AD93*constants!$F$2+AE93*constants!$G$2)</f>
        <v>22274.016649296136</v>
      </c>
      <c r="AP93">
        <f t="shared" si="19"/>
        <v>14.355515991556238</v>
      </c>
    </row>
    <row r="94" spans="1:42">
      <c r="A94">
        <f>sim_annual_output!B94</f>
        <v>5</v>
      </c>
      <c r="B94" t="str">
        <f>sim_annual_output!C94</f>
        <v>Hangar</v>
      </c>
      <c r="C94" t="str">
        <f>sim_annual_output!D94</f>
        <v>1959-pre</v>
      </c>
      <c r="D94" t="str">
        <f>sim_annual_output!E94</f>
        <v>cooling_cop_3_0</v>
      </c>
      <c r="E94" s="45">
        <f t="array" ref="E94">IFERROR(INDEX(baseline!$J$3:$J$201,MATCH($B94&amp;$C94,baseline!$C$3:$C$201&amp;baseline!$D$3:$D$201,0)),"NA")</f>
        <v>6423</v>
      </c>
      <c r="F94">
        <f>sim_annual_output!G94</f>
        <v>6276.5798484957804</v>
      </c>
      <c r="G94">
        <f>$E94/$F94^2*sim_annual_output!I94</f>
        <v>0</v>
      </c>
      <c r="H94">
        <f>$E94/$F94^2*sim_annual_output!J94</f>
        <v>450.83792935562474</v>
      </c>
      <c r="I94">
        <f>$E94/$F94^2*sim_annual_output!K94</f>
        <v>0.31430343169780445</v>
      </c>
      <c r="J94">
        <f>$E94/$F94^2*sim_annual_output!L94</f>
        <v>0</v>
      </c>
      <c r="K94">
        <f>$E94/$F94^2*sim_annual_output!M94</f>
        <v>5.8426924673391563</v>
      </c>
      <c r="L94">
        <f>$E94/$F94^2*sim_annual_output!N94</f>
        <v>57.202771682211207</v>
      </c>
      <c r="M94">
        <f>$E94/$F94^2*sim_annual_output!O94</f>
        <v>6.3657767088535149</v>
      </c>
      <c r="N94">
        <f>$E94/$F94^2*sim_annual_output!P94</f>
        <v>0</v>
      </c>
      <c r="O94">
        <f>$E94/$F94^2*sim_annual_output!Q94</f>
        <v>10.627894281919851</v>
      </c>
      <c r="P94">
        <f>$E94/$F94^2*sim_annual_output!R94</f>
        <v>9.1166110663930873</v>
      </c>
      <c r="Q94">
        <f>$E94/$F94^2*sim_annual_output!S94</f>
        <v>0</v>
      </c>
      <c r="R94">
        <f t="array" ref="R94">INDEX(G$3:G$700,MATCH($B94&amp;$C94&amp;"baseline",$B$3:$B$700&amp;$C$3:$C$700&amp;$D$3:$D$700,0))</f>
        <v>0</v>
      </c>
      <c r="S94">
        <f t="array" ref="S94">INDEX(H$3:H$700,MATCH($B94&amp;$C94&amp;"baseline",$B$3:$B$700&amp;$C$3:$C$700&amp;$D$3:$D$700,0))</f>
        <v>454.51808740458199</v>
      </c>
      <c r="T94">
        <f t="array" ref="T94">INDEX(I$3:I$700,MATCH($B94&amp;$C94&amp;"baseline",$B$3:$B$700&amp;$C$3:$C$700&amp;$D$3:$D$700,0))</f>
        <v>0.35415746914651736</v>
      </c>
      <c r="U94">
        <f t="array" ref="U94">INDEX(J$3:J$700,MATCH($B94&amp;$C94&amp;"baseline",$B$3:$B$700&amp;$C$3:$C$700&amp;$D$3:$D$700,0))</f>
        <v>0</v>
      </c>
      <c r="V94">
        <f t="array" ref="V94">INDEX(K$3:K$700,MATCH($B94&amp;$C94&amp;"baseline",$B$3:$B$700&amp;$C$3:$C$700&amp;$D$3:$D$700,0))</f>
        <v>5.8426924673391563</v>
      </c>
      <c r="W94">
        <f t="array" ref="W94">INDEX(L$3:L$700,MATCH($B94&amp;$C94&amp;"baseline",$B$3:$B$700&amp;$C$3:$C$700&amp;$D$3:$D$700,0))</f>
        <v>57.202771682211207</v>
      </c>
      <c r="X94">
        <f t="array" ref="X94">INDEX(M$3:M$700,MATCH($B94&amp;$C94&amp;"baseline",$B$3:$B$700&amp;$C$3:$C$700&amp;$D$3:$D$700,0))</f>
        <v>6.3657767088535149</v>
      </c>
      <c r="Y94">
        <f t="array" ref="Y94">INDEX(N$3:N$700,MATCH($B94&amp;$C94&amp;"baseline",$B$3:$B$700&amp;$C$3:$C$700&amp;$D$3:$D$700,0))</f>
        <v>0</v>
      </c>
      <c r="Z94">
        <f t="array" ref="Z94">INDEX(O$3:O$700,MATCH($B94&amp;$C94&amp;"baseline",$B$3:$B$700&amp;$C$3:$C$700&amp;$D$3:$D$700,0))</f>
        <v>10.585322923735998</v>
      </c>
      <c r="AA94">
        <f t="array" ref="AA94">INDEX(P$3:P$700,MATCH($B94&amp;$C94&amp;"baseline",$B$3:$B$700&amp;$C$3:$C$700&amp;$D$3:$D$700,0))</f>
        <v>9.1188755003390369</v>
      </c>
      <c r="AB94">
        <f t="array" ref="AB94">INDEX(Q$3:Q$700,MATCH($B94&amp;$C94&amp;"baseline",$B$3:$B$700&amp;$C$3:$C$700&amp;$D$3:$D$700,0))</f>
        <v>0</v>
      </c>
      <c r="AC94">
        <f t="shared" si="13"/>
        <v>543.98768415620748</v>
      </c>
      <c r="AD94">
        <f t="shared" si="14"/>
        <v>3.680158048957253</v>
      </c>
      <c r="AE94">
        <f t="shared" si="15"/>
        <v>-4.5288678919064296E-4</v>
      </c>
      <c r="AF94">
        <f t="shared" si="16"/>
        <v>0.67643170412501941</v>
      </c>
      <c r="AG94">
        <f>(S94+V94+Y94)*constants!$O$2+(R94+T94+U94+W94+X94+Z94+AA94+AB94)*constants!$N$2</f>
        <v>16.907684818049468</v>
      </c>
      <c r="AH94">
        <f>((S94+V94+Y94)-(H94+K94+N94))*constants!$O$2</f>
        <v>5.9618560393107492E-2</v>
      </c>
      <c r="AI94">
        <f>((R94+T94+U94+W94+X94+Z94+AA94+AB94)-(G94+I94+J94+L94+M94+O94+P94+Q94))*constants!$N$2</f>
        <v>-5.1176207178542659E-5</v>
      </c>
      <c r="AJ94">
        <f t="shared" si="17"/>
        <v>0.35230952567993784</v>
      </c>
      <c r="AK94">
        <f t="shared" si="18"/>
        <v>5.9567384185928947E-2</v>
      </c>
      <c r="AL94">
        <f>COUNTIFS($B:$B,$B94,$AK:$AK,"&lt;"&amp;$AK94)+COUNTIFS($B$2:$B94,$B94,$AK$2:$AK94,$AK94)</f>
        <v>21</v>
      </c>
      <c r="AM94" s="191">
        <f>IF(AK94=0, "NA",IF(((sim_annual_output!F94/E94)/AK94)&lt;0,100,((sim_annual_output!F94/E94)/AK94)))</f>
        <v>42.093034281107137</v>
      </c>
      <c r="AN94">
        <f>(S94+V94)*constants!$F$2+(T94+U94+W94+X94+Y94+Z94+AA94+AB94)*constants!$G$2</f>
        <v>155159.98632440294</v>
      </c>
      <c r="AO94">
        <f>(AD94*constants!$F$2+AE94*constants!$G$2)</f>
        <v>658.35427925675231</v>
      </c>
      <c r="AP94">
        <f t="shared" si="19"/>
        <v>0.42430673967725718</v>
      </c>
    </row>
    <row r="95" spans="1:42">
      <c r="A95">
        <f>sim_annual_output!B95</f>
        <v>5</v>
      </c>
      <c r="B95" t="str">
        <f>sim_annual_output!C95</f>
        <v>Hangar</v>
      </c>
      <c r="C95" t="str">
        <f>sim_annual_output!D95</f>
        <v>1959-pre</v>
      </c>
      <c r="D95" t="str">
        <f>sim_annual_output!E95</f>
        <v>dcv_enabled</v>
      </c>
      <c r="E95" s="45">
        <f t="array" ref="E95">IFERROR(INDEX(baseline!$J$3:$J$201,MATCH($B95&amp;$C95,baseline!$C$3:$C$201&amp;baseline!$D$3:$D$201,0)),"NA")</f>
        <v>6423</v>
      </c>
      <c r="F95">
        <f>sim_annual_output!G95</f>
        <v>6276.5798484957804</v>
      </c>
      <c r="G95">
        <f>$E95/$F95^2*sim_annual_output!I95</f>
        <v>0</v>
      </c>
      <c r="H95">
        <f>$E95/$F95^2*sim_annual_output!J95</f>
        <v>387.06875211694887</v>
      </c>
      <c r="I95">
        <f>$E95/$F95^2*sim_annual_output!K95</f>
        <v>0.54255837344952407</v>
      </c>
      <c r="J95">
        <f>$E95/$F95^2*sim_annual_output!L95</f>
        <v>0</v>
      </c>
      <c r="K95">
        <f>$E95/$F95^2*sim_annual_output!M95</f>
        <v>5.8426924673391563</v>
      </c>
      <c r="L95">
        <f>$E95/$F95^2*sim_annual_output!N95</f>
        <v>57.202771682211207</v>
      </c>
      <c r="M95">
        <f>$E95/$F95^2*sim_annual_output!O95</f>
        <v>6.3657767088535149</v>
      </c>
      <c r="N95">
        <f>$E95/$F95^2*sim_annual_output!P95</f>
        <v>0</v>
      </c>
      <c r="O95">
        <f>$E95/$F95^2*sim_annual_output!Q95</f>
        <v>10.627894281919851</v>
      </c>
      <c r="P95">
        <f>$E95/$F95^2*sim_annual_output!R95</f>
        <v>8.8788455020683799</v>
      </c>
      <c r="Q95">
        <f>$E95/$F95^2*sim_annual_output!S95</f>
        <v>0</v>
      </c>
      <c r="R95">
        <f t="array" ref="R95">INDEX(G$3:G$700,MATCH($B95&amp;$C95&amp;"baseline",$B$3:$B$700&amp;$C$3:$C$700&amp;$D$3:$D$700,0))</f>
        <v>0</v>
      </c>
      <c r="S95">
        <f t="array" ref="S95">INDEX(H$3:H$700,MATCH($B95&amp;$C95&amp;"baseline",$B$3:$B$700&amp;$C$3:$C$700&amp;$D$3:$D$700,0))</f>
        <v>454.51808740458199</v>
      </c>
      <c r="T95">
        <f t="array" ref="T95">INDEX(I$3:I$700,MATCH($B95&amp;$C95&amp;"baseline",$B$3:$B$700&amp;$C$3:$C$700&amp;$D$3:$D$700,0))</f>
        <v>0.35415746914651736</v>
      </c>
      <c r="U95">
        <f t="array" ref="U95">INDEX(J$3:J$700,MATCH($B95&amp;$C95&amp;"baseline",$B$3:$B$700&amp;$C$3:$C$700&amp;$D$3:$D$700,0))</f>
        <v>0</v>
      </c>
      <c r="V95">
        <f t="array" ref="V95">INDEX(K$3:K$700,MATCH($B95&amp;$C95&amp;"baseline",$B$3:$B$700&amp;$C$3:$C$700&amp;$D$3:$D$700,0))</f>
        <v>5.8426924673391563</v>
      </c>
      <c r="W95">
        <f t="array" ref="W95">INDEX(L$3:L$700,MATCH($B95&amp;$C95&amp;"baseline",$B$3:$B$700&amp;$C$3:$C$700&amp;$D$3:$D$700,0))</f>
        <v>57.202771682211207</v>
      </c>
      <c r="X95">
        <f t="array" ref="X95">INDEX(M$3:M$700,MATCH($B95&amp;$C95&amp;"baseline",$B$3:$B$700&amp;$C$3:$C$700&amp;$D$3:$D$700,0))</f>
        <v>6.3657767088535149</v>
      </c>
      <c r="Y95">
        <f t="array" ref="Y95">INDEX(N$3:N$700,MATCH($B95&amp;$C95&amp;"baseline",$B$3:$B$700&amp;$C$3:$C$700&amp;$D$3:$D$700,0))</f>
        <v>0</v>
      </c>
      <c r="Z95">
        <f t="array" ref="Z95">INDEX(O$3:O$700,MATCH($B95&amp;$C95&amp;"baseline",$B$3:$B$700&amp;$C$3:$C$700&amp;$D$3:$D$700,0))</f>
        <v>10.585322923735998</v>
      </c>
      <c r="AA95">
        <f t="array" ref="AA95">INDEX(P$3:P$700,MATCH($B95&amp;$C95&amp;"baseline",$B$3:$B$700&amp;$C$3:$C$700&amp;$D$3:$D$700,0))</f>
        <v>9.1188755003390369</v>
      </c>
      <c r="AB95">
        <f t="array" ref="AB95">INDEX(Q$3:Q$700,MATCH($B95&amp;$C95&amp;"baseline",$B$3:$B$700&amp;$C$3:$C$700&amp;$D$3:$D$700,0))</f>
        <v>0</v>
      </c>
      <c r="AC95">
        <f t="shared" si="13"/>
        <v>543.98768415620748</v>
      </c>
      <c r="AD95">
        <f t="shared" si="14"/>
        <v>67.449335287633119</v>
      </c>
      <c r="AE95">
        <f t="shared" si="15"/>
        <v>9.0577357837844374E-3</v>
      </c>
      <c r="AF95">
        <f t="shared" si="16"/>
        <v>12.40072063911764</v>
      </c>
      <c r="AG95">
        <f>(S95+V95+Y95)*constants!$O$2+(R95+T95+U95+W95+X95+Z95+AA95+AB95)*constants!$N$2</f>
        <v>16.907684818049468</v>
      </c>
      <c r="AH95">
        <f>((S95+V95+Y95)-(H95+K95+N95))*constants!$O$2</f>
        <v>1.0926792316596565</v>
      </c>
      <c r="AI95">
        <f>((R95+T95+U95+W95+X95+Z95+AA95+AB95)-(G95+I95+J95+L95+M95+O95+P95+Q95))*constants!$N$2</f>
        <v>1.0235241435676415E-3</v>
      </c>
      <c r="AJ95">
        <f t="shared" si="17"/>
        <v>6.4686724857543076</v>
      </c>
      <c r="AK95">
        <f t="shared" si="18"/>
        <v>1.0937027558032242</v>
      </c>
      <c r="AL95">
        <f>COUNTIFS($B:$B,$B95,$AK:$AK,"&lt;"&amp;$AK95)+COUNTIFS($B$2:$B95,$B95,$AK$2:$AK95,$AK95)</f>
        <v>48</v>
      </c>
      <c r="AM95" s="191">
        <f>IF(AK95=0, "NA",IF(((sim_annual_output!F95/E95)/AK95)&lt;0,100,((sim_annual_output!F95/E95)/AK95)))</f>
        <v>9.1200473261475459</v>
      </c>
      <c r="AN95">
        <f>(S95+V95)*constants!$F$2+(T95+U95+W95+X95+Y95+Z95+AA95+AB95)*constants!$G$2</f>
        <v>155159.98632440294</v>
      </c>
      <c r="AO95">
        <f>(AD95*constants!$F$2+AE95*constants!$G$2)</f>
        <v>12081.311246618221</v>
      </c>
      <c r="AP95">
        <f t="shared" si="19"/>
        <v>7.7863575093123876</v>
      </c>
    </row>
    <row r="96" spans="1:42">
      <c r="A96">
        <f>sim_annual_output!B96</f>
        <v>5</v>
      </c>
      <c r="B96" t="str">
        <f>sim_annual_output!C96</f>
        <v>Hangar</v>
      </c>
      <c r="C96" t="str">
        <f>sim_annual_output!D96</f>
        <v>1959-pre</v>
      </c>
      <c r="D96" t="str">
        <f>sim_annual_output!E96</f>
        <v>ecm_cold_deck_reset_control</v>
      </c>
      <c r="E96" s="45">
        <f t="array" ref="E96">IFERROR(INDEX(baseline!$J$3:$J$201,MATCH($B96&amp;$C96,baseline!$C$3:$C$201&amp;baseline!$D$3:$D$201,0)),"NA")</f>
        <v>6423</v>
      </c>
      <c r="F96">
        <f>sim_annual_output!G96</f>
        <v>6276.5798484957804</v>
      </c>
      <c r="G96">
        <f>$E96/$F96^2*sim_annual_output!I96</f>
        <v>0</v>
      </c>
      <c r="H96">
        <f>$E96/$F96^2*sim_annual_output!J96</f>
        <v>443.4277957108992</v>
      </c>
      <c r="I96">
        <f>$E96/$F96^2*sim_annual_output!K96</f>
        <v>2.3137986059713005</v>
      </c>
      <c r="J96">
        <f>$E96/$F96^2*sim_annual_output!L96</f>
        <v>0</v>
      </c>
      <c r="K96">
        <f>$E96/$F96^2*sim_annual_output!M96</f>
        <v>5.8426924673391563</v>
      </c>
      <c r="L96">
        <f>$E96/$F96^2*sim_annual_output!N96</f>
        <v>57.202771682211207</v>
      </c>
      <c r="M96">
        <f>$E96/$F96^2*sim_annual_output!O96</f>
        <v>6.3657767088535149</v>
      </c>
      <c r="N96">
        <f>$E96/$F96^2*sim_annual_output!P96</f>
        <v>0</v>
      </c>
      <c r="O96">
        <f>$E96/$F96^2*sim_annual_output!Q96</f>
        <v>10.627894281919851</v>
      </c>
      <c r="P96">
        <f>$E96/$F96^2*sim_annual_output!R96</f>
        <v>9.0971369344579216</v>
      </c>
      <c r="Q96">
        <f>$E96/$F96^2*sim_annual_output!S96</f>
        <v>0</v>
      </c>
      <c r="R96">
        <f t="array" ref="R96">INDEX(G$3:G$700,MATCH($B96&amp;$C96&amp;"baseline",$B$3:$B$700&amp;$C$3:$C$700&amp;$D$3:$D$700,0))</f>
        <v>0</v>
      </c>
      <c r="S96">
        <f t="array" ref="S96">INDEX(H$3:H$700,MATCH($B96&amp;$C96&amp;"baseline",$B$3:$B$700&amp;$C$3:$C$700&amp;$D$3:$D$700,0))</f>
        <v>454.51808740458199</v>
      </c>
      <c r="T96">
        <f t="array" ref="T96">INDEX(I$3:I$700,MATCH($B96&amp;$C96&amp;"baseline",$B$3:$B$700&amp;$C$3:$C$700&amp;$D$3:$D$700,0))</f>
        <v>0.35415746914651736</v>
      </c>
      <c r="U96">
        <f t="array" ref="U96">INDEX(J$3:J$700,MATCH($B96&amp;$C96&amp;"baseline",$B$3:$B$700&amp;$C$3:$C$700&amp;$D$3:$D$700,0))</f>
        <v>0</v>
      </c>
      <c r="V96">
        <f t="array" ref="V96">INDEX(K$3:K$700,MATCH($B96&amp;$C96&amp;"baseline",$B$3:$B$700&amp;$C$3:$C$700&amp;$D$3:$D$700,0))</f>
        <v>5.8426924673391563</v>
      </c>
      <c r="W96">
        <f t="array" ref="W96">INDEX(L$3:L$700,MATCH($B96&amp;$C96&amp;"baseline",$B$3:$B$700&amp;$C$3:$C$700&amp;$D$3:$D$700,0))</f>
        <v>57.202771682211207</v>
      </c>
      <c r="X96">
        <f t="array" ref="X96">INDEX(M$3:M$700,MATCH($B96&amp;$C96&amp;"baseline",$B$3:$B$700&amp;$C$3:$C$700&amp;$D$3:$D$700,0))</f>
        <v>6.3657767088535149</v>
      </c>
      <c r="Y96">
        <f t="array" ref="Y96">INDEX(N$3:N$700,MATCH($B96&amp;$C96&amp;"baseline",$B$3:$B$700&amp;$C$3:$C$700&amp;$D$3:$D$700,0))</f>
        <v>0</v>
      </c>
      <c r="Z96">
        <f t="array" ref="Z96">INDEX(O$3:O$700,MATCH($B96&amp;$C96&amp;"baseline",$B$3:$B$700&amp;$C$3:$C$700&amp;$D$3:$D$700,0))</f>
        <v>10.585322923735998</v>
      </c>
      <c r="AA96">
        <f t="array" ref="AA96">INDEX(P$3:P$700,MATCH($B96&amp;$C96&amp;"baseline",$B$3:$B$700&amp;$C$3:$C$700&amp;$D$3:$D$700,0))</f>
        <v>9.1188755003390369</v>
      </c>
      <c r="AB96">
        <f t="array" ref="AB96">INDEX(Q$3:Q$700,MATCH($B96&amp;$C96&amp;"baseline",$B$3:$B$700&amp;$C$3:$C$700&amp;$D$3:$D$700,0))</f>
        <v>0</v>
      </c>
      <c r="AC96">
        <f t="shared" si="13"/>
        <v>543.98768415620748</v>
      </c>
      <c r="AD96">
        <f t="shared" si="14"/>
        <v>11.090291693682786</v>
      </c>
      <c r="AE96">
        <f t="shared" si="15"/>
        <v>-1.9804739291275268</v>
      </c>
      <c r="AF96">
        <f t="shared" si="16"/>
        <v>1.67463676658153</v>
      </c>
      <c r="AG96">
        <f>(S96+V96+Y96)*constants!$O$2+(R96+T96+U96+W96+X96+Z96+AA96+AB96)*constants!$N$2</f>
        <v>16.907684818049468</v>
      </c>
      <c r="AH96">
        <f>((S96+V96+Y96)-(H96+K96+N96))*constants!$O$2</f>
        <v>0.17966272543766112</v>
      </c>
      <c r="AI96">
        <f>((R96+T96+U96+W96+X96+Z96+AA96+AB96)-(G96+I96+J96+L96+M96+O96+P96+Q96))*constants!$N$2</f>
        <v>-0.22379355399141054</v>
      </c>
      <c r="AJ96">
        <f t="shared" si="17"/>
        <v>-0.26101047558349572</v>
      </c>
      <c r="AK96">
        <f t="shared" si="18"/>
        <v>-4.4130828553749418E-2</v>
      </c>
      <c r="AL96">
        <f>COUNTIFS($B:$B,$B96,$AK:$AK,"&lt;"&amp;$AK96)+COUNTIFS($B$2:$B96,$B96,$AK$2:$AK96,$AK96)</f>
        <v>4</v>
      </c>
      <c r="AM96" s="191">
        <f>IF(AK96=0, "NA",IF(((sim_annual_output!F96/E96)/AK96)&lt;0,100,((sim_annual_output!F96/E96)/AK96)))</f>
        <v>100</v>
      </c>
      <c r="AN96">
        <f>(S96+V96)*constants!$F$2+(T96+U96+W96+X96+Y96+Z96+AA96+AB96)*constants!$G$2</f>
        <v>155159.98632440294</v>
      </c>
      <c r="AO96">
        <f>(AD96*constants!$F$2+AE96*constants!$G$2)</f>
        <v>262.14989482827059</v>
      </c>
      <c r="AP96">
        <f t="shared" si="19"/>
        <v>0.16895457458998286</v>
      </c>
    </row>
    <row r="97" spans="1:42">
      <c r="A97">
        <f>sim_annual_output!B97</f>
        <v>5</v>
      </c>
      <c r="B97" t="str">
        <f>sim_annual_output!C97</f>
        <v>Hangar</v>
      </c>
      <c r="C97" t="str">
        <f>sim_annual_output!D97</f>
        <v>1959-pre</v>
      </c>
      <c r="D97" t="str">
        <f>sim_annual_output!E97</f>
        <v>economizers_enabled</v>
      </c>
      <c r="E97" s="45">
        <f t="array" ref="E97">IFERROR(INDEX(baseline!$J$3:$J$201,MATCH($B97&amp;$C97,baseline!$C$3:$C$201&amp;baseline!$D$3:$D$201,0)),"NA")</f>
        <v>6423</v>
      </c>
      <c r="F97">
        <f>sim_annual_output!G97</f>
        <v>6276.5798484957804</v>
      </c>
      <c r="G97">
        <f>$E97/$F97^2*sim_annual_output!I97</f>
        <v>0</v>
      </c>
      <c r="H97">
        <f>$E97/$F97^2*sim_annual_output!J97</f>
        <v>450.84608131783011</v>
      </c>
      <c r="I97">
        <f>$E97/$F97^2*sim_annual_output!K97</f>
        <v>0.42707224220609447</v>
      </c>
      <c r="J97">
        <f>$E97/$F97^2*sim_annual_output!L97</f>
        <v>0</v>
      </c>
      <c r="K97">
        <f>$E97/$F97^2*sim_annual_output!M97</f>
        <v>5.8426924673391563</v>
      </c>
      <c r="L97">
        <f>$E97/$F97^2*sim_annual_output!N97</f>
        <v>57.202771682211207</v>
      </c>
      <c r="M97">
        <f>$E97/$F97^2*sim_annual_output!O97</f>
        <v>6.3657767088535149</v>
      </c>
      <c r="N97">
        <f>$E97/$F97^2*sim_annual_output!P97</f>
        <v>0</v>
      </c>
      <c r="O97">
        <f>$E97/$F97^2*sim_annual_output!Q97</f>
        <v>10.627894281919851</v>
      </c>
      <c r="P97">
        <f>$E97/$F97^2*sim_annual_output!R97</f>
        <v>9.1143466324471376</v>
      </c>
      <c r="Q97">
        <f>$E97/$F97^2*sim_annual_output!S97</f>
        <v>0</v>
      </c>
      <c r="R97">
        <f t="array" ref="R97">INDEX(G$3:G$700,MATCH($B97&amp;$C97&amp;"baseline",$B$3:$B$700&amp;$C$3:$C$700&amp;$D$3:$D$700,0))</f>
        <v>0</v>
      </c>
      <c r="S97">
        <f t="array" ref="S97">INDEX(H$3:H$700,MATCH($B97&amp;$C97&amp;"baseline",$B$3:$B$700&amp;$C$3:$C$700&amp;$D$3:$D$700,0))</f>
        <v>454.51808740458199</v>
      </c>
      <c r="T97">
        <f t="array" ref="T97">INDEX(I$3:I$700,MATCH($B97&amp;$C97&amp;"baseline",$B$3:$B$700&amp;$C$3:$C$700&amp;$D$3:$D$700,0))</f>
        <v>0.35415746914651736</v>
      </c>
      <c r="U97">
        <f t="array" ref="U97">INDEX(J$3:J$700,MATCH($B97&amp;$C97&amp;"baseline",$B$3:$B$700&amp;$C$3:$C$700&amp;$D$3:$D$700,0))</f>
        <v>0</v>
      </c>
      <c r="V97">
        <f t="array" ref="V97">INDEX(K$3:K$700,MATCH($B97&amp;$C97&amp;"baseline",$B$3:$B$700&amp;$C$3:$C$700&amp;$D$3:$D$700,0))</f>
        <v>5.8426924673391563</v>
      </c>
      <c r="W97">
        <f t="array" ref="W97">INDEX(L$3:L$700,MATCH($B97&amp;$C97&amp;"baseline",$B$3:$B$700&amp;$C$3:$C$700&amp;$D$3:$D$700,0))</f>
        <v>57.202771682211207</v>
      </c>
      <c r="X97">
        <f t="array" ref="X97">INDEX(M$3:M$700,MATCH($B97&amp;$C97&amp;"baseline",$B$3:$B$700&amp;$C$3:$C$700&amp;$D$3:$D$700,0))</f>
        <v>6.3657767088535149</v>
      </c>
      <c r="Y97">
        <f t="array" ref="Y97">INDEX(N$3:N$700,MATCH($B97&amp;$C97&amp;"baseline",$B$3:$B$700&amp;$C$3:$C$700&amp;$D$3:$D$700,0))</f>
        <v>0</v>
      </c>
      <c r="Z97">
        <f t="array" ref="Z97">INDEX(O$3:O$700,MATCH($B97&amp;$C97&amp;"baseline",$B$3:$B$700&amp;$C$3:$C$700&amp;$D$3:$D$700,0))</f>
        <v>10.585322923735998</v>
      </c>
      <c r="AA97">
        <f t="array" ref="AA97">INDEX(P$3:P$700,MATCH($B97&amp;$C97&amp;"baseline",$B$3:$B$700&amp;$C$3:$C$700&amp;$D$3:$D$700,0))</f>
        <v>9.1188755003390369</v>
      </c>
      <c r="AB97">
        <f t="array" ref="AB97">INDEX(Q$3:Q$700,MATCH($B97&amp;$C97&amp;"baseline",$B$3:$B$700&amp;$C$3:$C$700&amp;$D$3:$D$700,0))</f>
        <v>0</v>
      </c>
      <c r="AC97">
        <f t="shared" si="13"/>
        <v>543.98768415620748</v>
      </c>
      <c r="AD97">
        <f t="shared" si="14"/>
        <v>3.6720060867518782</v>
      </c>
      <c r="AE97">
        <f t="shared" si="15"/>
        <v>-0.11095726335153699</v>
      </c>
      <c r="AF97">
        <f t="shared" si="16"/>
        <v>0.65461938332739478</v>
      </c>
      <c r="AG97">
        <f>(S97+V97+Y97)*constants!$O$2+(R97+T97+U97+W97+X97+Z97+AA97+AB97)*constants!$N$2</f>
        <v>16.907684818049468</v>
      </c>
      <c r="AH97">
        <f>((S97+V97+Y97)-(H97+K97+N97))*constants!$O$2</f>
        <v>5.9486498605380425E-2</v>
      </c>
      <c r="AI97">
        <f>((R97+T97+U97+W97+X97+Z97+AA97+AB97)-(G97+I97+J97+L97+M97+O97+P97+Q97))*constants!$N$2</f>
        <v>-1.2538170758723681E-2</v>
      </c>
      <c r="AJ97">
        <f t="shared" si="17"/>
        <v>0.27767449152197332</v>
      </c>
      <c r="AK97">
        <f t="shared" si="18"/>
        <v>4.6948327846656743E-2</v>
      </c>
      <c r="AL97">
        <f>COUNTIFS($B:$B,$B97,$AK:$AK,"&lt;"&amp;$AK97)+COUNTIFS($B$2:$B97,$B97,$AK$2:$AK97,$AK97)</f>
        <v>19</v>
      </c>
      <c r="AM97" s="191">
        <f>IF(AK97=0, "NA",IF(((sim_annual_output!F97/E97)/AK97)&lt;0,100,((sim_annual_output!F97/E97)/AK97)))</f>
        <v>9.1115175309095786</v>
      </c>
      <c r="AN97">
        <f>(S97+V97)*constants!$F$2+(T97+U97+W97+X97+Y97+Z97+AA97+AB97)*constants!$G$2</f>
        <v>155159.98632440294</v>
      </c>
      <c r="AO97">
        <f>(AD97*constants!$F$2+AE97*constants!$G$2)</f>
        <v>560.75627041274902</v>
      </c>
      <c r="AP97">
        <f t="shared" si="19"/>
        <v>0.36140520742270488</v>
      </c>
    </row>
    <row r="98" spans="1:42">
      <c r="A98">
        <f>sim_annual_output!B98</f>
        <v>5</v>
      </c>
      <c r="B98" t="str">
        <f>sim_annual_output!C98</f>
        <v>Hangar</v>
      </c>
      <c r="C98" t="str">
        <f>sim_annual_output!D98</f>
        <v>1959-pre</v>
      </c>
      <c r="D98" t="str">
        <f>sim_annual_output!E98</f>
        <v>elec_reduce</v>
      </c>
      <c r="E98" s="45">
        <f t="array" ref="E98">IFERROR(INDEX(baseline!$J$3:$J$201,MATCH($B98&amp;$C98,baseline!$C$3:$C$201&amp;baseline!$D$3:$D$201,0)),"NA")</f>
        <v>6423</v>
      </c>
      <c r="F98">
        <f>sim_annual_output!G98</f>
        <v>6276.5798484957804</v>
      </c>
      <c r="G98">
        <f>$E98/$F98^2*sim_annual_output!I98</f>
        <v>0</v>
      </c>
      <c r="H98">
        <f>$E98/$F98^2*sim_annual_output!J98</f>
        <v>404.04521340973298</v>
      </c>
      <c r="I98">
        <f>$E98/$F98^2*sim_annual_output!K98</f>
        <v>0.35008148804380806</v>
      </c>
      <c r="J98">
        <f>$E98/$F98^2*sim_annual_output!L98</f>
        <v>0</v>
      </c>
      <c r="K98">
        <f>$E98/$F98^2*sim_annual_output!M98</f>
        <v>5.8426924673391563</v>
      </c>
      <c r="L98">
        <f>$E98/$F98^2*sim_annual_output!N98</f>
        <v>40.04198546622677</v>
      </c>
      <c r="M98">
        <f>$E98/$F98^2*sim_annual_output!O98</f>
        <v>6.3657767088535149</v>
      </c>
      <c r="N98">
        <f>$E98/$F98^2*sim_annual_output!P98</f>
        <v>0</v>
      </c>
      <c r="O98">
        <f>$E98/$F98^2*sim_annual_output!Q98</f>
        <v>9.7873364011833601</v>
      </c>
      <c r="P98">
        <f>$E98/$F98^2*sim_annual_output!R98</f>
        <v>7.0881311376114366</v>
      </c>
      <c r="Q98">
        <f>$E98/$F98^2*sim_annual_output!S98</f>
        <v>0</v>
      </c>
      <c r="R98">
        <f t="array" ref="R98">INDEX(G$3:G$700,MATCH($B98&amp;$C98&amp;"baseline",$B$3:$B$700&amp;$C$3:$C$700&amp;$D$3:$D$700,0))</f>
        <v>0</v>
      </c>
      <c r="S98">
        <f t="array" ref="S98">INDEX(H$3:H$700,MATCH($B98&amp;$C98&amp;"baseline",$B$3:$B$700&amp;$C$3:$C$700&amp;$D$3:$D$700,0))</f>
        <v>454.51808740458199</v>
      </c>
      <c r="T98">
        <f t="array" ref="T98">INDEX(I$3:I$700,MATCH($B98&amp;$C98&amp;"baseline",$B$3:$B$700&amp;$C$3:$C$700&amp;$D$3:$D$700,0))</f>
        <v>0.35415746914651736</v>
      </c>
      <c r="U98">
        <f t="array" ref="U98">INDEX(J$3:J$700,MATCH($B98&amp;$C98&amp;"baseline",$B$3:$B$700&amp;$C$3:$C$700&amp;$D$3:$D$700,0))</f>
        <v>0</v>
      </c>
      <c r="V98">
        <f t="array" ref="V98">INDEX(K$3:K$700,MATCH($B98&amp;$C98&amp;"baseline",$B$3:$B$700&amp;$C$3:$C$700&amp;$D$3:$D$700,0))</f>
        <v>5.8426924673391563</v>
      </c>
      <c r="W98">
        <f t="array" ref="W98">INDEX(L$3:L$700,MATCH($B98&amp;$C98&amp;"baseline",$B$3:$B$700&amp;$C$3:$C$700&amp;$D$3:$D$700,0))</f>
        <v>57.202771682211207</v>
      </c>
      <c r="X98">
        <f t="array" ref="X98">INDEX(M$3:M$700,MATCH($B98&amp;$C98&amp;"baseline",$B$3:$B$700&amp;$C$3:$C$700&amp;$D$3:$D$700,0))</f>
        <v>6.3657767088535149</v>
      </c>
      <c r="Y98">
        <f t="array" ref="Y98">INDEX(N$3:N$700,MATCH($B98&amp;$C98&amp;"baseline",$B$3:$B$700&amp;$C$3:$C$700&amp;$D$3:$D$700,0))</f>
        <v>0</v>
      </c>
      <c r="Z98">
        <f t="array" ref="Z98">INDEX(O$3:O$700,MATCH($B98&amp;$C98&amp;"baseline",$B$3:$B$700&amp;$C$3:$C$700&amp;$D$3:$D$700,0))</f>
        <v>10.585322923735998</v>
      </c>
      <c r="AA98">
        <f t="array" ref="AA98">INDEX(P$3:P$700,MATCH($B98&amp;$C98&amp;"baseline",$B$3:$B$700&amp;$C$3:$C$700&amp;$D$3:$D$700,0))</f>
        <v>9.1188755003390369</v>
      </c>
      <c r="AB98">
        <f t="array" ref="AB98">INDEX(Q$3:Q$700,MATCH($B98&amp;$C98&amp;"baseline",$B$3:$B$700&amp;$C$3:$C$700&amp;$D$3:$D$700,0))</f>
        <v>0</v>
      </c>
      <c r="AC98">
        <f t="shared" si="13"/>
        <v>543.98768415620748</v>
      </c>
      <c r="AD98">
        <f t="shared" si="14"/>
        <v>50.47287399484901</v>
      </c>
      <c r="AE98">
        <f t="shared" si="15"/>
        <v>19.993593082367383</v>
      </c>
      <c r="AF98">
        <f t="shared" si="16"/>
        <v>12.953687947277453</v>
      </c>
      <c r="AG98">
        <f>(S98+V98+Y98)*constants!$O$2+(R98+T98+U98+W98+X98+Z98+AA98+AB98)*constants!$N$2</f>
        <v>16.907684818049468</v>
      </c>
      <c r="AH98">
        <f>((S98+V98+Y98)-(H98+K98+N98))*constants!$O$2</f>
        <v>0.81766055871655396</v>
      </c>
      <c r="AI98">
        <f>((R98+T98+U98+W98+X98+Z98+AA98+AB98)-(G98+I98+J98+L98+M98+O98+P98+Q98))*constants!$N$2</f>
        <v>2.2592760183075145</v>
      </c>
      <c r="AJ98">
        <f t="shared" si="17"/>
        <v>18.198450054731001</v>
      </c>
      <c r="AK98">
        <f t="shared" si="18"/>
        <v>3.0769365770240684</v>
      </c>
      <c r="AL98">
        <f>COUNTIFS($B:$B,$B98,$AK:$AK,"&lt;"&amp;$AK98)+COUNTIFS($B$2:$B98,$B98,$AK$2:$AK98,$AK98)</f>
        <v>62</v>
      </c>
      <c r="AM98" s="191">
        <f>IF(AK98=0, "NA",IF(((sim_annual_output!F98/E98)/AK98)&lt;0,100,((sim_annual_output!F98/E98)/AK98)))</f>
        <v>11.405695169655598</v>
      </c>
      <c r="AN98">
        <f>(S98+V98)*constants!$F$2+(T98+U98+W98+X98+Y98+Z98+AA98+AB98)*constants!$G$2</f>
        <v>155159.98632440294</v>
      </c>
      <c r="AO98">
        <f>(AD98*constants!$F$2+AE98*constants!$G$2)</f>
        <v>26429.070426737599</v>
      </c>
      <c r="AP98">
        <f t="shared" si="19"/>
        <v>17.033431784068764</v>
      </c>
    </row>
    <row r="99" spans="1:42">
      <c r="A99">
        <f>sim_annual_output!B99</f>
        <v>5</v>
      </c>
      <c r="B99" t="str">
        <f>sim_annual_output!C99</f>
        <v>Hangar</v>
      </c>
      <c r="C99" t="str">
        <f>sim_annual_output!D99</f>
        <v>1959-pre</v>
      </c>
      <c r="D99" t="str">
        <f>sim_annual_output!E99</f>
        <v>envelope_ecm_roof</v>
      </c>
      <c r="E99" s="45">
        <f t="array" ref="E99">IFERROR(INDEX(baseline!$J$3:$J$201,MATCH($B99&amp;$C99,baseline!$C$3:$C$201&amp;baseline!$D$3:$D$201,0)),"NA")</f>
        <v>6423</v>
      </c>
      <c r="F99">
        <f>sim_annual_output!G99</f>
        <v>6276.5798484957804</v>
      </c>
      <c r="G99">
        <f>$E99/$F99^2*sim_annual_output!I99</f>
        <v>0</v>
      </c>
      <c r="H99">
        <f>$E99/$F99^2*sim_annual_output!J99</f>
        <v>418.8659335859731</v>
      </c>
      <c r="I99">
        <f>$E99/$F99^2*sim_annual_output!K99</f>
        <v>0.39537016696280008</v>
      </c>
      <c r="J99">
        <f>$E99/$F99^2*sim_annual_output!L99</f>
        <v>0</v>
      </c>
      <c r="K99">
        <f>$E99/$F99^2*sim_annual_output!M99</f>
        <v>5.8426924673391563</v>
      </c>
      <c r="L99">
        <f>$E99/$F99^2*sim_annual_output!N99</f>
        <v>57.202771682211207</v>
      </c>
      <c r="M99">
        <f>$E99/$F99^2*sim_annual_output!O99</f>
        <v>6.3657767088535149</v>
      </c>
      <c r="N99">
        <f>$E99/$F99^2*sim_annual_output!P99</f>
        <v>0</v>
      </c>
      <c r="O99">
        <f>$E99/$F99^2*sim_annual_output!Q99</f>
        <v>10.088959002783845</v>
      </c>
      <c r="P99">
        <f>$E99/$F99^2*sim_annual_output!R99</f>
        <v>8.5541256742192058</v>
      </c>
      <c r="Q99">
        <f>$E99/$F99^2*sim_annual_output!S99</f>
        <v>0</v>
      </c>
      <c r="R99">
        <f t="array" ref="R99">INDEX(G$3:G$700,MATCH($B99&amp;$C99&amp;"baseline",$B$3:$B$700&amp;$C$3:$C$700&amp;$D$3:$D$700,0))</f>
        <v>0</v>
      </c>
      <c r="S99">
        <f t="array" ref="S99">INDEX(H$3:H$700,MATCH($B99&amp;$C99&amp;"baseline",$B$3:$B$700&amp;$C$3:$C$700&amp;$D$3:$D$700,0))</f>
        <v>454.51808740458199</v>
      </c>
      <c r="T99">
        <f t="array" ref="T99">INDEX(I$3:I$700,MATCH($B99&amp;$C99&amp;"baseline",$B$3:$B$700&amp;$C$3:$C$700&amp;$D$3:$D$700,0))</f>
        <v>0.35415746914651736</v>
      </c>
      <c r="U99">
        <f t="array" ref="U99">INDEX(J$3:J$700,MATCH($B99&amp;$C99&amp;"baseline",$B$3:$B$700&amp;$C$3:$C$700&amp;$D$3:$D$700,0))</f>
        <v>0</v>
      </c>
      <c r="V99">
        <f t="array" ref="V99">INDEX(K$3:K$700,MATCH($B99&amp;$C99&amp;"baseline",$B$3:$B$700&amp;$C$3:$C$700&amp;$D$3:$D$700,0))</f>
        <v>5.8426924673391563</v>
      </c>
      <c r="W99">
        <f t="array" ref="W99">INDEX(L$3:L$700,MATCH($B99&amp;$C99&amp;"baseline",$B$3:$B$700&amp;$C$3:$C$700&amp;$D$3:$D$700,0))</f>
        <v>57.202771682211207</v>
      </c>
      <c r="X99">
        <f t="array" ref="X99">INDEX(M$3:M$700,MATCH($B99&amp;$C99&amp;"baseline",$B$3:$B$700&amp;$C$3:$C$700&amp;$D$3:$D$700,0))</f>
        <v>6.3657767088535149</v>
      </c>
      <c r="Y99">
        <f t="array" ref="Y99">INDEX(N$3:N$700,MATCH($B99&amp;$C99&amp;"baseline",$B$3:$B$700&amp;$C$3:$C$700&amp;$D$3:$D$700,0))</f>
        <v>0</v>
      </c>
      <c r="Z99">
        <f t="array" ref="Z99">INDEX(O$3:O$700,MATCH($B99&amp;$C99&amp;"baseline",$B$3:$B$700&amp;$C$3:$C$700&amp;$D$3:$D$700,0))</f>
        <v>10.585322923735998</v>
      </c>
      <c r="AA99">
        <f t="array" ref="AA99">INDEX(P$3:P$700,MATCH($B99&amp;$C99&amp;"baseline",$B$3:$B$700&amp;$C$3:$C$700&amp;$D$3:$D$700,0))</f>
        <v>9.1188755003390369</v>
      </c>
      <c r="AB99">
        <f t="array" ref="AB99">INDEX(Q$3:Q$700,MATCH($B99&amp;$C99&amp;"baseline",$B$3:$B$700&amp;$C$3:$C$700&amp;$D$3:$D$700,0))</f>
        <v>0</v>
      </c>
      <c r="AC99">
        <f t="shared" si="13"/>
        <v>543.98768415620748</v>
      </c>
      <c r="AD99">
        <f t="shared" si="14"/>
        <v>35.652153818608895</v>
      </c>
      <c r="AE99">
        <f t="shared" si="15"/>
        <v>1.0199010492556937</v>
      </c>
      <c r="AF99">
        <f t="shared" si="16"/>
        <v>6.7413391765932165</v>
      </c>
      <c r="AG99">
        <f>(S99+V99+Y99)*constants!$O$2+(R99+T99+U99+W99+X99+Z99+AA99+AB99)*constants!$N$2</f>
        <v>16.907684818049468</v>
      </c>
      <c r="AH99">
        <f>((S99+V99+Y99)-(H99+K99+N99))*constants!$O$2</f>
        <v>0.57756489186146409</v>
      </c>
      <c r="AI99">
        <f>((R99+T99+U99+W99+X99+Z99+AA99+AB99)-(G99+I99+J99+L99+M99+O99+P99+Q99))*constants!$N$2</f>
        <v>0.11524881856589339</v>
      </c>
      <c r="AJ99">
        <f t="shared" si="17"/>
        <v>4.0976261261255464</v>
      </c>
      <c r="AK99">
        <f t="shared" si="18"/>
        <v>0.69281371042735751</v>
      </c>
      <c r="AL99">
        <f>COUNTIFS($B:$B,$B99,$AK:$AK,"&lt;"&amp;$AK99)+COUNTIFS($B$2:$B99,$B99,$AK$2:$AK99,$AK99)</f>
        <v>42</v>
      </c>
      <c r="AM99" s="191">
        <f>IF(AK99=0, "NA",IF(((sim_annual_output!F99/E99)/AK99)&lt;0,100,((sim_annual_output!F99/E99)/AK99)))</f>
        <v>250.91084649201977</v>
      </c>
      <c r="AN99">
        <f>(S99+V99)*constants!$F$2+(T99+U99+W99+X99+Y99+Z99+AA99+AB99)*constants!$G$2</f>
        <v>155159.98632440294</v>
      </c>
      <c r="AO99">
        <f>(AD99*constants!$F$2+AE99*constants!$G$2)</f>
        <v>7269.0494463834457</v>
      </c>
      <c r="AP99">
        <f t="shared" si="19"/>
        <v>4.6848737348981055</v>
      </c>
    </row>
    <row r="100" spans="1:42">
      <c r="A100">
        <f>sim_annual_output!B100</f>
        <v>5</v>
      </c>
      <c r="B100" t="str">
        <f>sim_annual_output!C100</f>
        <v>Hangar</v>
      </c>
      <c r="C100" t="str">
        <f>sim_annual_output!D100</f>
        <v>1959-pre</v>
      </c>
      <c r="D100" t="str">
        <f>sim_annual_output!E100</f>
        <v>envelope_ecm_wall</v>
      </c>
      <c r="E100" s="45">
        <f t="array" ref="E100">IFERROR(INDEX(baseline!$J$3:$J$201,MATCH($B100&amp;$C100,baseline!$C$3:$C$201&amp;baseline!$D$3:$D$201,0)),"NA")</f>
        <v>6423</v>
      </c>
      <c r="F100">
        <f>sim_annual_output!G100</f>
        <v>6276.5798484957804</v>
      </c>
      <c r="G100">
        <f>$E100/$F100^2*sim_annual_output!I100</f>
        <v>0</v>
      </c>
      <c r="H100">
        <f>$E100/$F100^2*sim_annual_output!J100</f>
        <v>432.81484669302262</v>
      </c>
      <c r="I100">
        <f>$E100/$F100^2*sim_annual_output!K100</f>
        <v>0.41439141210877672</v>
      </c>
      <c r="J100">
        <f>$E100/$F100^2*sim_annual_output!L100</f>
        <v>0</v>
      </c>
      <c r="K100">
        <f>$E100/$F100^2*sim_annual_output!M100</f>
        <v>5.8426924673391563</v>
      </c>
      <c r="L100">
        <f>$E100/$F100^2*sim_annual_output!N100</f>
        <v>57.202771682211207</v>
      </c>
      <c r="M100">
        <f>$E100/$F100^2*sim_annual_output!O100</f>
        <v>6.3657767088535149</v>
      </c>
      <c r="N100">
        <f>$E100/$F100^2*sim_annual_output!P100</f>
        <v>0</v>
      </c>
      <c r="O100">
        <f>$E100/$F100^2*sim_annual_output!Q100</f>
        <v>9.9331659473025127</v>
      </c>
      <c r="P100">
        <f>$E100/$F100^2*sim_annual_output!R100</f>
        <v>8.4078432413108626</v>
      </c>
      <c r="Q100">
        <f>$E100/$F100^2*sim_annual_output!S100</f>
        <v>0</v>
      </c>
      <c r="R100">
        <f t="array" ref="R100">INDEX(G$3:G$700,MATCH($B100&amp;$C100&amp;"baseline",$B$3:$B$700&amp;$C$3:$C$700&amp;$D$3:$D$700,0))</f>
        <v>0</v>
      </c>
      <c r="S100">
        <f t="array" ref="S100">INDEX(H$3:H$700,MATCH($B100&amp;$C100&amp;"baseline",$B$3:$B$700&amp;$C$3:$C$700&amp;$D$3:$D$700,0))</f>
        <v>454.51808740458199</v>
      </c>
      <c r="T100">
        <f t="array" ref="T100">INDEX(I$3:I$700,MATCH($B100&amp;$C100&amp;"baseline",$B$3:$B$700&amp;$C$3:$C$700&amp;$D$3:$D$700,0))</f>
        <v>0.35415746914651736</v>
      </c>
      <c r="U100">
        <f t="array" ref="U100">INDEX(J$3:J$700,MATCH($B100&amp;$C100&amp;"baseline",$B$3:$B$700&amp;$C$3:$C$700&amp;$D$3:$D$700,0))</f>
        <v>0</v>
      </c>
      <c r="V100">
        <f t="array" ref="V100">INDEX(K$3:K$700,MATCH($B100&amp;$C100&amp;"baseline",$B$3:$B$700&amp;$C$3:$C$700&amp;$D$3:$D$700,0))</f>
        <v>5.8426924673391563</v>
      </c>
      <c r="W100">
        <f t="array" ref="W100">INDEX(L$3:L$700,MATCH($B100&amp;$C100&amp;"baseline",$B$3:$B$700&amp;$C$3:$C$700&amp;$D$3:$D$700,0))</f>
        <v>57.202771682211207</v>
      </c>
      <c r="X100">
        <f t="array" ref="X100">INDEX(M$3:M$700,MATCH($B100&amp;$C100&amp;"baseline",$B$3:$B$700&amp;$C$3:$C$700&amp;$D$3:$D$700,0))</f>
        <v>6.3657767088535149</v>
      </c>
      <c r="Y100">
        <f t="array" ref="Y100">INDEX(N$3:N$700,MATCH($B100&amp;$C100&amp;"baseline",$B$3:$B$700&amp;$C$3:$C$700&amp;$D$3:$D$700,0))</f>
        <v>0</v>
      </c>
      <c r="Z100">
        <f t="array" ref="Z100">INDEX(O$3:O$700,MATCH($B100&amp;$C100&amp;"baseline",$B$3:$B$700&amp;$C$3:$C$700&amp;$D$3:$D$700,0))</f>
        <v>10.585322923735998</v>
      </c>
      <c r="AA100">
        <f t="array" ref="AA100">INDEX(P$3:P$700,MATCH($B100&amp;$C100&amp;"baseline",$B$3:$B$700&amp;$C$3:$C$700&amp;$D$3:$D$700,0))</f>
        <v>9.1188755003390369</v>
      </c>
      <c r="AB100">
        <f t="array" ref="AB100">INDEX(Q$3:Q$700,MATCH($B100&amp;$C100&amp;"baseline",$B$3:$B$700&amp;$C$3:$C$700&amp;$D$3:$D$700,0))</f>
        <v>0</v>
      </c>
      <c r="AC100">
        <f t="shared" si="13"/>
        <v>543.98768415620748</v>
      </c>
      <c r="AD100">
        <f t="shared" si="14"/>
        <v>21.703240711559374</v>
      </c>
      <c r="AE100">
        <f t="shared" si="15"/>
        <v>1.3029552924993908</v>
      </c>
      <c r="AF100">
        <f t="shared" si="16"/>
        <v>4.2291758938888906</v>
      </c>
      <c r="AG100">
        <f>(S100+V100+Y100)*constants!$O$2+(R100+T100+U100+W100+X100+Z100+AA100+AB100)*constants!$N$2</f>
        <v>16.907684818049468</v>
      </c>
      <c r="AH100">
        <f>((S100+V100+Y100)-(H100+K100+N100))*constants!$O$2</f>
        <v>0.35159249952726185</v>
      </c>
      <c r="AI100">
        <f>((R100+T100+U100+W100+X100+Z100+AA100+AB100)-(G100+I100+J100+L100+M100+O100+P100+Q100))*constants!$N$2</f>
        <v>0.14723394805243117</v>
      </c>
      <c r="AJ100">
        <f t="shared" si="17"/>
        <v>2.9502942179711122</v>
      </c>
      <c r="AK100">
        <f t="shared" si="18"/>
        <v>0.49882644757969302</v>
      </c>
      <c r="AL100">
        <f>COUNTIFS($B:$B,$B100,$AK:$AK,"&lt;"&amp;$AK100)+COUNTIFS($B$2:$B100,$B100,$AK$2:$AK100,$AK100)</f>
        <v>40</v>
      </c>
      <c r="AM100" s="191">
        <f>IF(AK100=0, "NA",IF(((sim_annual_output!F100/E100)/AK100)&lt;0,100,((sim_annual_output!F100/E100)/AK100)))</f>
        <v>279.58433768196113</v>
      </c>
      <c r="AN100">
        <f>(S100+V100)*constants!$F$2+(T100+U100+W100+X100+Y100+Z100+AA100+AB100)*constants!$G$2</f>
        <v>155159.98632440294</v>
      </c>
      <c r="AO100">
        <f>(AD100*constants!$F$2+AE100*constants!$G$2)</f>
        <v>5018.4511918435983</v>
      </c>
      <c r="AP100">
        <f t="shared" si="19"/>
        <v>3.2343720251116808</v>
      </c>
    </row>
    <row r="101" spans="1:42">
      <c r="A101">
        <f>sim_annual_output!B101</f>
        <v>5</v>
      </c>
      <c r="B101" t="str">
        <f>sim_annual_output!C101</f>
        <v>Hangar</v>
      </c>
      <c r="C101" t="str">
        <f>sim_annual_output!D101</f>
        <v>1959-pre</v>
      </c>
      <c r="D101" t="str">
        <f>sim_annual_output!E101</f>
        <v>envelope_ecm_windows</v>
      </c>
      <c r="E101" s="45">
        <f t="array" ref="E101">IFERROR(INDEX(baseline!$J$3:$J$201,MATCH($B101&amp;$C101,baseline!$C$3:$C$201&amp;baseline!$D$3:$D$201,0)),"NA")</f>
        <v>6423</v>
      </c>
      <c r="F101">
        <f>sim_annual_output!G101</f>
        <v>6276.5798484957804</v>
      </c>
      <c r="G101">
        <f>$E101/$F101^2*sim_annual_output!I101</f>
        <v>0</v>
      </c>
      <c r="H101">
        <f>$E101/$F101^2*sim_annual_output!J101</f>
        <v>445.82945435397335</v>
      </c>
      <c r="I101">
        <f>$E101/$F101^2*sim_annual_output!K101</f>
        <v>0.4311482233088037</v>
      </c>
      <c r="J101">
        <f>$E101/$F101^2*sim_annual_output!L101</f>
        <v>0</v>
      </c>
      <c r="K101">
        <f>$E101/$F101^2*sim_annual_output!M101</f>
        <v>5.8426924673391563</v>
      </c>
      <c r="L101">
        <f>$E101/$F101^2*sim_annual_output!N101</f>
        <v>57.202771682211207</v>
      </c>
      <c r="M101">
        <f>$E101/$F101^2*sim_annual_output!O101</f>
        <v>6.3657767088535149</v>
      </c>
      <c r="N101">
        <f>$E101/$F101^2*sim_annual_output!P101</f>
        <v>0</v>
      </c>
      <c r="O101">
        <f>$E101/$F101^2*sim_annual_output!Q101</f>
        <v>10.425453887151956</v>
      </c>
      <c r="P101">
        <f>$E101/$F101^2*sim_annual_output!R101</f>
        <v>8.8942436529008368</v>
      </c>
      <c r="Q101">
        <f>$E101/$F101^2*sim_annual_output!S101</f>
        <v>0</v>
      </c>
      <c r="R101">
        <f t="array" ref="R101">INDEX(G$3:G$700,MATCH($B101&amp;$C101&amp;"baseline",$B$3:$B$700&amp;$C$3:$C$700&amp;$D$3:$D$700,0))</f>
        <v>0</v>
      </c>
      <c r="S101">
        <f t="array" ref="S101">INDEX(H$3:H$700,MATCH($B101&amp;$C101&amp;"baseline",$B$3:$B$700&amp;$C$3:$C$700&amp;$D$3:$D$700,0))</f>
        <v>454.51808740458199</v>
      </c>
      <c r="T101">
        <f t="array" ref="T101">INDEX(I$3:I$700,MATCH($B101&amp;$C101&amp;"baseline",$B$3:$B$700&amp;$C$3:$C$700&amp;$D$3:$D$700,0))</f>
        <v>0.35415746914651736</v>
      </c>
      <c r="U101">
        <f t="array" ref="U101">INDEX(J$3:J$700,MATCH($B101&amp;$C101&amp;"baseline",$B$3:$B$700&amp;$C$3:$C$700&amp;$D$3:$D$700,0))</f>
        <v>0</v>
      </c>
      <c r="V101">
        <f t="array" ref="V101">INDEX(K$3:K$700,MATCH($B101&amp;$C101&amp;"baseline",$B$3:$B$700&amp;$C$3:$C$700&amp;$D$3:$D$700,0))</f>
        <v>5.8426924673391563</v>
      </c>
      <c r="W101">
        <f t="array" ref="W101">INDEX(L$3:L$700,MATCH($B101&amp;$C101&amp;"baseline",$B$3:$B$700&amp;$C$3:$C$700&amp;$D$3:$D$700,0))</f>
        <v>57.202771682211207</v>
      </c>
      <c r="X101">
        <f t="array" ref="X101">INDEX(M$3:M$700,MATCH($B101&amp;$C101&amp;"baseline",$B$3:$B$700&amp;$C$3:$C$700&amp;$D$3:$D$700,0))</f>
        <v>6.3657767088535149</v>
      </c>
      <c r="Y101">
        <f t="array" ref="Y101">INDEX(N$3:N$700,MATCH($B101&amp;$C101&amp;"baseline",$B$3:$B$700&amp;$C$3:$C$700&amp;$D$3:$D$700,0))</f>
        <v>0</v>
      </c>
      <c r="Z101">
        <f t="array" ref="Z101">INDEX(O$3:O$700,MATCH($B101&amp;$C101&amp;"baseline",$B$3:$B$700&amp;$C$3:$C$700&amp;$D$3:$D$700,0))</f>
        <v>10.585322923735998</v>
      </c>
      <c r="AA101">
        <f t="array" ref="AA101">INDEX(P$3:P$700,MATCH($B101&amp;$C101&amp;"baseline",$B$3:$B$700&amp;$C$3:$C$700&amp;$D$3:$D$700,0))</f>
        <v>9.1188755003390369</v>
      </c>
      <c r="AB101">
        <f t="array" ref="AB101">INDEX(Q$3:Q$700,MATCH($B101&amp;$C101&amp;"baseline",$B$3:$B$700&amp;$C$3:$C$700&amp;$D$3:$D$700,0))</f>
        <v>0</v>
      </c>
      <c r="AC101">
        <f t="shared" si="13"/>
        <v>543.98768415620748</v>
      </c>
      <c r="AD101">
        <f t="shared" si="14"/>
        <v>8.6886330506086438</v>
      </c>
      <c r="AE101">
        <f t="shared" si="15"/>
        <v>0.30751012985994919</v>
      </c>
      <c r="AF101">
        <f t="shared" si="16"/>
        <v>1.6537402302448685</v>
      </c>
      <c r="AG101">
        <f>(S101+V101+Y101)*constants!$O$2+(R101+T101+U101+W101+X101+Z101+AA101+AB101)*constants!$N$2</f>
        <v>16.907684818049468</v>
      </c>
      <c r="AH101">
        <f>((S101+V101+Y101)-(H101+K101+N101))*constants!$O$2</f>
        <v>0.14075585541986002</v>
      </c>
      <c r="AI101">
        <f>((R101+T101+U101+W101+X101+Z101+AA101+AB101)-(G101+I101+J101+L101+M101+O101+P101+Q101))*constants!$N$2</f>
        <v>3.474864467417426E-2</v>
      </c>
      <c r="AJ101">
        <f t="shared" si="17"/>
        <v>1.0380161564561334</v>
      </c>
      <c r="AK101">
        <f t="shared" si="18"/>
        <v>0.17550450009403429</v>
      </c>
      <c r="AL101">
        <f>COUNTIFS($B:$B,$B101,$AK:$AK,"&lt;"&amp;$AK101)+COUNTIFS($B$2:$B101,$B101,$AK$2:$AK101,$AK101)</f>
        <v>34</v>
      </c>
      <c r="AM101" s="191">
        <f>IF(AK101=0, "NA",IF(((sim_annual_output!F101/E101)/AK101)&lt;0,100,((sim_annual_output!F101/E101)/AK101)))</f>
        <v>166.36876224288048</v>
      </c>
      <c r="AN101">
        <f>(S101+V101)*constants!$F$2+(T101+U101+W101+X101+Y101+Z101+AA101+AB101)*constants!$G$2</f>
        <v>155159.98632440294</v>
      </c>
      <c r="AO101">
        <f>(AD101*constants!$F$2+AE101*constants!$G$2)</f>
        <v>1822.7991290371031</v>
      </c>
      <c r="AP101">
        <f t="shared" si="19"/>
        <v>1.1747868585306911</v>
      </c>
    </row>
    <row r="102" spans="1:42">
      <c r="A102">
        <f>sim_annual_output!B102</f>
        <v>5</v>
      </c>
      <c r="B102" t="str">
        <f>sim_annual_output!C102</f>
        <v>Hangar</v>
      </c>
      <c r="C102" t="str">
        <f>sim_annual_output!D102</f>
        <v>1959-pre</v>
      </c>
      <c r="D102" t="str">
        <f>sim_annual_output!E102</f>
        <v>exhaust_fans_occ_control</v>
      </c>
      <c r="E102" s="45">
        <f t="array" ref="E102">IFERROR(INDEX(baseline!$J$3:$J$201,MATCH($B102&amp;$C102,baseline!$C$3:$C$201&amp;baseline!$D$3:$D$201,0)),"NA")</f>
        <v>6423</v>
      </c>
      <c r="F102">
        <f>sim_annual_output!G102</f>
        <v>6276.5798484957804</v>
      </c>
      <c r="G102">
        <f>$E102/$F102^2*sim_annual_output!I102</f>
        <v>0</v>
      </c>
      <c r="H102">
        <f>$E102/$F102^2*sim_annual_output!J102</f>
        <v>450.83611780846798</v>
      </c>
      <c r="I102">
        <f>$E102/$F102^2*sim_annual_output!K102</f>
        <v>0.44156461946017195</v>
      </c>
      <c r="J102">
        <f>$E102/$F102^2*sim_annual_output!L102</f>
        <v>0</v>
      </c>
      <c r="K102">
        <f>$E102/$F102^2*sim_annual_output!M102</f>
        <v>5.8426924673391563</v>
      </c>
      <c r="L102">
        <f>$E102/$F102^2*sim_annual_output!N102</f>
        <v>57.202771682211207</v>
      </c>
      <c r="M102">
        <f>$E102/$F102^2*sim_annual_output!O102</f>
        <v>6.3657767088535149</v>
      </c>
      <c r="N102">
        <f>$E102/$F102^2*sim_annual_output!P102</f>
        <v>0</v>
      </c>
      <c r="O102">
        <f>$E102/$F102^2*sim_annual_output!Q102</f>
        <v>9.7619747409887232</v>
      </c>
      <c r="P102">
        <f>$E102/$F102^2*sim_annual_output!R102</f>
        <v>9.1166110663930873</v>
      </c>
      <c r="Q102">
        <f>$E102/$F102^2*sim_annual_output!S102</f>
        <v>0</v>
      </c>
      <c r="R102">
        <f t="array" ref="R102">INDEX(G$3:G$700,MATCH($B102&amp;$C102&amp;"baseline",$B$3:$B$700&amp;$C$3:$C$700&amp;$D$3:$D$700,0))</f>
        <v>0</v>
      </c>
      <c r="S102">
        <f t="array" ref="S102">INDEX(H$3:H$700,MATCH($B102&amp;$C102&amp;"baseline",$B$3:$B$700&amp;$C$3:$C$700&amp;$D$3:$D$700,0))</f>
        <v>454.51808740458199</v>
      </c>
      <c r="T102">
        <f t="array" ref="T102">INDEX(I$3:I$700,MATCH($B102&amp;$C102&amp;"baseline",$B$3:$B$700&amp;$C$3:$C$700&amp;$D$3:$D$700,0))</f>
        <v>0.35415746914651736</v>
      </c>
      <c r="U102">
        <f t="array" ref="U102">INDEX(J$3:J$700,MATCH($B102&amp;$C102&amp;"baseline",$B$3:$B$700&amp;$C$3:$C$700&amp;$D$3:$D$700,0))</f>
        <v>0</v>
      </c>
      <c r="V102">
        <f t="array" ref="V102">INDEX(K$3:K$700,MATCH($B102&amp;$C102&amp;"baseline",$B$3:$B$700&amp;$C$3:$C$700&amp;$D$3:$D$700,0))</f>
        <v>5.8426924673391563</v>
      </c>
      <c r="W102">
        <f t="array" ref="W102">INDEX(L$3:L$700,MATCH($B102&amp;$C102&amp;"baseline",$B$3:$B$700&amp;$C$3:$C$700&amp;$D$3:$D$700,0))</f>
        <v>57.202771682211207</v>
      </c>
      <c r="X102">
        <f t="array" ref="X102">INDEX(M$3:M$700,MATCH($B102&amp;$C102&amp;"baseline",$B$3:$B$700&amp;$C$3:$C$700&amp;$D$3:$D$700,0))</f>
        <v>6.3657767088535149</v>
      </c>
      <c r="Y102">
        <f t="array" ref="Y102">INDEX(N$3:N$700,MATCH($B102&amp;$C102&amp;"baseline",$B$3:$B$700&amp;$C$3:$C$700&amp;$D$3:$D$700,0))</f>
        <v>0</v>
      </c>
      <c r="Z102">
        <f t="array" ref="Z102">INDEX(O$3:O$700,MATCH($B102&amp;$C102&amp;"baseline",$B$3:$B$700&amp;$C$3:$C$700&amp;$D$3:$D$700,0))</f>
        <v>10.585322923735998</v>
      </c>
      <c r="AA102">
        <f t="array" ref="AA102">INDEX(P$3:P$700,MATCH($B102&amp;$C102&amp;"baseline",$B$3:$B$700&amp;$C$3:$C$700&amp;$D$3:$D$700,0))</f>
        <v>9.1188755003390369</v>
      </c>
      <c r="AB102">
        <f t="array" ref="AB102">INDEX(Q$3:Q$700,MATCH($B102&amp;$C102&amp;"baseline",$B$3:$B$700&amp;$C$3:$C$700&amp;$D$3:$D$700,0))</f>
        <v>0</v>
      </c>
      <c r="AC102">
        <f t="shared" si="13"/>
        <v>543.98768415620748</v>
      </c>
      <c r="AD102">
        <f t="shared" si="14"/>
        <v>3.6819695961140155</v>
      </c>
      <c r="AE102">
        <f t="shared" si="15"/>
        <v>0.73820546637956852</v>
      </c>
      <c r="AF102">
        <f t="shared" si="16"/>
        <v>0.81255057627817906</v>
      </c>
      <c r="AG102">
        <f>(S102+V102+Y102)*constants!$O$2+(R102+T102+U102+W102+X102+Z102+AA102+AB102)*constants!$N$2</f>
        <v>16.907684818049468</v>
      </c>
      <c r="AH102">
        <f>((S102+V102+Y102)-(H102+K102+N102))*constants!$O$2</f>
        <v>5.9647907457047046E-2</v>
      </c>
      <c r="AI102">
        <f>((R102+T102+U102+W102+X102+Z102+AA102+AB102)-(G102+I102+J102+L102+M102+O102+P102+Q102))*constants!$N$2</f>
        <v>8.341721770089125E-2</v>
      </c>
      <c r="AJ102">
        <f t="shared" si="17"/>
        <v>0.84615443626682652</v>
      </c>
      <c r="AK102">
        <f t="shared" si="18"/>
        <v>0.14306512515793829</v>
      </c>
      <c r="AL102">
        <f>COUNTIFS($B:$B,$B102,$AK:$AK,"&lt;"&amp;$AK102)+COUNTIFS($B$2:$B102,$B102,$AK$2:$AK102,$AK102)</f>
        <v>30</v>
      </c>
      <c r="AM102" s="191">
        <f>IF(AK102=0, "NA",IF(((sim_annual_output!F102/E102)/AK102)&lt;0,100,((sim_annual_output!F102/E102)/AK102)))</f>
        <v>3.9821427084347003</v>
      </c>
      <c r="AN102">
        <f>(S102+V102)*constants!$F$2+(T102+U102+W102+X102+Y102+Z102+AA102+AB102)*constants!$G$2</f>
        <v>155159.98632440294</v>
      </c>
      <c r="AO102">
        <f>(AD102*constants!$F$2+AE102*constants!$G$2)</f>
        <v>1301.3113134546334</v>
      </c>
      <c r="AP102">
        <f t="shared" si="19"/>
        <v>0.83869001556490108</v>
      </c>
    </row>
    <row r="103" spans="1:42">
      <c r="A103">
        <f>sim_annual_output!B103</f>
        <v>5</v>
      </c>
      <c r="B103" t="str">
        <f>sim_annual_output!C103</f>
        <v>Hangar</v>
      </c>
      <c r="C103" t="str">
        <f>sim_annual_output!D103</f>
        <v>1959-pre</v>
      </c>
      <c r="D103" t="str">
        <f>sim_annual_output!E103</f>
        <v>fans_to_variable</v>
      </c>
      <c r="E103" s="45">
        <f t="array" ref="E103">IFERROR(INDEX(baseline!$J$3:$J$201,MATCH($B103&amp;$C103,baseline!$C$3:$C$201&amp;baseline!$D$3:$D$201,0)),"NA")</f>
        <v>6423</v>
      </c>
      <c r="F103">
        <f>sim_annual_output!G103</f>
        <v>6276.5798484957804</v>
      </c>
      <c r="G103">
        <f>$E103/$F103^2*sim_annual_output!I103</f>
        <v>0</v>
      </c>
      <c r="H103">
        <f>$E103/$F103^2*sim_annual_output!J103</f>
        <v>450.98466467532222</v>
      </c>
      <c r="I103">
        <f>$E103/$F103^2*sim_annual_output!K103</f>
        <v>0.43794152514665258</v>
      </c>
      <c r="J103">
        <f>$E103/$F103^2*sim_annual_output!L103</f>
        <v>0</v>
      </c>
      <c r="K103">
        <f>$E103/$F103^2*sim_annual_output!M103</f>
        <v>5.8426924673391563</v>
      </c>
      <c r="L103">
        <f>$E103/$F103^2*sim_annual_output!N103</f>
        <v>57.202771682211207</v>
      </c>
      <c r="M103">
        <f>$E103/$F103^2*sim_annual_output!O103</f>
        <v>6.3657767088535149</v>
      </c>
      <c r="N103">
        <f>$E103/$F103^2*sim_annual_output!P103</f>
        <v>0</v>
      </c>
      <c r="O103">
        <f>$E103/$F103^2*sim_annual_output!Q103</f>
        <v>10.531882282611587</v>
      </c>
      <c r="P103">
        <f>$E103/$F103^2*sim_annual_output!R103</f>
        <v>9.1170639531822761</v>
      </c>
      <c r="Q103">
        <f>$E103/$F103^2*sim_annual_output!S103</f>
        <v>0</v>
      </c>
      <c r="R103">
        <f t="array" ref="R103">INDEX(G$3:G$700,MATCH($B103&amp;$C103&amp;"baseline",$B$3:$B$700&amp;$C$3:$C$700&amp;$D$3:$D$700,0))</f>
        <v>0</v>
      </c>
      <c r="S103">
        <f t="array" ref="S103">INDEX(H$3:H$700,MATCH($B103&amp;$C103&amp;"baseline",$B$3:$B$700&amp;$C$3:$C$700&amp;$D$3:$D$700,0))</f>
        <v>454.51808740458199</v>
      </c>
      <c r="T103">
        <f t="array" ref="T103">INDEX(I$3:I$700,MATCH($B103&amp;$C103&amp;"baseline",$B$3:$B$700&amp;$C$3:$C$700&amp;$D$3:$D$700,0))</f>
        <v>0.35415746914651736</v>
      </c>
      <c r="U103">
        <f t="array" ref="U103">INDEX(J$3:J$700,MATCH($B103&amp;$C103&amp;"baseline",$B$3:$B$700&amp;$C$3:$C$700&amp;$D$3:$D$700,0))</f>
        <v>0</v>
      </c>
      <c r="V103">
        <f t="array" ref="V103">INDEX(K$3:K$700,MATCH($B103&amp;$C103&amp;"baseline",$B$3:$B$700&amp;$C$3:$C$700&amp;$D$3:$D$700,0))</f>
        <v>5.8426924673391563</v>
      </c>
      <c r="W103">
        <f t="array" ref="W103">INDEX(L$3:L$700,MATCH($B103&amp;$C103&amp;"baseline",$B$3:$B$700&amp;$C$3:$C$700&amp;$D$3:$D$700,0))</f>
        <v>57.202771682211207</v>
      </c>
      <c r="X103">
        <f t="array" ref="X103">INDEX(M$3:M$700,MATCH($B103&amp;$C103&amp;"baseline",$B$3:$B$700&amp;$C$3:$C$700&amp;$D$3:$D$700,0))</f>
        <v>6.3657767088535149</v>
      </c>
      <c r="Y103">
        <f t="array" ref="Y103">INDEX(N$3:N$700,MATCH($B103&amp;$C103&amp;"baseline",$B$3:$B$700&amp;$C$3:$C$700&amp;$D$3:$D$700,0))</f>
        <v>0</v>
      </c>
      <c r="Z103">
        <f t="array" ref="Z103">INDEX(O$3:O$700,MATCH($B103&amp;$C103&amp;"baseline",$B$3:$B$700&amp;$C$3:$C$700&amp;$D$3:$D$700,0))</f>
        <v>10.585322923735998</v>
      </c>
      <c r="AA103">
        <f t="array" ref="AA103">INDEX(P$3:P$700,MATCH($B103&amp;$C103&amp;"baseline",$B$3:$B$700&amp;$C$3:$C$700&amp;$D$3:$D$700,0))</f>
        <v>9.1188755003390369</v>
      </c>
      <c r="AB103">
        <f t="array" ref="AB103">INDEX(Q$3:Q$700,MATCH($B103&amp;$C103&amp;"baseline",$B$3:$B$700&amp;$C$3:$C$700&amp;$D$3:$D$700,0))</f>
        <v>0</v>
      </c>
      <c r="AC103">
        <f t="shared" si="13"/>
        <v>543.98768415620748</v>
      </c>
      <c r="AD103">
        <f t="shared" si="14"/>
        <v>3.5334227292597689</v>
      </c>
      <c r="AE103">
        <f t="shared" si="15"/>
        <v>-2.8531867718982085E-2</v>
      </c>
      <c r="AF103">
        <f t="shared" si="16"/>
        <v>0.64429599485828593</v>
      </c>
      <c r="AG103">
        <f>(S103+V103+Y103)*constants!$O$2+(R103+T103+U103+W103+X103+Z103+AA103+AB103)*constants!$N$2</f>
        <v>16.907684818049468</v>
      </c>
      <c r="AH103">
        <f>((S103+V103+Y103)-(H103+K103+N103))*constants!$O$2</f>
        <v>5.7241448214008249E-2</v>
      </c>
      <c r="AI103">
        <f>((R103+T103+U103+W103+X103+Z103+AA103+AB103)-(G103+I103+J103+L103+M103+O103+P103+Q103))*constants!$N$2</f>
        <v>-3.2241010522449758E-3</v>
      </c>
      <c r="AJ103">
        <f t="shared" si="17"/>
        <v>0.31948399643751413</v>
      </c>
      <c r="AK103">
        <f t="shared" si="18"/>
        <v>5.4017347161763277E-2</v>
      </c>
      <c r="AL103">
        <f>COUNTIFS($B:$B,$B103,$AK:$AK,"&lt;"&amp;$AK103)+COUNTIFS($B$2:$B103,$B103,$AK$2:$AK103,$AK103)</f>
        <v>20</v>
      </c>
      <c r="AM103" s="191">
        <f>IF(AK103=0, "NA",IF(((sim_annual_output!F103/E103)/AK103)&lt;0,100,((sim_annual_output!F103/E103)/AK103)))</f>
        <v>6.3101265721077526</v>
      </c>
      <c r="AN103">
        <f>(S103+V103)*constants!$F$2+(T103+U103+W103+X103+Y103+Z103+AA103+AB103)*constants!$G$2</f>
        <v>155159.98632440294</v>
      </c>
      <c r="AO103">
        <f>(AD103*constants!$F$2+AE103*constants!$G$2)</f>
        <v>607.65994362198421</v>
      </c>
      <c r="AP103">
        <f t="shared" si="19"/>
        <v>0.39163444004919579</v>
      </c>
    </row>
    <row r="104" spans="1:42">
      <c r="A104">
        <f>sim_annual_output!B104</f>
        <v>5</v>
      </c>
      <c r="B104" t="str">
        <f>sim_annual_output!C104</f>
        <v>Hangar</v>
      </c>
      <c r="C104" t="str">
        <f>sim_annual_output!D104</f>
        <v>1959-pre</v>
      </c>
      <c r="D104" t="str">
        <f>sim_annual_output!E104</f>
        <v>hrv_enabled</v>
      </c>
      <c r="E104" s="45">
        <f t="array" ref="E104">IFERROR(INDEX(baseline!$J$3:$J$201,MATCH($B104&amp;$C104,baseline!$C$3:$C$201&amp;baseline!$D$3:$D$201,0)),"NA")</f>
        <v>6423</v>
      </c>
      <c r="F104">
        <f>sim_annual_output!G104</f>
        <v>6276.5798484957804</v>
      </c>
      <c r="G104">
        <f>$E104/$F104^2*sim_annual_output!I104</f>
        <v>0</v>
      </c>
      <c r="H104">
        <f>$E104/$F104^2*sim_annual_output!J104</f>
        <v>398.1327763768586</v>
      </c>
      <c r="I104">
        <f>$E104/$F104^2*sim_annual_output!K104</f>
        <v>0.6204549011901902</v>
      </c>
      <c r="J104">
        <f>$E104/$F104^2*sim_annual_output!L104</f>
        <v>0</v>
      </c>
      <c r="K104">
        <f>$E104/$F104^2*sim_annual_output!M104</f>
        <v>5.8426924673391563</v>
      </c>
      <c r="L104">
        <f>$E104/$F104^2*sim_annual_output!N104</f>
        <v>57.202771682211207</v>
      </c>
      <c r="M104">
        <f>$E104/$F104^2*sim_annual_output!O104</f>
        <v>6.3657767088535149</v>
      </c>
      <c r="N104">
        <f>$E104/$F104^2*sim_annual_output!P104</f>
        <v>0</v>
      </c>
      <c r="O104">
        <f>$E104/$F104^2*sim_annual_output!Q104</f>
        <v>10.627894281919851</v>
      </c>
      <c r="P104">
        <f>$E104/$F104^2*sim_annual_output!R104</f>
        <v>8.8725050870197197</v>
      </c>
      <c r="Q104">
        <f>$E104/$F104^2*sim_annual_output!S104</f>
        <v>1.4284049331050073</v>
      </c>
      <c r="R104">
        <f t="array" ref="R104">INDEX(G$3:G$700,MATCH($B104&amp;$C104&amp;"baseline",$B$3:$B$700&amp;$C$3:$C$700&amp;$D$3:$D$700,0))</f>
        <v>0</v>
      </c>
      <c r="S104">
        <f t="array" ref="S104">INDEX(H$3:H$700,MATCH($B104&amp;$C104&amp;"baseline",$B$3:$B$700&amp;$C$3:$C$700&amp;$D$3:$D$700,0))</f>
        <v>454.51808740458199</v>
      </c>
      <c r="T104">
        <f t="array" ref="T104">INDEX(I$3:I$700,MATCH($B104&amp;$C104&amp;"baseline",$B$3:$B$700&amp;$C$3:$C$700&amp;$D$3:$D$700,0))</f>
        <v>0.35415746914651736</v>
      </c>
      <c r="U104">
        <f t="array" ref="U104">INDEX(J$3:J$700,MATCH($B104&amp;$C104&amp;"baseline",$B$3:$B$700&amp;$C$3:$C$700&amp;$D$3:$D$700,0))</f>
        <v>0</v>
      </c>
      <c r="V104">
        <f t="array" ref="V104">INDEX(K$3:K$700,MATCH($B104&amp;$C104&amp;"baseline",$B$3:$B$700&amp;$C$3:$C$700&amp;$D$3:$D$700,0))</f>
        <v>5.8426924673391563</v>
      </c>
      <c r="W104">
        <f t="array" ref="W104">INDEX(L$3:L$700,MATCH($B104&amp;$C104&amp;"baseline",$B$3:$B$700&amp;$C$3:$C$700&amp;$D$3:$D$700,0))</f>
        <v>57.202771682211207</v>
      </c>
      <c r="X104">
        <f t="array" ref="X104">INDEX(M$3:M$700,MATCH($B104&amp;$C104&amp;"baseline",$B$3:$B$700&amp;$C$3:$C$700&amp;$D$3:$D$700,0))</f>
        <v>6.3657767088535149</v>
      </c>
      <c r="Y104">
        <f t="array" ref="Y104">INDEX(N$3:N$700,MATCH($B104&amp;$C104&amp;"baseline",$B$3:$B$700&amp;$C$3:$C$700&amp;$D$3:$D$700,0))</f>
        <v>0</v>
      </c>
      <c r="Z104">
        <f t="array" ref="Z104">INDEX(O$3:O$700,MATCH($B104&amp;$C104&amp;"baseline",$B$3:$B$700&amp;$C$3:$C$700&amp;$D$3:$D$700,0))</f>
        <v>10.585322923735998</v>
      </c>
      <c r="AA104">
        <f t="array" ref="AA104">INDEX(P$3:P$700,MATCH($B104&amp;$C104&amp;"baseline",$B$3:$B$700&amp;$C$3:$C$700&amp;$D$3:$D$700,0))</f>
        <v>9.1188755003390369</v>
      </c>
      <c r="AB104">
        <f t="array" ref="AB104">INDEX(Q$3:Q$700,MATCH($B104&amp;$C104&amp;"baseline",$B$3:$B$700&amp;$C$3:$C$700&amp;$D$3:$D$700,0))</f>
        <v>0</v>
      </c>
      <c r="AC104">
        <f t="shared" si="13"/>
        <v>543.98768415620748</v>
      </c>
      <c r="AD104">
        <f t="shared" si="14"/>
        <v>56.38531102772339</v>
      </c>
      <c r="AE104">
        <f t="shared" si="15"/>
        <v>-1.4909033100132234</v>
      </c>
      <c r="AF104">
        <f t="shared" si="16"/>
        <v>10.091112228553154</v>
      </c>
      <c r="AG104">
        <f>(S104+V104+Y104)*constants!$O$2+(R104+T104+U104+W104+X104+Z104+AA104+AB104)*constants!$N$2</f>
        <v>16.907684818049468</v>
      </c>
      <c r="AH104">
        <f>((S104+V104+Y104)-(H104+K104+N104))*constants!$O$2</f>
        <v>0.91344203864911888</v>
      </c>
      <c r="AI104">
        <f>((R104+T104+U104+W104+X104+Z104+AA104+AB104)-(G104+I104+J104+L104+M104+O104+P104+Q104))*constants!$N$2</f>
        <v>-0.16847207403149425</v>
      </c>
      <c r="AJ104">
        <f t="shared" si="17"/>
        <v>4.4061027434243787</v>
      </c>
      <c r="AK104">
        <f t="shared" si="18"/>
        <v>0.74496996461762466</v>
      </c>
      <c r="AL104">
        <f>COUNTIFS($B:$B,$B104,$AK:$AK,"&lt;"&amp;$AK104)+COUNTIFS($B$2:$B104,$B104,$AK$2:$AK104,$AK104)</f>
        <v>43</v>
      </c>
      <c r="AM104" s="191">
        <f>IF(AK104=0, "NA",IF(((sim_annual_output!F104/E104)/AK104)&lt;0,100,((sim_annual_output!F104/E104)/AK104)))</f>
        <v>37.955638095422756</v>
      </c>
      <c r="AN104">
        <f>(S104+V104)*constants!$F$2+(T104+U104+W104+X104+Y104+Z104+AA104+AB104)*constants!$G$2</f>
        <v>155159.98632440294</v>
      </c>
      <c r="AO104">
        <f>(AD104*constants!$F$2+AE104*constants!$G$2)</f>
        <v>8795.8847942509819</v>
      </c>
      <c r="AP104">
        <f t="shared" si="19"/>
        <v>5.66891310228712</v>
      </c>
    </row>
    <row r="105" spans="1:42">
      <c r="A105">
        <f>sim_annual_output!B105</f>
        <v>5</v>
      </c>
      <c r="B105" t="str">
        <f>sim_annual_output!C105</f>
        <v>Hangar</v>
      </c>
      <c r="C105" t="str">
        <f>sim_annual_output!D105</f>
        <v>1959-pre</v>
      </c>
      <c r="D105" t="str">
        <f>sim_annual_output!E105</f>
        <v>infil_reduce</v>
      </c>
      <c r="E105" s="45">
        <f t="array" ref="E105">IFERROR(INDEX(baseline!$J$3:$J$201,MATCH($B105&amp;$C105,baseline!$C$3:$C$201&amp;baseline!$D$3:$D$201,0)),"NA")</f>
        <v>6423</v>
      </c>
      <c r="F105">
        <f>sim_annual_output!G105</f>
        <v>6276.5798484957804</v>
      </c>
      <c r="G105">
        <f>$E105/$F105^2*sim_annual_output!I105</f>
        <v>0</v>
      </c>
      <c r="H105">
        <f>$E105/$F105^2*sim_annual_output!J105</f>
        <v>260.28173682286319</v>
      </c>
      <c r="I105">
        <f>$E105/$F105^2*sim_annual_output!K105</f>
        <v>0.47281380791427641</v>
      </c>
      <c r="J105">
        <f>$E105/$F105^2*sim_annual_output!L105</f>
        <v>0</v>
      </c>
      <c r="K105">
        <f>$E105/$F105^2*sim_annual_output!M105</f>
        <v>5.8426924673391563</v>
      </c>
      <c r="L105">
        <f>$E105/$F105^2*sim_annual_output!N105</f>
        <v>57.202771682211207</v>
      </c>
      <c r="M105">
        <f>$E105/$F105^2*sim_annual_output!O105</f>
        <v>6.3657767088535149</v>
      </c>
      <c r="N105">
        <f>$E105/$F105^2*sim_annual_output!P105</f>
        <v>0</v>
      </c>
      <c r="O105">
        <f>$E105/$F105^2*sim_annual_output!Q105</f>
        <v>7.1859546840764583</v>
      </c>
      <c r="P105">
        <f>$E105/$F105^2*sim_annual_output!R105</f>
        <v>5.4350943570682286</v>
      </c>
      <c r="Q105">
        <f>$E105/$F105^2*sim_annual_output!S105</f>
        <v>0</v>
      </c>
      <c r="R105">
        <f t="array" ref="R105">INDEX(G$3:G$700,MATCH($B105&amp;$C105&amp;"baseline",$B$3:$B$700&amp;$C$3:$C$700&amp;$D$3:$D$700,0))</f>
        <v>0</v>
      </c>
      <c r="S105">
        <f t="array" ref="S105">INDEX(H$3:H$700,MATCH($B105&amp;$C105&amp;"baseline",$B$3:$B$700&amp;$C$3:$C$700&amp;$D$3:$D$700,0))</f>
        <v>454.51808740458199</v>
      </c>
      <c r="T105">
        <f t="array" ref="T105">INDEX(I$3:I$700,MATCH($B105&amp;$C105&amp;"baseline",$B$3:$B$700&amp;$C$3:$C$700&amp;$D$3:$D$700,0))</f>
        <v>0.35415746914651736</v>
      </c>
      <c r="U105">
        <f t="array" ref="U105">INDEX(J$3:J$700,MATCH($B105&amp;$C105&amp;"baseline",$B$3:$B$700&amp;$C$3:$C$700&amp;$D$3:$D$700,0))</f>
        <v>0</v>
      </c>
      <c r="V105">
        <f t="array" ref="V105">INDEX(K$3:K$700,MATCH($B105&amp;$C105&amp;"baseline",$B$3:$B$700&amp;$C$3:$C$700&amp;$D$3:$D$700,0))</f>
        <v>5.8426924673391563</v>
      </c>
      <c r="W105">
        <f t="array" ref="W105">INDEX(L$3:L$700,MATCH($B105&amp;$C105&amp;"baseline",$B$3:$B$700&amp;$C$3:$C$700&amp;$D$3:$D$700,0))</f>
        <v>57.202771682211207</v>
      </c>
      <c r="X105">
        <f t="array" ref="X105">INDEX(M$3:M$700,MATCH($B105&amp;$C105&amp;"baseline",$B$3:$B$700&amp;$C$3:$C$700&amp;$D$3:$D$700,0))</f>
        <v>6.3657767088535149</v>
      </c>
      <c r="Y105">
        <f t="array" ref="Y105">INDEX(N$3:N$700,MATCH($B105&amp;$C105&amp;"baseline",$B$3:$B$700&amp;$C$3:$C$700&amp;$D$3:$D$700,0))</f>
        <v>0</v>
      </c>
      <c r="Z105">
        <f t="array" ref="Z105">INDEX(O$3:O$700,MATCH($B105&amp;$C105&amp;"baseline",$B$3:$B$700&amp;$C$3:$C$700&amp;$D$3:$D$700,0))</f>
        <v>10.585322923735998</v>
      </c>
      <c r="AA105">
        <f t="array" ref="AA105">INDEX(P$3:P$700,MATCH($B105&amp;$C105&amp;"baseline",$B$3:$B$700&amp;$C$3:$C$700&amp;$D$3:$D$700,0))</f>
        <v>9.1188755003390369</v>
      </c>
      <c r="AB105">
        <f t="array" ref="AB105">INDEX(Q$3:Q$700,MATCH($B105&amp;$C105&amp;"baseline",$B$3:$B$700&amp;$C$3:$C$700&amp;$D$3:$D$700,0))</f>
        <v>0</v>
      </c>
      <c r="AC105">
        <f t="shared" si="13"/>
        <v>543.98768415620748</v>
      </c>
      <c r="AD105">
        <f t="shared" si="14"/>
        <v>194.2363505817188</v>
      </c>
      <c r="AE105">
        <f t="shared" si="15"/>
        <v>6.9644930441625803</v>
      </c>
      <c r="AF105">
        <f t="shared" si="16"/>
        <v>36.986286543962642</v>
      </c>
      <c r="AG105">
        <f>(S105+V105+Y105)*constants!$O$2+(R105+T105+U105+W105+X105+Z105+AA105+AB105)*constants!$N$2</f>
        <v>16.907684818049468</v>
      </c>
      <c r="AH105">
        <f>((S105+V105+Y105)-(H105+K105+N105))*constants!$O$2</f>
        <v>3.1466288794238442</v>
      </c>
      <c r="AI105">
        <f>((R105+T105+U105+W105+X105+Z105+AA105+AB105)-(G105+I105+J105+L105+M105+O105+P105+Q105))*constants!$N$2</f>
        <v>0.7869877139903716</v>
      </c>
      <c r="AJ105">
        <f t="shared" si="17"/>
        <v>23.265258583569999</v>
      </c>
      <c r="AK105">
        <f t="shared" si="18"/>
        <v>3.9336165934142158</v>
      </c>
      <c r="AL105">
        <f>COUNTIFS($B:$B,$B105,$AK:$AK,"&lt;"&amp;$AK105)+COUNTIFS($B$2:$B105,$B105,$AK$2:$AK105,$AK105)</f>
        <v>65</v>
      </c>
      <c r="AM105" s="191">
        <f>IF(AK105=0, "NA",IF(((sim_annual_output!F105/E105)/AK105)&lt;0,100,((sim_annual_output!F105/E105)/AK105)))</f>
        <v>3.7188183906640182</v>
      </c>
      <c r="AN105">
        <f>(S105+V105)*constants!$F$2+(T105+U105+W105+X105+Y105+Z105+AA105+AB105)*constants!$G$2</f>
        <v>155159.98632440294</v>
      </c>
      <c r="AO105">
        <f>(AD105*constants!$F$2+AE105*constants!$G$2)</f>
        <v>40827.415702549108</v>
      </c>
      <c r="AP105">
        <f t="shared" si="19"/>
        <v>26.313108598236539</v>
      </c>
    </row>
    <row r="106" spans="1:42">
      <c r="A106">
        <f>sim_annual_output!B106</f>
        <v>5</v>
      </c>
      <c r="B106" t="str">
        <f>sim_annual_output!C106</f>
        <v>Hangar</v>
      </c>
      <c r="C106" t="str">
        <f>sim_annual_output!D106</f>
        <v>1959-pre</v>
      </c>
      <c r="D106" t="str">
        <f>sim_annual_output!E106</f>
        <v>infil_reduce_plus_setback</v>
      </c>
      <c r="E106" s="45">
        <f t="array" ref="E106">IFERROR(INDEX(baseline!$J$3:$J$201,MATCH($B106&amp;$C106,baseline!$C$3:$C$201&amp;baseline!$D$3:$D$201,0)),"NA")</f>
        <v>6423</v>
      </c>
      <c r="F106">
        <f>sim_annual_output!G106</f>
        <v>6276.5798484957804</v>
      </c>
      <c r="G106">
        <f>$E106/$F106^2*sim_annual_output!I106</f>
        <v>0</v>
      </c>
      <c r="H106">
        <f>$E106/$F106^2*sim_annual_output!J106</f>
        <v>225.07658226518478</v>
      </c>
      <c r="I106">
        <f>$E106/$F106^2*sim_annual_output!K106</f>
        <v>0.29120620544911852</v>
      </c>
      <c r="J106">
        <f>$E106/$F106^2*sim_annual_output!L106</f>
        <v>0</v>
      </c>
      <c r="K106">
        <f>$E106/$F106^2*sim_annual_output!M106</f>
        <v>5.8426924673391563</v>
      </c>
      <c r="L106">
        <f>$E106/$F106^2*sim_annual_output!N106</f>
        <v>57.202771682211207</v>
      </c>
      <c r="M106">
        <f>$E106/$F106^2*sim_annual_output!O106</f>
        <v>6.3657767088535149</v>
      </c>
      <c r="N106">
        <f>$E106/$F106^2*sim_annual_output!P106</f>
        <v>0</v>
      </c>
      <c r="O106">
        <f>$E106/$F106^2*sim_annual_output!Q106</f>
        <v>6.1678651819775192</v>
      </c>
      <c r="P106">
        <f>$E106/$F106^2*sim_annual_output!R106</f>
        <v>4.3037831576718091</v>
      </c>
      <c r="Q106">
        <f>$E106/$F106^2*sim_annual_output!S106</f>
        <v>0</v>
      </c>
      <c r="R106">
        <f t="array" ref="R106">INDEX(G$3:G$700,MATCH($B106&amp;$C106&amp;"baseline",$B$3:$B$700&amp;$C$3:$C$700&amp;$D$3:$D$700,0))</f>
        <v>0</v>
      </c>
      <c r="S106">
        <f t="array" ref="S106">INDEX(H$3:H$700,MATCH($B106&amp;$C106&amp;"baseline",$B$3:$B$700&amp;$C$3:$C$700&amp;$D$3:$D$700,0))</f>
        <v>454.51808740458199</v>
      </c>
      <c r="T106">
        <f t="array" ref="T106">INDEX(I$3:I$700,MATCH($B106&amp;$C106&amp;"baseline",$B$3:$B$700&amp;$C$3:$C$700&amp;$D$3:$D$700,0))</f>
        <v>0.35415746914651736</v>
      </c>
      <c r="U106">
        <f t="array" ref="U106">INDEX(J$3:J$700,MATCH($B106&amp;$C106&amp;"baseline",$B$3:$B$700&amp;$C$3:$C$700&amp;$D$3:$D$700,0))</f>
        <v>0</v>
      </c>
      <c r="V106">
        <f t="array" ref="V106">INDEX(K$3:K$700,MATCH($B106&amp;$C106&amp;"baseline",$B$3:$B$700&amp;$C$3:$C$700&amp;$D$3:$D$700,0))</f>
        <v>5.8426924673391563</v>
      </c>
      <c r="W106">
        <f t="array" ref="W106">INDEX(L$3:L$700,MATCH($B106&amp;$C106&amp;"baseline",$B$3:$B$700&amp;$C$3:$C$700&amp;$D$3:$D$700,0))</f>
        <v>57.202771682211207</v>
      </c>
      <c r="X106">
        <f t="array" ref="X106">INDEX(M$3:M$700,MATCH($B106&amp;$C106&amp;"baseline",$B$3:$B$700&amp;$C$3:$C$700&amp;$D$3:$D$700,0))</f>
        <v>6.3657767088535149</v>
      </c>
      <c r="Y106">
        <f t="array" ref="Y106">INDEX(N$3:N$700,MATCH($B106&amp;$C106&amp;"baseline",$B$3:$B$700&amp;$C$3:$C$700&amp;$D$3:$D$700,0))</f>
        <v>0</v>
      </c>
      <c r="Z106">
        <f t="array" ref="Z106">INDEX(O$3:O$700,MATCH($B106&amp;$C106&amp;"baseline",$B$3:$B$700&amp;$C$3:$C$700&amp;$D$3:$D$700,0))</f>
        <v>10.585322923735998</v>
      </c>
      <c r="AA106">
        <f t="array" ref="AA106">INDEX(P$3:P$700,MATCH($B106&amp;$C106&amp;"baseline",$B$3:$B$700&amp;$C$3:$C$700&amp;$D$3:$D$700,0))</f>
        <v>9.1188755003390369</v>
      </c>
      <c r="AB106">
        <f t="array" ref="AB106">INDEX(Q$3:Q$700,MATCH($B106&amp;$C106&amp;"baseline",$B$3:$B$700&amp;$C$3:$C$700&amp;$D$3:$D$700,0))</f>
        <v>0</v>
      </c>
      <c r="AC106">
        <f t="shared" si="13"/>
        <v>543.98768415620748</v>
      </c>
      <c r="AD106">
        <f t="shared" si="14"/>
        <v>229.44150513939718</v>
      </c>
      <c r="AE106">
        <f t="shared" si="15"/>
        <v>9.2955013481230822</v>
      </c>
      <c r="AF106">
        <f t="shared" si="16"/>
        <v>43.886472697967612</v>
      </c>
      <c r="AG106">
        <f>(S106+V106+Y106)*constants!$O$2+(R106+T106+U106+W106+X106+Z106+AA106+AB106)*constants!$N$2</f>
        <v>16.907684818049468</v>
      </c>
      <c r="AH106">
        <f>((S106+V106+Y106)-(H106+K106+N106))*constants!$O$2</f>
        <v>3.7169523832582341</v>
      </c>
      <c r="AI106">
        <f>((R106+T106+U106+W106+X106+Z106+AA106+AB106)-(G106+I106+J106+L106+M106+O106+P106+Q106))*constants!$N$2</f>
        <v>1.0503916523379082</v>
      </c>
      <c r="AJ106">
        <f t="shared" si="17"/>
        <v>28.196314793536121</v>
      </c>
      <c r="AK106">
        <f t="shared" si="18"/>
        <v>4.7673440355961425</v>
      </c>
      <c r="AL106">
        <f>COUNTIFS($B:$B,$B106,$AK:$AK,"&lt;"&amp;$AK106)+COUNTIFS($B$2:$B106,$B106,$AK$2:$AK106,$AK106)</f>
        <v>67</v>
      </c>
      <c r="AM106" s="191">
        <f>IF(AK106=0, "NA",IF(((sim_annual_output!F106/E106)/AK106)&lt;0,100,((sim_annual_output!F106/E106)/AK106)))</f>
        <v>4.2665856812321579</v>
      </c>
      <c r="AN106">
        <f>(S106+V106)*constants!$F$2+(T106+U106+W106+X106+Y106+Z106+AA106+AB106)*constants!$G$2</f>
        <v>155159.98632440294</v>
      </c>
      <c r="AO106">
        <f>(AD106*constants!$F$2+AE106*constants!$G$2)</f>
        <v>49157.115592819173</v>
      </c>
      <c r="AP106">
        <f t="shared" si="19"/>
        <v>31.681567366243019</v>
      </c>
    </row>
    <row r="107" spans="1:42">
      <c r="A107">
        <f>sim_annual_output!B107</f>
        <v>5</v>
      </c>
      <c r="B107" t="str">
        <f>sim_annual_output!C107</f>
        <v>Hangar</v>
      </c>
      <c r="C107" t="str">
        <f>sim_annual_output!D107</f>
        <v>1959-pre</v>
      </c>
      <c r="D107" t="str">
        <f>sim_annual_output!E107</f>
        <v>lights_reduce_70p</v>
      </c>
      <c r="E107" s="45">
        <f t="array" ref="E107">IFERROR(INDEX(baseline!$J$3:$J$201,MATCH($B107&amp;$C107,baseline!$C$3:$C$201&amp;baseline!$D$3:$D$201,0)),"NA")</f>
        <v>6423</v>
      </c>
      <c r="F107">
        <f>sim_annual_output!G107</f>
        <v>6276.5798484957804</v>
      </c>
      <c r="G107">
        <f>$E107/$F107^2*sim_annual_output!I107</f>
        <v>0</v>
      </c>
      <c r="H107">
        <f>$E107/$F107^2*sim_annual_output!J107</f>
        <v>467.67399574375997</v>
      </c>
      <c r="I107">
        <f>$E107/$F107^2*sim_annual_output!K107</f>
        <v>0.28713022434640922</v>
      </c>
      <c r="J107">
        <f>$E107/$F107^2*sim_annual_output!L107</f>
        <v>0</v>
      </c>
      <c r="K107">
        <f>$E107/$F107^2*sim_annual_output!M107</f>
        <v>5.8426924673391563</v>
      </c>
      <c r="L107">
        <f>$E107/$F107^2*sim_annual_output!N107</f>
        <v>40.04198546622677</v>
      </c>
      <c r="M107">
        <f>$E107/$F107^2*sim_annual_output!O107</f>
        <v>6.3657767088535149</v>
      </c>
      <c r="N107">
        <f>$E107/$F107^2*sim_annual_output!P107</f>
        <v>0</v>
      </c>
      <c r="O107">
        <f>$E107/$F107^2*sim_annual_output!Q107</f>
        <v>10.648274187433396</v>
      </c>
      <c r="P107">
        <f>$E107/$F107^2*sim_annual_output!R107</f>
        <v>9.2692339143500906</v>
      </c>
      <c r="Q107">
        <f>$E107/$F107^2*sim_annual_output!S107</f>
        <v>0</v>
      </c>
      <c r="R107">
        <f t="array" ref="R107">INDEX(G$3:G$700,MATCH($B107&amp;$C107&amp;"baseline",$B$3:$B$700&amp;$C$3:$C$700&amp;$D$3:$D$700,0))</f>
        <v>0</v>
      </c>
      <c r="S107">
        <f t="array" ref="S107">INDEX(H$3:H$700,MATCH($B107&amp;$C107&amp;"baseline",$B$3:$B$700&amp;$C$3:$C$700&amp;$D$3:$D$700,0))</f>
        <v>454.51808740458199</v>
      </c>
      <c r="T107">
        <f t="array" ref="T107">INDEX(I$3:I$700,MATCH($B107&amp;$C107&amp;"baseline",$B$3:$B$700&amp;$C$3:$C$700&amp;$D$3:$D$700,0))</f>
        <v>0.35415746914651736</v>
      </c>
      <c r="U107">
        <f t="array" ref="U107">INDEX(J$3:J$700,MATCH($B107&amp;$C107&amp;"baseline",$B$3:$B$700&amp;$C$3:$C$700&amp;$D$3:$D$700,0))</f>
        <v>0</v>
      </c>
      <c r="V107">
        <f t="array" ref="V107">INDEX(K$3:K$700,MATCH($B107&amp;$C107&amp;"baseline",$B$3:$B$700&amp;$C$3:$C$700&amp;$D$3:$D$700,0))</f>
        <v>5.8426924673391563</v>
      </c>
      <c r="W107">
        <f t="array" ref="W107">INDEX(L$3:L$700,MATCH($B107&amp;$C107&amp;"baseline",$B$3:$B$700&amp;$C$3:$C$700&amp;$D$3:$D$700,0))</f>
        <v>57.202771682211207</v>
      </c>
      <c r="X107">
        <f t="array" ref="X107">INDEX(M$3:M$700,MATCH($B107&amp;$C107&amp;"baseline",$B$3:$B$700&amp;$C$3:$C$700&amp;$D$3:$D$700,0))</f>
        <v>6.3657767088535149</v>
      </c>
      <c r="Y107">
        <f t="array" ref="Y107">INDEX(N$3:N$700,MATCH($B107&amp;$C107&amp;"baseline",$B$3:$B$700&amp;$C$3:$C$700&amp;$D$3:$D$700,0))</f>
        <v>0</v>
      </c>
      <c r="Z107">
        <f t="array" ref="Z107">INDEX(O$3:O$700,MATCH($B107&amp;$C107&amp;"baseline",$B$3:$B$700&amp;$C$3:$C$700&amp;$D$3:$D$700,0))</f>
        <v>10.585322923735998</v>
      </c>
      <c r="AA107">
        <f t="array" ref="AA107">INDEX(P$3:P$700,MATCH($B107&amp;$C107&amp;"baseline",$B$3:$B$700&amp;$C$3:$C$700&amp;$D$3:$D$700,0))</f>
        <v>9.1188755003390369</v>
      </c>
      <c r="AB107">
        <f t="array" ref="AB107">INDEX(Q$3:Q$700,MATCH($B107&amp;$C107&amp;"baseline",$B$3:$B$700&amp;$C$3:$C$700&amp;$D$3:$D$700,0))</f>
        <v>0</v>
      </c>
      <c r="AC107">
        <f t="shared" si="13"/>
        <v>543.98768415620748</v>
      </c>
      <c r="AD107">
        <f t="shared" si="14"/>
        <v>-13.155908339177984</v>
      </c>
      <c r="AE107">
        <f t="shared" si="15"/>
        <v>17.014503783076094</v>
      </c>
      <c r="AF107">
        <f t="shared" si="16"/>
        <v>0.70931669158710309</v>
      </c>
      <c r="AG107">
        <f>(S107+V107+Y107)*constants!$O$2+(R107+T107+U107+W107+X107+Z107+AA107+AB107)*constants!$N$2</f>
        <v>16.907684818049468</v>
      </c>
      <c r="AH107">
        <f>((S107+V107+Y107)-(H107+K107+N107))*constants!$O$2</f>
        <v>-0.21312571509468331</v>
      </c>
      <c r="AI107">
        <f>((R107+T107+U107+W107+X107+Z107+AA107+AB107)-(G107+I107+J107+L107+M107+O107+P107+Q107))*constants!$N$2</f>
        <v>1.9226389274875988</v>
      </c>
      <c r="AJ107">
        <f t="shared" si="17"/>
        <v>10.110865152678729</v>
      </c>
      <c r="AK107">
        <f t="shared" si="18"/>
        <v>1.7095132123929155</v>
      </c>
      <c r="AL107">
        <f>COUNTIFS($B:$B,$B107,$AK:$AK,"&lt;"&amp;$AK107)+COUNTIFS($B$2:$B107,$B107,$AK$2:$AK107,$AK107)</f>
        <v>55</v>
      </c>
      <c r="AM107" s="191">
        <f>IF(AK107=0, "NA",IF(((sim_annual_output!F107/E107)/AK107)&lt;0,100,((sim_annual_output!F107/E107)/AK107)))</f>
        <v>11.822954976871223</v>
      </c>
      <c r="AN107">
        <f>(S107+V107)*constants!$F$2+(T107+U107+W107+X107+Y107+Z107+AA107+AB107)*constants!$G$2</f>
        <v>155159.98632440294</v>
      </c>
      <c r="AO107">
        <f>(AD107*constants!$F$2+AE107*constants!$G$2)</f>
        <v>12447.710698563342</v>
      </c>
      <c r="AP107">
        <f t="shared" si="19"/>
        <v>8.0225005128178566</v>
      </c>
    </row>
    <row r="108" spans="1:42">
      <c r="A108">
        <f>sim_annual_output!B108</f>
        <v>5</v>
      </c>
      <c r="B108" t="str">
        <f>sim_annual_output!C108</f>
        <v>Hangar</v>
      </c>
      <c r="C108" t="str">
        <f>sim_annual_output!D108</f>
        <v>1959-pre</v>
      </c>
      <c r="D108" t="str">
        <f>sim_annual_output!E108</f>
        <v>load_reduce</v>
      </c>
      <c r="E108" s="45">
        <f t="array" ref="E108">IFERROR(INDEX(baseline!$J$3:$J$201,MATCH($B108&amp;$C108,baseline!$C$3:$C$201&amp;baseline!$D$3:$D$201,0)),"NA")</f>
        <v>6423</v>
      </c>
      <c r="F108">
        <f>sim_annual_output!G108</f>
        <v>6276.5798484957804</v>
      </c>
      <c r="G108">
        <f>$E108/$F108^2*sim_annual_output!I108</f>
        <v>0</v>
      </c>
      <c r="H108">
        <f>$E108/$F108^2*sim_annual_output!J108</f>
        <v>182.78510811705166</v>
      </c>
      <c r="I108">
        <f>$E108/$F108^2*sim_annual_output!K108</f>
        <v>0.29120620544911852</v>
      </c>
      <c r="J108">
        <f>$E108/$F108^2*sim_annual_output!L108</f>
        <v>0</v>
      </c>
      <c r="K108">
        <f>$E108/$F108^2*sim_annual_output!M108</f>
        <v>5.8426924673391563</v>
      </c>
      <c r="L108">
        <f>$E108/$F108^2*sim_annual_output!N108</f>
        <v>57.202771682211207</v>
      </c>
      <c r="M108">
        <f>$E108/$F108^2*sim_annual_output!O108</f>
        <v>6.3657767088535149</v>
      </c>
      <c r="N108">
        <f>$E108/$F108^2*sim_annual_output!P108</f>
        <v>0</v>
      </c>
      <c r="O108">
        <f>$E108/$F108^2*sim_annual_output!Q108</f>
        <v>6.1678651819775192</v>
      </c>
      <c r="P108">
        <f>$E108/$F108^2*sim_annual_output!R108</f>
        <v>0.29075331865992859</v>
      </c>
      <c r="Q108">
        <f>$E108/$F108^2*sim_annual_output!S108</f>
        <v>0</v>
      </c>
      <c r="R108">
        <f t="array" ref="R108">INDEX(G$3:G$700,MATCH($B108&amp;$C108&amp;"baseline",$B$3:$B$700&amp;$C$3:$C$700&amp;$D$3:$D$700,0))</f>
        <v>0</v>
      </c>
      <c r="S108">
        <f t="array" ref="S108">INDEX(H$3:H$700,MATCH($B108&amp;$C108&amp;"baseline",$B$3:$B$700&amp;$C$3:$C$700&amp;$D$3:$D$700,0))</f>
        <v>454.51808740458199</v>
      </c>
      <c r="T108">
        <f t="array" ref="T108">INDEX(I$3:I$700,MATCH($B108&amp;$C108&amp;"baseline",$B$3:$B$700&amp;$C$3:$C$700&amp;$D$3:$D$700,0))</f>
        <v>0.35415746914651736</v>
      </c>
      <c r="U108">
        <f t="array" ref="U108">INDEX(J$3:J$700,MATCH($B108&amp;$C108&amp;"baseline",$B$3:$B$700&amp;$C$3:$C$700&amp;$D$3:$D$700,0))</f>
        <v>0</v>
      </c>
      <c r="V108">
        <f t="array" ref="V108">INDEX(K$3:K$700,MATCH($B108&amp;$C108&amp;"baseline",$B$3:$B$700&amp;$C$3:$C$700&amp;$D$3:$D$700,0))</f>
        <v>5.8426924673391563</v>
      </c>
      <c r="W108">
        <f t="array" ref="W108">INDEX(L$3:L$700,MATCH($B108&amp;$C108&amp;"baseline",$B$3:$B$700&amp;$C$3:$C$700&amp;$D$3:$D$700,0))</f>
        <v>57.202771682211207</v>
      </c>
      <c r="X108">
        <f t="array" ref="X108">INDEX(M$3:M$700,MATCH($B108&amp;$C108&amp;"baseline",$B$3:$B$700&amp;$C$3:$C$700&amp;$D$3:$D$700,0))</f>
        <v>6.3657767088535149</v>
      </c>
      <c r="Y108">
        <f t="array" ref="Y108">INDEX(N$3:N$700,MATCH($B108&amp;$C108&amp;"baseline",$B$3:$B$700&amp;$C$3:$C$700&amp;$D$3:$D$700,0))</f>
        <v>0</v>
      </c>
      <c r="Z108">
        <f t="array" ref="Z108">INDEX(O$3:O$700,MATCH($B108&amp;$C108&amp;"baseline",$B$3:$B$700&amp;$C$3:$C$700&amp;$D$3:$D$700,0))</f>
        <v>10.585322923735998</v>
      </c>
      <c r="AA108">
        <f t="array" ref="AA108">INDEX(P$3:P$700,MATCH($B108&amp;$C108&amp;"baseline",$B$3:$B$700&amp;$C$3:$C$700&amp;$D$3:$D$700,0))</f>
        <v>9.1188755003390369</v>
      </c>
      <c r="AB108">
        <f t="array" ref="AB108">INDEX(Q$3:Q$700,MATCH($B108&amp;$C108&amp;"baseline",$B$3:$B$700&amp;$C$3:$C$700&amp;$D$3:$D$700,0))</f>
        <v>0</v>
      </c>
      <c r="AC108">
        <f t="shared" si="13"/>
        <v>543.98768415620748</v>
      </c>
      <c r="AD108">
        <f t="shared" si="14"/>
        <v>271.73297928753027</v>
      </c>
      <c r="AE108">
        <f t="shared" si="15"/>
        <v>13.308531187134975</v>
      </c>
      <c r="AF108">
        <f t="shared" si="16"/>
        <v>52.398522756411303</v>
      </c>
      <c r="AG108">
        <f>(S108+V108+Y108)*constants!$O$2+(R108+T108+U108+W108+X108+Z108+AA108+AB108)*constants!$N$2</f>
        <v>16.907684818049468</v>
      </c>
      <c r="AH108">
        <f>((S108+V108+Y108)-(H108+K108+N108))*constants!$O$2</f>
        <v>4.4020742644579904</v>
      </c>
      <c r="AI108">
        <f>((R108+T108+U108+W108+X108+Z108+AA108+AB108)-(G108+I108+J108+L108+M108+O108+P108+Q108))*constants!$N$2</f>
        <v>1.5038640241462522</v>
      </c>
      <c r="AJ108">
        <f t="shared" si="17"/>
        <v>34.930496707032731</v>
      </c>
      <c r="AK108">
        <f t="shared" si="18"/>
        <v>5.9059382886042426</v>
      </c>
      <c r="AL108">
        <f>COUNTIFS($B:$B,$B108,$AK:$AK,"&lt;"&amp;$AK108)+COUNTIFS($B$2:$B108,$B108,$AK$2:$AK108,$AK108)</f>
        <v>70</v>
      </c>
      <c r="AM108" s="191">
        <f>IF(AK108=0, "NA",IF(((sim_annual_output!F108/E108)/AK108)&lt;0,100,((sim_annual_output!F108/E108)/AK108)))</f>
        <v>3.4685324331586851</v>
      </c>
      <c r="AN108">
        <f>(S108+V108)*constants!$F$2+(T108+U108+W108+X108+Y108+Z108+AA108+AB108)*constants!$G$2</f>
        <v>155159.98632440294</v>
      </c>
      <c r="AO108">
        <f>(AD108*constants!$F$2+AE108*constants!$G$2)</f>
        <v>60218.625425275342</v>
      </c>
      <c r="AP108">
        <f t="shared" si="19"/>
        <v>38.810666881197321</v>
      </c>
    </row>
    <row r="109" spans="1:42">
      <c r="A109">
        <f>sim_annual_output!B109</f>
        <v>5</v>
      </c>
      <c r="B109" t="str">
        <f>sim_annual_output!C109</f>
        <v>Hangar</v>
      </c>
      <c r="C109" t="str">
        <f>sim_annual_output!D109</f>
        <v>1959-pre</v>
      </c>
      <c r="D109" t="str">
        <f>sim_annual_output!E109</f>
        <v>occupancy_setback</v>
      </c>
      <c r="E109" s="45">
        <f t="array" ref="E109">IFERROR(INDEX(baseline!$J$3:$J$201,MATCH($B109&amp;$C109,baseline!$C$3:$C$201&amp;baseline!$D$3:$D$201,0)),"NA")</f>
        <v>6423</v>
      </c>
      <c r="F109">
        <f>sim_annual_output!G109</f>
        <v>6276.5798484957804</v>
      </c>
      <c r="G109">
        <f>$E109/$F109^2*sim_annual_output!I109</f>
        <v>0</v>
      </c>
      <c r="H109">
        <f>$E109/$F109^2*sim_annual_output!J109</f>
        <v>398.64408556185401</v>
      </c>
      <c r="I109">
        <f>$E109/$F109^2*sim_annual_output!K109</f>
        <v>0.23912422469227773</v>
      </c>
      <c r="J109">
        <f>$E109/$F109^2*sim_annual_output!L109</f>
        <v>0</v>
      </c>
      <c r="K109">
        <f>$E109/$F109^2*sim_annual_output!M109</f>
        <v>5.8426924673391563</v>
      </c>
      <c r="L109">
        <f>$E109/$F109^2*sim_annual_output!N109</f>
        <v>57.202771682211207</v>
      </c>
      <c r="M109">
        <f>$E109/$F109^2*sim_annual_output!O109</f>
        <v>6.3657767088535149</v>
      </c>
      <c r="N109">
        <f>$E109/$F109^2*sim_annual_output!P109</f>
        <v>0</v>
      </c>
      <c r="O109">
        <f>$E109/$F109^2*sim_annual_output!Q109</f>
        <v>8.9916143125766688</v>
      </c>
      <c r="P109">
        <f>$E109/$F109^2*sim_annual_output!R109</f>
        <v>7.4182856069308878</v>
      </c>
      <c r="Q109">
        <f>$E109/$F109^2*sim_annual_output!S109</f>
        <v>0</v>
      </c>
      <c r="R109">
        <f t="array" ref="R109">INDEX(G$3:G$700,MATCH($B109&amp;$C109&amp;"baseline",$B$3:$B$700&amp;$C$3:$C$700&amp;$D$3:$D$700,0))</f>
        <v>0</v>
      </c>
      <c r="S109">
        <f t="array" ref="S109">INDEX(H$3:H$700,MATCH($B109&amp;$C109&amp;"baseline",$B$3:$B$700&amp;$C$3:$C$700&amp;$D$3:$D$700,0))</f>
        <v>454.51808740458199</v>
      </c>
      <c r="T109">
        <f t="array" ref="T109">INDEX(I$3:I$700,MATCH($B109&amp;$C109&amp;"baseline",$B$3:$B$700&amp;$C$3:$C$700&amp;$D$3:$D$700,0))</f>
        <v>0.35415746914651736</v>
      </c>
      <c r="U109">
        <f t="array" ref="U109">INDEX(J$3:J$700,MATCH($B109&amp;$C109&amp;"baseline",$B$3:$B$700&amp;$C$3:$C$700&amp;$D$3:$D$700,0))</f>
        <v>0</v>
      </c>
      <c r="V109">
        <f t="array" ref="V109">INDEX(K$3:K$700,MATCH($B109&amp;$C109&amp;"baseline",$B$3:$B$700&amp;$C$3:$C$700&amp;$D$3:$D$700,0))</f>
        <v>5.8426924673391563</v>
      </c>
      <c r="W109">
        <f t="array" ref="W109">INDEX(L$3:L$700,MATCH($B109&amp;$C109&amp;"baseline",$B$3:$B$700&amp;$C$3:$C$700&amp;$D$3:$D$700,0))</f>
        <v>57.202771682211207</v>
      </c>
      <c r="X109">
        <f t="array" ref="X109">INDEX(M$3:M$700,MATCH($B109&amp;$C109&amp;"baseline",$B$3:$B$700&amp;$C$3:$C$700&amp;$D$3:$D$700,0))</f>
        <v>6.3657767088535149</v>
      </c>
      <c r="Y109">
        <f t="array" ref="Y109">INDEX(N$3:N$700,MATCH($B109&amp;$C109&amp;"baseline",$B$3:$B$700&amp;$C$3:$C$700&amp;$D$3:$D$700,0))</f>
        <v>0</v>
      </c>
      <c r="Z109">
        <f t="array" ref="Z109">INDEX(O$3:O$700,MATCH($B109&amp;$C109&amp;"baseline",$B$3:$B$700&amp;$C$3:$C$700&amp;$D$3:$D$700,0))</f>
        <v>10.585322923735998</v>
      </c>
      <c r="AA109">
        <f t="array" ref="AA109">INDEX(P$3:P$700,MATCH($B109&amp;$C109&amp;"baseline",$B$3:$B$700&amp;$C$3:$C$700&amp;$D$3:$D$700,0))</f>
        <v>9.1188755003390369</v>
      </c>
      <c r="AB109">
        <f t="array" ref="AB109">INDEX(Q$3:Q$700,MATCH($B109&amp;$C109&amp;"baseline",$B$3:$B$700&amp;$C$3:$C$700&amp;$D$3:$D$700,0))</f>
        <v>0</v>
      </c>
      <c r="AC109">
        <f t="shared" si="13"/>
        <v>543.98768415620748</v>
      </c>
      <c r="AD109">
        <f t="shared" si="14"/>
        <v>55.874001842727978</v>
      </c>
      <c r="AE109">
        <f t="shared" si="15"/>
        <v>3.4093317490217032</v>
      </c>
      <c r="AF109">
        <f t="shared" si="16"/>
        <v>10.897918338667079</v>
      </c>
      <c r="AG109">
        <f>(S109+V109+Y109)*constants!$O$2+(R109+T109+U109+W109+X109+Z109+AA109+AB109)*constants!$N$2</f>
        <v>16.907684818049468</v>
      </c>
      <c r="AH109">
        <f>((S109+V109+Y109)-(H109+K109+N109))*constants!$O$2</f>
        <v>0.9051588298521932</v>
      </c>
      <c r="AI109">
        <f>((R109+T109+U109+W109+X109+Z109+AA109+AB109)-(G109+I109+J109+L109+M109+O109+P109+Q109))*constants!$N$2</f>
        <v>0.38525448763945247</v>
      </c>
      <c r="AJ109">
        <f t="shared" si="17"/>
        <v>7.6321112640690467</v>
      </c>
      <c r="AK109">
        <f t="shared" si="18"/>
        <v>1.2904133174916457</v>
      </c>
      <c r="AL109">
        <f>COUNTIFS($B:$B,$B109,$AK:$AK,"&lt;"&amp;$AK109)+COUNTIFS($B$2:$B109,$B109,$AK$2:$AK109,$AK109)</f>
        <v>51</v>
      </c>
      <c r="AM109" s="191">
        <f>IF(AK109=0, "NA",IF(((sim_annual_output!F109/E109)/AK109)&lt;0,100,((sim_annual_output!F109/E109)/AK109)))</f>
        <v>4.4263926859303195</v>
      </c>
      <c r="AN109">
        <f>(S109+V109)*constants!$F$2+(T109+U109+W109+X109+Y109+Z109+AA109+AB109)*constants!$G$2</f>
        <v>155159.98632440294</v>
      </c>
      <c r="AO109">
        <f>(AD109*constants!$F$2+AE109*constants!$G$2)</f>
        <v>12967.56495149719</v>
      </c>
      <c r="AP109">
        <f t="shared" si="19"/>
        <v>8.3575445310913281</v>
      </c>
    </row>
    <row r="110" spans="1:42">
      <c r="A110">
        <f>sim_annual_output!B110</f>
        <v>5</v>
      </c>
      <c r="B110" t="str">
        <f>sim_annual_output!C110</f>
        <v>Hangar</v>
      </c>
      <c r="C110" t="str">
        <f>sim_annual_output!D110</f>
        <v>1959-pre</v>
      </c>
      <c r="D110" t="str">
        <f>sim_annual_output!E110</f>
        <v>payback_less_than_20</v>
      </c>
      <c r="E110" s="45">
        <f t="array" ref="E110">IFERROR(INDEX(baseline!$J$3:$J$201,MATCH($B110&amp;$C110,baseline!$C$3:$C$201&amp;baseline!$D$3:$D$201,0)),"NA")</f>
        <v>6423</v>
      </c>
      <c r="F110">
        <f>sim_annual_output!G110</f>
        <v>6276.5798484957804</v>
      </c>
      <c r="G110">
        <f>$E110/$F110^2*sim_annual_output!I110</f>
        <v>0</v>
      </c>
      <c r="H110">
        <f>$E110/$F110^2*sim_annual_output!J110</f>
        <v>154.43077201944917</v>
      </c>
      <c r="I110">
        <f>$E110/$F110^2*sim_annual_output!K110</f>
        <v>1.8971427599165744</v>
      </c>
      <c r="J110">
        <f>$E110/$F110^2*sim_annual_output!L110</f>
        <v>0</v>
      </c>
      <c r="K110">
        <f>$E110/$F110^2*sim_annual_output!M110</f>
        <v>5.8426924673391563</v>
      </c>
      <c r="L110">
        <f>$E110/$F110^2*sim_annual_output!N110</f>
        <v>40.04198546622677</v>
      </c>
      <c r="M110">
        <f>$E110/$F110^2*sim_annual_output!O110</f>
        <v>6.3657767088535149</v>
      </c>
      <c r="N110">
        <f>$E110/$F110^2*sim_annual_output!P110</f>
        <v>0</v>
      </c>
      <c r="O110">
        <f>$E110/$F110^2*sim_annual_output!Q110</f>
        <v>5.3264015276626484</v>
      </c>
      <c r="P110">
        <f>$E110/$F110^2*sim_annual_output!R110</f>
        <v>0.11095726335153037</v>
      </c>
      <c r="Q110">
        <f>$E110/$F110^2*sim_annual_output!S110</f>
        <v>0</v>
      </c>
      <c r="R110">
        <f t="array" ref="R110">INDEX(G$3:G$700,MATCH($B110&amp;$C110&amp;"baseline",$B$3:$B$700&amp;$C$3:$C$700&amp;$D$3:$D$700,0))</f>
        <v>0</v>
      </c>
      <c r="S110">
        <f t="array" ref="S110">INDEX(H$3:H$700,MATCH($B110&amp;$C110&amp;"baseline",$B$3:$B$700&amp;$C$3:$C$700&amp;$D$3:$D$700,0))</f>
        <v>454.51808740458199</v>
      </c>
      <c r="T110">
        <f t="array" ref="T110">INDEX(I$3:I$700,MATCH($B110&amp;$C110&amp;"baseline",$B$3:$B$700&amp;$C$3:$C$700&amp;$D$3:$D$700,0))</f>
        <v>0.35415746914651736</v>
      </c>
      <c r="U110">
        <f t="array" ref="U110">INDEX(J$3:J$700,MATCH($B110&amp;$C110&amp;"baseline",$B$3:$B$700&amp;$C$3:$C$700&amp;$D$3:$D$700,0))</f>
        <v>0</v>
      </c>
      <c r="V110">
        <f t="array" ref="V110">INDEX(K$3:K$700,MATCH($B110&amp;$C110&amp;"baseline",$B$3:$B$700&amp;$C$3:$C$700&amp;$D$3:$D$700,0))</f>
        <v>5.8426924673391563</v>
      </c>
      <c r="W110">
        <f t="array" ref="W110">INDEX(L$3:L$700,MATCH($B110&amp;$C110&amp;"baseline",$B$3:$B$700&amp;$C$3:$C$700&amp;$D$3:$D$700,0))</f>
        <v>57.202771682211207</v>
      </c>
      <c r="X110">
        <f t="array" ref="X110">INDEX(M$3:M$700,MATCH($B110&amp;$C110&amp;"baseline",$B$3:$B$700&amp;$C$3:$C$700&amp;$D$3:$D$700,0))</f>
        <v>6.3657767088535149</v>
      </c>
      <c r="Y110">
        <f t="array" ref="Y110">INDEX(N$3:N$700,MATCH($B110&amp;$C110&amp;"baseline",$B$3:$B$700&amp;$C$3:$C$700&amp;$D$3:$D$700,0))</f>
        <v>0</v>
      </c>
      <c r="Z110">
        <f t="array" ref="Z110">INDEX(O$3:O$700,MATCH($B110&amp;$C110&amp;"baseline",$B$3:$B$700&amp;$C$3:$C$700&amp;$D$3:$D$700,0))</f>
        <v>10.585322923735998</v>
      </c>
      <c r="AA110">
        <f t="array" ref="AA110">INDEX(P$3:P$700,MATCH($B110&amp;$C110&amp;"baseline",$B$3:$B$700&amp;$C$3:$C$700&amp;$D$3:$D$700,0))</f>
        <v>9.1188755003390369</v>
      </c>
      <c r="AB110">
        <f t="array" ref="AB110">INDEX(Q$3:Q$700,MATCH($B110&amp;$C110&amp;"baseline",$B$3:$B$700&amp;$C$3:$C$700&amp;$D$3:$D$700,0))</f>
        <v>0</v>
      </c>
      <c r="AC110">
        <f t="shared" si="13"/>
        <v>543.98768415620748</v>
      </c>
      <c r="AD110">
        <f t="shared" si="14"/>
        <v>300.0873153851328</v>
      </c>
      <c r="AE110">
        <f t="shared" si="15"/>
        <v>29.88464055827523</v>
      </c>
      <c r="AF110">
        <f t="shared" si="16"/>
        <v>60.657982809893127</v>
      </c>
      <c r="AG110">
        <f>(S110+V110+Y110)*constants!$O$2+(R110+T110+U110+W110+X110+Z110+AA110+AB110)*constants!$N$2</f>
        <v>16.907684818049468</v>
      </c>
      <c r="AH110">
        <f>((S110+V110+Y110)-(H110+K110+N110))*constants!$O$2</f>
        <v>4.8614145092391512</v>
      </c>
      <c r="AI110">
        <f>((R110+T110+U110+W110+X110+Z110+AA110+AB110)-(G110+I110+J110+L110+M110+O110+P110+Q110))*constants!$N$2</f>
        <v>3.3769643830851011</v>
      </c>
      <c r="AJ110">
        <f t="shared" si="17"/>
        <v>48.725647425894365</v>
      </c>
      <c r="AK110">
        <f t="shared" si="18"/>
        <v>8.2383788923242527</v>
      </c>
      <c r="AL110">
        <f>COUNTIFS($B:$B,$B110,$AK:$AK,"&lt;"&amp;$AK110)+COUNTIFS($B$2:$B110,$B110,$AK$2:$AK110,$AK110)</f>
        <v>72</v>
      </c>
      <c r="AM110" s="191">
        <f>IF(AK110=0, "NA",IF(((sim_annual_output!F110/E110)/AK110)&lt;0,100,((sim_annual_output!F110/E110)/AK110)))</f>
        <v>7.4869877012182524</v>
      </c>
      <c r="AN110">
        <f>(S110+V110)*constants!$F$2+(T110+U110+W110+X110+Y110+Z110+AA110+AB110)*constants!$G$2</f>
        <v>155159.98632440294</v>
      </c>
      <c r="AO110">
        <f>(AD110*constants!$F$2+AE110*constants!$G$2)</f>
        <v>79715.266739638217</v>
      </c>
      <c r="AP110">
        <f t="shared" si="19"/>
        <v>51.376175409665471</v>
      </c>
    </row>
    <row r="111" spans="1:42">
      <c r="A111">
        <f>sim_annual_output!B111</f>
        <v>5</v>
      </c>
      <c r="B111" t="str">
        <f>sim_annual_output!C111</f>
        <v>Hangar</v>
      </c>
      <c r="C111" t="str">
        <f>sim_annual_output!D111</f>
        <v>1959-pre</v>
      </c>
      <c r="D111" t="str">
        <f>sim_annual_output!E111</f>
        <v>plug_loads_90_percent</v>
      </c>
      <c r="E111" s="45">
        <f t="array" ref="E111">IFERROR(INDEX(baseline!$J$3:$J$201,MATCH($B111&amp;$C111,baseline!$C$3:$C$201&amp;baseline!$D$3:$D$201,0)),"NA")</f>
        <v>6423</v>
      </c>
      <c r="F111">
        <f>sim_annual_output!G111</f>
        <v>6276.5798484957804</v>
      </c>
      <c r="G111">
        <f>$E111/$F111^2*sim_annual_output!I111</f>
        <v>0</v>
      </c>
      <c r="H111">
        <f>$E111/$F111^2*sim_annual_output!J111</f>
        <v>450.97696559990601</v>
      </c>
      <c r="I111">
        <f>$E111/$F111^2*sim_annual_output!K111</f>
        <v>0.43024244973042391</v>
      </c>
      <c r="J111">
        <f>$E111/$F111^2*sim_annual_output!L111</f>
        <v>0</v>
      </c>
      <c r="K111">
        <f>$E111/$F111^2*sim_annual_output!M111</f>
        <v>5.8426924673391563</v>
      </c>
      <c r="L111">
        <f>$E111/$F111^2*sim_annual_output!N111</f>
        <v>57.202771682211207</v>
      </c>
      <c r="M111">
        <f>$E111/$F111^2*sim_annual_output!O111</f>
        <v>6.3657767088535149</v>
      </c>
      <c r="N111">
        <f>$E111/$F111^2*sim_annual_output!P111</f>
        <v>0</v>
      </c>
      <c r="O111">
        <f>$E111/$F111^2*sim_annual_output!Q111</f>
        <v>10.633328923390129</v>
      </c>
      <c r="P111">
        <f>$E111/$F111^2*sim_annual_output!R111</f>
        <v>9.1224985946525567</v>
      </c>
      <c r="Q111">
        <f>$E111/$F111^2*sim_annual_output!S111</f>
        <v>0</v>
      </c>
      <c r="R111">
        <f t="array" ref="R111">INDEX(G$3:G$700,MATCH($B111&amp;$C111&amp;"baseline",$B$3:$B$700&amp;$C$3:$C$700&amp;$D$3:$D$700,0))</f>
        <v>0</v>
      </c>
      <c r="S111">
        <f t="array" ref="S111">INDEX(H$3:H$700,MATCH($B111&amp;$C111&amp;"baseline",$B$3:$B$700&amp;$C$3:$C$700&amp;$D$3:$D$700,0))</f>
        <v>454.51808740458199</v>
      </c>
      <c r="T111">
        <f t="array" ref="T111">INDEX(I$3:I$700,MATCH($B111&amp;$C111&amp;"baseline",$B$3:$B$700&amp;$C$3:$C$700&amp;$D$3:$D$700,0))</f>
        <v>0.35415746914651736</v>
      </c>
      <c r="U111">
        <f t="array" ref="U111">INDEX(J$3:J$700,MATCH($B111&amp;$C111&amp;"baseline",$B$3:$B$700&amp;$C$3:$C$700&amp;$D$3:$D$700,0))</f>
        <v>0</v>
      </c>
      <c r="V111">
        <f t="array" ref="V111">INDEX(K$3:K$700,MATCH($B111&amp;$C111&amp;"baseline",$B$3:$B$700&amp;$C$3:$C$700&amp;$D$3:$D$700,0))</f>
        <v>5.8426924673391563</v>
      </c>
      <c r="W111">
        <f t="array" ref="W111">INDEX(L$3:L$700,MATCH($B111&amp;$C111&amp;"baseline",$B$3:$B$700&amp;$C$3:$C$700&amp;$D$3:$D$700,0))</f>
        <v>57.202771682211207</v>
      </c>
      <c r="X111">
        <f t="array" ref="X111">INDEX(M$3:M$700,MATCH($B111&amp;$C111&amp;"baseline",$B$3:$B$700&amp;$C$3:$C$700&amp;$D$3:$D$700,0))</f>
        <v>6.3657767088535149</v>
      </c>
      <c r="Y111">
        <f t="array" ref="Y111">INDEX(N$3:N$700,MATCH($B111&amp;$C111&amp;"baseline",$B$3:$B$700&amp;$C$3:$C$700&amp;$D$3:$D$700,0))</f>
        <v>0</v>
      </c>
      <c r="Z111">
        <f t="array" ref="Z111">INDEX(O$3:O$700,MATCH($B111&amp;$C111&amp;"baseline",$B$3:$B$700&amp;$C$3:$C$700&amp;$D$3:$D$700,0))</f>
        <v>10.585322923735998</v>
      </c>
      <c r="AA111">
        <f t="array" ref="AA111">INDEX(P$3:P$700,MATCH($B111&amp;$C111&amp;"baseline",$B$3:$B$700&amp;$C$3:$C$700&amp;$D$3:$D$700,0))</f>
        <v>9.1188755003390369</v>
      </c>
      <c r="AB111">
        <f t="array" ref="AB111">INDEX(Q$3:Q$700,MATCH($B111&amp;$C111&amp;"baseline",$B$3:$B$700&amp;$C$3:$C$700&amp;$D$3:$D$700,0))</f>
        <v>0</v>
      </c>
      <c r="AC111">
        <f t="shared" si="13"/>
        <v>543.98768415620748</v>
      </c>
      <c r="AD111">
        <f t="shared" si="14"/>
        <v>3.5411218046759814</v>
      </c>
      <c r="AE111">
        <f t="shared" si="15"/>
        <v>-0.12771407455156236</v>
      </c>
      <c r="AF111">
        <f t="shared" si="16"/>
        <v>0.62747886202957681</v>
      </c>
      <c r="AG111">
        <f>(S111+V111+Y111)*constants!$O$2+(R111+T111+U111+W111+X111+Z111+AA111+AB111)*constants!$N$2</f>
        <v>16.907684818049468</v>
      </c>
      <c r="AH111">
        <f>((S111+V111+Y111)-(H111+K111+N111))*constants!$O$2</f>
        <v>5.7366173235750897E-2</v>
      </c>
      <c r="AI111">
        <f>((R111+T111+U111+W111+X111+Z111+AA111+AB111)-(G111+I111+J111+L111+M111+O111+P111+Q111))*constants!$N$2</f>
        <v>-1.4431690424326547E-2</v>
      </c>
      <c r="AJ111">
        <f t="shared" si="17"/>
        <v>0.25393472420062202</v>
      </c>
      <c r="AK111">
        <f t="shared" si="18"/>
        <v>4.2934482811424354E-2</v>
      </c>
      <c r="AL111">
        <f>COUNTIFS($B:$B,$B111,$AK:$AK,"&lt;"&amp;$AK111)+COUNTIFS($B$2:$B111,$B111,$AK$2:$AK111,$AK111)</f>
        <v>16</v>
      </c>
      <c r="AM111" s="191">
        <f>IF(AK111=0, "NA",IF(((sim_annual_output!F111/E111)/AK111)&lt;0,100,((sim_annual_output!F111/E111)/AK111)))</f>
        <v>76.921926821698207</v>
      </c>
      <c r="AN111">
        <f>(S111+V111)*constants!$F$2+(T111+U111+W111+X111+Y111+Z111+AA111+AB111)*constants!$G$2</f>
        <v>155159.98632440294</v>
      </c>
      <c r="AO111">
        <f>(AD111*constants!$F$2+AE111*constants!$G$2)</f>
        <v>522.74955817714135</v>
      </c>
      <c r="AP111">
        <f t="shared" si="19"/>
        <v>0.33691003109796319</v>
      </c>
    </row>
    <row r="112" spans="1:42">
      <c r="A112">
        <f>sim_annual_output!B112</f>
        <v>5</v>
      </c>
      <c r="B112" t="str">
        <f>sim_annual_output!C112</f>
        <v>Hangar</v>
      </c>
      <c r="C112" t="str">
        <f>sim_annual_output!D112</f>
        <v>1959-pre</v>
      </c>
      <c r="D112" t="str">
        <f>sim_annual_output!E112</f>
        <v>pumps_to_variable</v>
      </c>
      <c r="E112" s="45">
        <f t="array" ref="E112">IFERROR(INDEX(baseline!$J$3:$J$201,MATCH($B112&amp;$C112,baseline!$C$3:$C$201&amp;baseline!$D$3:$D$201,0)),"NA")</f>
        <v>6423</v>
      </c>
      <c r="F112">
        <f>sim_annual_output!G112</f>
        <v>6276.5798484957804</v>
      </c>
      <c r="G112">
        <f>$E112/$F112^2*sim_annual_output!I112</f>
        <v>0</v>
      </c>
      <c r="H112">
        <f>$E112/$F112^2*sim_annual_output!J112</f>
        <v>450.83792935562474</v>
      </c>
      <c r="I112">
        <f>$E112/$F112^2*sim_annual_output!K112</f>
        <v>0.44020595909260213</v>
      </c>
      <c r="J112">
        <f>$E112/$F112^2*sim_annual_output!L112</f>
        <v>0</v>
      </c>
      <c r="K112">
        <f>$E112/$F112^2*sim_annual_output!M112</f>
        <v>5.8589963917499945</v>
      </c>
      <c r="L112">
        <f>$E112/$F112^2*sim_annual_output!N112</f>
        <v>57.202771682211207</v>
      </c>
      <c r="M112">
        <f>$E112/$F112^2*sim_annual_output!O112</f>
        <v>6.3657767088535149</v>
      </c>
      <c r="N112">
        <f>$E112/$F112^2*sim_annual_output!P112</f>
        <v>0</v>
      </c>
      <c r="O112">
        <f>$E112/$F112^2*sim_annual_output!Q112</f>
        <v>10.627894281919851</v>
      </c>
      <c r="P112">
        <f>$E112/$F112^2*sim_annual_output!R112</f>
        <v>9.1003071419822508</v>
      </c>
      <c r="Q112">
        <f>$E112/$F112^2*sim_annual_output!S112</f>
        <v>0</v>
      </c>
      <c r="R112">
        <f t="array" ref="R112">INDEX(G$3:G$700,MATCH($B112&amp;$C112&amp;"baseline",$B$3:$B$700&amp;$C$3:$C$700&amp;$D$3:$D$700,0))</f>
        <v>0</v>
      </c>
      <c r="S112">
        <f t="array" ref="S112">INDEX(H$3:H$700,MATCH($B112&amp;$C112&amp;"baseline",$B$3:$B$700&amp;$C$3:$C$700&amp;$D$3:$D$700,0))</f>
        <v>454.51808740458199</v>
      </c>
      <c r="T112">
        <f t="array" ref="T112">INDEX(I$3:I$700,MATCH($B112&amp;$C112&amp;"baseline",$B$3:$B$700&amp;$C$3:$C$700&amp;$D$3:$D$700,0))</f>
        <v>0.35415746914651736</v>
      </c>
      <c r="U112">
        <f t="array" ref="U112">INDEX(J$3:J$700,MATCH($B112&amp;$C112&amp;"baseline",$B$3:$B$700&amp;$C$3:$C$700&amp;$D$3:$D$700,0))</f>
        <v>0</v>
      </c>
      <c r="V112">
        <f t="array" ref="V112">INDEX(K$3:K$700,MATCH($B112&amp;$C112&amp;"baseline",$B$3:$B$700&amp;$C$3:$C$700&amp;$D$3:$D$700,0))</f>
        <v>5.8426924673391563</v>
      </c>
      <c r="W112">
        <f t="array" ref="W112">INDEX(L$3:L$700,MATCH($B112&amp;$C112&amp;"baseline",$B$3:$B$700&amp;$C$3:$C$700&amp;$D$3:$D$700,0))</f>
        <v>57.202771682211207</v>
      </c>
      <c r="X112">
        <f t="array" ref="X112">INDEX(M$3:M$700,MATCH($B112&amp;$C112&amp;"baseline",$B$3:$B$700&amp;$C$3:$C$700&amp;$D$3:$D$700,0))</f>
        <v>6.3657767088535149</v>
      </c>
      <c r="Y112">
        <f t="array" ref="Y112">INDEX(N$3:N$700,MATCH($B112&amp;$C112&amp;"baseline",$B$3:$B$700&amp;$C$3:$C$700&amp;$D$3:$D$700,0))</f>
        <v>0</v>
      </c>
      <c r="Z112">
        <f t="array" ref="Z112">INDEX(O$3:O$700,MATCH($B112&amp;$C112&amp;"baseline",$B$3:$B$700&amp;$C$3:$C$700&amp;$D$3:$D$700,0))</f>
        <v>10.585322923735998</v>
      </c>
      <c r="AA112">
        <f t="array" ref="AA112">INDEX(P$3:P$700,MATCH($B112&amp;$C112&amp;"baseline",$B$3:$B$700&amp;$C$3:$C$700&amp;$D$3:$D$700,0))</f>
        <v>9.1188755003390369</v>
      </c>
      <c r="AB112">
        <f t="array" ref="AB112">INDEX(Q$3:Q$700,MATCH($B112&amp;$C112&amp;"baseline",$B$3:$B$700&amp;$C$3:$C$700&amp;$D$3:$D$700,0))</f>
        <v>0</v>
      </c>
      <c r="AC112">
        <f t="shared" si="13"/>
        <v>543.98768415620748</v>
      </c>
      <c r="AD112">
        <f t="shared" si="14"/>
        <v>3.6638541245463898</v>
      </c>
      <c r="AE112">
        <f t="shared" si="15"/>
        <v>-0.11005148977315571</v>
      </c>
      <c r="AF112">
        <f t="shared" si="16"/>
        <v>0.65328733320233601</v>
      </c>
      <c r="AG112">
        <f>(S112+V112+Y112)*constants!$O$2+(R112+T112+U112+W112+X112+Z112+AA112+AB112)*constants!$N$2</f>
        <v>16.907684818049468</v>
      </c>
      <c r="AH112">
        <f>((S112+V112+Y112)-(H112+K112+N112))*constants!$O$2</f>
        <v>5.9354436817651512E-2</v>
      </c>
      <c r="AI112">
        <f>((R112+T112+U112+W112+X112+Z112+AA112+AB112)-(G112+I112+J112+L112+M112+O112+P112+Q112))*constants!$N$2</f>
        <v>-1.2435818344366596E-2</v>
      </c>
      <c r="AJ112">
        <f t="shared" si="17"/>
        <v>0.27749877631500364</v>
      </c>
      <c r="AK112">
        <f t="shared" si="18"/>
        <v>4.691861847328492E-2</v>
      </c>
      <c r="AL112">
        <f>COUNTIFS($B:$B,$B112,$AK:$AK,"&lt;"&amp;$AK112)+COUNTIFS($B$2:$B112,$B112,$AK$2:$AK112,$AK112)</f>
        <v>18</v>
      </c>
      <c r="AM112" s="191">
        <f>IF(AK112=0, "NA",IF(((sim_annual_output!F112/E112)/AK112)&lt;0,100,((sim_annual_output!F112/E112)/AK112)))</f>
        <v>11.366005694765821</v>
      </c>
      <c r="AN112">
        <f>(S112+V112)*constants!$F$2+(T112+U112+W112+X112+Y112+Z112+AA112+AB112)*constants!$G$2</f>
        <v>155159.98632440294</v>
      </c>
      <c r="AO112">
        <f>(AD112*constants!$F$2+AE112*constants!$G$2)</f>
        <v>560.08509219115831</v>
      </c>
      <c r="AP112">
        <f t="shared" si="19"/>
        <v>0.36097263570270782</v>
      </c>
    </row>
    <row r="113" spans="1:42">
      <c r="A113">
        <f>sim_annual_output!B113</f>
        <v>5</v>
      </c>
      <c r="B113" t="str">
        <f>sim_annual_output!C113</f>
        <v>Hangar</v>
      </c>
      <c r="C113" t="str">
        <f>sim_annual_output!D113</f>
        <v>1959-pre</v>
      </c>
      <c r="D113" t="str">
        <f>sim_annual_output!E113</f>
        <v>pump_fan_eff_</v>
      </c>
      <c r="E113" s="45">
        <f t="array" ref="E113">IFERROR(INDEX(baseline!$J$3:$J$201,MATCH($B113&amp;$C113,baseline!$C$3:$C$201&amp;baseline!$D$3:$D$201,0)),"NA")</f>
        <v>6423</v>
      </c>
      <c r="F113">
        <f>sim_annual_output!G113</f>
        <v>6276.5798484957804</v>
      </c>
      <c r="G113">
        <f>$E113/$F113^2*sim_annual_output!I113</f>
        <v>0</v>
      </c>
      <c r="H113">
        <f>$E113/$F113^2*sim_annual_output!J113</f>
        <v>450.83792935562474</v>
      </c>
      <c r="I113">
        <f>$E113/$F113^2*sim_annual_output!K113</f>
        <v>0.44020595909260213</v>
      </c>
      <c r="J113">
        <f>$E113/$F113^2*sim_annual_output!L113</f>
        <v>0</v>
      </c>
      <c r="K113">
        <f>$E113/$F113^2*sim_annual_output!M113</f>
        <v>5.8426924673391563</v>
      </c>
      <c r="L113">
        <f>$E113/$F113^2*sim_annual_output!N113</f>
        <v>57.202771682211207</v>
      </c>
      <c r="M113">
        <f>$E113/$F113^2*sim_annual_output!O113</f>
        <v>6.3657767088535149</v>
      </c>
      <c r="N113">
        <f>$E113/$F113^2*sim_annual_output!P113</f>
        <v>0</v>
      </c>
      <c r="O113">
        <f>$E113/$F113^2*sim_annual_output!Q113</f>
        <v>10.627894281919851</v>
      </c>
      <c r="P113">
        <f>$E113/$F113^2*sim_annual_output!R113</f>
        <v>7.1302496090060989</v>
      </c>
      <c r="Q113">
        <f>$E113/$F113^2*sim_annual_output!S113</f>
        <v>0</v>
      </c>
      <c r="R113">
        <f t="array" ref="R113">INDEX(G$3:G$700,MATCH($B113&amp;$C113&amp;"baseline",$B$3:$B$700&amp;$C$3:$C$700&amp;$D$3:$D$700,0))</f>
        <v>0</v>
      </c>
      <c r="S113">
        <f t="array" ref="S113">INDEX(H$3:H$700,MATCH($B113&amp;$C113&amp;"baseline",$B$3:$B$700&amp;$C$3:$C$700&amp;$D$3:$D$700,0))</f>
        <v>454.51808740458199</v>
      </c>
      <c r="T113">
        <f t="array" ref="T113">INDEX(I$3:I$700,MATCH($B113&amp;$C113&amp;"baseline",$B$3:$B$700&amp;$C$3:$C$700&amp;$D$3:$D$700,0))</f>
        <v>0.35415746914651736</v>
      </c>
      <c r="U113">
        <f t="array" ref="U113">INDEX(J$3:J$700,MATCH($B113&amp;$C113&amp;"baseline",$B$3:$B$700&amp;$C$3:$C$700&amp;$D$3:$D$700,0))</f>
        <v>0</v>
      </c>
      <c r="V113">
        <f t="array" ref="V113">INDEX(K$3:K$700,MATCH($B113&amp;$C113&amp;"baseline",$B$3:$B$700&amp;$C$3:$C$700&amp;$D$3:$D$700,0))</f>
        <v>5.8426924673391563</v>
      </c>
      <c r="W113">
        <f t="array" ref="W113">INDEX(L$3:L$700,MATCH($B113&amp;$C113&amp;"baseline",$B$3:$B$700&amp;$C$3:$C$700&amp;$D$3:$D$700,0))</f>
        <v>57.202771682211207</v>
      </c>
      <c r="X113">
        <f t="array" ref="X113">INDEX(M$3:M$700,MATCH($B113&amp;$C113&amp;"baseline",$B$3:$B$700&amp;$C$3:$C$700&amp;$D$3:$D$700,0))</f>
        <v>6.3657767088535149</v>
      </c>
      <c r="Y113">
        <f t="array" ref="Y113">INDEX(N$3:N$700,MATCH($B113&amp;$C113&amp;"baseline",$B$3:$B$700&amp;$C$3:$C$700&amp;$D$3:$D$700,0))</f>
        <v>0</v>
      </c>
      <c r="Z113">
        <f t="array" ref="Z113">INDEX(O$3:O$700,MATCH($B113&amp;$C113&amp;"baseline",$B$3:$B$700&amp;$C$3:$C$700&amp;$D$3:$D$700,0))</f>
        <v>10.585322923735998</v>
      </c>
      <c r="AA113">
        <f t="array" ref="AA113">INDEX(P$3:P$700,MATCH($B113&amp;$C113&amp;"baseline",$B$3:$B$700&amp;$C$3:$C$700&amp;$D$3:$D$700,0))</f>
        <v>9.1188755003390369</v>
      </c>
      <c r="AB113">
        <f t="array" ref="AB113">INDEX(Q$3:Q$700,MATCH($B113&amp;$C113&amp;"baseline",$B$3:$B$700&amp;$C$3:$C$700&amp;$D$3:$D$700,0))</f>
        <v>0</v>
      </c>
      <c r="AC113">
        <f t="shared" si="13"/>
        <v>543.98768415620748</v>
      </c>
      <c r="AD113">
        <f t="shared" si="14"/>
        <v>3.680158048957253</v>
      </c>
      <c r="AE113">
        <f t="shared" si="15"/>
        <v>1.8600060432030006</v>
      </c>
      <c r="AF113">
        <f t="shared" si="16"/>
        <v>1.0184355737306325</v>
      </c>
      <c r="AG113">
        <f>(S113+V113+Y113)*constants!$O$2+(R113+T113+U113+W113+X113+Z113+AA113+AB113)*constants!$N$2</f>
        <v>16.907684818049468</v>
      </c>
      <c r="AH113">
        <f>((S113+V113+Y113)-(H113+K113+N113))*constants!$O$2</f>
        <v>5.9618560393107492E-2</v>
      </c>
      <c r="AI113">
        <f>((R113+T113+U113+W113+X113+Z113+AA113+AB113)-(G113+I113+J113+L113+M113+O113+P113+Q113))*constants!$N$2</f>
        <v>0.21018068288193906</v>
      </c>
      <c r="AJ113">
        <f t="shared" si="17"/>
        <v>1.5957196161299843</v>
      </c>
      <c r="AK113">
        <f t="shared" si="18"/>
        <v>0.26979924327504656</v>
      </c>
      <c r="AL113">
        <f>COUNTIFS($B:$B,$B113,$AK:$AK,"&lt;"&amp;$AK113)+COUNTIFS($B$2:$B113,$B113,$AK$2:$AK113,$AK113)</f>
        <v>36</v>
      </c>
      <c r="AM113" s="191">
        <f>IF(AK113=0, "NA",IF(((sim_annual_output!F113/E113)/AK113)&lt;0,100,((sim_annual_output!F113/E113)/AK113)))</f>
        <v>3.8405338548913739</v>
      </c>
      <c r="AN113">
        <f>(S113+V113)*constants!$F$2+(T113+U113+W113+X113+Y113+Z113+AA113+AB113)*constants!$G$2</f>
        <v>155159.98632440294</v>
      </c>
      <c r="AO113">
        <f>(AD113*constants!$F$2+AE113*constants!$G$2)</f>
        <v>2276.9535483499585</v>
      </c>
      <c r="AP113">
        <f t="shared" si="19"/>
        <v>1.4674875928316888</v>
      </c>
    </row>
    <row r="114" spans="1:42">
      <c r="A114">
        <f>sim_annual_output!B114</f>
        <v>6</v>
      </c>
      <c r="B114" t="str">
        <f>sim_annual_output!C114</f>
        <v>Hangar</v>
      </c>
      <c r="C114" t="str">
        <f>sim_annual_output!D114</f>
        <v>1960-1979</v>
      </c>
      <c r="D114" t="str">
        <f>sim_annual_output!E114</f>
        <v>air_temp_reset_enabled</v>
      </c>
      <c r="E114" s="45">
        <f t="array" ref="E114">IFERROR(INDEX(baseline!$J$3:$J$201,MATCH($B114&amp;$C114,baseline!$C$3:$C$201&amp;baseline!$D$3:$D$201,0)),"NA")</f>
        <v>6423</v>
      </c>
      <c r="F114">
        <f>sim_annual_output!G114</f>
        <v>6276.5798484957804</v>
      </c>
      <c r="G114">
        <f>$E114/$F114^2*sim_annual_output!I114</f>
        <v>0</v>
      </c>
      <c r="H114">
        <f>$E114/$F114^2*sim_annual_output!J114</f>
        <v>443.0025350158499</v>
      </c>
      <c r="I114">
        <f>$E114/$F114^2*sim_annual_output!K114</f>
        <v>4.562834401088443</v>
      </c>
      <c r="J114">
        <f>$E114/$F114^2*sim_annual_output!L114</f>
        <v>0</v>
      </c>
      <c r="K114">
        <f>$E114/$F114^2*sim_annual_output!M114</f>
        <v>5.8426924673391563</v>
      </c>
      <c r="L114">
        <f>$E114/$F114^2*sim_annual_output!N114</f>
        <v>57.202771682211207</v>
      </c>
      <c r="M114">
        <f>$E114/$F114^2*sim_annual_output!O114</f>
        <v>6.3657767088535149</v>
      </c>
      <c r="N114">
        <f>$E114/$F114^2*sim_annual_output!P114</f>
        <v>0</v>
      </c>
      <c r="O114">
        <f>$E114/$F114^2*sim_annual_output!Q114</f>
        <v>10.081712814156807</v>
      </c>
      <c r="P114">
        <f>$E114/$F114^2*sim_annual_output!R114</f>
        <v>9.7311784393238092</v>
      </c>
      <c r="Q114">
        <f>$E114/$F114^2*sim_annual_output!S114</f>
        <v>0</v>
      </c>
      <c r="R114">
        <f t="array" ref="R114">INDEX(G$3:G$700,MATCH($B114&amp;$C114&amp;"baseline",$B$3:$B$700&amp;$C$3:$C$700&amp;$D$3:$D$700,0))</f>
        <v>0</v>
      </c>
      <c r="S114">
        <f t="array" ref="S114">INDEX(H$3:H$700,MATCH($B114&amp;$C114&amp;"baseline",$B$3:$B$700&amp;$C$3:$C$700&amp;$D$3:$D$700,0))</f>
        <v>441.28654697160931</v>
      </c>
      <c r="T114">
        <f t="array" ref="T114">INDEX(I$3:I$700,MATCH($B114&amp;$C114&amp;"baseline",$B$3:$B$700&amp;$C$3:$C$700&amp;$D$3:$D$700,0))</f>
        <v>0.2866773375572193</v>
      </c>
      <c r="U114">
        <f t="array" ref="U114">INDEX(J$3:J$700,MATCH($B114&amp;$C114&amp;"baseline",$B$3:$B$700&amp;$C$3:$C$700&amp;$D$3:$D$700,0))</f>
        <v>0</v>
      </c>
      <c r="V114">
        <f t="array" ref="V114">INDEX(K$3:K$700,MATCH($B114&amp;$C114&amp;"baseline",$B$3:$B$700&amp;$C$3:$C$700&amp;$D$3:$D$700,0))</f>
        <v>5.8426924673391563</v>
      </c>
      <c r="W114">
        <f t="array" ref="W114">INDEX(L$3:L$700,MATCH($B114&amp;$C114&amp;"baseline",$B$3:$B$700&amp;$C$3:$C$700&amp;$D$3:$D$700,0))</f>
        <v>57.202771682211207</v>
      </c>
      <c r="X114">
        <f t="array" ref="X114">INDEX(M$3:M$700,MATCH($B114&amp;$C114&amp;"baseline",$B$3:$B$700&amp;$C$3:$C$700&amp;$D$3:$D$700,0))</f>
        <v>6.3657767088535149</v>
      </c>
      <c r="Y114">
        <f t="array" ref="Y114">INDEX(N$3:N$700,MATCH($B114&amp;$C114&amp;"baseline",$B$3:$B$700&amp;$C$3:$C$700&amp;$D$3:$D$700,0))</f>
        <v>0</v>
      </c>
      <c r="Z114">
        <f t="array" ref="Z114">INDEX(O$3:O$700,MATCH($B114&amp;$C114&amp;"baseline",$B$3:$B$700&amp;$C$3:$C$700&amp;$D$3:$D$700,0))</f>
        <v>10.044123210654044</v>
      </c>
      <c r="AA114">
        <f t="array" ref="AA114">INDEX(P$3:P$700,MATCH($B114&amp;$C114&amp;"baseline",$B$3:$B$700&amp;$C$3:$C$700&amp;$D$3:$D$700,0))</f>
        <v>8.601225900294958</v>
      </c>
      <c r="AB114">
        <f t="array" ref="AB114">INDEX(Q$3:Q$700,MATCH($B114&amp;$C114&amp;"baseline",$B$3:$B$700&amp;$C$3:$C$700&amp;$D$3:$D$700,0))</f>
        <v>0</v>
      </c>
      <c r="AC114">
        <f t="shared" si="13"/>
        <v>529.62981427851935</v>
      </c>
      <c r="AD114">
        <f t="shared" si="14"/>
        <v>-1.7159880442405893</v>
      </c>
      <c r="AE114">
        <f t="shared" si="15"/>
        <v>-5.4436992060628171</v>
      </c>
      <c r="AF114">
        <f t="shared" si="16"/>
        <v>-1.351828589947601</v>
      </c>
      <c r="AG114">
        <f>(S114+V114+Y114)*constants!$O$2+(R114+T114+U114+W114+X114+Z114+AA114+AB114)*constants!$N$2</f>
        <v>16.566058635782483</v>
      </c>
      <c r="AH114">
        <f>((S114+V114+Y114)-(H114+K114+N114))*constants!$O$2</f>
        <v>-2.7799006316697544E-2</v>
      </c>
      <c r="AI114">
        <f>((R114+T114+U114+W114+X114+Z114+AA114+AB114)-(G114+I114+J114+L114+M114+O114+P114+Q114))*constants!$N$2</f>
        <v>-0.6151380102850984</v>
      </c>
      <c r="AJ114">
        <f t="shared" si="17"/>
        <v>-3.8810499874306847</v>
      </c>
      <c r="AK114">
        <f t="shared" si="18"/>
        <v>-0.64293701660179592</v>
      </c>
      <c r="AL114">
        <f>COUNTIFS($B:$B,$B114,$AK:$AK,"&lt;"&amp;$AK114)+COUNTIFS($B$2:$B114,$B114,$AK$2:$AK114,$AK114)</f>
        <v>2</v>
      </c>
      <c r="AM114" s="191">
        <f>IF(AK114=0, "NA",IF(((sim_annual_output!F114/E114)/AK114)&lt;0,100,((sim_annual_output!F114/E114)/AK114)))</f>
        <v>100</v>
      </c>
      <c r="AN114">
        <f>(S114+V114)*constants!$F$2+(T114+U114+W114+X114+Y114+Z114+AA114+AB114)*constants!$G$2</f>
        <v>151811.63396999851</v>
      </c>
      <c r="AO114">
        <f>(AD114*constants!$F$2+AE114*constants!$G$2)</f>
        <v>-5043.1801691937162</v>
      </c>
      <c r="AP114">
        <f t="shared" si="19"/>
        <v>-3.3219984775279903</v>
      </c>
    </row>
    <row r="115" spans="1:42">
      <c r="A115">
        <f>sim_annual_output!B115</f>
        <v>6</v>
      </c>
      <c r="B115" t="str">
        <f>sim_annual_output!C115</f>
        <v>Hangar</v>
      </c>
      <c r="C115" t="str">
        <f>sim_annual_output!D115</f>
        <v>1960-1979</v>
      </c>
      <c r="D115" t="str">
        <f>sim_annual_output!E115</f>
        <v>baseline</v>
      </c>
      <c r="E115" s="45">
        <f t="array" ref="E115">IFERROR(INDEX(baseline!$J$3:$J$201,MATCH($B115&amp;$C115,baseline!$C$3:$C$201&amp;baseline!$D$3:$D$201,0)),"NA")</f>
        <v>6423</v>
      </c>
      <c r="F115">
        <f>sim_annual_output!G115</f>
        <v>6276.5798484957804</v>
      </c>
      <c r="G115">
        <f>$E115/$F115^2*sim_annual_output!I115</f>
        <v>0</v>
      </c>
      <c r="H115">
        <f>$E115/$F115^2*sim_annual_output!J115</f>
        <v>441.28654697160931</v>
      </c>
      <c r="I115">
        <f>$E115/$F115^2*sim_annual_output!K115</f>
        <v>0.2866773375572193</v>
      </c>
      <c r="J115">
        <f>$E115/$F115^2*sim_annual_output!L115</f>
        <v>0</v>
      </c>
      <c r="K115">
        <f>$E115/$F115^2*sim_annual_output!M115</f>
        <v>5.8426924673391563</v>
      </c>
      <c r="L115">
        <f>$E115/$F115^2*sim_annual_output!N115</f>
        <v>57.202771682211207</v>
      </c>
      <c r="M115">
        <f>$E115/$F115^2*sim_annual_output!O115</f>
        <v>6.3657767088535149</v>
      </c>
      <c r="N115">
        <f>$E115/$F115^2*sim_annual_output!P115</f>
        <v>0</v>
      </c>
      <c r="O115">
        <f>$E115/$F115^2*sim_annual_output!Q115</f>
        <v>10.044123210654044</v>
      </c>
      <c r="P115">
        <f>$E115/$F115^2*sim_annual_output!R115</f>
        <v>8.601225900294958</v>
      </c>
      <c r="Q115">
        <f>$E115/$F115^2*sim_annual_output!S115</f>
        <v>0</v>
      </c>
      <c r="R115">
        <f t="array" ref="R115">INDEX(G$3:G$700,MATCH($B115&amp;$C115&amp;"baseline",$B$3:$B$700&amp;$C$3:$C$700&amp;$D$3:$D$700,0))</f>
        <v>0</v>
      </c>
      <c r="S115">
        <f t="array" ref="S115">INDEX(H$3:H$700,MATCH($B115&amp;$C115&amp;"baseline",$B$3:$B$700&amp;$C$3:$C$700&amp;$D$3:$D$700,0))</f>
        <v>441.28654697160931</v>
      </c>
      <c r="T115">
        <f t="array" ref="T115">INDEX(I$3:I$700,MATCH($B115&amp;$C115&amp;"baseline",$B$3:$B$700&amp;$C$3:$C$700&amp;$D$3:$D$700,0))</f>
        <v>0.2866773375572193</v>
      </c>
      <c r="U115">
        <f t="array" ref="U115">INDEX(J$3:J$700,MATCH($B115&amp;$C115&amp;"baseline",$B$3:$B$700&amp;$C$3:$C$700&amp;$D$3:$D$700,0))</f>
        <v>0</v>
      </c>
      <c r="V115">
        <f t="array" ref="V115">INDEX(K$3:K$700,MATCH($B115&amp;$C115&amp;"baseline",$B$3:$B$700&amp;$C$3:$C$700&amp;$D$3:$D$700,0))</f>
        <v>5.8426924673391563</v>
      </c>
      <c r="W115">
        <f t="array" ref="W115">INDEX(L$3:L$700,MATCH($B115&amp;$C115&amp;"baseline",$B$3:$B$700&amp;$C$3:$C$700&amp;$D$3:$D$700,0))</f>
        <v>57.202771682211207</v>
      </c>
      <c r="X115">
        <f t="array" ref="X115">INDEX(M$3:M$700,MATCH($B115&amp;$C115&amp;"baseline",$B$3:$B$700&amp;$C$3:$C$700&amp;$D$3:$D$700,0))</f>
        <v>6.3657767088535149</v>
      </c>
      <c r="Y115">
        <f t="array" ref="Y115">INDEX(N$3:N$700,MATCH($B115&amp;$C115&amp;"baseline",$B$3:$B$700&amp;$C$3:$C$700&amp;$D$3:$D$700,0))</f>
        <v>0</v>
      </c>
      <c r="Z115">
        <f t="array" ref="Z115">INDEX(O$3:O$700,MATCH($B115&amp;$C115&amp;"baseline",$B$3:$B$700&amp;$C$3:$C$700&amp;$D$3:$D$700,0))</f>
        <v>10.044123210654044</v>
      </c>
      <c r="AA115">
        <f t="array" ref="AA115">INDEX(P$3:P$700,MATCH($B115&amp;$C115&amp;"baseline",$B$3:$B$700&amp;$C$3:$C$700&amp;$D$3:$D$700,0))</f>
        <v>8.601225900294958</v>
      </c>
      <c r="AB115">
        <f t="array" ref="AB115">INDEX(Q$3:Q$700,MATCH($B115&amp;$C115&amp;"baseline",$B$3:$B$700&amp;$C$3:$C$700&amp;$D$3:$D$700,0))</f>
        <v>0</v>
      </c>
      <c r="AC115">
        <f t="shared" si="13"/>
        <v>529.62981427851935</v>
      </c>
      <c r="AD115">
        <f t="shared" si="14"/>
        <v>0</v>
      </c>
      <c r="AE115">
        <f t="shared" si="15"/>
        <v>0</v>
      </c>
      <c r="AF115">
        <f t="shared" si="16"/>
        <v>0</v>
      </c>
      <c r="AG115">
        <f>(S115+V115+Y115)*constants!$O$2+(R115+T115+U115+W115+X115+Z115+AA115+AB115)*constants!$N$2</f>
        <v>16.566058635782483</v>
      </c>
      <c r="AH115">
        <f>((S115+V115+Y115)-(H115+K115+N115))*constants!$O$2</f>
        <v>0</v>
      </c>
      <c r="AI115">
        <f>((R115+T115+U115+W115+X115+Z115+AA115+AB115)-(G115+I115+J115+L115+M115+O115+P115+Q115))*constants!$N$2</f>
        <v>0</v>
      </c>
      <c r="AJ115">
        <f t="shared" si="17"/>
        <v>0</v>
      </c>
      <c r="AK115">
        <f t="shared" si="18"/>
        <v>0</v>
      </c>
      <c r="AL115">
        <f>COUNTIFS($B:$B,$B115,$AK:$AK,"&lt;"&amp;$AK115)+COUNTIFS($B$2:$B115,$B115,$AK$2:$AK115,$AK115)</f>
        <v>7</v>
      </c>
      <c r="AM115" s="191" t="str">
        <f>IF(AK115=0, "NA",IF(((sim_annual_output!F115/E115)/AK115)&lt;0,100,((sim_annual_output!F115/E115)/AK115)))</f>
        <v>NA</v>
      </c>
      <c r="AN115">
        <f>(S115+V115)*constants!$F$2+(T115+U115+W115+X115+Y115+Z115+AA115+AB115)*constants!$G$2</f>
        <v>151811.63396999851</v>
      </c>
      <c r="AO115">
        <f>(AD115*constants!$F$2+AE115*constants!$G$2)</f>
        <v>0</v>
      </c>
      <c r="AP115">
        <f t="shared" si="19"/>
        <v>0</v>
      </c>
    </row>
    <row r="116" spans="1:42">
      <c r="A116">
        <f>sim_annual_output!B116</f>
        <v>6</v>
      </c>
      <c r="B116" t="str">
        <f>sim_annual_output!C116</f>
        <v>Hangar</v>
      </c>
      <c r="C116" t="str">
        <f>sim_annual_output!D116</f>
        <v>1960-1979</v>
      </c>
      <c r="D116" t="str">
        <f>sim_annual_output!E116</f>
        <v>boiler_eff_upgrade</v>
      </c>
      <c r="E116" s="45">
        <f t="array" ref="E116">IFERROR(INDEX(baseline!$J$3:$J$201,MATCH($B116&amp;$C116,baseline!$C$3:$C$201&amp;baseline!$D$3:$D$201,0)),"NA")</f>
        <v>6423</v>
      </c>
      <c r="F116">
        <f>sim_annual_output!G116</f>
        <v>6276.5798484957804</v>
      </c>
      <c r="G116">
        <f>$E116/$F116^2*sim_annual_output!I116</f>
        <v>0</v>
      </c>
      <c r="H116">
        <f>$E116/$F116^2*sim_annual_output!J116</f>
        <v>436.35460983733105</v>
      </c>
      <c r="I116">
        <f>$E116/$F116^2*sim_annual_output!K116</f>
        <v>0.3700085067681646</v>
      </c>
      <c r="J116">
        <f>$E116/$F116^2*sim_annual_output!L116</f>
        <v>0</v>
      </c>
      <c r="K116">
        <f>$E116/$F116^2*sim_annual_output!M116</f>
        <v>5.8426924673391563</v>
      </c>
      <c r="L116">
        <f>$E116/$F116^2*sim_annual_output!N116</f>
        <v>57.202771682211207</v>
      </c>
      <c r="M116">
        <f>$E116/$F116^2*sim_annual_output!O116</f>
        <v>6.3657767088535149</v>
      </c>
      <c r="N116">
        <f>$E116/$F116^2*sim_annual_output!P116</f>
        <v>0</v>
      </c>
      <c r="O116">
        <f>$E116/$F116^2*sim_annual_output!Q116</f>
        <v>10.081712814156807</v>
      </c>
      <c r="P116">
        <f>$E116/$F116^2*sim_annual_output!R116</f>
        <v>8.5912623909327799</v>
      </c>
      <c r="Q116">
        <f>$E116/$F116^2*sim_annual_output!S116</f>
        <v>0</v>
      </c>
      <c r="R116">
        <f t="array" ref="R116">INDEX(G$3:G$700,MATCH($B116&amp;$C116&amp;"baseline",$B$3:$B$700&amp;$C$3:$C$700&amp;$D$3:$D$700,0))</f>
        <v>0</v>
      </c>
      <c r="S116">
        <f t="array" ref="S116">INDEX(H$3:H$700,MATCH($B116&amp;$C116&amp;"baseline",$B$3:$B$700&amp;$C$3:$C$700&amp;$D$3:$D$700,0))</f>
        <v>441.28654697160931</v>
      </c>
      <c r="T116">
        <f t="array" ref="T116">INDEX(I$3:I$700,MATCH($B116&amp;$C116&amp;"baseline",$B$3:$B$700&amp;$C$3:$C$700&amp;$D$3:$D$700,0))</f>
        <v>0.2866773375572193</v>
      </c>
      <c r="U116">
        <f t="array" ref="U116">INDEX(J$3:J$700,MATCH($B116&amp;$C116&amp;"baseline",$B$3:$B$700&amp;$C$3:$C$700&amp;$D$3:$D$700,0))</f>
        <v>0</v>
      </c>
      <c r="V116">
        <f t="array" ref="V116">INDEX(K$3:K$700,MATCH($B116&amp;$C116&amp;"baseline",$B$3:$B$700&amp;$C$3:$C$700&amp;$D$3:$D$700,0))</f>
        <v>5.8426924673391563</v>
      </c>
      <c r="W116">
        <f t="array" ref="W116">INDEX(L$3:L$700,MATCH($B116&amp;$C116&amp;"baseline",$B$3:$B$700&amp;$C$3:$C$700&amp;$D$3:$D$700,0))</f>
        <v>57.202771682211207</v>
      </c>
      <c r="X116">
        <f t="array" ref="X116">INDEX(M$3:M$700,MATCH($B116&amp;$C116&amp;"baseline",$B$3:$B$700&amp;$C$3:$C$700&amp;$D$3:$D$700,0))</f>
        <v>6.3657767088535149</v>
      </c>
      <c r="Y116">
        <f t="array" ref="Y116">INDEX(N$3:N$700,MATCH($B116&amp;$C116&amp;"baseline",$B$3:$B$700&amp;$C$3:$C$700&amp;$D$3:$D$700,0))</f>
        <v>0</v>
      </c>
      <c r="Z116">
        <f t="array" ref="Z116">INDEX(O$3:O$700,MATCH($B116&amp;$C116&amp;"baseline",$B$3:$B$700&amp;$C$3:$C$700&amp;$D$3:$D$700,0))</f>
        <v>10.044123210654044</v>
      </c>
      <c r="AA116">
        <f t="array" ref="AA116">INDEX(P$3:P$700,MATCH($B116&amp;$C116&amp;"baseline",$B$3:$B$700&amp;$C$3:$C$700&amp;$D$3:$D$700,0))</f>
        <v>8.601225900294958</v>
      </c>
      <c r="AB116">
        <f t="array" ref="AB116">INDEX(Q$3:Q$700,MATCH($B116&amp;$C116&amp;"baseline",$B$3:$B$700&amp;$C$3:$C$700&amp;$D$3:$D$700,0))</f>
        <v>0</v>
      </c>
      <c r="AC116">
        <f t="shared" si="13"/>
        <v>529.62981427851935</v>
      </c>
      <c r="AD116">
        <f t="shared" si="14"/>
        <v>4.9319371342782574</v>
      </c>
      <c r="AE116">
        <f t="shared" si="15"/>
        <v>-0.11095726335152278</v>
      </c>
      <c r="AF116">
        <f t="shared" si="16"/>
        <v>0.91025462331535201</v>
      </c>
      <c r="AG116">
        <f>(S116+V116+Y116)*constants!$O$2+(R116+T116+U116+W116+X116+Z116+AA116+AB116)*constants!$N$2</f>
        <v>16.566058635782483</v>
      </c>
      <c r="AH116">
        <f>((S116+V116+Y116)-(H116+K116+N116))*constants!$O$2</f>
        <v>7.9897381575307763E-2</v>
      </c>
      <c r="AI116">
        <f>((R116+T116+U116+W116+X116+Z116+AA116+AB116)-(G116+I116+J116+L116+M116+O116+P116+Q116))*constants!$N$2</f>
        <v>-1.2538170758722074E-2</v>
      </c>
      <c r="AJ116">
        <f t="shared" si="17"/>
        <v>0.40660975732085497</v>
      </c>
      <c r="AK116">
        <f t="shared" si="18"/>
        <v>6.7359210816585691E-2</v>
      </c>
      <c r="AL116">
        <f>COUNTIFS($B:$B,$B116,$AK:$AK,"&lt;"&amp;$AK116)+COUNTIFS($B$2:$B116,$B116,$AK$2:$AK116,$AK116)</f>
        <v>23</v>
      </c>
      <c r="AM116" s="191">
        <f>IF(AK116=0, "NA",IF(((sim_annual_output!F116/E116)/AK116)&lt;0,100,((sim_annual_output!F116/E116)/AK116)))</f>
        <v>392.78530605219265</v>
      </c>
      <c r="AN116">
        <f>(S116+V116)*constants!$F$2+(T116+U116+W116+X116+Y116+Z116+AA116+AB116)*constants!$G$2</f>
        <v>151811.63396999851</v>
      </c>
      <c r="AO116">
        <f>(AD116*constants!$F$2+AE116*constants!$G$2)</f>
        <v>786.28392791998317</v>
      </c>
      <c r="AP116">
        <f t="shared" si="19"/>
        <v>0.51793390753924107</v>
      </c>
    </row>
    <row r="117" spans="1:42">
      <c r="A117">
        <f>sim_annual_output!B117</f>
        <v>6</v>
      </c>
      <c r="B117" t="str">
        <f>sim_annual_output!C117</f>
        <v>Hangar</v>
      </c>
      <c r="C117" t="str">
        <f>sim_annual_output!D117</f>
        <v>1960-1979</v>
      </c>
      <c r="D117" t="str">
        <f>sim_annual_output!E117</f>
        <v>boiler_reset</v>
      </c>
      <c r="E117" s="45">
        <f t="array" ref="E117">IFERROR(INDEX(baseline!$J$3:$J$201,MATCH($B117&amp;$C117,baseline!$C$3:$C$201&amp;baseline!$D$3:$D$201,0)),"NA")</f>
        <v>6423</v>
      </c>
      <c r="F117">
        <f>sim_annual_output!G117</f>
        <v>6276.5798484957804</v>
      </c>
      <c r="G117">
        <f>$E117/$F117^2*sim_annual_output!I117</f>
        <v>0</v>
      </c>
      <c r="H117">
        <f>$E117/$F117^2*sim_annual_output!J117</f>
        <v>360.81309340045243</v>
      </c>
      <c r="I117">
        <f>$E117/$F117^2*sim_annual_output!K117</f>
        <v>0.3700085067681646</v>
      </c>
      <c r="J117">
        <f>$E117/$F117^2*sim_annual_output!L117</f>
        <v>0</v>
      </c>
      <c r="K117">
        <f>$E117/$F117^2*sim_annual_output!M117</f>
        <v>5.8426924673391563</v>
      </c>
      <c r="L117">
        <f>$E117/$F117^2*sim_annual_output!N117</f>
        <v>57.202771682211207</v>
      </c>
      <c r="M117">
        <f>$E117/$F117^2*sim_annual_output!O117</f>
        <v>6.3657767088535149</v>
      </c>
      <c r="N117">
        <f>$E117/$F117^2*sim_annual_output!P117</f>
        <v>0</v>
      </c>
      <c r="O117">
        <f>$E117/$F117^2*sim_annual_output!Q117</f>
        <v>10.081712814156807</v>
      </c>
      <c r="P117">
        <f>$E117/$F117^2*sim_annual_output!R117</f>
        <v>0.37816046897358313</v>
      </c>
      <c r="Q117">
        <f>$E117/$F117^2*sim_annual_output!S117</f>
        <v>0</v>
      </c>
      <c r="R117">
        <f t="array" ref="R117">INDEX(G$3:G$700,MATCH($B117&amp;$C117&amp;"baseline",$B$3:$B$700&amp;$C$3:$C$700&amp;$D$3:$D$700,0))</f>
        <v>0</v>
      </c>
      <c r="S117">
        <f t="array" ref="S117">INDEX(H$3:H$700,MATCH($B117&amp;$C117&amp;"baseline",$B$3:$B$700&amp;$C$3:$C$700&amp;$D$3:$D$700,0))</f>
        <v>441.28654697160931</v>
      </c>
      <c r="T117">
        <f t="array" ref="T117">INDEX(I$3:I$700,MATCH($B117&amp;$C117&amp;"baseline",$B$3:$B$700&amp;$C$3:$C$700&amp;$D$3:$D$700,0))</f>
        <v>0.2866773375572193</v>
      </c>
      <c r="U117">
        <f t="array" ref="U117">INDEX(J$3:J$700,MATCH($B117&amp;$C117&amp;"baseline",$B$3:$B$700&amp;$C$3:$C$700&amp;$D$3:$D$700,0))</f>
        <v>0</v>
      </c>
      <c r="V117">
        <f t="array" ref="V117">INDEX(K$3:K$700,MATCH($B117&amp;$C117&amp;"baseline",$B$3:$B$700&amp;$C$3:$C$700&amp;$D$3:$D$700,0))</f>
        <v>5.8426924673391563</v>
      </c>
      <c r="W117">
        <f t="array" ref="W117">INDEX(L$3:L$700,MATCH($B117&amp;$C117&amp;"baseline",$B$3:$B$700&amp;$C$3:$C$700&amp;$D$3:$D$700,0))</f>
        <v>57.202771682211207</v>
      </c>
      <c r="X117">
        <f t="array" ref="X117">INDEX(M$3:M$700,MATCH($B117&amp;$C117&amp;"baseline",$B$3:$B$700&amp;$C$3:$C$700&amp;$D$3:$D$700,0))</f>
        <v>6.3657767088535149</v>
      </c>
      <c r="Y117">
        <f t="array" ref="Y117">INDEX(N$3:N$700,MATCH($B117&amp;$C117&amp;"baseline",$B$3:$B$700&amp;$C$3:$C$700&amp;$D$3:$D$700,0))</f>
        <v>0</v>
      </c>
      <c r="Z117">
        <f t="array" ref="Z117">INDEX(O$3:O$700,MATCH($B117&amp;$C117&amp;"baseline",$B$3:$B$700&amp;$C$3:$C$700&amp;$D$3:$D$700,0))</f>
        <v>10.044123210654044</v>
      </c>
      <c r="AA117">
        <f t="array" ref="AA117">INDEX(P$3:P$700,MATCH($B117&amp;$C117&amp;"baseline",$B$3:$B$700&amp;$C$3:$C$700&amp;$D$3:$D$700,0))</f>
        <v>8.601225900294958</v>
      </c>
      <c r="AB117">
        <f t="array" ref="AB117">INDEX(Q$3:Q$700,MATCH($B117&amp;$C117&amp;"baseline",$B$3:$B$700&amp;$C$3:$C$700&amp;$D$3:$D$700,0))</f>
        <v>0</v>
      </c>
      <c r="AC117">
        <f t="shared" si="13"/>
        <v>529.62981427851935</v>
      </c>
      <c r="AD117">
        <f t="shared" si="14"/>
        <v>80.473453571156881</v>
      </c>
      <c r="AE117">
        <f t="shared" si="15"/>
        <v>8.1021446586076706</v>
      </c>
      <c r="AF117">
        <f t="shared" si="16"/>
        <v>16.724058170785831</v>
      </c>
      <c r="AG117">
        <f>(S117+V117+Y117)*constants!$O$2+(R117+T117+U117+W117+X117+Z117+AA117+AB117)*constants!$N$2</f>
        <v>16.566058635782483</v>
      </c>
      <c r="AH117">
        <f>((S117+V117+Y117)-(H117+K117+N117))*constants!$O$2</f>
        <v>1.3036699478527414</v>
      </c>
      <c r="AI117">
        <f>((R117+T117+U117+W117+X117+Z117+AA117+AB117)-(G117+I117+J117+L117+M117+O117+P117+Q117))*constants!$N$2</f>
        <v>0.91554234642266685</v>
      </c>
      <c r="AJ117">
        <f t="shared" si="17"/>
        <v>13.396139317543746</v>
      </c>
      <c r="AK117">
        <f t="shared" si="18"/>
        <v>2.2192122942754082</v>
      </c>
      <c r="AL117">
        <f>COUNTIFS($B:$B,$B117,$AK:$AK,"&lt;"&amp;$AK117)+COUNTIFS($B$2:$B117,$B117,$AK$2:$AK117,$AK117)</f>
        <v>58</v>
      </c>
      <c r="AM117" s="191">
        <f>IF(AK117=0, "NA",IF(((sim_annual_output!F117/E117)/AK117)&lt;0,100,((sim_annual_output!F117/E117)/AK117)))</f>
        <v>6.5183805464952324E-2</v>
      </c>
      <c r="AN117">
        <f>(S117+V117)*constants!$F$2+(T117+U117+W117+X117+Y117+Z117+AA117+AB117)*constants!$G$2</f>
        <v>151811.63396999851</v>
      </c>
      <c r="AO117">
        <f>(AD117*constants!$F$2+AE117*constants!$G$2)</f>
        <v>21453.614042225756</v>
      </c>
      <c r="AP117">
        <f t="shared" si="19"/>
        <v>14.131732516933113</v>
      </c>
    </row>
    <row r="118" spans="1:42">
      <c r="A118">
        <f>sim_annual_output!B118</f>
        <v>6</v>
      </c>
      <c r="B118" t="str">
        <f>sim_annual_output!C118</f>
        <v>Hangar</v>
      </c>
      <c r="C118" t="str">
        <f>sim_annual_output!D118</f>
        <v>1960-1979</v>
      </c>
      <c r="D118" t="str">
        <f>sim_annual_output!E118</f>
        <v>cooling_cop_3_0</v>
      </c>
      <c r="E118" s="45">
        <f t="array" ref="E118">IFERROR(INDEX(baseline!$J$3:$J$201,MATCH($B118&amp;$C118,baseline!$C$3:$C$201&amp;baseline!$D$3:$D$201,0)),"NA")</f>
        <v>6423</v>
      </c>
      <c r="F118">
        <f>sim_annual_output!G118</f>
        <v>6276.5798484957804</v>
      </c>
      <c r="G118">
        <f>$E118/$F118^2*sim_annual_output!I118</f>
        <v>0</v>
      </c>
      <c r="H118">
        <f>$E118/$F118^2*sim_annual_output!J118</f>
        <v>436.35460983733105</v>
      </c>
      <c r="I118">
        <f>$E118/$F118^2*sim_annual_output!K118</f>
        <v>0.26403299809772329</v>
      </c>
      <c r="J118">
        <f>$E118/$F118^2*sim_annual_output!L118</f>
        <v>0</v>
      </c>
      <c r="K118">
        <f>$E118/$F118^2*sim_annual_output!M118</f>
        <v>5.8426924673391563</v>
      </c>
      <c r="L118">
        <f>$E118/$F118^2*sim_annual_output!N118</f>
        <v>57.202771682211207</v>
      </c>
      <c r="M118">
        <f>$E118/$F118^2*sim_annual_output!O118</f>
        <v>6.3657767088535149</v>
      </c>
      <c r="N118">
        <f>$E118/$F118^2*sim_annual_output!P118</f>
        <v>0</v>
      </c>
      <c r="O118">
        <f>$E118/$F118^2*sim_annual_output!Q118</f>
        <v>10.081712814156807</v>
      </c>
      <c r="P118">
        <f>$E118/$F118^2*sim_annual_output!R118</f>
        <v>8.5912623909327799</v>
      </c>
      <c r="Q118">
        <f>$E118/$F118^2*sim_annual_output!S118</f>
        <v>0</v>
      </c>
      <c r="R118">
        <f t="array" ref="R118">INDEX(G$3:G$700,MATCH($B118&amp;$C118&amp;"baseline",$B$3:$B$700&amp;$C$3:$C$700&amp;$D$3:$D$700,0))</f>
        <v>0</v>
      </c>
      <c r="S118">
        <f t="array" ref="S118">INDEX(H$3:H$700,MATCH($B118&amp;$C118&amp;"baseline",$B$3:$B$700&amp;$C$3:$C$700&amp;$D$3:$D$700,0))</f>
        <v>441.28654697160931</v>
      </c>
      <c r="T118">
        <f t="array" ref="T118">INDEX(I$3:I$700,MATCH($B118&amp;$C118&amp;"baseline",$B$3:$B$700&amp;$C$3:$C$700&amp;$D$3:$D$700,0))</f>
        <v>0.2866773375572193</v>
      </c>
      <c r="U118">
        <f t="array" ref="U118">INDEX(J$3:J$700,MATCH($B118&amp;$C118&amp;"baseline",$B$3:$B$700&amp;$C$3:$C$700&amp;$D$3:$D$700,0))</f>
        <v>0</v>
      </c>
      <c r="V118">
        <f t="array" ref="V118">INDEX(K$3:K$700,MATCH($B118&amp;$C118&amp;"baseline",$B$3:$B$700&amp;$C$3:$C$700&amp;$D$3:$D$700,0))</f>
        <v>5.8426924673391563</v>
      </c>
      <c r="W118">
        <f t="array" ref="W118">INDEX(L$3:L$700,MATCH($B118&amp;$C118&amp;"baseline",$B$3:$B$700&amp;$C$3:$C$700&amp;$D$3:$D$700,0))</f>
        <v>57.202771682211207</v>
      </c>
      <c r="X118">
        <f t="array" ref="X118">INDEX(M$3:M$700,MATCH($B118&amp;$C118&amp;"baseline",$B$3:$B$700&amp;$C$3:$C$700&amp;$D$3:$D$700,0))</f>
        <v>6.3657767088535149</v>
      </c>
      <c r="Y118">
        <f t="array" ref="Y118">INDEX(N$3:N$700,MATCH($B118&amp;$C118&amp;"baseline",$B$3:$B$700&amp;$C$3:$C$700&amp;$D$3:$D$700,0))</f>
        <v>0</v>
      </c>
      <c r="Z118">
        <f t="array" ref="Z118">INDEX(O$3:O$700,MATCH($B118&amp;$C118&amp;"baseline",$B$3:$B$700&amp;$C$3:$C$700&amp;$D$3:$D$700,0))</f>
        <v>10.044123210654044</v>
      </c>
      <c r="AA118">
        <f t="array" ref="AA118">INDEX(P$3:P$700,MATCH($B118&amp;$C118&amp;"baseline",$B$3:$B$700&amp;$C$3:$C$700&amp;$D$3:$D$700,0))</f>
        <v>8.601225900294958</v>
      </c>
      <c r="AB118">
        <f t="array" ref="AB118">INDEX(Q$3:Q$700,MATCH($B118&amp;$C118&amp;"baseline",$B$3:$B$700&amp;$C$3:$C$700&amp;$D$3:$D$700,0))</f>
        <v>0</v>
      </c>
      <c r="AC118">
        <f t="shared" si="13"/>
        <v>529.62981427851935</v>
      </c>
      <c r="AD118">
        <f t="shared" si="14"/>
        <v>4.9319371342782574</v>
      </c>
      <c r="AE118">
        <f t="shared" si="15"/>
        <v>-4.9817546810828617E-3</v>
      </c>
      <c r="AF118">
        <f t="shared" si="16"/>
        <v>0.93026397811627137</v>
      </c>
      <c r="AG118">
        <f>(S118+V118+Y118)*constants!$O$2+(R118+T118+U118+W118+X118+Z118+AA118+AB118)*constants!$N$2</f>
        <v>16.566058635782483</v>
      </c>
      <c r="AH118">
        <f>((S118+V118+Y118)-(H118+K118+N118))*constants!$O$2</f>
        <v>7.9897381575307763E-2</v>
      </c>
      <c r="AI118">
        <f>((R118+T118+U118+W118+X118+Z118+AA118+AB118)-(G118+I118+J118+L118+M118+O118+P118+Q118))*constants!$N$2</f>
        <v>-5.6293827896236343E-4</v>
      </c>
      <c r="AJ118">
        <f t="shared" si="17"/>
        <v>0.47889751594253072</v>
      </c>
      <c r="AK118">
        <f t="shared" si="18"/>
        <v>7.9334443296345397E-2</v>
      </c>
      <c r="AL118">
        <f>COUNTIFS($B:$B,$B118,$AK:$AK,"&lt;"&amp;$AK118)+COUNTIFS($B$2:$B118,$B118,$AK$2:$AK118,$AK118)</f>
        <v>27</v>
      </c>
      <c r="AM118" s="191">
        <f>IF(AK118=0, "NA",IF(((sim_annual_output!F118/E118)/AK118)&lt;0,100,((sim_annual_output!F118/E118)/AK118)))</f>
        <v>31.60508652223303</v>
      </c>
      <c r="AN118">
        <f>(S118+V118)*constants!$F$2+(T118+U118+W118+X118+Y118+Z118+AA118+AB118)*constants!$G$2</f>
        <v>151811.63396999851</v>
      </c>
      <c r="AO118">
        <f>(AD118*constants!$F$2+AE118*constants!$G$2)</f>
        <v>878.4826204632659</v>
      </c>
      <c r="AP118">
        <f t="shared" si="19"/>
        <v>0.57866620461833274</v>
      </c>
    </row>
    <row r="119" spans="1:42">
      <c r="A119">
        <f>sim_annual_output!B119</f>
        <v>6</v>
      </c>
      <c r="B119" t="str">
        <f>sim_annual_output!C119</f>
        <v>Hangar</v>
      </c>
      <c r="C119" t="str">
        <f>sim_annual_output!D119</f>
        <v>1960-1979</v>
      </c>
      <c r="D119" t="str">
        <f>sim_annual_output!E119</f>
        <v>dcv_enabled</v>
      </c>
      <c r="E119" s="45">
        <f t="array" ref="E119">IFERROR(INDEX(baseline!$J$3:$J$201,MATCH($B119&amp;$C119,baseline!$C$3:$C$201&amp;baseline!$D$3:$D$201,0)),"NA")</f>
        <v>6423</v>
      </c>
      <c r="F119">
        <f>sim_annual_output!G119</f>
        <v>6276.5798484957804</v>
      </c>
      <c r="G119">
        <f>$E119/$F119^2*sim_annual_output!I119</f>
        <v>0</v>
      </c>
      <c r="H119">
        <f>$E119/$F119^2*sim_annual_output!J119</f>
        <v>372.79466629526098</v>
      </c>
      <c r="I119">
        <f>$E119/$F119^2*sim_annual_output!K119</f>
        <v>0.44835792129802071</v>
      </c>
      <c r="J119">
        <f>$E119/$F119^2*sim_annual_output!L119</f>
        <v>0</v>
      </c>
      <c r="K119">
        <f>$E119/$F119^2*sim_annual_output!M119</f>
        <v>5.8426924673391563</v>
      </c>
      <c r="L119">
        <f>$E119/$F119^2*sim_annual_output!N119</f>
        <v>57.202771682211207</v>
      </c>
      <c r="M119">
        <f>$E119/$F119^2*sim_annual_output!O119</f>
        <v>6.3657767088535149</v>
      </c>
      <c r="N119">
        <f>$E119/$F119^2*sim_annual_output!P119</f>
        <v>0</v>
      </c>
      <c r="O119">
        <f>$E119/$F119^2*sim_annual_output!Q119</f>
        <v>10.081712814156807</v>
      </c>
      <c r="P119">
        <f>$E119/$F119^2*sim_annual_output!R119</f>
        <v>8.3652718831270114</v>
      </c>
      <c r="Q119">
        <f>$E119/$F119^2*sim_annual_output!S119</f>
        <v>0</v>
      </c>
      <c r="R119">
        <f t="array" ref="R119">INDEX(G$3:G$700,MATCH($B119&amp;$C119&amp;"baseline",$B$3:$B$700&amp;$C$3:$C$700&amp;$D$3:$D$700,0))</f>
        <v>0</v>
      </c>
      <c r="S119">
        <f t="array" ref="S119">INDEX(H$3:H$700,MATCH($B119&amp;$C119&amp;"baseline",$B$3:$B$700&amp;$C$3:$C$700&amp;$D$3:$D$700,0))</f>
        <v>441.28654697160931</v>
      </c>
      <c r="T119">
        <f t="array" ref="T119">INDEX(I$3:I$700,MATCH($B119&amp;$C119&amp;"baseline",$B$3:$B$700&amp;$C$3:$C$700&amp;$D$3:$D$700,0))</f>
        <v>0.2866773375572193</v>
      </c>
      <c r="U119">
        <f t="array" ref="U119">INDEX(J$3:J$700,MATCH($B119&amp;$C119&amp;"baseline",$B$3:$B$700&amp;$C$3:$C$700&amp;$D$3:$D$700,0))</f>
        <v>0</v>
      </c>
      <c r="V119">
        <f t="array" ref="V119">INDEX(K$3:K$700,MATCH($B119&amp;$C119&amp;"baseline",$B$3:$B$700&amp;$C$3:$C$700&amp;$D$3:$D$700,0))</f>
        <v>5.8426924673391563</v>
      </c>
      <c r="W119">
        <f t="array" ref="W119">INDEX(L$3:L$700,MATCH($B119&amp;$C119&amp;"baseline",$B$3:$B$700&amp;$C$3:$C$700&amp;$D$3:$D$700,0))</f>
        <v>57.202771682211207</v>
      </c>
      <c r="X119">
        <f t="array" ref="X119">INDEX(M$3:M$700,MATCH($B119&amp;$C119&amp;"baseline",$B$3:$B$700&amp;$C$3:$C$700&amp;$D$3:$D$700,0))</f>
        <v>6.3657767088535149</v>
      </c>
      <c r="Y119">
        <f t="array" ref="Y119">INDEX(N$3:N$700,MATCH($B119&amp;$C119&amp;"baseline",$B$3:$B$700&amp;$C$3:$C$700&amp;$D$3:$D$700,0))</f>
        <v>0</v>
      </c>
      <c r="Z119">
        <f t="array" ref="Z119">INDEX(O$3:O$700,MATCH($B119&amp;$C119&amp;"baseline",$B$3:$B$700&amp;$C$3:$C$700&amp;$D$3:$D$700,0))</f>
        <v>10.044123210654044</v>
      </c>
      <c r="AA119">
        <f t="array" ref="AA119">INDEX(P$3:P$700,MATCH($B119&amp;$C119&amp;"baseline",$B$3:$B$700&amp;$C$3:$C$700&amp;$D$3:$D$700,0))</f>
        <v>8.601225900294958</v>
      </c>
      <c r="AB119">
        <f t="array" ref="AB119">INDEX(Q$3:Q$700,MATCH($B119&amp;$C119&amp;"baseline",$B$3:$B$700&amp;$C$3:$C$700&amp;$D$3:$D$700,0))</f>
        <v>0</v>
      </c>
      <c r="AC119">
        <f t="shared" si="13"/>
        <v>529.62981427851935</v>
      </c>
      <c r="AD119">
        <f t="shared" si="14"/>
        <v>68.49188067634833</v>
      </c>
      <c r="AE119">
        <f t="shared" si="15"/>
        <v>3.6683829924413658E-2</v>
      </c>
      <c r="AF119">
        <f t="shared" si="16"/>
        <v>12.93895522094518</v>
      </c>
      <c r="AG119">
        <f>(S119+V119+Y119)*constants!$O$2+(R119+T119+U119+W119+X119+Z119+AA119+AB119)*constants!$N$2</f>
        <v>16.566058635782483</v>
      </c>
      <c r="AH119">
        <f>((S119+V119+Y119)-(H119+K119+N119))*constants!$O$2</f>
        <v>1.1095684669568429</v>
      </c>
      <c r="AI119">
        <f>((R119+T119+U119+W119+X119+Z119+AA119+AB119)-(G119+I119+J119+L119+M119+O119+P119+Q119))*constants!$N$2</f>
        <v>4.1452727814587434E-3</v>
      </c>
      <c r="AJ119">
        <f t="shared" si="17"/>
        <v>6.7228648903408672</v>
      </c>
      <c r="AK119">
        <f t="shared" si="18"/>
        <v>1.1137137397383017</v>
      </c>
      <c r="AL119">
        <f>COUNTIFS($B:$B,$B119,$AK:$AK,"&lt;"&amp;$AK119)+COUNTIFS($B$2:$B119,$B119,$AK$2:$AK119,$AK119)</f>
        <v>49</v>
      </c>
      <c r="AM119" s="191">
        <f>IF(AK119=0, "NA",IF(((sim_annual_output!F119/E119)/AK119)&lt;0,100,((sim_annual_output!F119/E119)/AK119)))</f>
        <v>8.9561801545226647</v>
      </c>
      <c r="AN119">
        <f>(S119+V119)*constants!$F$2+(T119+U119+W119+X119+Y119+Z119+AA119+AB119)*constants!$G$2</f>
        <v>151811.63396999851</v>
      </c>
      <c r="AO119">
        <f>(AD119*constants!$F$2+AE119*constants!$G$2)</f>
        <v>12291.961573100591</v>
      </c>
      <c r="AP119">
        <f t="shared" si="19"/>
        <v>8.0968508484203294</v>
      </c>
    </row>
    <row r="120" spans="1:42">
      <c r="A120">
        <f>sim_annual_output!B120</f>
        <v>6</v>
      </c>
      <c r="B120" t="str">
        <f>sim_annual_output!C120</f>
        <v>Hangar</v>
      </c>
      <c r="C120" t="str">
        <f>sim_annual_output!D120</f>
        <v>1960-1979</v>
      </c>
      <c r="D120" t="str">
        <f>sim_annual_output!E120</f>
        <v>ecm_cold_deck_reset_control</v>
      </c>
      <c r="E120" s="45">
        <f t="array" ref="E120">IFERROR(INDEX(baseline!$J$3:$J$201,MATCH($B120&amp;$C120,baseline!$C$3:$C$201&amp;baseline!$D$3:$D$201,0)),"NA")</f>
        <v>6423</v>
      </c>
      <c r="F120">
        <f>sim_annual_output!G120</f>
        <v>6276.5798484957804</v>
      </c>
      <c r="G120">
        <f>$E120/$F120^2*sim_annual_output!I120</f>
        <v>0</v>
      </c>
      <c r="H120">
        <f>$E120/$F120^2*sim_annual_output!J120</f>
        <v>428.56269262931852</v>
      </c>
      <c r="I120">
        <f>$E120/$F120^2*sim_annual_output!K120</f>
        <v>2.1675161730629564</v>
      </c>
      <c r="J120">
        <f>$E120/$F120^2*sim_annual_output!L120</f>
        <v>0</v>
      </c>
      <c r="K120">
        <f>$E120/$F120^2*sim_annual_output!M120</f>
        <v>5.8426924673391563</v>
      </c>
      <c r="L120">
        <f>$E120/$F120^2*sim_annual_output!N120</f>
        <v>57.202771682211207</v>
      </c>
      <c r="M120">
        <f>$E120/$F120^2*sim_annual_output!O120</f>
        <v>6.3657767088535149</v>
      </c>
      <c r="N120">
        <f>$E120/$F120^2*sim_annual_output!P120</f>
        <v>0</v>
      </c>
      <c r="O120">
        <f>$E120/$F120^2*sim_annual_output!Q120</f>
        <v>10.081712814156807</v>
      </c>
      <c r="P120">
        <f>$E120/$F120^2*sim_annual_output!R120</f>
        <v>8.568618051473285</v>
      </c>
      <c r="Q120">
        <f>$E120/$F120^2*sim_annual_output!S120</f>
        <v>0</v>
      </c>
      <c r="R120">
        <f t="array" ref="R120">INDEX(G$3:G$700,MATCH($B120&amp;$C120&amp;"baseline",$B$3:$B$700&amp;$C$3:$C$700&amp;$D$3:$D$700,0))</f>
        <v>0</v>
      </c>
      <c r="S120">
        <f t="array" ref="S120">INDEX(H$3:H$700,MATCH($B120&amp;$C120&amp;"baseline",$B$3:$B$700&amp;$C$3:$C$700&amp;$D$3:$D$700,0))</f>
        <v>441.28654697160931</v>
      </c>
      <c r="T120">
        <f t="array" ref="T120">INDEX(I$3:I$700,MATCH($B120&amp;$C120&amp;"baseline",$B$3:$B$700&amp;$C$3:$C$700&amp;$D$3:$D$700,0))</f>
        <v>0.2866773375572193</v>
      </c>
      <c r="U120">
        <f t="array" ref="U120">INDEX(J$3:J$700,MATCH($B120&amp;$C120&amp;"baseline",$B$3:$B$700&amp;$C$3:$C$700&amp;$D$3:$D$700,0))</f>
        <v>0</v>
      </c>
      <c r="V120">
        <f t="array" ref="V120">INDEX(K$3:K$700,MATCH($B120&amp;$C120&amp;"baseline",$B$3:$B$700&amp;$C$3:$C$700&amp;$D$3:$D$700,0))</f>
        <v>5.8426924673391563</v>
      </c>
      <c r="W120">
        <f t="array" ref="W120">INDEX(L$3:L$700,MATCH($B120&amp;$C120&amp;"baseline",$B$3:$B$700&amp;$C$3:$C$700&amp;$D$3:$D$700,0))</f>
        <v>57.202771682211207</v>
      </c>
      <c r="X120">
        <f t="array" ref="X120">INDEX(M$3:M$700,MATCH($B120&amp;$C120&amp;"baseline",$B$3:$B$700&amp;$C$3:$C$700&amp;$D$3:$D$700,0))</f>
        <v>6.3657767088535149</v>
      </c>
      <c r="Y120">
        <f t="array" ref="Y120">INDEX(N$3:N$700,MATCH($B120&amp;$C120&amp;"baseline",$B$3:$B$700&amp;$C$3:$C$700&amp;$D$3:$D$700,0))</f>
        <v>0</v>
      </c>
      <c r="Z120">
        <f t="array" ref="Z120">INDEX(O$3:O$700,MATCH($B120&amp;$C120&amp;"baseline",$B$3:$B$700&amp;$C$3:$C$700&amp;$D$3:$D$700,0))</f>
        <v>10.044123210654044</v>
      </c>
      <c r="AA120">
        <f t="array" ref="AA120">INDEX(P$3:P$700,MATCH($B120&amp;$C120&amp;"baseline",$B$3:$B$700&amp;$C$3:$C$700&amp;$D$3:$D$700,0))</f>
        <v>8.601225900294958</v>
      </c>
      <c r="AB120">
        <f t="array" ref="AB120">INDEX(Q$3:Q$700,MATCH($B120&amp;$C120&amp;"baseline",$B$3:$B$700&amp;$C$3:$C$700&amp;$D$3:$D$700,0))</f>
        <v>0</v>
      </c>
      <c r="AC120">
        <f t="shared" si="13"/>
        <v>529.62981427851935</v>
      </c>
      <c r="AD120">
        <f t="shared" si="14"/>
        <v>12.723854342290792</v>
      </c>
      <c r="AE120">
        <f t="shared" si="15"/>
        <v>-1.8858205901867962</v>
      </c>
      <c r="AF120">
        <f t="shared" si="16"/>
        <v>2.0463413236786816</v>
      </c>
      <c r="AG120">
        <f>(S120+V120+Y120)*constants!$O$2+(R120+T120+U120+W120+X120+Z120+AA120+AB120)*constants!$N$2</f>
        <v>16.566058635782483</v>
      </c>
      <c r="AH120">
        <f>((S120+V120+Y120)-(H120+K120+N120))*constants!$O$2</f>
        <v>0.20612644034511082</v>
      </c>
      <c r="AI120">
        <f>((R120+T120+U120+W120+X120+Z120+AA120+AB120)-(G120+I120+J120+L120+M120+O120+P120+Q120))*constants!$N$2</f>
        <v>-0.21309772669110796</v>
      </c>
      <c r="AJ120">
        <f t="shared" si="17"/>
        <v>-4.2081743758525927E-2</v>
      </c>
      <c r="AK120">
        <f t="shared" si="18"/>
        <v>-6.9712863459971408E-3</v>
      </c>
      <c r="AL120">
        <f>COUNTIFS($B:$B,$B120,$AK:$AK,"&lt;"&amp;$AK120)+COUNTIFS($B$2:$B120,$B120,$AK$2:$AK120,$AK120)</f>
        <v>5</v>
      </c>
      <c r="AM120" s="191">
        <f>IF(AK120=0, "NA",IF(((sim_annual_output!F120/E120)/AK120)&lt;0,100,((sim_annual_output!F120/E120)/AK120)))</f>
        <v>100</v>
      </c>
      <c r="AN120">
        <f>(S120+V120)*constants!$F$2+(T120+U120+W120+X120+Y120+Z120+AA120+AB120)*constants!$G$2</f>
        <v>151811.63396999851</v>
      </c>
      <c r="AO120">
        <f>(AD120*constants!$F$2+AE120*constants!$G$2)</f>
        <v>636.90601380753901</v>
      </c>
      <c r="AP120">
        <f t="shared" si="19"/>
        <v>0.41953702568895768</v>
      </c>
    </row>
    <row r="121" spans="1:42">
      <c r="A121">
        <f>sim_annual_output!B121</f>
        <v>6</v>
      </c>
      <c r="B121" t="str">
        <f>sim_annual_output!C121</f>
        <v>Hangar</v>
      </c>
      <c r="C121" t="str">
        <f>sim_annual_output!D121</f>
        <v>1960-1979</v>
      </c>
      <c r="D121" t="str">
        <f>sim_annual_output!E121</f>
        <v>economizers_enabled</v>
      </c>
      <c r="E121" s="45">
        <f t="array" ref="E121">IFERROR(INDEX(baseline!$J$3:$J$201,MATCH($B121&amp;$C121,baseline!$C$3:$C$201&amp;baseline!$D$3:$D$201,0)),"NA")</f>
        <v>6423</v>
      </c>
      <c r="F121">
        <f>sim_annual_output!G121</f>
        <v>6276.5798484957804</v>
      </c>
      <c r="G121">
        <f>$E121/$F121^2*sim_annual_output!I121</f>
        <v>0</v>
      </c>
      <c r="H121">
        <f>$E121/$F121^2*sim_annual_output!J121</f>
        <v>436.36230891274727</v>
      </c>
      <c r="I121">
        <f>$E121/$F121^2*sim_annual_output!K121</f>
        <v>0.3582334502492267</v>
      </c>
      <c r="J121">
        <f>$E121/$F121^2*sim_annual_output!L121</f>
        <v>0</v>
      </c>
      <c r="K121">
        <f>$E121/$F121^2*sim_annual_output!M121</f>
        <v>5.8426924673391563</v>
      </c>
      <c r="L121">
        <f>$E121/$F121^2*sim_annual_output!N121</f>
        <v>57.202771682211207</v>
      </c>
      <c r="M121">
        <f>$E121/$F121^2*sim_annual_output!O121</f>
        <v>6.3657767088535149</v>
      </c>
      <c r="N121">
        <f>$E121/$F121^2*sim_annual_output!P121</f>
        <v>0</v>
      </c>
      <c r="O121">
        <f>$E121/$F121^2*sim_annual_output!Q121</f>
        <v>10.081712814156807</v>
      </c>
      <c r="P121">
        <f>$E121/$F121^2*sim_annual_output!R121</f>
        <v>8.5867335230408806</v>
      </c>
      <c r="Q121">
        <f>$E121/$F121^2*sim_annual_output!S121</f>
        <v>0</v>
      </c>
      <c r="R121">
        <f t="array" ref="R121">INDEX(G$3:G$700,MATCH($B121&amp;$C121&amp;"baseline",$B$3:$B$700&amp;$C$3:$C$700&amp;$D$3:$D$700,0))</f>
        <v>0</v>
      </c>
      <c r="S121">
        <f t="array" ref="S121">INDEX(H$3:H$700,MATCH($B121&amp;$C121&amp;"baseline",$B$3:$B$700&amp;$C$3:$C$700&amp;$D$3:$D$700,0))</f>
        <v>441.28654697160931</v>
      </c>
      <c r="T121">
        <f t="array" ref="T121">INDEX(I$3:I$700,MATCH($B121&amp;$C121&amp;"baseline",$B$3:$B$700&amp;$C$3:$C$700&amp;$D$3:$D$700,0))</f>
        <v>0.2866773375572193</v>
      </c>
      <c r="U121">
        <f t="array" ref="U121">INDEX(J$3:J$700,MATCH($B121&amp;$C121&amp;"baseline",$B$3:$B$700&amp;$C$3:$C$700&amp;$D$3:$D$700,0))</f>
        <v>0</v>
      </c>
      <c r="V121">
        <f t="array" ref="V121">INDEX(K$3:K$700,MATCH($B121&amp;$C121&amp;"baseline",$B$3:$B$700&amp;$C$3:$C$700&amp;$D$3:$D$700,0))</f>
        <v>5.8426924673391563</v>
      </c>
      <c r="W121">
        <f t="array" ref="W121">INDEX(L$3:L$700,MATCH($B121&amp;$C121&amp;"baseline",$B$3:$B$700&amp;$C$3:$C$700&amp;$D$3:$D$700,0))</f>
        <v>57.202771682211207</v>
      </c>
      <c r="X121">
        <f t="array" ref="X121">INDEX(M$3:M$700,MATCH($B121&amp;$C121&amp;"baseline",$B$3:$B$700&amp;$C$3:$C$700&amp;$D$3:$D$700,0))</f>
        <v>6.3657767088535149</v>
      </c>
      <c r="Y121">
        <f t="array" ref="Y121">INDEX(N$3:N$700,MATCH($B121&amp;$C121&amp;"baseline",$B$3:$B$700&amp;$C$3:$C$700&amp;$D$3:$D$700,0))</f>
        <v>0</v>
      </c>
      <c r="Z121">
        <f t="array" ref="Z121">INDEX(O$3:O$700,MATCH($B121&amp;$C121&amp;"baseline",$B$3:$B$700&amp;$C$3:$C$700&amp;$D$3:$D$700,0))</f>
        <v>10.044123210654044</v>
      </c>
      <c r="AA121">
        <f t="array" ref="AA121">INDEX(P$3:P$700,MATCH($B121&amp;$C121&amp;"baseline",$B$3:$B$700&amp;$C$3:$C$700&amp;$D$3:$D$700,0))</f>
        <v>8.601225900294958</v>
      </c>
      <c r="AB121">
        <f t="array" ref="AB121">INDEX(Q$3:Q$700,MATCH($B121&amp;$C121&amp;"baseline",$B$3:$B$700&amp;$C$3:$C$700&amp;$D$3:$D$700,0))</f>
        <v>0</v>
      </c>
      <c r="AC121">
        <f t="shared" si="13"/>
        <v>529.62981427851935</v>
      </c>
      <c r="AD121">
        <f t="shared" si="14"/>
        <v>4.9242380588620449</v>
      </c>
      <c r="AE121">
        <f t="shared" si="15"/>
        <v>-9.4653338940673848E-2</v>
      </c>
      <c r="AF121">
        <f t="shared" si="16"/>
        <v>0.91187931451714133</v>
      </c>
      <c r="AG121">
        <f>(S121+V121+Y121)*constants!$O$2+(R121+T121+U121+W121+X121+Z121+AA121+AB121)*constants!$N$2</f>
        <v>16.566058635782483</v>
      </c>
      <c r="AH121">
        <f>((S121+V121+Y121)-(H121+K121+N121))*constants!$O$2</f>
        <v>7.9772656553565122E-2</v>
      </c>
      <c r="AI121">
        <f>((R121+T121+U121+W121+X121+Z121+AA121+AB121)-(G121+I121+J121+L121+M121+O121+P121+Q121))*constants!$N$2</f>
        <v>-1.0695827300296145E-2</v>
      </c>
      <c r="AJ121">
        <f t="shared" si="17"/>
        <v>0.41697805598770421</v>
      </c>
      <c r="AK121">
        <f t="shared" si="18"/>
        <v>6.9076829253268981E-2</v>
      </c>
      <c r="AL121">
        <f>COUNTIFS($B:$B,$B121,$AK:$AK,"&lt;"&amp;$AK121)+COUNTIFS($B$2:$B121,$B121,$AK$2:$AK121,$AK121)</f>
        <v>25</v>
      </c>
      <c r="AM121" s="191">
        <f>IF(AK121=0, "NA",IF(((sim_annual_output!F121/E121)/AK121)&lt;0,100,((sim_annual_output!F121/E121)/AK121)))</f>
        <v>6.1926772963664876</v>
      </c>
      <c r="AN121">
        <f>(S121+V121)*constants!$F$2+(T121+U121+W121+X121+Y121+Z121+AA121+AB121)*constants!$G$2</f>
        <v>151811.63396999851</v>
      </c>
      <c r="AO121">
        <f>(AD121*constants!$F$2+AE121*constants!$G$2)</f>
        <v>799.09020765791979</v>
      </c>
      <c r="AP121">
        <f t="shared" si="19"/>
        <v>0.52636954544329484</v>
      </c>
    </row>
    <row r="122" spans="1:42">
      <c r="A122">
        <f>sim_annual_output!B122</f>
        <v>6</v>
      </c>
      <c r="B122" t="str">
        <f>sim_annual_output!C122</f>
        <v>Hangar</v>
      </c>
      <c r="C122" t="str">
        <f>sim_annual_output!D122</f>
        <v>1960-1979</v>
      </c>
      <c r="D122" t="str">
        <f>sim_annual_output!E122</f>
        <v>elec_reduce</v>
      </c>
      <c r="E122" s="45">
        <f t="array" ref="E122">IFERROR(INDEX(baseline!$J$3:$J$201,MATCH($B122&amp;$C122,baseline!$C$3:$C$201&amp;baseline!$D$3:$D$201,0)),"NA")</f>
        <v>6423</v>
      </c>
      <c r="F122">
        <f>sim_annual_output!G122</f>
        <v>6276.5798484957804</v>
      </c>
      <c r="G122">
        <f>$E122/$F122^2*sim_annual_output!I122</f>
        <v>0</v>
      </c>
      <c r="H122">
        <f>$E122/$F122^2*sim_annual_output!J122</f>
        <v>389.44640776019594</v>
      </c>
      <c r="I122">
        <f>$E122/$F122^2*sim_annual_output!K122</f>
        <v>0.27626094140585111</v>
      </c>
      <c r="J122">
        <f>$E122/$F122^2*sim_annual_output!L122</f>
        <v>0</v>
      </c>
      <c r="K122">
        <f>$E122/$F122^2*sim_annual_output!M122</f>
        <v>5.8426924673391563</v>
      </c>
      <c r="L122">
        <f>$E122/$F122^2*sim_annual_output!N122</f>
        <v>40.04198546622677</v>
      </c>
      <c r="M122">
        <f>$E122/$F122^2*sim_annual_output!O122</f>
        <v>6.3657767088535149</v>
      </c>
      <c r="N122">
        <f>$E122/$F122^2*sim_annual_output!P122</f>
        <v>0</v>
      </c>
      <c r="O122">
        <f>$E122/$F122^2*sim_annual_output!Q122</f>
        <v>9.2416078202095058</v>
      </c>
      <c r="P122">
        <f>$E122/$F122^2*sim_annual_output!R122</f>
        <v>6.6800801405513184</v>
      </c>
      <c r="Q122">
        <f>$E122/$F122^2*sim_annual_output!S122</f>
        <v>0</v>
      </c>
      <c r="R122">
        <f t="array" ref="R122">INDEX(G$3:G$700,MATCH($B122&amp;$C122&amp;"baseline",$B$3:$B$700&amp;$C$3:$C$700&amp;$D$3:$D$700,0))</f>
        <v>0</v>
      </c>
      <c r="S122">
        <f t="array" ref="S122">INDEX(H$3:H$700,MATCH($B122&amp;$C122&amp;"baseline",$B$3:$B$700&amp;$C$3:$C$700&amp;$D$3:$D$700,0))</f>
        <v>441.28654697160931</v>
      </c>
      <c r="T122">
        <f t="array" ref="T122">INDEX(I$3:I$700,MATCH($B122&amp;$C122&amp;"baseline",$B$3:$B$700&amp;$C$3:$C$700&amp;$D$3:$D$700,0))</f>
        <v>0.2866773375572193</v>
      </c>
      <c r="U122">
        <f t="array" ref="U122">INDEX(J$3:J$700,MATCH($B122&amp;$C122&amp;"baseline",$B$3:$B$700&amp;$C$3:$C$700&amp;$D$3:$D$700,0))</f>
        <v>0</v>
      </c>
      <c r="V122">
        <f t="array" ref="V122">INDEX(K$3:K$700,MATCH($B122&amp;$C122&amp;"baseline",$B$3:$B$700&amp;$C$3:$C$700&amp;$D$3:$D$700,0))</f>
        <v>5.8426924673391563</v>
      </c>
      <c r="W122">
        <f t="array" ref="W122">INDEX(L$3:L$700,MATCH($B122&amp;$C122&amp;"baseline",$B$3:$B$700&amp;$C$3:$C$700&amp;$D$3:$D$700,0))</f>
        <v>57.202771682211207</v>
      </c>
      <c r="X122">
        <f t="array" ref="X122">INDEX(M$3:M$700,MATCH($B122&amp;$C122&amp;"baseline",$B$3:$B$700&amp;$C$3:$C$700&amp;$D$3:$D$700,0))</f>
        <v>6.3657767088535149</v>
      </c>
      <c r="Y122">
        <f t="array" ref="Y122">INDEX(N$3:N$700,MATCH($B122&amp;$C122&amp;"baseline",$B$3:$B$700&amp;$C$3:$C$700&amp;$D$3:$D$700,0))</f>
        <v>0</v>
      </c>
      <c r="Z122">
        <f t="array" ref="Z122">INDEX(O$3:O$700,MATCH($B122&amp;$C122&amp;"baseline",$B$3:$B$700&amp;$C$3:$C$700&amp;$D$3:$D$700,0))</f>
        <v>10.044123210654044</v>
      </c>
      <c r="AA122">
        <f t="array" ref="AA122">INDEX(P$3:P$700,MATCH($B122&amp;$C122&amp;"baseline",$B$3:$B$700&amp;$C$3:$C$700&amp;$D$3:$D$700,0))</f>
        <v>8.601225900294958</v>
      </c>
      <c r="AB122">
        <f t="array" ref="AB122">INDEX(Q$3:Q$700,MATCH($B122&amp;$C122&amp;"baseline",$B$3:$B$700&amp;$C$3:$C$700&amp;$D$3:$D$700,0))</f>
        <v>0</v>
      </c>
      <c r="AC122">
        <f t="shared" si="13"/>
        <v>529.62981427851935</v>
      </c>
      <c r="AD122">
        <f t="shared" si="14"/>
        <v>51.840139211413373</v>
      </c>
      <c r="AE122">
        <f t="shared" si="15"/>
        <v>19.894863762324</v>
      </c>
      <c r="AF122">
        <f t="shared" si="16"/>
        <v>13.544366468767882</v>
      </c>
      <c r="AG122">
        <f>(S122+V122+Y122)*constants!$O$2+(R122+T122+U122+W122+X122+Z122+AA122+AB122)*constants!$N$2</f>
        <v>16.566058635782483</v>
      </c>
      <c r="AH122">
        <f>((S122+V122+Y122)-(H122+K122+N122))*constants!$O$2</f>
        <v>0.83981025522489661</v>
      </c>
      <c r="AI122">
        <f>((R122+T122+U122+W122+X122+Z122+AA122+AB122)-(G122+I122+J122+L122+M122+O122+P122+Q122))*constants!$N$2</f>
        <v>2.248119605142612</v>
      </c>
      <c r="AJ122">
        <f t="shared" si="17"/>
        <v>18.640099786304138</v>
      </c>
      <c r="AK122">
        <f t="shared" si="18"/>
        <v>3.0879298603675087</v>
      </c>
      <c r="AL122">
        <f>COUNTIFS($B:$B,$B122,$AK:$AK,"&lt;"&amp;$AK122)+COUNTIFS($B$2:$B122,$B122,$AK$2:$AK122,$AK122)</f>
        <v>63</v>
      </c>
      <c r="AM122" s="191">
        <f>IF(AK122=0, "NA",IF(((sim_annual_output!F122/E122)/AK122)&lt;0,100,((sim_annual_output!F122/E122)/AK122)))</f>
        <v>11.365089960211492</v>
      </c>
      <c r="AN122">
        <f>(S122+V122)*constants!$F$2+(T122+U122+W122+X122+Y122+Z122+AA122+AB122)*constants!$G$2</f>
        <v>151811.63396999851</v>
      </c>
      <c r="AO122">
        <f>(AD122*constants!$F$2+AE122*constants!$G$2)</f>
        <v>26587.916392064872</v>
      </c>
      <c r="AP122">
        <f t="shared" si="19"/>
        <v>17.51375418126338</v>
      </c>
    </row>
    <row r="123" spans="1:42">
      <c r="A123">
        <f>sim_annual_output!B123</f>
        <v>6</v>
      </c>
      <c r="B123" t="str">
        <f>sim_annual_output!C123</f>
        <v>Hangar</v>
      </c>
      <c r="C123" t="str">
        <f>sim_annual_output!D123</f>
        <v>1960-1979</v>
      </c>
      <c r="D123" t="str">
        <f>sim_annual_output!E123</f>
        <v>envelope_ecm_roof</v>
      </c>
      <c r="E123" s="45">
        <f t="array" ref="E123">IFERROR(INDEX(baseline!$J$3:$J$201,MATCH($B123&amp;$C123,baseline!$C$3:$C$201&amp;baseline!$D$3:$D$201,0)),"NA")</f>
        <v>6423</v>
      </c>
      <c r="F123">
        <f>sim_annual_output!G123</f>
        <v>6276.5798484957804</v>
      </c>
      <c r="G123">
        <f>$E123/$F123^2*sim_annual_output!I123</f>
        <v>0</v>
      </c>
      <c r="H123">
        <f>$E123/$F123^2*sim_annual_output!J123</f>
        <v>396.71659938706165</v>
      </c>
      <c r="I123">
        <f>$E123/$F123^2*sim_annual_output!K123</f>
        <v>0.31702075243294392</v>
      </c>
      <c r="J123">
        <f>$E123/$F123^2*sim_annual_output!L123</f>
        <v>0</v>
      </c>
      <c r="K123">
        <f>$E123/$F123^2*sim_annual_output!M123</f>
        <v>5.8426924673391563</v>
      </c>
      <c r="L123">
        <f>$E123/$F123^2*sim_annual_output!N123</f>
        <v>57.202771682211207</v>
      </c>
      <c r="M123">
        <f>$E123/$F123^2*sim_annual_output!O123</f>
        <v>6.3657767088535149</v>
      </c>
      <c r="N123">
        <f>$E123/$F123^2*sim_annual_output!P123</f>
        <v>0</v>
      </c>
      <c r="O123">
        <f>$E123/$F123^2*sim_annual_output!Q123</f>
        <v>9.3983066492692178</v>
      </c>
      <c r="P123">
        <f>$E123/$F123^2*sim_annual_output!R123</f>
        <v>7.8829474526397458</v>
      </c>
      <c r="Q123">
        <f>$E123/$F123^2*sim_annual_output!S123</f>
        <v>0</v>
      </c>
      <c r="R123">
        <f t="array" ref="R123">INDEX(G$3:G$700,MATCH($B123&amp;$C123&amp;"baseline",$B$3:$B$700&amp;$C$3:$C$700&amp;$D$3:$D$700,0))</f>
        <v>0</v>
      </c>
      <c r="S123">
        <f t="array" ref="S123">INDEX(H$3:H$700,MATCH($B123&amp;$C123&amp;"baseline",$B$3:$B$700&amp;$C$3:$C$700&amp;$D$3:$D$700,0))</f>
        <v>441.28654697160931</v>
      </c>
      <c r="T123">
        <f t="array" ref="T123">INDEX(I$3:I$700,MATCH($B123&amp;$C123&amp;"baseline",$B$3:$B$700&amp;$C$3:$C$700&amp;$D$3:$D$700,0))</f>
        <v>0.2866773375572193</v>
      </c>
      <c r="U123">
        <f t="array" ref="U123">INDEX(J$3:J$700,MATCH($B123&amp;$C123&amp;"baseline",$B$3:$B$700&amp;$C$3:$C$700&amp;$D$3:$D$700,0))</f>
        <v>0</v>
      </c>
      <c r="V123">
        <f t="array" ref="V123">INDEX(K$3:K$700,MATCH($B123&amp;$C123&amp;"baseline",$B$3:$B$700&amp;$C$3:$C$700&amp;$D$3:$D$700,0))</f>
        <v>5.8426924673391563</v>
      </c>
      <c r="W123">
        <f t="array" ref="W123">INDEX(L$3:L$700,MATCH($B123&amp;$C123&amp;"baseline",$B$3:$B$700&amp;$C$3:$C$700&amp;$D$3:$D$700,0))</f>
        <v>57.202771682211207</v>
      </c>
      <c r="X123">
        <f t="array" ref="X123">INDEX(M$3:M$700,MATCH($B123&amp;$C123&amp;"baseline",$B$3:$B$700&amp;$C$3:$C$700&amp;$D$3:$D$700,0))</f>
        <v>6.3657767088535149</v>
      </c>
      <c r="Y123">
        <f t="array" ref="Y123">INDEX(N$3:N$700,MATCH($B123&amp;$C123&amp;"baseline",$B$3:$B$700&amp;$C$3:$C$700&amp;$D$3:$D$700,0))</f>
        <v>0</v>
      </c>
      <c r="Z123">
        <f t="array" ref="Z123">INDEX(O$3:O$700,MATCH($B123&amp;$C123&amp;"baseline",$B$3:$B$700&amp;$C$3:$C$700&amp;$D$3:$D$700,0))</f>
        <v>10.044123210654044</v>
      </c>
      <c r="AA123">
        <f t="array" ref="AA123">INDEX(P$3:P$700,MATCH($B123&amp;$C123&amp;"baseline",$B$3:$B$700&amp;$C$3:$C$700&amp;$D$3:$D$700,0))</f>
        <v>8.601225900294958</v>
      </c>
      <c r="AB123">
        <f t="array" ref="AB123">INDEX(Q$3:Q$700,MATCH($B123&amp;$C123&amp;"baseline",$B$3:$B$700&amp;$C$3:$C$700&amp;$D$3:$D$700,0))</f>
        <v>0</v>
      </c>
      <c r="AC123">
        <f t="shared" si="13"/>
        <v>529.62981427851935</v>
      </c>
      <c r="AD123">
        <f t="shared" si="14"/>
        <v>44.569947584547663</v>
      </c>
      <c r="AE123">
        <f t="shared" si="15"/>
        <v>1.3337515941643261</v>
      </c>
      <c r="AF123">
        <f t="shared" si="16"/>
        <v>8.667128991075332</v>
      </c>
      <c r="AG123">
        <f>(S123+V123+Y123)*constants!$O$2+(R123+T123+U123+W123+X123+Z123+AA123+AB123)*constants!$N$2</f>
        <v>16.566058635782483</v>
      </c>
      <c r="AH123">
        <f>((S123+V123+Y123)-(H123+K123+N123))*constants!$O$2</f>
        <v>0.72203315086967212</v>
      </c>
      <c r="AI123">
        <f>((R123+T123+U123+W123+X123+Z123+AA123+AB123)-(G123+I123+J123+L123+M123+O123+P123+Q123))*constants!$N$2</f>
        <v>0.15071393014056886</v>
      </c>
      <c r="AJ123">
        <f t="shared" si="17"/>
        <v>5.2682843891734032</v>
      </c>
      <c r="AK123">
        <f t="shared" si="18"/>
        <v>0.87274708101024101</v>
      </c>
      <c r="AL123">
        <f>COUNTIFS($B:$B,$B123,$AK:$AK,"&lt;"&amp;$AK123)+COUNTIFS($B$2:$B123,$B123,$AK$2:$AK123,$AK123)</f>
        <v>46</v>
      </c>
      <c r="AM123" s="191">
        <f>IF(AK123=0, "NA",IF(((sim_annual_output!F123/E123)/AK123)&lt;0,100,((sim_annual_output!F123/E123)/AK123)))</f>
        <v>215.54328218294415</v>
      </c>
      <c r="AN123">
        <f>(S123+V123)*constants!$F$2+(T123+U123+W123+X123+Y123+Z123+AA123+AB123)*constants!$G$2</f>
        <v>151811.63396999851</v>
      </c>
      <c r="AO123">
        <f>(AD123*constants!$F$2+AE123*constants!$G$2)</f>
        <v>9138.384504556996</v>
      </c>
      <c r="AP123">
        <f t="shared" si="19"/>
        <v>6.0195548032655735</v>
      </c>
    </row>
    <row r="124" spans="1:42">
      <c r="A124">
        <f>sim_annual_output!B124</f>
        <v>6</v>
      </c>
      <c r="B124" t="str">
        <f>sim_annual_output!C124</f>
        <v>Hangar</v>
      </c>
      <c r="C124" t="str">
        <f>sim_annual_output!D124</f>
        <v>1960-1979</v>
      </c>
      <c r="D124" t="str">
        <f>sim_annual_output!E124</f>
        <v>envelope_ecm_wall</v>
      </c>
      <c r="E124" s="45">
        <f t="array" ref="E124">IFERROR(INDEX(baseline!$J$3:$J$201,MATCH($B124&amp;$C124,baseline!$C$3:$C$201&amp;baseline!$D$3:$D$201,0)),"NA")</f>
        <v>6423</v>
      </c>
      <c r="F124">
        <f>sim_annual_output!G124</f>
        <v>6276.5798484957804</v>
      </c>
      <c r="G124">
        <f>$E124/$F124^2*sim_annual_output!I124</f>
        <v>0</v>
      </c>
      <c r="H124">
        <f>$E124/$F124^2*sim_annual_output!J124</f>
        <v>426.11982128842811</v>
      </c>
      <c r="I124">
        <f>$E124/$F124^2*sim_annual_output!K124</f>
        <v>0.36049788419517625</v>
      </c>
      <c r="J124">
        <f>$E124/$F124^2*sim_annual_output!L124</f>
        <v>0</v>
      </c>
      <c r="K124">
        <f>$E124/$F124^2*sim_annual_output!M124</f>
        <v>5.8426924673391563</v>
      </c>
      <c r="L124">
        <f>$E124/$F124^2*sim_annual_output!N124</f>
        <v>57.202771682211207</v>
      </c>
      <c r="M124">
        <f>$E124/$F124^2*sim_annual_output!O124</f>
        <v>6.3657767088535149</v>
      </c>
      <c r="N124">
        <f>$E124/$F124^2*sim_annual_output!P124</f>
        <v>0</v>
      </c>
      <c r="O124">
        <f>$E124/$F124^2*sim_annual_output!Q124</f>
        <v>9.6745675906750694</v>
      </c>
      <c r="P124">
        <f>$E124/$F124^2*sim_annual_output!R124</f>
        <v>8.1813998467159035</v>
      </c>
      <c r="Q124">
        <f>$E124/$F124^2*sim_annual_output!S124</f>
        <v>0</v>
      </c>
      <c r="R124">
        <f t="array" ref="R124">INDEX(G$3:G$700,MATCH($B124&amp;$C124&amp;"baseline",$B$3:$B$700&amp;$C$3:$C$700&amp;$D$3:$D$700,0))</f>
        <v>0</v>
      </c>
      <c r="S124">
        <f t="array" ref="S124">INDEX(H$3:H$700,MATCH($B124&amp;$C124&amp;"baseline",$B$3:$B$700&amp;$C$3:$C$700&amp;$D$3:$D$700,0))</f>
        <v>441.28654697160931</v>
      </c>
      <c r="T124">
        <f t="array" ref="T124">INDEX(I$3:I$700,MATCH($B124&amp;$C124&amp;"baseline",$B$3:$B$700&amp;$C$3:$C$700&amp;$D$3:$D$700,0))</f>
        <v>0.2866773375572193</v>
      </c>
      <c r="U124">
        <f t="array" ref="U124">INDEX(J$3:J$700,MATCH($B124&amp;$C124&amp;"baseline",$B$3:$B$700&amp;$C$3:$C$700&amp;$D$3:$D$700,0))</f>
        <v>0</v>
      </c>
      <c r="V124">
        <f t="array" ref="V124">INDEX(K$3:K$700,MATCH($B124&amp;$C124&amp;"baseline",$B$3:$B$700&amp;$C$3:$C$700&amp;$D$3:$D$700,0))</f>
        <v>5.8426924673391563</v>
      </c>
      <c r="W124">
        <f t="array" ref="W124">INDEX(L$3:L$700,MATCH($B124&amp;$C124&amp;"baseline",$B$3:$B$700&amp;$C$3:$C$700&amp;$D$3:$D$700,0))</f>
        <v>57.202771682211207</v>
      </c>
      <c r="X124">
        <f t="array" ref="X124">INDEX(M$3:M$700,MATCH($B124&amp;$C124&amp;"baseline",$B$3:$B$700&amp;$C$3:$C$700&amp;$D$3:$D$700,0))</f>
        <v>6.3657767088535149</v>
      </c>
      <c r="Y124">
        <f t="array" ref="Y124">INDEX(N$3:N$700,MATCH($B124&amp;$C124&amp;"baseline",$B$3:$B$700&amp;$C$3:$C$700&amp;$D$3:$D$700,0))</f>
        <v>0</v>
      </c>
      <c r="Z124">
        <f t="array" ref="Z124">INDEX(O$3:O$700,MATCH($B124&amp;$C124&amp;"baseline",$B$3:$B$700&amp;$C$3:$C$700&amp;$D$3:$D$700,0))</f>
        <v>10.044123210654044</v>
      </c>
      <c r="AA124">
        <f t="array" ref="AA124">INDEX(P$3:P$700,MATCH($B124&amp;$C124&amp;"baseline",$B$3:$B$700&amp;$C$3:$C$700&amp;$D$3:$D$700,0))</f>
        <v>8.601225900294958</v>
      </c>
      <c r="AB124">
        <f t="array" ref="AB124">INDEX(Q$3:Q$700,MATCH($B124&amp;$C124&amp;"baseline",$B$3:$B$700&amp;$C$3:$C$700&amp;$D$3:$D$700,0))</f>
        <v>0</v>
      </c>
      <c r="AC124">
        <f t="shared" si="13"/>
        <v>529.62981427851935</v>
      </c>
      <c r="AD124">
        <f t="shared" si="14"/>
        <v>15.166725683181198</v>
      </c>
      <c r="AE124">
        <f t="shared" si="15"/>
        <v>0.715561126920079</v>
      </c>
      <c r="AF124">
        <f t="shared" si="16"/>
        <v>2.9987524081771522</v>
      </c>
      <c r="AG124">
        <f>(S124+V124+Y124)*constants!$O$2+(R124+T124+U124+W124+X124+Z124+AA124+AB124)*constants!$N$2</f>
        <v>16.566058635782483</v>
      </c>
      <c r="AH124">
        <f>((S124+V124+Y124)-(H124+K124+N124))*constants!$O$2</f>
        <v>0.24570095606753539</v>
      </c>
      <c r="AI124">
        <f>((R124+T124+U124+W124+X124+Z124+AA124+AB124)-(G124+I124+J124+L124+M124+O124+P124+Q124))*constants!$N$2</f>
        <v>8.0858407341968933E-2</v>
      </c>
      <c r="AJ124">
        <f t="shared" si="17"/>
        <v>1.9712556292909653</v>
      </c>
      <c r="AK124">
        <f t="shared" si="18"/>
        <v>0.32655936340950431</v>
      </c>
      <c r="AL124">
        <f>COUNTIFS($B:$B,$B124,$AK:$AK,"&lt;"&amp;$AK124)+COUNTIFS($B$2:$B124,$B124,$AK$2:$AK124,$AK124)</f>
        <v>38</v>
      </c>
      <c r="AM124" s="191">
        <f>IF(AK124=0, "NA",IF(((sim_annual_output!F124/E124)/AK124)&lt;0,100,((sim_annual_output!F124/E124)/AK124)))</f>
        <v>427.0710859695256</v>
      </c>
      <c r="AN124">
        <f>(S124+V124)*constants!$F$2+(T124+U124+W124+X124+Y124+Z124+AA124+AB124)*constants!$G$2</f>
        <v>151811.63396999851</v>
      </c>
      <c r="AO124">
        <f>(AD124*constants!$F$2+AE124*constants!$G$2)</f>
        <v>3337.3820777099036</v>
      </c>
      <c r="AP124">
        <f t="shared" si="19"/>
        <v>2.1983704347516921</v>
      </c>
    </row>
    <row r="125" spans="1:42">
      <c r="A125">
        <f>sim_annual_output!B125</f>
        <v>6</v>
      </c>
      <c r="B125" t="str">
        <f>sim_annual_output!C125</f>
        <v>Hangar</v>
      </c>
      <c r="C125" t="str">
        <f>sim_annual_output!D125</f>
        <v>1960-1979</v>
      </c>
      <c r="D125" t="str">
        <f>sim_annual_output!E125</f>
        <v>envelope_ecm_windows</v>
      </c>
      <c r="E125" s="45">
        <f t="array" ref="E125">IFERROR(INDEX(baseline!$J$3:$J$201,MATCH($B125&amp;$C125,baseline!$C$3:$C$201&amp;baseline!$D$3:$D$201,0)),"NA")</f>
        <v>6423</v>
      </c>
      <c r="F125">
        <f>sim_annual_output!G125</f>
        <v>6276.5798484957804</v>
      </c>
      <c r="G125">
        <f>$E125/$F125^2*sim_annual_output!I125</f>
        <v>0</v>
      </c>
      <c r="H125">
        <f>$E125/$F125^2*sim_annual_output!J125</f>
        <v>431.40138702396087</v>
      </c>
      <c r="I125">
        <f>$E125/$F125^2*sim_annual_output!K125</f>
        <v>0.36004499740598628</v>
      </c>
      <c r="J125">
        <f>$E125/$F125^2*sim_annual_output!L125</f>
        <v>0</v>
      </c>
      <c r="K125">
        <f>$E125/$F125^2*sim_annual_output!M125</f>
        <v>5.8426924673391563</v>
      </c>
      <c r="L125">
        <f>$E125/$F125^2*sim_annual_output!N125</f>
        <v>57.202771682211207</v>
      </c>
      <c r="M125">
        <f>$E125/$F125^2*sim_annual_output!O125</f>
        <v>6.3657767088535149</v>
      </c>
      <c r="N125">
        <f>$E125/$F125^2*sim_annual_output!P125</f>
        <v>0</v>
      </c>
      <c r="O125">
        <f>$E125/$F125^2*sim_annual_output!Q125</f>
        <v>9.8801781929672927</v>
      </c>
      <c r="P125">
        <f>$E125/$F125^2*sim_annual_output!R125</f>
        <v>8.3743296189108083</v>
      </c>
      <c r="Q125">
        <f>$E125/$F125^2*sim_annual_output!S125</f>
        <v>0</v>
      </c>
      <c r="R125">
        <f t="array" ref="R125">INDEX(G$3:G$700,MATCH($B125&amp;$C125&amp;"baseline",$B$3:$B$700&amp;$C$3:$C$700&amp;$D$3:$D$700,0))</f>
        <v>0</v>
      </c>
      <c r="S125">
        <f t="array" ref="S125">INDEX(H$3:H$700,MATCH($B125&amp;$C125&amp;"baseline",$B$3:$B$700&amp;$C$3:$C$700&amp;$D$3:$D$700,0))</f>
        <v>441.28654697160931</v>
      </c>
      <c r="T125">
        <f t="array" ref="T125">INDEX(I$3:I$700,MATCH($B125&amp;$C125&amp;"baseline",$B$3:$B$700&amp;$C$3:$C$700&amp;$D$3:$D$700,0))</f>
        <v>0.2866773375572193</v>
      </c>
      <c r="U125">
        <f t="array" ref="U125">INDEX(J$3:J$700,MATCH($B125&amp;$C125&amp;"baseline",$B$3:$B$700&amp;$C$3:$C$700&amp;$D$3:$D$700,0))</f>
        <v>0</v>
      </c>
      <c r="V125">
        <f t="array" ref="V125">INDEX(K$3:K$700,MATCH($B125&amp;$C125&amp;"baseline",$B$3:$B$700&amp;$C$3:$C$700&amp;$D$3:$D$700,0))</f>
        <v>5.8426924673391563</v>
      </c>
      <c r="W125">
        <f t="array" ref="W125">INDEX(L$3:L$700,MATCH($B125&amp;$C125&amp;"baseline",$B$3:$B$700&amp;$C$3:$C$700&amp;$D$3:$D$700,0))</f>
        <v>57.202771682211207</v>
      </c>
      <c r="X125">
        <f t="array" ref="X125">INDEX(M$3:M$700,MATCH($B125&amp;$C125&amp;"baseline",$B$3:$B$700&amp;$C$3:$C$700&amp;$D$3:$D$700,0))</f>
        <v>6.3657767088535149</v>
      </c>
      <c r="Y125">
        <f t="array" ref="Y125">INDEX(N$3:N$700,MATCH($B125&amp;$C125&amp;"baseline",$B$3:$B$700&amp;$C$3:$C$700&amp;$D$3:$D$700,0))</f>
        <v>0</v>
      </c>
      <c r="Z125">
        <f t="array" ref="Z125">INDEX(O$3:O$700,MATCH($B125&amp;$C125&amp;"baseline",$B$3:$B$700&amp;$C$3:$C$700&amp;$D$3:$D$700,0))</f>
        <v>10.044123210654044</v>
      </c>
      <c r="AA125">
        <f t="array" ref="AA125">INDEX(P$3:P$700,MATCH($B125&amp;$C125&amp;"baseline",$B$3:$B$700&amp;$C$3:$C$700&amp;$D$3:$D$700,0))</f>
        <v>8.601225900294958</v>
      </c>
      <c r="AB125">
        <f t="array" ref="AB125">INDEX(Q$3:Q$700,MATCH($B125&amp;$C125&amp;"baseline",$B$3:$B$700&amp;$C$3:$C$700&amp;$D$3:$D$700,0))</f>
        <v>0</v>
      </c>
      <c r="AC125">
        <f t="shared" si="13"/>
        <v>529.62981427851935</v>
      </c>
      <c r="AD125">
        <f t="shared" si="14"/>
        <v>9.8851599476484466</v>
      </c>
      <c r="AE125">
        <f t="shared" si="15"/>
        <v>0.31747363922214333</v>
      </c>
      <c r="AF125">
        <f t="shared" si="16"/>
        <v>1.9263707049364247</v>
      </c>
      <c r="AG125">
        <f>(S125+V125+Y125)*constants!$O$2+(R125+T125+U125+W125+X125+Z125+AA125+AB125)*constants!$N$2</f>
        <v>16.566058635782483</v>
      </c>
      <c r="AH125">
        <f>((S125+V125+Y125)-(H125+K125+N125))*constants!$O$2</f>
        <v>0.16013959115190482</v>
      </c>
      <c r="AI125">
        <f>((R125+T125+U125+W125+X125+Z125+AA125+AB125)-(G125+I125+J125+L125+M125+O125+P125+Q125))*constants!$N$2</f>
        <v>3.5874521232102198E-2</v>
      </c>
      <c r="AJ125">
        <f t="shared" si="17"/>
        <v>1.1832272038481075</v>
      </c>
      <c r="AK125">
        <f t="shared" si="18"/>
        <v>0.19601411238400701</v>
      </c>
      <c r="AL125">
        <f>COUNTIFS($B:$B,$B125,$AK:$AK,"&lt;"&amp;$AK125)+COUNTIFS($B$2:$B125,$B125,$AK$2:$AK125,$AK125)</f>
        <v>35</v>
      </c>
      <c r="AM125" s="191">
        <f>IF(AK125=0, "NA",IF(((sim_annual_output!F125/E125)/AK125)&lt;0,100,((sim_annual_output!F125/E125)/AK125)))</f>
        <v>148.96104210852891</v>
      </c>
      <c r="AN125">
        <f>(S125+V125)*constants!$F$2+(T125+U125+W125+X125+Y125+Z125+AA125+AB125)*constants!$G$2</f>
        <v>151811.63396999851</v>
      </c>
      <c r="AO125">
        <f>(AD125*constants!$F$2+AE125*constants!$G$2)</f>
        <v>2045.6456967523368</v>
      </c>
      <c r="AP125">
        <f t="shared" si="19"/>
        <v>1.3474894138591538</v>
      </c>
    </row>
    <row r="126" spans="1:42">
      <c r="A126">
        <f>sim_annual_output!B126</f>
        <v>6</v>
      </c>
      <c r="B126" t="str">
        <f>sim_annual_output!C126</f>
        <v>Hangar</v>
      </c>
      <c r="C126" t="str">
        <f>sim_annual_output!D126</f>
        <v>1960-1979</v>
      </c>
      <c r="D126" t="str">
        <f>sim_annual_output!E126</f>
        <v>exhaust_fans_occ_control</v>
      </c>
      <c r="E126" s="45">
        <f t="array" ref="E126">IFERROR(INDEX(baseline!$J$3:$J$201,MATCH($B126&amp;$C126,baseline!$C$3:$C$201&amp;baseline!$D$3:$D$201,0)),"NA")</f>
        <v>6423</v>
      </c>
      <c r="F126">
        <f>sim_annual_output!G126</f>
        <v>6276.5798484957804</v>
      </c>
      <c r="G126">
        <f>$E126/$F126^2*sim_annual_output!I126</f>
        <v>0</v>
      </c>
      <c r="H126">
        <f>$E126/$F126^2*sim_annual_output!J126</f>
        <v>436.35279829017435</v>
      </c>
      <c r="I126">
        <f>$E126/$F126^2*sim_annual_output!K126</f>
        <v>0.37091428034654439</v>
      </c>
      <c r="J126">
        <f>$E126/$F126^2*sim_annual_output!L126</f>
        <v>0</v>
      </c>
      <c r="K126">
        <f>$E126/$F126^2*sim_annual_output!M126</f>
        <v>5.8426924673391563</v>
      </c>
      <c r="L126">
        <f>$E126/$F126^2*sim_annual_output!N126</f>
        <v>57.202771682211207</v>
      </c>
      <c r="M126">
        <f>$E126/$F126^2*sim_annual_output!O126</f>
        <v>6.3657767088535149</v>
      </c>
      <c r="N126">
        <f>$E126/$F126^2*sim_annual_output!P126</f>
        <v>0</v>
      </c>
      <c r="O126">
        <f>$E126/$F126^2*sim_annual_output!Q126</f>
        <v>9.21579327322568</v>
      </c>
      <c r="P126">
        <f>$E126/$F126^2*sim_annual_output!R126</f>
        <v>8.5912623909327799</v>
      </c>
      <c r="Q126">
        <f>$E126/$F126^2*sim_annual_output!S126</f>
        <v>0</v>
      </c>
      <c r="R126">
        <f t="array" ref="R126">INDEX(G$3:G$700,MATCH($B126&amp;$C126&amp;"baseline",$B$3:$B$700&amp;$C$3:$C$700&amp;$D$3:$D$700,0))</f>
        <v>0</v>
      </c>
      <c r="S126">
        <f t="array" ref="S126">INDEX(H$3:H$700,MATCH($B126&amp;$C126&amp;"baseline",$B$3:$B$700&amp;$C$3:$C$700&amp;$D$3:$D$700,0))</f>
        <v>441.28654697160931</v>
      </c>
      <c r="T126">
        <f t="array" ref="T126">INDEX(I$3:I$700,MATCH($B126&amp;$C126&amp;"baseline",$B$3:$B$700&amp;$C$3:$C$700&amp;$D$3:$D$700,0))</f>
        <v>0.2866773375572193</v>
      </c>
      <c r="U126">
        <f t="array" ref="U126">INDEX(J$3:J$700,MATCH($B126&amp;$C126&amp;"baseline",$B$3:$B$700&amp;$C$3:$C$700&amp;$D$3:$D$700,0))</f>
        <v>0</v>
      </c>
      <c r="V126">
        <f t="array" ref="V126">INDEX(K$3:K$700,MATCH($B126&amp;$C126&amp;"baseline",$B$3:$B$700&amp;$C$3:$C$700&amp;$D$3:$D$700,0))</f>
        <v>5.8426924673391563</v>
      </c>
      <c r="W126">
        <f t="array" ref="W126">INDEX(L$3:L$700,MATCH($B126&amp;$C126&amp;"baseline",$B$3:$B$700&amp;$C$3:$C$700&amp;$D$3:$D$700,0))</f>
        <v>57.202771682211207</v>
      </c>
      <c r="X126">
        <f t="array" ref="X126">INDEX(M$3:M$700,MATCH($B126&amp;$C126&amp;"baseline",$B$3:$B$700&amp;$C$3:$C$700&amp;$D$3:$D$700,0))</f>
        <v>6.3657767088535149</v>
      </c>
      <c r="Y126">
        <f t="array" ref="Y126">INDEX(N$3:N$700,MATCH($B126&amp;$C126&amp;"baseline",$B$3:$B$700&amp;$C$3:$C$700&amp;$D$3:$D$700,0))</f>
        <v>0</v>
      </c>
      <c r="Z126">
        <f t="array" ref="Z126">INDEX(O$3:O$700,MATCH($B126&amp;$C126&amp;"baseline",$B$3:$B$700&amp;$C$3:$C$700&amp;$D$3:$D$700,0))</f>
        <v>10.044123210654044</v>
      </c>
      <c r="AA126">
        <f t="array" ref="AA126">INDEX(P$3:P$700,MATCH($B126&amp;$C126&amp;"baseline",$B$3:$B$700&amp;$C$3:$C$700&amp;$D$3:$D$700,0))</f>
        <v>8.601225900294958</v>
      </c>
      <c r="AB126">
        <f t="array" ref="AB126">INDEX(Q$3:Q$700,MATCH($B126&amp;$C126&amp;"baseline",$B$3:$B$700&amp;$C$3:$C$700&amp;$D$3:$D$700,0))</f>
        <v>0</v>
      </c>
      <c r="AC126">
        <f t="shared" si="13"/>
        <v>529.62981427851935</v>
      </c>
      <c r="AD126">
        <f t="shared" si="14"/>
        <v>4.9337486814349631</v>
      </c>
      <c r="AE126">
        <f t="shared" si="15"/>
        <v>0.75405650400122681</v>
      </c>
      <c r="AF126">
        <f t="shared" si="16"/>
        <v>1.0739208843792756</v>
      </c>
      <c r="AG126">
        <f>(S126+V126+Y126)*constants!$O$2+(R126+T126+U126+W126+X126+Z126+AA126+AB126)*constants!$N$2</f>
        <v>16.566058635782483</v>
      </c>
      <c r="AH126">
        <f>((S126+V126+Y126)-(H126+K126+N126))*constants!$O$2</f>
        <v>7.9926728639246394E-2</v>
      </c>
      <c r="AI126">
        <f>((R126+T126+U126+W126+X126+Z126+AA126+AB126)-(G126+I126+J126+L126+M126+O126+P126+Q126))*constants!$N$2</f>
        <v>8.520838495213863E-2</v>
      </c>
      <c r="AJ126">
        <f t="shared" si="17"/>
        <v>0.99682801577615587</v>
      </c>
      <c r="AK126">
        <f t="shared" si="18"/>
        <v>0.16513511359138502</v>
      </c>
      <c r="AL126">
        <f>COUNTIFS($B:$B,$B126,$AK:$AK,"&lt;"&amp;$AK126)+COUNTIFS($B$2:$B126,$B126,$AK$2:$AK126,$AK126)</f>
        <v>33</v>
      </c>
      <c r="AM126" s="191">
        <f>IF(AK126=0, "NA",IF(((sim_annual_output!F126/E126)/AK126)&lt;0,100,((sim_annual_output!F126/E126)/AK126)))</f>
        <v>3.449937039972478</v>
      </c>
      <c r="AN126">
        <f>(S126+V126)*constants!$F$2+(T126+U126+W126+X126+Y126+Z126+AA126+AB126)*constants!$G$2</f>
        <v>151811.63396999851</v>
      </c>
      <c r="AO126">
        <f>(AD126*constants!$F$2+AE126*constants!$G$2)</f>
        <v>1539.1701724579257</v>
      </c>
      <c r="AP126">
        <f t="shared" si="19"/>
        <v>1.0138683921695364</v>
      </c>
    </row>
    <row r="127" spans="1:42">
      <c r="A127">
        <f>sim_annual_output!B127</f>
        <v>6</v>
      </c>
      <c r="B127" t="str">
        <f>sim_annual_output!C127</f>
        <v>Hangar</v>
      </c>
      <c r="C127" t="str">
        <f>sim_annual_output!D127</f>
        <v>1960-1979</v>
      </c>
      <c r="D127" t="str">
        <f>sim_annual_output!E127</f>
        <v>fans_to_variable</v>
      </c>
      <c r="E127" s="45">
        <f t="array" ref="E127">IFERROR(INDEX(baseline!$J$3:$J$201,MATCH($B127&amp;$C127,baseline!$C$3:$C$201&amp;baseline!$D$3:$D$201,0)),"NA")</f>
        <v>6423</v>
      </c>
      <c r="F127">
        <f>sim_annual_output!G127</f>
        <v>6276.5798484957804</v>
      </c>
      <c r="G127">
        <f>$E127/$F127^2*sim_annual_output!I127</f>
        <v>0</v>
      </c>
      <c r="H127">
        <f>$E127/$F127^2*sim_annual_output!J127</f>
        <v>436.49183453445562</v>
      </c>
      <c r="I127">
        <f>$E127/$F127^2*sim_annual_output!K127</f>
        <v>0.36819695961140492</v>
      </c>
      <c r="J127">
        <f>$E127/$F127^2*sim_annual_output!L127</f>
        <v>0</v>
      </c>
      <c r="K127">
        <f>$E127/$F127^2*sim_annual_output!M127</f>
        <v>5.8426924673391563</v>
      </c>
      <c r="L127">
        <f>$E127/$F127^2*sim_annual_output!N127</f>
        <v>57.202771682211207</v>
      </c>
      <c r="M127">
        <f>$E127/$F127^2*sim_annual_output!O127</f>
        <v>6.3657767088535149</v>
      </c>
      <c r="N127">
        <f>$E127/$F127^2*sim_annual_output!P127</f>
        <v>0</v>
      </c>
      <c r="O127">
        <f>$E127/$F127^2*sim_annual_output!Q127</f>
        <v>9.9911354563188226</v>
      </c>
      <c r="P127">
        <f>$E127/$F127^2*sim_annual_output!R127</f>
        <v>8.5930739380895407</v>
      </c>
      <c r="Q127">
        <f>$E127/$F127^2*sim_annual_output!S127</f>
        <v>0</v>
      </c>
      <c r="R127">
        <f t="array" ref="R127">INDEX(G$3:G$700,MATCH($B127&amp;$C127&amp;"baseline",$B$3:$B$700&amp;$C$3:$C$700&amp;$D$3:$D$700,0))</f>
        <v>0</v>
      </c>
      <c r="S127">
        <f t="array" ref="S127">INDEX(H$3:H$700,MATCH($B127&amp;$C127&amp;"baseline",$B$3:$B$700&amp;$C$3:$C$700&amp;$D$3:$D$700,0))</f>
        <v>441.28654697160931</v>
      </c>
      <c r="T127">
        <f t="array" ref="T127">INDEX(I$3:I$700,MATCH($B127&amp;$C127&amp;"baseline",$B$3:$B$700&amp;$C$3:$C$700&amp;$D$3:$D$700,0))</f>
        <v>0.2866773375572193</v>
      </c>
      <c r="U127">
        <f t="array" ref="U127">INDEX(J$3:J$700,MATCH($B127&amp;$C127&amp;"baseline",$B$3:$B$700&amp;$C$3:$C$700&amp;$D$3:$D$700,0))</f>
        <v>0</v>
      </c>
      <c r="V127">
        <f t="array" ref="V127">INDEX(K$3:K$700,MATCH($B127&amp;$C127&amp;"baseline",$B$3:$B$700&amp;$C$3:$C$700&amp;$D$3:$D$700,0))</f>
        <v>5.8426924673391563</v>
      </c>
      <c r="W127">
        <f t="array" ref="W127">INDEX(L$3:L$700,MATCH($B127&amp;$C127&amp;"baseline",$B$3:$B$700&amp;$C$3:$C$700&amp;$D$3:$D$700,0))</f>
        <v>57.202771682211207</v>
      </c>
      <c r="X127">
        <f t="array" ref="X127">INDEX(M$3:M$700,MATCH($B127&amp;$C127&amp;"baseline",$B$3:$B$700&amp;$C$3:$C$700&amp;$D$3:$D$700,0))</f>
        <v>6.3657767088535149</v>
      </c>
      <c r="Y127">
        <f t="array" ref="Y127">INDEX(N$3:N$700,MATCH($B127&amp;$C127&amp;"baseline",$B$3:$B$700&amp;$C$3:$C$700&amp;$D$3:$D$700,0))</f>
        <v>0</v>
      </c>
      <c r="Z127">
        <f t="array" ref="Z127">INDEX(O$3:O$700,MATCH($B127&amp;$C127&amp;"baseline",$B$3:$B$700&amp;$C$3:$C$700&amp;$D$3:$D$700,0))</f>
        <v>10.044123210654044</v>
      </c>
      <c r="AA127">
        <f t="array" ref="AA127">INDEX(P$3:P$700,MATCH($B127&amp;$C127&amp;"baseline",$B$3:$B$700&amp;$C$3:$C$700&amp;$D$3:$D$700,0))</f>
        <v>8.601225900294958</v>
      </c>
      <c r="AB127">
        <f t="array" ref="AB127">INDEX(Q$3:Q$700,MATCH($B127&amp;$C127&amp;"baseline",$B$3:$B$700&amp;$C$3:$C$700&amp;$D$3:$D$700,0))</f>
        <v>0</v>
      </c>
      <c r="AC127">
        <f t="shared" si="13"/>
        <v>529.62981427851935</v>
      </c>
      <c r="AD127">
        <f t="shared" si="14"/>
        <v>4.7947124371536916</v>
      </c>
      <c r="AE127">
        <f t="shared" si="15"/>
        <v>-2.0379905513536301E-2</v>
      </c>
      <c r="AF127">
        <f t="shared" si="16"/>
        <v>0.90144708680041397</v>
      </c>
      <c r="AG127">
        <f>(S127+V127+Y127)*constants!$O$2+(R127+T127+U127+W127+X127+Z127+AA127+AB127)*constants!$N$2</f>
        <v>16.566058635782483</v>
      </c>
      <c r="AH127">
        <f>((S127+V127+Y127)-(H127+K127+N127))*constants!$O$2</f>
        <v>7.76743414818898E-2</v>
      </c>
      <c r="AI127">
        <f>((R127+T127+U127+W127+X127+Z127+AA127+AB127)-(G127+I127+J127+L127+M127+O127+P127+Q127))*constants!$N$2</f>
        <v>-2.3029293230296022E-3</v>
      </c>
      <c r="AJ127">
        <f t="shared" si="17"/>
        <v>0.45497492080620117</v>
      </c>
      <c r="AK127">
        <f t="shared" si="18"/>
        <v>7.5371412158860202E-2</v>
      </c>
      <c r="AL127">
        <f>COUNTIFS($B:$B,$B127,$AK:$AK,"&lt;"&amp;$AK127)+COUNTIFS($B$2:$B127,$B127,$AK$2:$AK127,$AK127)</f>
        <v>26</v>
      </c>
      <c r="AM127" s="191">
        <f>IF(AK127=0, "NA",IF(((sim_annual_output!F127/E127)/AK127)&lt;0,100,((sim_annual_output!F127/E127)/AK127)))</f>
        <v>4.522355199631785</v>
      </c>
      <c r="AN127">
        <f>(S127+V127)*constants!$F$2+(T127+U127+W127+X127+Y127+Z127+AA127+AB127)*constants!$G$2</f>
        <v>151811.63396999851</v>
      </c>
      <c r="AO127">
        <f>(AD127*constants!$F$2+AE127*constants!$G$2)</f>
        <v>840.52300845373418</v>
      </c>
      <c r="AP127">
        <f t="shared" si="19"/>
        <v>0.55366178893762585</v>
      </c>
    </row>
    <row r="128" spans="1:42">
      <c r="A128">
        <f>sim_annual_output!B128</f>
        <v>6</v>
      </c>
      <c r="B128" t="str">
        <f>sim_annual_output!C128</f>
        <v>Hangar</v>
      </c>
      <c r="C128" t="str">
        <f>sim_annual_output!D128</f>
        <v>1960-1979</v>
      </c>
      <c r="D128" t="str">
        <f>sim_annual_output!E128</f>
        <v>hrv_enabled</v>
      </c>
      <c r="E128" s="45">
        <f t="array" ref="E128">IFERROR(INDEX(baseline!$J$3:$J$201,MATCH($B128&amp;$C128,baseline!$C$3:$C$201&amp;baseline!$D$3:$D$201,0)),"NA")</f>
        <v>6423</v>
      </c>
      <c r="F128">
        <f>sim_annual_output!G128</f>
        <v>6276.5798484957804</v>
      </c>
      <c r="G128">
        <f>$E128/$F128^2*sim_annual_output!I128</f>
        <v>0</v>
      </c>
      <c r="H128">
        <f>$E128/$F128^2*sim_annual_output!J128</f>
        <v>383.89582727188429</v>
      </c>
      <c r="I128">
        <f>$E128/$F128^2*sim_annual_output!K128</f>
        <v>0.53078331693058611</v>
      </c>
      <c r="J128">
        <f>$E128/$F128^2*sim_annual_output!L128</f>
        <v>0</v>
      </c>
      <c r="K128">
        <f>$E128/$F128^2*sim_annual_output!M128</f>
        <v>5.8431453541283469</v>
      </c>
      <c r="L128">
        <f>$E128/$F128^2*sim_annual_output!N128</f>
        <v>57.202771682211207</v>
      </c>
      <c r="M128">
        <f>$E128/$F128^2*sim_annual_output!O128</f>
        <v>6.3657767088535149</v>
      </c>
      <c r="N128">
        <f>$E128/$F128^2*sim_annual_output!P128</f>
        <v>0</v>
      </c>
      <c r="O128">
        <f>$E128/$F128^2*sim_annual_output!Q128</f>
        <v>10.081712814156807</v>
      </c>
      <c r="P128">
        <f>$E128/$F128^2*sim_annual_output!R128</f>
        <v>8.3675363170729593</v>
      </c>
      <c r="Q128">
        <f>$E128/$F128^2*sim_annual_output!S128</f>
        <v>1.4284049331050073</v>
      </c>
      <c r="R128">
        <f t="array" ref="R128">INDEX(G$3:G$700,MATCH($B128&amp;$C128&amp;"baseline",$B$3:$B$700&amp;$C$3:$C$700&amp;$D$3:$D$700,0))</f>
        <v>0</v>
      </c>
      <c r="S128">
        <f t="array" ref="S128">INDEX(H$3:H$700,MATCH($B128&amp;$C128&amp;"baseline",$B$3:$B$700&amp;$C$3:$C$700&amp;$D$3:$D$700,0))</f>
        <v>441.28654697160931</v>
      </c>
      <c r="T128">
        <f t="array" ref="T128">INDEX(I$3:I$700,MATCH($B128&amp;$C128&amp;"baseline",$B$3:$B$700&amp;$C$3:$C$700&amp;$D$3:$D$700,0))</f>
        <v>0.2866773375572193</v>
      </c>
      <c r="U128">
        <f t="array" ref="U128">INDEX(J$3:J$700,MATCH($B128&amp;$C128&amp;"baseline",$B$3:$B$700&amp;$C$3:$C$700&amp;$D$3:$D$700,0))</f>
        <v>0</v>
      </c>
      <c r="V128">
        <f t="array" ref="V128">INDEX(K$3:K$700,MATCH($B128&amp;$C128&amp;"baseline",$B$3:$B$700&amp;$C$3:$C$700&amp;$D$3:$D$700,0))</f>
        <v>5.8426924673391563</v>
      </c>
      <c r="W128">
        <f t="array" ref="W128">INDEX(L$3:L$700,MATCH($B128&amp;$C128&amp;"baseline",$B$3:$B$700&amp;$C$3:$C$700&amp;$D$3:$D$700,0))</f>
        <v>57.202771682211207</v>
      </c>
      <c r="X128">
        <f t="array" ref="X128">INDEX(M$3:M$700,MATCH($B128&amp;$C128&amp;"baseline",$B$3:$B$700&amp;$C$3:$C$700&amp;$D$3:$D$700,0))</f>
        <v>6.3657767088535149</v>
      </c>
      <c r="Y128">
        <f t="array" ref="Y128">INDEX(N$3:N$700,MATCH($B128&amp;$C128&amp;"baseline",$B$3:$B$700&amp;$C$3:$C$700&amp;$D$3:$D$700,0))</f>
        <v>0</v>
      </c>
      <c r="Z128">
        <f t="array" ref="Z128">INDEX(O$3:O$700,MATCH($B128&amp;$C128&amp;"baseline",$B$3:$B$700&amp;$C$3:$C$700&amp;$D$3:$D$700,0))</f>
        <v>10.044123210654044</v>
      </c>
      <c r="AA128">
        <f t="array" ref="AA128">INDEX(P$3:P$700,MATCH($B128&amp;$C128&amp;"baseline",$B$3:$B$700&amp;$C$3:$C$700&amp;$D$3:$D$700,0))</f>
        <v>8.601225900294958</v>
      </c>
      <c r="AB128">
        <f t="array" ref="AB128">INDEX(Q$3:Q$700,MATCH($B128&amp;$C128&amp;"baseline",$B$3:$B$700&amp;$C$3:$C$700&amp;$D$3:$D$700,0))</f>
        <v>0</v>
      </c>
      <c r="AC128">
        <f t="shared" si="13"/>
        <v>529.62981427851935</v>
      </c>
      <c r="AD128">
        <f t="shared" si="14"/>
        <v>57.390266812935806</v>
      </c>
      <c r="AE128">
        <f t="shared" si="15"/>
        <v>-1.4764109327591228</v>
      </c>
      <c r="AF128">
        <f t="shared" si="16"/>
        <v>10.557157919129709</v>
      </c>
      <c r="AG128">
        <f>(S128+V128+Y128)*constants!$O$2+(R128+T128+U128+W128+X128+Z128+AA128+AB128)*constants!$N$2</f>
        <v>16.566058635782483</v>
      </c>
      <c r="AH128">
        <f>((S128+V128+Y128)-(H128+K128+N128))*constants!$O$2</f>
        <v>0.92972232236955998</v>
      </c>
      <c r="AI128">
        <f>((R128+T128+U128+W128+X128+Z128+AA128+AB128)-(G128+I128+J128+L128+M128+O128+P128+Q128))*constants!$N$2</f>
        <v>-0.16683443540178089</v>
      </c>
      <c r="AJ128">
        <f t="shared" si="17"/>
        <v>4.6051260818306572</v>
      </c>
      <c r="AK128">
        <f t="shared" si="18"/>
        <v>0.76288788696777909</v>
      </c>
      <c r="AL128">
        <f>COUNTIFS($B:$B,$B128,$AK:$AK,"&lt;"&amp;$AK128)+COUNTIFS($B$2:$B128,$B128,$AK$2:$AK128,$AK128)</f>
        <v>44</v>
      </c>
      <c r="AM128" s="191">
        <f>IF(AK128=0, "NA",IF(((sim_annual_output!F128/E128)/AK128)&lt;0,100,((sim_annual_output!F128/E128)/AK128)))</f>
        <v>37.064175289731267</v>
      </c>
      <c r="AN128">
        <f>(S128+V128)*constants!$F$2+(T128+U128+W128+X128+Y128+Z128+AA128+AB128)*constants!$G$2</f>
        <v>151811.63396999851</v>
      </c>
      <c r="AO128">
        <f>(AD128*constants!$F$2+AE128*constants!$G$2)</f>
        <v>8988.3802480150734</v>
      </c>
      <c r="AP128">
        <f t="shared" si="19"/>
        <v>5.9207453427392691</v>
      </c>
    </row>
    <row r="129" spans="1:42">
      <c r="A129">
        <f>sim_annual_output!B129</f>
        <v>6</v>
      </c>
      <c r="B129" t="str">
        <f>sim_annual_output!C129</f>
        <v>Hangar</v>
      </c>
      <c r="C129" t="str">
        <f>sim_annual_output!D129</f>
        <v>1960-1979</v>
      </c>
      <c r="D129" t="str">
        <f>sim_annual_output!E129</f>
        <v>infil_reduce</v>
      </c>
      <c r="E129" s="45">
        <f t="array" ref="E129">IFERROR(INDEX(baseline!$J$3:$J$201,MATCH($B129&amp;$C129,baseline!$C$3:$C$201&amp;baseline!$D$3:$D$201,0)),"NA")</f>
        <v>6423</v>
      </c>
      <c r="F129">
        <f>sim_annual_output!G129</f>
        <v>6276.5798484957804</v>
      </c>
      <c r="G129">
        <f>$E129/$F129^2*sim_annual_output!I129</f>
        <v>0</v>
      </c>
      <c r="H129">
        <f>$E129/$F129^2*sim_annual_output!J129</f>
        <v>264.46369343424288</v>
      </c>
      <c r="I129">
        <f>$E129/$F129^2*sim_annual_output!K129</f>
        <v>0.37544314823844355</v>
      </c>
      <c r="J129">
        <f>$E129/$F129^2*sim_annual_output!L129</f>
        <v>0</v>
      </c>
      <c r="K129">
        <f>$E129/$F129^2*sim_annual_output!M129</f>
        <v>5.8426924673391563</v>
      </c>
      <c r="L129">
        <f>$E129/$F129^2*sim_annual_output!N129</f>
        <v>57.202771682211207</v>
      </c>
      <c r="M129">
        <f>$E129/$F129^2*sim_annual_output!O129</f>
        <v>6.3657767088535149</v>
      </c>
      <c r="N129">
        <f>$E129/$F129^2*sim_annual_output!P129</f>
        <v>0</v>
      </c>
      <c r="O129">
        <f>$E129/$F129^2*sim_annual_output!Q129</f>
        <v>6.9735507799463861</v>
      </c>
      <c r="P129">
        <f>$E129/$F129^2*sim_annual_output!R129</f>
        <v>5.2856417166355554</v>
      </c>
      <c r="Q129">
        <f>$E129/$F129^2*sim_annual_output!S129</f>
        <v>0</v>
      </c>
      <c r="R129">
        <f t="array" ref="R129">INDEX(G$3:G$700,MATCH($B129&amp;$C129&amp;"baseline",$B$3:$B$700&amp;$C$3:$C$700&amp;$D$3:$D$700,0))</f>
        <v>0</v>
      </c>
      <c r="S129">
        <f t="array" ref="S129">INDEX(H$3:H$700,MATCH($B129&amp;$C129&amp;"baseline",$B$3:$B$700&amp;$C$3:$C$700&amp;$D$3:$D$700,0))</f>
        <v>441.28654697160931</v>
      </c>
      <c r="T129">
        <f t="array" ref="T129">INDEX(I$3:I$700,MATCH($B129&amp;$C129&amp;"baseline",$B$3:$B$700&amp;$C$3:$C$700&amp;$D$3:$D$700,0))</f>
        <v>0.2866773375572193</v>
      </c>
      <c r="U129">
        <f t="array" ref="U129">INDEX(J$3:J$700,MATCH($B129&amp;$C129&amp;"baseline",$B$3:$B$700&amp;$C$3:$C$700&amp;$D$3:$D$700,0))</f>
        <v>0</v>
      </c>
      <c r="V129">
        <f t="array" ref="V129">INDEX(K$3:K$700,MATCH($B129&amp;$C129&amp;"baseline",$B$3:$B$700&amp;$C$3:$C$700&amp;$D$3:$D$700,0))</f>
        <v>5.8426924673391563</v>
      </c>
      <c r="W129">
        <f t="array" ref="W129">INDEX(L$3:L$700,MATCH($B129&amp;$C129&amp;"baseline",$B$3:$B$700&amp;$C$3:$C$700&amp;$D$3:$D$700,0))</f>
        <v>57.202771682211207</v>
      </c>
      <c r="X129">
        <f t="array" ref="X129">INDEX(M$3:M$700,MATCH($B129&amp;$C129&amp;"baseline",$B$3:$B$700&amp;$C$3:$C$700&amp;$D$3:$D$700,0))</f>
        <v>6.3657767088535149</v>
      </c>
      <c r="Y129">
        <f t="array" ref="Y129">INDEX(N$3:N$700,MATCH($B129&amp;$C129&amp;"baseline",$B$3:$B$700&amp;$C$3:$C$700&amp;$D$3:$D$700,0))</f>
        <v>0</v>
      </c>
      <c r="Z129">
        <f t="array" ref="Z129">INDEX(O$3:O$700,MATCH($B129&amp;$C129&amp;"baseline",$B$3:$B$700&amp;$C$3:$C$700&amp;$D$3:$D$700,0))</f>
        <v>10.044123210654044</v>
      </c>
      <c r="AA129">
        <f t="array" ref="AA129">INDEX(P$3:P$700,MATCH($B129&amp;$C129&amp;"baseline",$B$3:$B$700&amp;$C$3:$C$700&amp;$D$3:$D$700,0))</f>
        <v>8.601225900294958</v>
      </c>
      <c r="AB129">
        <f t="array" ref="AB129">INDEX(Q$3:Q$700,MATCH($B129&amp;$C129&amp;"baseline",$B$3:$B$700&amp;$C$3:$C$700&amp;$D$3:$D$700,0))</f>
        <v>0</v>
      </c>
      <c r="AC129">
        <f t="shared" si="13"/>
        <v>529.62981427851935</v>
      </c>
      <c r="AD129">
        <f t="shared" si="14"/>
        <v>176.82285353736643</v>
      </c>
      <c r="AE129">
        <f t="shared" si="15"/>
        <v>6.2973908036858575</v>
      </c>
      <c r="AF129">
        <f t="shared" si="16"/>
        <v>34.575138975230317</v>
      </c>
      <c r="AG129">
        <f>(S129+V129+Y129)*constants!$O$2+(R129+T129+U129+W129+X129+Z129+AA129+AB129)*constants!$N$2</f>
        <v>16.566058635782483</v>
      </c>
      <c r="AH129">
        <f>((S129+V129+Y129)-(H129+K129+N129))*constants!$O$2</f>
        <v>2.8645302273053361</v>
      </c>
      <c r="AI129">
        <f>((R129+T129+U129+W129+X129+Z129+AA129+AB129)-(G129+I129+J129+L129+M129+O129+P129+Q129))*constants!$N$2</f>
        <v>0.71160516081650194</v>
      </c>
      <c r="AJ129">
        <f t="shared" si="17"/>
        <v>21.587122602581097</v>
      </c>
      <c r="AK129">
        <f t="shared" si="18"/>
        <v>3.5761353881218381</v>
      </c>
      <c r="AL129">
        <f>COUNTIFS($B:$B,$B129,$AK:$AK,"&lt;"&amp;$AK129)+COUNTIFS($B$2:$B129,$B129,$AK$2:$AK129,$AK129)</f>
        <v>64</v>
      </c>
      <c r="AM129" s="191">
        <f>IF(AK129=0, "NA",IF(((sim_annual_output!F129/E129)/AK129)&lt;0,100,((sim_annual_output!F129/E129)/AK129)))</f>
        <v>4.0905626162807751</v>
      </c>
      <c r="AN129">
        <f>(S129+V129)*constants!$F$2+(T129+U129+W129+X129+Y129+Z129+AA129+AB129)*constants!$G$2</f>
        <v>151811.63396999851</v>
      </c>
      <c r="AO129">
        <f>(AD129*constants!$F$2+AE129*constants!$G$2)</f>
        <v>37130.020782395288</v>
      </c>
      <c r="AP129">
        <f t="shared" si="19"/>
        <v>24.457954776860539</v>
      </c>
    </row>
    <row r="130" spans="1:42">
      <c r="A130">
        <f>sim_annual_output!B130</f>
        <v>6</v>
      </c>
      <c r="B130" t="str">
        <f>sim_annual_output!C130</f>
        <v>Hangar</v>
      </c>
      <c r="C130" t="str">
        <f>sim_annual_output!D130</f>
        <v>1960-1979</v>
      </c>
      <c r="D130" t="str">
        <f>sim_annual_output!E130</f>
        <v>infil_reduce_plus_setback</v>
      </c>
      <c r="E130" s="45">
        <f t="array" ref="E130">IFERROR(INDEX(baseline!$J$3:$J$201,MATCH($B130&amp;$C130,baseline!$C$3:$C$201&amp;baseline!$D$3:$D$201,0)),"NA")</f>
        <v>6423</v>
      </c>
      <c r="F130">
        <f>sim_annual_output!G130</f>
        <v>6276.5798484957804</v>
      </c>
      <c r="G130">
        <f>$E130/$F130^2*sim_annual_output!I130</f>
        <v>0</v>
      </c>
      <c r="H130">
        <f>$E130/$F130^2*sim_annual_output!J130</f>
        <v>226.18706067227848</v>
      </c>
      <c r="I130">
        <f>$E130/$F130^2*sim_annual_output!K130</f>
        <v>0.23550113037875836</v>
      </c>
      <c r="J130">
        <f>$E130/$F130^2*sim_annual_output!L130</f>
        <v>0</v>
      </c>
      <c r="K130">
        <f>$E130/$F130^2*sim_annual_output!M130</f>
        <v>5.8426924673391563</v>
      </c>
      <c r="L130">
        <f>$E130/$F130^2*sim_annual_output!N130</f>
        <v>57.202771682211207</v>
      </c>
      <c r="M130">
        <f>$E130/$F130^2*sim_annual_output!O130</f>
        <v>6.3657767088535149</v>
      </c>
      <c r="N130">
        <f>$E130/$F130^2*sim_annual_output!P130</f>
        <v>0</v>
      </c>
      <c r="O130">
        <f>$E130/$F130^2*sim_annual_output!Q130</f>
        <v>5.9695007683123347</v>
      </c>
      <c r="P130">
        <f>$E130/$F130^2*sim_annual_output!R130</f>
        <v>4.150707422925616</v>
      </c>
      <c r="Q130">
        <f>$E130/$F130^2*sim_annual_output!S130</f>
        <v>0</v>
      </c>
      <c r="R130">
        <f t="array" ref="R130">INDEX(G$3:G$700,MATCH($B130&amp;$C130&amp;"baseline",$B$3:$B$700&amp;$C$3:$C$700&amp;$D$3:$D$700,0))</f>
        <v>0</v>
      </c>
      <c r="S130">
        <f t="array" ref="S130">INDEX(H$3:H$700,MATCH($B130&amp;$C130&amp;"baseline",$B$3:$B$700&amp;$C$3:$C$700&amp;$D$3:$D$700,0))</f>
        <v>441.28654697160931</v>
      </c>
      <c r="T130">
        <f t="array" ref="T130">INDEX(I$3:I$700,MATCH($B130&amp;$C130&amp;"baseline",$B$3:$B$700&amp;$C$3:$C$700&amp;$D$3:$D$700,0))</f>
        <v>0.2866773375572193</v>
      </c>
      <c r="U130">
        <f t="array" ref="U130">INDEX(J$3:J$700,MATCH($B130&amp;$C130&amp;"baseline",$B$3:$B$700&amp;$C$3:$C$700&amp;$D$3:$D$700,0))</f>
        <v>0</v>
      </c>
      <c r="V130">
        <f t="array" ref="V130">INDEX(K$3:K$700,MATCH($B130&amp;$C130&amp;"baseline",$B$3:$B$700&amp;$C$3:$C$700&amp;$D$3:$D$700,0))</f>
        <v>5.8426924673391563</v>
      </c>
      <c r="W130">
        <f t="array" ref="W130">INDEX(L$3:L$700,MATCH($B130&amp;$C130&amp;"baseline",$B$3:$B$700&amp;$C$3:$C$700&amp;$D$3:$D$700,0))</f>
        <v>57.202771682211207</v>
      </c>
      <c r="X130">
        <f t="array" ref="X130">INDEX(M$3:M$700,MATCH($B130&amp;$C130&amp;"baseline",$B$3:$B$700&amp;$C$3:$C$700&amp;$D$3:$D$700,0))</f>
        <v>6.3657767088535149</v>
      </c>
      <c r="Y130">
        <f t="array" ref="Y130">INDEX(N$3:N$700,MATCH($B130&amp;$C130&amp;"baseline",$B$3:$B$700&amp;$C$3:$C$700&amp;$D$3:$D$700,0))</f>
        <v>0</v>
      </c>
      <c r="Z130">
        <f t="array" ref="Z130">INDEX(O$3:O$700,MATCH($B130&amp;$C130&amp;"baseline",$B$3:$B$700&amp;$C$3:$C$700&amp;$D$3:$D$700,0))</f>
        <v>10.044123210654044</v>
      </c>
      <c r="AA130">
        <f t="array" ref="AA130">INDEX(P$3:P$700,MATCH($B130&amp;$C130&amp;"baseline",$B$3:$B$700&amp;$C$3:$C$700&amp;$D$3:$D$700,0))</f>
        <v>8.601225900294958</v>
      </c>
      <c r="AB130">
        <f t="array" ref="AB130">INDEX(Q$3:Q$700,MATCH($B130&amp;$C130&amp;"baseline",$B$3:$B$700&amp;$C$3:$C$700&amp;$D$3:$D$700,0))</f>
        <v>0</v>
      </c>
      <c r="AC130">
        <f t="shared" si="13"/>
        <v>529.62981427851935</v>
      </c>
      <c r="AD130">
        <f t="shared" si="14"/>
        <v>215.09948629933081</v>
      </c>
      <c r="AE130">
        <f t="shared" si="15"/>
        <v>8.5763171268895206</v>
      </c>
      <c r="AF130">
        <f t="shared" si="16"/>
        <v>42.23247962936518</v>
      </c>
      <c r="AG130">
        <f>(S130+V130+Y130)*constants!$O$2+(R130+T130+U130+W130+X130+Z130+AA130+AB130)*constants!$N$2</f>
        <v>16.566058635782483</v>
      </c>
      <c r="AH130">
        <f>((S130+V130+Y130)-(H130+K130+N130))*constants!$O$2</f>
        <v>3.4846116780491587</v>
      </c>
      <c r="AI130">
        <f>((R130+T130+U130+W130+X130+Z130+AA130+AB130)-(G130+I130+J130+L130+M130+O130+P130+Q130))*constants!$N$2</f>
        <v>0.96912383533851587</v>
      </c>
      <c r="AJ130">
        <f t="shared" si="17"/>
        <v>26.884702096657204</v>
      </c>
      <c r="AK130">
        <f t="shared" si="18"/>
        <v>4.4537355133876746</v>
      </c>
      <c r="AL130">
        <f>COUNTIFS($B:$B,$B130,$AK:$AK,"&lt;"&amp;$AK130)+COUNTIFS($B$2:$B130,$B130,$AK$2:$AK130,$AK130)</f>
        <v>66</v>
      </c>
      <c r="AM130" s="191">
        <f>IF(AK130=0, "NA",IF(((sim_annual_output!F130/E130)/AK130)&lt;0,100,((sim_annual_output!F130/E130)/AK130)))</f>
        <v>4.5670161011223742</v>
      </c>
      <c r="AN130">
        <f>(S130+V130)*constants!$F$2+(T130+U130+W130+X130+Y130+Z130+AA130+AB130)*constants!$G$2</f>
        <v>151811.63396999851</v>
      </c>
      <c r="AO130">
        <f>(AD130*constants!$F$2+AE130*constants!$G$2)</f>
        <v>45964.203947974092</v>
      </c>
      <c r="AP130">
        <f t="shared" si="19"/>
        <v>30.277128798348667</v>
      </c>
    </row>
    <row r="131" spans="1:42">
      <c r="A131">
        <f>sim_annual_output!B131</f>
        <v>6</v>
      </c>
      <c r="B131" t="str">
        <f>sim_annual_output!C131</f>
        <v>Hangar</v>
      </c>
      <c r="C131" t="str">
        <f>sim_annual_output!D131</f>
        <v>1960-1979</v>
      </c>
      <c r="D131" t="str">
        <f>sim_annual_output!E131</f>
        <v>lights_reduce_70p</v>
      </c>
      <c r="E131" s="45">
        <f t="array" ref="E131">IFERROR(INDEX(baseline!$J$3:$J$201,MATCH($B131&amp;$C131,baseline!$C$3:$C$201&amp;baseline!$D$3:$D$201,0)),"NA")</f>
        <v>6423</v>
      </c>
      <c r="F131">
        <f>sim_annual_output!G131</f>
        <v>6276.5798484957804</v>
      </c>
      <c r="G131">
        <f>$E131/$F131^2*sim_annual_output!I131</f>
        <v>0</v>
      </c>
      <c r="H131">
        <f>$E131/$F131^2*sim_annual_output!J131</f>
        <v>452.87682568055777</v>
      </c>
      <c r="I131">
        <f>$E131/$F131^2*sim_annual_output!K131</f>
        <v>0.23006648890847931</v>
      </c>
      <c r="J131">
        <f>$E131/$F131^2*sim_annual_output!L131</f>
        <v>0</v>
      </c>
      <c r="K131">
        <f>$E131/$F131^2*sim_annual_output!M131</f>
        <v>5.8426924673391563</v>
      </c>
      <c r="L131">
        <f>$E131/$F131^2*sim_annual_output!N131</f>
        <v>40.04198546622677</v>
      </c>
      <c r="M131">
        <f>$E131/$F131^2*sim_annual_output!O131</f>
        <v>6.3657767088535149</v>
      </c>
      <c r="N131">
        <f>$E131/$F131^2*sim_annual_output!P131</f>
        <v>0</v>
      </c>
      <c r="O131">
        <f>$E131/$F131^2*sim_annual_output!Q131</f>
        <v>10.102092719670354</v>
      </c>
      <c r="P131">
        <f>$E131/$F131^2*sim_annual_output!R131</f>
        <v>8.7420736917330242</v>
      </c>
      <c r="Q131">
        <f>$E131/$F131^2*sim_annual_output!S131</f>
        <v>0</v>
      </c>
      <c r="R131">
        <f t="array" ref="R131">INDEX(G$3:G$700,MATCH($B131&amp;$C131&amp;"baseline",$B$3:$B$700&amp;$C$3:$C$700&amp;$D$3:$D$700,0))</f>
        <v>0</v>
      </c>
      <c r="S131">
        <f t="array" ref="S131">INDEX(H$3:H$700,MATCH($B131&amp;$C131&amp;"baseline",$B$3:$B$700&amp;$C$3:$C$700&amp;$D$3:$D$700,0))</f>
        <v>441.28654697160931</v>
      </c>
      <c r="T131">
        <f t="array" ref="T131">INDEX(I$3:I$700,MATCH($B131&amp;$C131&amp;"baseline",$B$3:$B$700&amp;$C$3:$C$700&amp;$D$3:$D$700,0))</f>
        <v>0.2866773375572193</v>
      </c>
      <c r="U131">
        <f t="array" ref="U131">INDEX(J$3:J$700,MATCH($B131&amp;$C131&amp;"baseline",$B$3:$B$700&amp;$C$3:$C$700&amp;$D$3:$D$700,0))</f>
        <v>0</v>
      </c>
      <c r="V131">
        <f t="array" ref="V131">INDEX(K$3:K$700,MATCH($B131&amp;$C131&amp;"baseline",$B$3:$B$700&amp;$C$3:$C$700&amp;$D$3:$D$700,0))</f>
        <v>5.8426924673391563</v>
      </c>
      <c r="W131">
        <f t="array" ref="W131">INDEX(L$3:L$700,MATCH($B131&amp;$C131&amp;"baseline",$B$3:$B$700&amp;$C$3:$C$700&amp;$D$3:$D$700,0))</f>
        <v>57.202771682211207</v>
      </c>
      <c r="X131">
        <f t="array" ref="X131">INDEX(M$3:M$700,MATCH($B131&amp;$C131&amp;"baseline",$B$3:$B$700&amp;$C$3:$C$700&amp;$D$3:$D$700,0))</f>
        <v>6.3657767088535149</v>
      </c>
      <c r="Y131">
        <f t="array" ref="Y131">INDEX(N$3:N$700,MATCH($B131&amp;$C131&amp;"baseline",$B$3:$B$700&amp;$C$3:$C$700&amp;$D$3:$D$700,0))</f>
        <v>0</v>
      </c>
      <c r="Z131">
        <f t="array" ref="Z131">INDEX(O$3:O$700,MATCH($B131&amp;$C131&amp;"baseline",$B$3:$B$700&amp;$C$3:$C$700&amp;$D$3:$D$700,0))</f>
        <v>10.044123210654044</v>
      </c>
      <c r="AA131">
        <f t="array" ref="AA131">INDEX(P$3:P$700,MATCH($B131&amp;$C131&amp;"baseline",$B$3:$B$700&amp;$C$3:$C$700&amp;$D$3:$D$700,0))</f>
        <v>8.601225900294958</v>
      </c>
      <c r="AB131">
        <f t="array" ref="AB131">INDEX(Q$3:Q$700,MATCH($B131&amp;$C131&amp;"baseline",$B$3:$B$700&amp;$C$3:$C$700&amp;$D$3:$D$700,0))</f>
        <v>0</v>
      </c>
      <c r="AC131">
        <f t="shared" ref="AC131:AC194" si="20">SUM(R131:AB131)</f>
        <v>529.62981427851935</v>
      </c>
      <c r="AD131">
        <f t="shared" ref="AD131:AD194" si="21">(S131+V131+Y131)-(H131+K131+N131)</f>
        <v>-11.59027870894846</v>
      </c>
      <c r="AE131">
        <f t="shared" ref="AE131:AE194" si="22">(R131+T131+U131+W131+X131+Z131+AA131+AB131)-(G131+I131+J131+L131+M131+O131+P131+Q131)</f>
        <v>17.018579764178824</v>
      </c>
      <c r="AF131">
        <f t="shared" ref="AF131:AF194" si="23">(AD131+AE131)/AC131*100</f>
        <v>1.0249236181359973</v>
      </c>
      <c r="AG131">
        <f>(S131+V131+Y131)*constants!$O$2+(R131+T131+U131+W131+X131+Z131+AA131+AB131)*constants!$N$2</f>
        <v>16.566058635782483</v>
      </c>
      <c r="AH131">
        <f>((S131+V131+Y131)-(H131+K131+N131))*constants!$O$2</f>
        <v>-0.18776251508496505</v>
      </c>
      <c r="AI131">
        <f>((R131+T131+U131+W131+X131+Z131+AA131+AB131)-(G131+I131+J131+L131+M131+O131+P131+Q131))*constants!$N$2</f>
        <v>1.9230995133522071</v>
      </c>
      <c r="AJ131">
        <f t="shared" ref="AJ131:AJ194" si="24">(AH131+AI131)/AG131*100</f>
        <v>10.475255680424404</v>
      </c>
      <c r="AK131">
        <f t="shared" ref="AK131:AK194" si="25">AH131+AI131</f>
        <v>1.735336998267242</v>
      </c>
      <c r="AL131">
        <f>COUNTIFS($B:$B,$B131,$AK:$AK,"&lt;"&amp;$AK131)+COUNTIFS($B$2:$B131,$B131,$AK$2:$AK131,$AK131)</f>
        <v>56</v>
      </c>
      <c r="AM131" s="191">
        <f>IF(AK131=0, "NA",IF(((sim_annual_output!F131/E131)/AK131)&lt;0,100,((sim_annual_output!F131/E131)/AK131)))</f>
        <v>11.647015975957057</v>
      </c>
      <c r="AN131">
        <f>(S131+V131)*constants!$F$2+(T131+U131+W131+X131+Y131+Z131+AA131+AB131)*constants!$G$2</f>
        <v>151811.63396999851</v>
      </c>
      <c r="AO131">
        <f>(AD131*constants!$F$2+AE131*constants!$G$2)</f>
        <v>12731.504505933803</v>
      </c>
      <c r="AP131">
        <f t="shared" ref="AP131:AP194" si="26">AO131/AN131*100</f>
        <v>8.3863826328684681</v>
      </c>
    </row>
    <row r="132" spans="1:42">
      <c r="A132">
        <f>sim_annual_output!B132</f>
        <v>6</v>
      </c>
      <c r="B132" t="str">
        <f>sim_annual_output!C132</f>
        <v>Hangar</v>
      </c>
      <c r="C132" t="str">
        <f>sim_annual_output!D132</f>
        <v>1960-1979</v>
      </c>
      <c r="D132" t="str">
        <f>sim_annual_output!E132</f>
        <v>load_reduce</v>
      </c>
      <c r="E132" s="45">
        <f t="array" ref="E132">IFERROR(INDEX(baseline!$J$3:$J$201,MATCH($B132&amp;$C132,baseline!$C$3:$C$201&amp;baseline!$D$3:$D$201,0)),"NA")</f>
        <v>6423</v>
      </c>
      <c r="F132">
        <f>sim_annual_output!G132</f>
        <v>6276.5798484957804</v>
      </c>
      <c r="G132">
        <f>$E132/$F132^2*sim_annual_output!I132</f>
        <v>0</v>
      </c>
      <c r="H132">
        <f>$E132/$F132^2*sim_annual_output!J132</f>
        <v>185.26964504254755</v>
      </c>
      <c r="I132">
        <f>$E132/$F132^2*sim_annual_output!K132</f>
        <v>0.23550113037875836</v>
      </c>
      <c r="J132">
        <f>$E132/$F132^2*sim_annual_output!L132</f>
        <v>0</v>
      </c>
      <c r="K132">
        <f>$E132/$F132^2*sim_annual_output!M132</f>
        <v>5.8426924673391563</v>
      </c>
      <c r="L132">
        <f>$E132/$F132^2*sim_annual_output!N132</f>
        <v>57.202771682211207</v>
      </c>
      <c r="M132">
        <f>$E132/$F132^2*sim_annual_output!O132</f>
        <v>6.3657767088535149</v>
      </c>
      <c r="N132">
        <f>$E132/$F132^2*sim_annual_output!P132</f>
        <v>0</v>
      </c>
      <c r="O132">
        <f>$E132/$F132^2*sim_annual_output!Q132</f>
        <v>5.9695007683123347</v>
      </c>
      <c r="P132">
        <f>$E132/$F132^2*sim_annual_output!R132</f>
        <v>0.28848888471397899</v>
      </c>
      <c r="Q132">
        <f>$E132/$F132^2*sim_annual_output!S132</f>
        <v>0</v>
      </c>
      <c r="R132">
        <f t="array" ref="R132">INDEX(G$3:G$700,MATCH($B132&amp;$C132&amp;"baseline",$B$3:$B$700&amp;$C$3:$C$700&amp;$D$3:$D$700,0))</f>
        <v>0</v>
      </c>
      <c r="S132">
        <f t="array" ref="S132">INDEX(H$3:H$700,MATCH($B132&amp;$C132&amp;"baseline",$B$3:$B$700&amp;$C$3:$C$700&amp;$D$3:$D$700,0))</f>
        <v>441.28654697160931</v>
      </c>
      <c r="T132">
        <f t="array" ref="T132">INDEX(I$3:I$700,MATCH($B132&amp;$C132&amp;"baseline",$B$3:$B$700&amp;$C$3:$C$700&amp;$D$3:$D$700,0))</f>
        <v>0.2866773375572193</v>
      </c>
      <c r="U132">
        <f t="array" ref="U132">INDEX(J$3:J$700,MATCH($B132&amp;$C132&amp;"baseline",$B$3:$B$700&amp;$C$3:$C$700&amp;$D$3:$D$700,0))</f>
        <v>0</v>
      </c>
      <c r="V132">
        <f t="array" ref="V132">INDEX(K$3:K$700,MATCH($B132&amp;$C132&amp;"baseline",$B$3:$B$700&amp;$C$3:$C$700&amp;$D$3:$D$700,0))</f>
        <v>5.8426924673391563</v>
      </c>
      <c r="W132">
        <f t="array" ref="W132">INDEX(L$3:L$700,MATCH($B132&amp;$C132&amp;"baseline",$B$3:$B$700&amp;$C$3:$C$700&amp;$D$3:$D$700,0))</f>
        <v>57.202771682211207</v>
      </c>
      <c r="X132">
        <f t="array" ref="X132">INDEX(M$3:M$700,MATCH($B132&amp;$C132&amp;"baseline",$B$3:$B$700&amp;$C$3:$C$700&amp;$D$3:$D$700,0))</f>
        <v>6.3657767088535149</v>
      </c>
      <c r="Y132">
        <f t="array" ref="Y132">INDEX(N$3:N$700,MATCH($B132&amp;$C132&amp;"baseline",$B$3:$B$700&amp;$C$3:$C$700&amp;$D$3:$D$700,0))</f>
        <v>0</v>
      </c>
      <c r="Z132">
        <f t="array" ref="Z132">INDEX(O$3:O$700,MATCH($B132&amp;$C132&amp;"baseline",$B$3:$B$700&amp;$C$3:$C$700&amp;$D$3:$D$700,0))</f>
        <v>10.044123210654044</v>
      </c>
      <c r="AA132">
        <f t="array" ref="AA132">INDEX(P$3:P$700,MATCH($B132&amp;$C132&amp;"baseline",$B$3:$B$700&amp;$C$3:$C$700&amp;$D$3:$D$700,0))</f>
        <v>8.601225900294958</v>
      </c>
      <c r="AB132">
        <f t="array" ref="AB132">INDEX(Q$3:Q$700,MATCH($B132&amp;$C132&amp;"baseline",$B$3:$B$700&amp;$C$3:$C$700&amp;$D$3:$D$700,0))</f>
        <v>0</v>
      </c>
      <c r="AC132">
        <f t="shared" si="20"/>
        <v>529.62981427851935</v>
      </c>
      <c r="AD132">
        <f t="shared" si="21"/>
        <v>256.01690192906176</v>
      </c>
      <c r="AE132">
        <f t="shared" si="22"/>
        <v>12.438535665101156</v>
      </c>
      <c r="AF132">
        <f t="shared" si="23"/>
        <v>50.687372643449557</v>
      </c>
      <c r="AG132">
        <f>(S132+V132+Y132)*constants!$O$2+(R132+T132+U132+W132+X132+Z132+AA132+AB132)*constants!$N$2</f>
        <v>16.566058635782483</v>
      </c>
      <c r="AH132">
        <f>((S132+V132+Y132)-(H132+K132+N132))*constants!$O$2</f>
        <v>4.1474738112508005</v>
      </c>
      <c r="AI132">
        <f>((R132+T132+U132+W132+X132+Z132+AA132+AB132)-(G132+I132+J132+L132+M132+O132+P132+Q132))*constants!$N$2</f>
        <v>1.4055545301564307</v>
      </c>
      <c r="AJ132">
        <f t="shared" si="24"/>
        <v>33.520516035194738</v>
      </c>
      <c r="AK132">
        <f t="shared" si="25"/>
        <v>5.5530283414072308</v>
      </c>
      <c r="AL132">
        <f>COUNTIFS($B:$B,$B132,$AK:$AK,"&lt;"&amp;$AK132)+COUNTIFS($B$2:$B132,$B132,$AK$2:$AK132,$AK132)</f>
        <v>69</v>
      </c>
      <c r="AM132" s="191">
        <f>IF(AK132=0, "NA",IF(((sim_annual_output!F132/E132)/AK132)&lt;0,100,((sim_annual_output!F132/E132)/AK132)))</f>
        <v>3.6889670361499154</v>
      </c>
      <c r="AN132">
        <f>(S132+V132)*constants!$F$2+(T132+U132+W132+X132+Y132+Z132+AA132+AB132)*constants!$G$2</f>
        <v>151811.63396999851</v>
      </c>
      <c r="AO132">
        <f>(AD132*constants!$F$2+AE132*constants!$G$2)</f>
        <v>56648.551473940061</v>
      </c>
      <c r="AP132">
        <f t="shared" si="26"/>
        <v>37.315026518412367</v>
      </c>
    </row>
    <row r="133" spans="1:42">
      <c r="A133">
        <f>sim_annual_output!B133</f>
        <v>6</v>
      </c>
      <c r="B133" t="str">
        <f>sim_annual_output!C133</f>
        <v>Hangar</v>
      </c>
      <c r="C133" t="str">
        <f>sim_annual_output!D133</f>
        <v>1960-1979</v>
      </c>
      <c r="D133" t="str">
        <f>sim_annual_output!E133</f>
        <v>occupancy_setback</v>
      </c>
      <c r="E133" s="45">
        <f t="array" ref="E133">IFERROR(INDEX(baseline!$J$3:$J$201,MATCH($B133&amp;$C133,baseline!$C$3:$C$201&amp;baseline!$D$3:$D$201,0)),"NA")</f>
        <v>6423</v>
      </c>
      <c r="F133">
        <f>sim_annual_output!G133</f>
        <v>6276.5798484957804</v>
      </c>
      <c r="G133">
        <f>$E133/$F133^2*sim_annual_output!I133</f>
        <v>0</v>
      </c>
      <c r="H133">
        <f>$E133/$F133^2*sim_annual_output!J133</f>
        <v>382.89585324135294</v>
      </c>
      <c r="I133">
        <f>$E133/$F133^2*sim_annual_output!K133</f>
        <v>0.20470482871384379</v>
      </c>
      <c r="J133">
        <f>$E133/$F133^2*sim_annual_output!L133</f>
        <v>0</v>
      </c>
      <c r="K133">
        <f>$E133/$F133^2*sim_annual_output!M133</f>
        <v>5.8426924673391563</v>
      </c>
      <c r="L133">
        <f>$E133/$F133^2*sim_annual_output!N133</f>
        <v>57.202771682211207</v>
      </c>
      <c r="M133">
        <f>$E133/$F133^2*sim_annual_output!O133</f>
        <v>6.3657767088535149</v>
      </c>
      <c r="N133">
        <f>$E133/$F133^2*sim_annual_output!P133</f>
        <v>0</v>
      </c>
      <c r="O133">
        <f>$E133/$F133^2*sim_annual_output!Q133</f>
        <v>8.517894731084013</v>
      </c>
      <c r="P133">
        <f>$E133/$F133^2*sim_annual_output!R133</f>
        <v>6.9418487047030926</v>
      </c>
      <c r="Q133">
        <f>$E133/$F133^2*sim_annual_output!S133</f>
        <v>0</v>
      </c>
      <c r="R133">
        <f t="array" ref="R133">INDEX(G$3:G$700,MATCH($B133&amp;$C133&amp;"baseline",$B$3:$B$700&amp;$C$3:$C$700&amp;$D$3:$D$700,0))</f>
        <v>0</v>
      </c>
      <c r="S133">
        <f t="array" ref="S133">INDEX(H$3:H$700,MATCH($B133&amp;$C133&amp;"baseline",$B$3:$B$700&amp;$C$3:$C$700&amp;$D$3:$D$700,0))</f>
        <v>441.28654697160931</v>
      </c>
      <c r="T133">
        <f t="array" ref="T133">INDEX(I$3:I$700,MATCH($B133&amp;$C133&amp;"baseline",$B$3:$B$700&amp;$C$3:$C$700&amp;$D$3:$D$700,0))</f>
        <v>0.2866773375572193</v>
      </c>
      <c r="U133">
        <f t="array" ref="U133">INDEX(J$3:J$700,MATCH($B133&amp;$C133&amp;"baseline",$B$3:$B$700&amp;$C$3:$C$700&amp;$D$3:$D$700,0))</f>
        <v>0</v>
      </c>
      <c r="V133">
        <f t="array" ref="V133">INDEX(K$3:K$700,MATCH($B133&amp;$C133&amp;"baseline",$B$3:$B$700&amp;$C$3:$C$700&amp;$D$3:$D$700,0))</f>
        <v>5.8426924673391563</v>
      </c>
      <c r="W133">
        <f t="array" ref="W133">INDEX(L$3:L$700,MATCH($B133&amp;$C133&amp;"baseline",$B$3:$B$700&amp;$C$3:$C$700&amp;$D$3:$D$700,0))</f>
        <v>57.202771682211207</v>
      </c>
      <c r="X133">
        <f t="array" ref="X133">INDEX(M$3:M$700,MATCH($B133&amp;$C133&amp;"baseline",$B$3:$B$700&amp;$C$3:$C$700&amp;$D$3:$D$700,0))</f>
        <v>6.3657767088535149</v>
      </c>
      <c r="Y133">
        <f t="array" ref="Y133">INDEX(N$3:N$700,MATCH($B133&amp;$C133&amp;"baseline",$B$3:$B$700&amp;$C$3:$C$700&amp;$D$3:$D$700,0))</f>
        <v>0</v>
      </c>
      <c r="Z133">
        <f t="array" ref="Z133">INDEX(O$3:O$700,MATCH($B133&amp;$C133&amp;"baseline",$B$3:$B$700&amp;$C$3:$C$700&amp;$D$3:$D$700,0))</f>
        <v>10.044123210654044</v>
      </c>
      <c r="AA133">
        <f t="array" ref="AA133">INDEX(P$3:P$700,MATCH($B133&amp;$C133&amp;"baseline",$B$3:$B$700&amp;$C$3:$C$700&amp;$D$3:$D$700,0))</f>
        <v>8.601225900294958</v>
      </c>
      <c r="AB133">
        <f t="array" ref="AB133">INDEX(Q$3:Q$700,MATCH($B133&amp;$C133&amp;"baseline",$B$3:$B$700&amp;$C$3:$C$700&amp;$D$3:$D$700,0))</f>
        <v>0</v>
      </c>
      <c r="AC133">
        <f t="shared" si="20"/>
        <v>529.62981427851935</v>
      </c>
      <c r="AD133">
        <f t="shared" si="21"/>
        <v>58.390693730256373</v>
      </c>
      <c r="AE133">
        <f t="shared" si="22"/>
        <v>3.2675781840052878</v>
      </c>
      <c r="AF133">
        <f t="shared" si="23"/>
        <v>11.64176756141547</v>
      </c>
      <c r="AG133">
        <f>(S133+V133+Y133)*constants!$O$2+(R133+T133+U133+W133+X133+Z133+AA133+AB133)*constants!$N$2</f>
        <v>16.566058635782483</v>
      </c>
      <c r="AH133">
        <f>((S133+V133+Y133)-(H133+K133+N133))*constants!$O$2</f>
        <v>0.9459292384301532</v>
      </c>
      <c r="AI133">
        <f>((R133+T133+U133+W133+X133+Z133+AA133+AB133)-(G133+I133+J133+L133+M133+O133+P133+Q133))*constants!$N$2</f>
        <v>0.36923633479259754</v>
      </c>
      <c r="AJ133">
        <f t="shared" si="24"/>
        <v>7.9389165651147051</v>
      </c>
      <c r="AK133">
        <f t="shared" si="25"/>
        <v>1.3151655732227507</v>
      </c>
      <c r="AL133">
        <f>COUNTIFS($B:$B,$B133,$AK:$AK,"&lt;"&amp;$AK133)+COUNTIFS($B$2:$B133,$B133,$AK$2:$AK133,$AK133)</f>
        <v>52</v>
      </c>
      <c r="AM133" s="191">
        <f>IF(AK133=0, "NA",IF(((sim_annual_output!F133/E133)/AK133)&lt;0,100,((sim_annual_output!F133/E133)/AK133)))</f>
        <v>4.3430851496328469</v>
      </c>
      <c r="AN133">
        <f>(S133+V133)*constants!$F$2+(T133+U133+W133+X133+Y133+Z133+AA133+AB133)*constants!$G$2</f>
        <v>151811.63396999851</v>
      </c>
      <c r="AO133">
        <f>(AD133*constants!$F$2+AE133*constants!$G$2)</f>
        <v>13294.727197800492</v>
      </c>
      <c r="AP133">
        <f t="shared" si="26"/>
        <v>8.7573836405896515</v>
      </c>
    </row>
    <row r="134" spans="1:42">
      <c r="A134">
        <f>sim_annual_output!B134</f>
        <v>6</v>
      </c>
      <c r="B134" t="str">
        <f>sim_annual_output!C134</f>
        <v>Hangar</v>
      </c>
      <c r="C134" t="str">
        <f>sim_annual_output!D134</f>
        <v>1960-1979</v>
      </c>
      <c r="D134" t="str">
        <f>sim_annual_output!E134</f>
        <v>payback_less_than_20</v>
      </c>
      <c r="E134" s="45">
        <f t="array" ref="E134">IFERROR(INDEX(baseline!$J$3:$J$201,MATCH($B134&amp;$C134,baseline!$C$3:$C$201&amp;baseline!$D$3:$D$201,0)),"NA")</f>
        <v>6423</v>
      </c>
      <c r="F134">
        <f>sim_annual_output!G134</f>
        <v>6276.5798484957804</v>
      </c>
      <c r="G134">
        <f>$E134/$F134^2*sim_annual_output!I134</f>
        <v>0</v>
      </c>
      <c r="H134">
        <f>$E134/$F134^2*sim_annual_output!J134</f>
        <v>156.44475957097674</v>
      </c>
      <c r="I134">
        <f>$E134/$F134^2*sim_annual_output!K134</f>
        <v>1.7264044403919747</v>
      </c>
      <c r="J134">
        <f>$E134/$F134^2*sim_annual_output!L134</f>
        <v>0</v>
      </c>
      <c r="K134">
        <f>$E134/$F134^2*sim_annual_output!M134</f>
        <v>5.8426924673391563</v>
      </c>
      <c r="L134">
        <f>$E134/$F134^2*sim_annual_output!N134</f>
        <v>40.04198546622677</v>
      </c>
      <c r="M134">
        <f>$E134/$F134^2*sim_annual_output!O134</f>
        <v>6.3657767088535149</v>
      </c>
      <c r="N134">
        <f>$E134/$F134^2*sim_annual_output!P134</f>
        <v>0</v>
      </c>
      <c r="O134">
        <f>$E134/$F134^2*sim_annual_output!Q134</f>
        <v>5.128037113997463</v>
      </c>
      <c r="P134">
        <f>$E134/$F134^2*sim_annual_output!R134</f>
        <v>0.10869282940558077</v>
      </c>
      <c r="Q134">
        <f>$E134/$F134^2*sim_annual_output!S134</f>
        <v>0</v>
      </c>
      <c r="R134">
        <f t="array" ref="R134">INDEX(G$3:G$700,MATCH($B134&amp;$C134&amp;"baseline",$B$3:$B$700&amp;$C$3:$C$700&amp;$D$3:$D$700,0))</f>
        <v>0</v>
      </c>
      <c r="S134">
        <f t="array" ref="S134">INDEX(H$3:H$700,MATCH($B134&amp;$C134&amp;"baseline",$B$3:$B$700&amp;$C$3:$C$700&amp;$D$3:$D$700,0))</f>
        <v>441.28654697160931</v>
      </c>
      <c r="T134">
        <f t="array" ref="T134">INDEX(I$3:I$700,MATCH($B134&amp;$C134&amp;"baseline",$B$3:$B$700&amp;$C$3:$C$700&amp;$D$3:$D$700,0))</f>
        <v>0.2866773375572193</v>
      </c>
      <c r="U134">
        <f t="array" ref="U134">INDEX(J$3:J$700,MATCH($B134&amp;$C134&amp;"baseline",$B$3:$B$700&amp;$C$3:$C$700&amp;$D$3:$D$700,0))</f>
        <v>0</v>
      </c>
      <c r="V134">
        <f t="array" ref="V134">INDEX(K$3:K$700,MATCH($B134&amp;$C134&amp;"baseline",$B$3:$B$700&amp;$C$3:$C$700&amp;$D$3:$D$700,0))</f>
        <v>5.8426924673391563</v>
      </c>
      <c r="W134">
        <f t="array" ref="W134">INDEX(L$3:L$700,MATCH($B134&amp;$C134&amp;"baseline",$B$3:$B$700&amp;$C$3:$C$700&amp;$D$3:$D$700,0))</f>
        <v>57.202771682211207</v>
      </c>
      <c r="X134">
        <f t="array" ref="X134">INDEX(M$3:M$700,MATCH($B134&amp;$C134&amp;"baseline",$B$3:$B$700&amp;$C$3:$C$700&amp;$D$3:$D$700,0))</f>
        <v>6.3657767088535149</v>
      </c>
      <c r="Y134">
        <f t="array" ref="Y134">INDEX(N$3:N$700,MATCH($B134&amp;$C134&amp;"baseline",$B$3:$B$700&amp;$C$3:$C$700&amp;$D$3:$D$700,0))</f>
        <v>0</v>
      </c>
      <c r="Z134">
        <f t="array" ref="Z134">INDEX(O$3:O$700,MATCH($B134&amp;$C134&amp;"baseline",$B$3:$B$700&amp;$C$3:$C$700&amp;$D$3:$D$700,0))</f>
        <v>10.044123210654044</v>
      </c>
      <c r="AA134">
        <f t="array" ref="AA134">INDEX(P$3:P$700,MATCH($B134&amp;$C134&amp;"baseline",$B$3:$B$700&amp;$C$3:$C$700&amp;$D$3:$D$700,0))</f>
        <v>8.601225900294958</v>
      </c>
      <c r="AB134">
        <f t="array" ref="AB134">INDEX(Q$3:Q$700,MATCH($B134&amp;$C134&amp;"baseline",$B$3:$B$700&amp;$C$3:$C$700&amp;$D$3:$D$700,0))</f>
        <v>0</v>
      </c>
      <c r="AC134">
        <f t="shared" si="20"/>
        <v>529.62981427851935</v>
      </c>
      <c r="AD134">
        <f t="shared" si="21"/>
        <v>284.84178740063254</v>
      </c>
      <c r="AE134">
        <f t="shared" si="22"/>
        <v>29.12967828069565</v>
      </c>
      <c r="AF134">
        <f t="shared" si="23"/>
        <v>59.281305020381325</v>
      </c>
      <c r="AG134">
        <f>(S134+V134+Y134)*constants!$O$2+(R134+T134+U134+W134+X134+Z134+AA134+AB134)*constants!$N$2</f>
        <v>16.566058635782483</v>
      </c>
      <c r="AH134">
        <f>((S134+V134+Y134)-(H134+K134+N134))*constants!$O$2</f>
        <v>4.6144369558902465</v>
      </c>
      <c r="AI134">
        <f>((R134+T134+U134+W134+X134+Z134+AA134+AB134)-(G134+I134+J134+L134+M134+O134+P134+Q134))*constants!$N$2</f>
        <v>3.2916536457186085</v>
      </c>
      <c r="AJ134">
        <f t="shared" si="24"/>
        <v>47.724632487608105</v>
      </c>
      <c r="AK134">
        <f t="shared" si="25"/>
        <v>7.906090601608855</v>
      </c>
      <c r="AL134">
        <f>COUNTIFS($B:$B,$B134,$AK:$AK,"&lt;"&amp;$AK134)+COUNTIFS($B$2:$B134,$B134,$AK$2:$AK134,$AK134)</f>
        <v>71</v>
      </c>
      <c r="AM134" s="191">
        <f>IF(AK134=0, "NA",IF(((sim_annual_output!F134/E134)/AK134)&lt;0,100,((sim_annual_output!F134/E134)/AK134)))</f>
        <v>7.8016613460331437</v>
      </c>
      <c r="AN134">
        <f>(S134+V134)*constants!$F$2+(T134+U134+W134+X134+Y134+Z134+AA134+AB134)*constants!$G$2</f>
        <v>151811.63396999851</v>
      </c>
      <c r="AO134">
        <f>(AD134*constants!$F$2+AE134*constants!$G$2)</f>
        <v>76329.500048918446</v>
      </c>
      <c r="AP134">
        <f t="shared" si="26"/>
        <v>50.279084713628016</v>
      </c>
    </row>
    <row r="135" spans="1:42">
      <c r="A135">
        <f>sim_annual_output!B135</f>
        <v>6</v>
      </c>
      <c r="B135" t="str">
        <f>sim_annual_output!C135</f>
        <v>Hangar</v>
      </c>
      <c r="C135" t="str">
        <f>sim_annual_output!D135</f>
        <v>1960-1979</v>
      </c>
      <c r="D135" t="str">
        <f>sim_annual_output!E135</f>
        <v>plug_loads_90_percent</v>
      </c>
      <c r="E135" s="45">
        <f t="array" ref="E135">IFERROR(INDEX(baseline!$J$3:$J$201,MATCH($B135&amp;$C135,baseline!$C$3:$C$201&amp;baseline!$D$3:$D$201,0)),"NA")</f>
        <v>6423</v>
      </c>
      <c r="F135">
        <f>sim_annual_output!G135</f>
        <v>6276.5798484957804</v>
      </c>
      <c r="G135">
        <f>$E135/$F135^2*sim_annual_output!I135</f>
        <v>0</v>
      </c>
      <c r="H135">
        <f>$E135/$F135^2*sim_annual_output!J135</f>
        <v>436.5348587794287</v>
      </c>
      <c r="I135">
        <f>$E135/$F135^2*sim_annual_output!K135</f>
        <v>0.36095077098436618</v>
      </c>
      <c r="J135">
        <f>$E135/$F135^2*sim_annual_output!L135</f>
        <v>0</v>
      </c>
      <c r="K135">
        <f>$E135/$F135^2*sim_annual_output!M135</f>
        <v>5.8426924673391563</v>
      </c>
      <c r="L135">
        <f>$E135/$F135^2*sim_annual_output!N135</f>
        <v>57.202771682211207</v>
      </c>
      <c r="M135">
        <f>$E135/$F135^2*sim_annual_output!O135</f>
        <v>6.3657767088535149</v>
      </c>
      <c r="N135">
        <f>$E135/$F135^2*sim_annual_output!P135</f>
        <v>0</v>
      </c>
      <c r="O135">
        <f>$E135/$F135^2*sim_annual_output!Q135</f>
        <v>10.087147455627086</v>
      </c>
      <c r="P135">
        <f>$E135/$F135^2*sim_annual_output!R135</f>
        <v>8.5989614663490084</v>
      </c>
      <c r="Q135">
        <f>$E135/$F135^2*sim_annual_output!S135</f>
        <v>0</v>
      </c>
      <c r="R135">
        <f t="array" ref="R135">INDEX(G$3:G$700,MATCH($B135&amp;$C135&amp;"baseline",$B$3:$B$700&amp;$C$3:$C$700&amp;$D$3:$D$700,0))</f>
        <v>0</v>
      </c>
      <c r="S135">
        <f t="array" ref="S135">INDEX(H$3:H$700,MATCH($B135&amp;$C135&amp;"baseline",$B$3:$B$700&amp;$C$3:$C$700&amp;$D$3:$D$700,0))</f>
        <v>441.28654697160931</v>
      </c>
      <c r="T135">
        <f t="array" ref="T135">INDEX(I$3:I$700,MATCH($B135&amp;$C135&amp;"baseline",$B$3:$B$700&amp;$C$3:$C$700&amp;$D$3:$D$700,0))</f>
        <v>0.2866773375572193</v>
      </c>
      <c r="U135">
        <f t="array" ref="U135">INDEX(J$3:J$700,MATCH($B135&amp;$C135&amp;"baseline",$B$3:$B$700&amp;$C$3:$C$700&amp;$D$3:$D$700,0))</f>
        <v>0</v>
      </c>
      <c r="V135">
        <f t="array" ref="V135">INDEX(K$3:K$700,MATCH($B135&amp;$C135&amp;"baseline",$B$3:$B$700&amp;$C$3:$C$700&amp;$D$3:$D$700,0))</f>
        <v>5.8426924673391563</v>
      </c>
      <c r="W135">
        <f t="array" ref="W135">INDEX(L$3:L$700,MATCH($B135&amp;$C135&amp;"baseline",$B$3:$B$700&amp;$C$3:$C$700&amp;$D$3:$D$700,0))</f>
        <v>57.202771682211207</v>
      </c>
      <c r="X135">
        <f t="array" ref="X135">INDEX(M$3:M$700,MATCH($B135&amp;$C135&amp;"baseline",$B$3:$B$700&amp;$C$3:$C$700&amp;$D$3:$D$700,0))</f>
        <v>6.3657767088535149</v>
      </c>
      <c r="Y135">
        <f t="array" ref="Y135">INDEX(N$3:N$700,MATCH($B135&amp;$C135&amp;"baseline",$B$3:$B$700&amp;$C$3:$C$700&amp;$D$3:$D$700,0))</f>
        <v>0</v>
      </c>
      <c r="Z135">
        <f t="array" ref="Z135">INDEX(O$3:O$700,MATCH($B135&amp;$C135&amp;"baseline",$B$3:$B$700&amp;$C$3:$C$700&amp;$D$3:$D$700,0))</f>
        <v>10.044123210654044</v>
      </c>
      <c r="AA135">
        <f t="array" ref="AA135">INDEX(P$3:P$700,MATCH($B135&amp;$C135&amp;"baseline",$B$3:$B$700&amp;$C$3:$C$700&amp;$D$3:$D$700,0))</f>
        <v>8.601225900294958</v>
      </c>
      <c r="AB135">
        <f t="array" ref="AB135">INDEX(Q$3:Q$700,MATCH($B135&amp;$C135&amp;"baseline",$B$3:$B$700&amp;$C$3:$C$700&amp;$D$3:$D$700,0))</f>
        <v>0</v>
      </c>
      <c r="AC135">
        <f t="shared" si="20"/>
        <v>529.62981427851935</v>
      </c>
      <c r="AD135">
        <f t="shared" si="21"/>
        <v>4.7516881921806089</v>
      </c>
      <c r="AE135">
        <f t="shared" si="22"/>
        <v>-0.11503324445422436</v>
      </c>
      <c r="AF135">
        <f t="shared" si="23"/>
        <v>0.87545202757186202</v>
      </c>
      <c r="AG135">
        <f>(S135+V135+Y135)*constants!$O$2+(R135+T135+U135+W135+X135+Z135+AA135+AB135)*constants!$N$2</f>
        <v>16.566058635782483</v>
      </c>
      <c r="AH135">
        <f>((S135+V135+Y135)-(H135+K135+N135))*constants!$O$2</f>
        <v>7.6977348713325858E-2</v>
      </c>
      <c r="AI135">
        <f>((R135+T135+U135+W135+X135+Z135+AA135+AB135)-(G135+I135+J135+L135+M135+O135+P135+Q135))*constants!$N$2</f>
        <v>-1.2998756623327353E-2</v>
      </c>
      <c r="AJ135">
        <f t="shared" si="24"/>
        <v>0.38620285909048724</v>
      </c>
      <c r="AK135">
        <f t="shared" si="25"/>
        <v>6.3978592089998509E-2</v>
      </c>
      <c r="AL135">
        <f>COUNTIFS($B:$B,$B135,$AK:$AK,"&lt;"&amp;$AK135)+COUNTIFS($B$2:$B135,$B135,$AK$2:$AK135,$AK135)</f>
        <v>22</v>
      </c>
      <c r="AM135" s="191">
        <f>IF(AK135=0, "NA",IF(((sim_annual_output!F135/E135)/AK135)&lt;0,100,((sim_annual_output!F135/E135)/AK135)))</f>
        <v>51.620441104769554</v>
      </c>
      <c r="AN135">
        <f>(S135+V135)*constants!$F$2+(T135+U135+W135+X135+Y135+Z135+AA135+AB135)*constants!$G$2</f>
        <v>151811.63396999851</v>
      </c>
      <c r="AO135">
        <f>(AD135*constants!$F$2+AE135*constants!$G$2)</f>
        <v>750.47326372515386</v>
      </c>
      <c r="AP135">
        <f t="shared" si="26"/>
        <v>0.49434502751842108</v>
      </c>
    </row>
    <row r="136" spans="1:42">
      <c r="A136">
        <f>sim_annual_output!B136</f>
        <v>6</v>
      </c>
      <c r="B136" t="str">
        <f>sim_annual_output!C136</f>
        <v>Hangar</v>
      </c>
      <c r="C136" t="str">
        <f>sim_annual_output!D136</f>
        <v>1960-1979</v>
      </c>
      <c r="D136" t="str">
        <f>sim_annual_output!E136</f>
        <v>pumps_to_variable</v>
      </c>
      <c r="E136" s="45">
        <f t="array" ref="E136">IFERROR(INDEX(baseline!$J$3:$J$201,MATCH($B136&amp;$C136,baseline!$C$3:$C$201&amp;baseline!$D$3:$D$201,0)),"NA")</f>
        <v>6423</v>
      </c>
      <c r="F136">
        <f>sim_annual_output!G136</f>
        <v>6276.5798484957804</v>
      </c>
      <c r="G136">
        <f>$E136/$F136^2*sim_annual_output!I136</f>
        <v>0</v>
      </c>
      <c r="H136">
        <f>$E136/$F136^2*sim_annual_output!J136</f>
        <v>436.35460983733105</v>
      </c>
      <c r="I136">
        <f>$E136/$F136^2*sim_annual_output!K136</f>
        <v>0.3700085067681646</v>
      </c>
      <c r="J136">
        <f>$E136/$F136^2*sim_annual_output!L136</f>
        <v>0</v>
      </c>
      <c r="K136">
        <f>$E136/$F136^2*sim_annual_output!M136</f>
        <v>5.8589963917499945</v>
      </c>
      <c r="L136">
        <f>$E136/$F136^2*sim_annual_output!N136</f>
        <v>57.202771682211207</v>
      </c>
      <c r="M136">
        <f>$E136/$F136^2*sim_annual_output!O136</f>
        <v>6.3657767088535149</v>
      </c>
      <c r="N136">
        <f>$E136/$F136^2*sim_annual_output!P136</f>
        <v>0</v>
      </c>
      <c r="O136">
        <f>$E136/$F136^2*sim_annual_output!Q136</f>
        <v>10.081712814156807</v>
      </c>
      <c r="P136">
        <f>$E136/$F136^2*sim_annual_output!R136</f>
        <v>8.5749584665219434</v>
      </c>
      <c r="Q136">
        <f>$E136/$F136^2*sim_annual_output!S136</f>
        <v>0</v>
      </c>
      <c r="R136">
        <f t="array" ref="R136">INDEX(G$3:G$700,MATCH($B136&amp;$C136&amp;"baseline",$B$3:$B$700&amp;$C$3:$C$700&amp;$D$3:$D$700,0))</f>
        <v>0</v>
      </c>
      <c r="S136">
        <f t="array" ref="S136">INDEX(H$3:H$700,MATCH($B136&amp;$C136&amp;"baseline",$B$3:$B$700&amp;$C$3:$C$700&amp;$D$3:$D$700,0))</f>
        <v>441.28654697160931</v>
      </c>
      <c r="T136">
        <f t="array" ref="T136">INDEX(I$3:I$700,MATCH($B136&amp;$C136&amp;"baseline",$B$3:$B$700&amp;$C$3:$C$700&amp;$D$3:$D$700,0))</f>
        <v>0.2866773375572193</v>
      </c>
      <c r="U136">
        <f t="array" ref="U136">INDEX(J$3:J$700,MATCH($B136&amp;$C136&amp;"baseline",$B$3:$B$700&amp;$C$3:$C$700&amp;$D$3:$D$700,0))</f>
        <v>0</v>
      </c>
      <c r="V136">
        <f t="array" ref="V136">INDEX(K$3:K$700,MATCH($B136&amp;$C136&amp;"baseline",$B$3:$B$700&amp;$C$3:$C$700&amp;$D$3:$D$700,0))</f>
        <v>5.8426924673391563</v>
      </c>
      <c r="W136">
        <f t="array" ref="W136">INDEX(L$3:L$700,MATCH($B136&amp;$C136&amp;"baseline",$B$3:$B$700&amp;$C$3:$C$700&amp;$D$3:$D$700,0))</f>
        <v>57.202771682211207</v>
      </c>
      <c r="X136">
        <f t="array" ref="X136">INDEX(M$3:M$700,MATCH($B136&amp;$C136&amp;"baseline",$B$3:$B$700&amp;$C$3:$C$700&amp;$D$3:$D$700,0))</f>
        <v>6.3657767088535149</v>
      </c>
      <c r="Y136">
        <f t="array" ref="Y136">INDEX(N$3:N$700,MATCH($B136&amp;$C136&amp;"baseline",$B$3:$B$700&amp;$C$3:$C$700&amp;$D$3:$D$700,0))</f>
        <v>0</v>
      </c>
      <c r="Z136">
        <f t="array" ref="Z136">INDEX(O$3:O$700,MATCH($B136&amp;$C136&amp;"baseline",$B$3:$B$700&amp;$C$3:$C$700&amp;$D$3:$D$700,0))</f>
        <v>10.044123210654044</v>
      </c>
      <c r="AA136">
        <f t="array" ref="AA136">INDEX(P$3:P$700,MATCH($B136&amp;$C136&amp;"baseline",$B$3:$B$700&amp;$C$3:$C$700&amp;$D$3:$D$700,0))</f>
        <v>8.601225900294958</v>
      </c>
      <c r="AB136">
        <f t="array" ref="AB136">INDEX(Q$3:Q$700,MATCH($B136&amp;$C136&amp;"baseline",$B$3:$B$700&amp;$C$3:$C$700&amp;$D$3:$D$700,0))</f>
        <v>0</v>
      </c>
      <c r="AC136">
        <f t="shared" si="20"/>
        <v>529.62981427851935</v>
      </c>
      <c r="AD136">
        <f t="shared" si="21"/>
        <v>4.9156332098673943</v>
      </c>
      <c r="AE136">
        <f t="shared" si="22"/>
        <v>-9.4653338940688059E-2</v>
      </c>
      <c r="AF136">
        <f t="shared" si="23"/>
        <v>0.91025462331534668</v>
      </c>
      <c r="AG136">
        <f>(S136+V136+Y136)*constants!$O$2+(R136+T136+U136+W136+X136+Z136+AA136+AB136)*constants!$N$2</f>
        <v>16.566058635782483</v>
      </c>
      <c r="AH136">
        <f>((S136+V136+Y136)-(H136+K136+N136))*constants!$O$2</f>
        <v>7.9633257999851784E-2</v>
      </c>
      <c r="AI136">
        <f>((R136+T136+U136+W136+X136+Z136+AA136+AB136)-(G136+I136+J136+L136+M136+O136+P136+Q136))*constants!$N$2</f>
        <v>-1.0695827300297752E-2</v>
      </c>
      <c r="AJ136">
        <f t="shared" si="24"/>
        <v>0.41613658514192409</v>
      </c>
      <c r="AK136">
        <f t="shared" si="25"/>
        <v>6.8937430699554034E-2</v>
      </c>
      <c r="AL136">
        <f>COUNTIFS($B:$B,$B136,$AK:$AK,"&lt;"&amp;$AK136)+COUNTIFS($B$2:$B136,$B136,$AK$2:$AK136,$AK136)</f>
        <v>24</v>
      </c>
      <c r="AM136" s="191">
        <f>IF(AK136=0, "NA",IF(((sim_annual_output!F136/E136)/AK136)&lt;0,100,((sim_annual_output!F136/E136)/AK136)))</f>
        <v>7.7356710185799118</v>
      </c>
      <c r="AN136">
        <f>(S136+V136)*constants!$F$2+(T136+U136+W136+X136+Y136+Z136+AA136+AB136)*constants!$G$2</f>
        <v>151811.63396999851</v>
      </c>
      <c r="AO136">
        <f>(AD136*constants!$F$2+AE136*constants!$G$2)</f>
        <v>797.54993968786505</v>
      </c>
      <c r="AP136">
        <f t="shared" si="26"/>
        <v>0.52535495391972353</v>
      </c>
    </row>
    <row r="137" spans="1:42">
      <c r="A137">
        <f>sim_annual_output!B137</f>
        <v>6</v>
      </c>
      <c r="B137" t="str">
        <f>sim_annual_output!C137</f>
        <v>Hangar</v>
      </c>
      <c r="C137" t="str">
        <f>sim_annual_output!D137</f>
        <v>1960-1979</v>
      </c>
      <c r="D137" t="str">
        <f>sim_annual_output!E137</f>
        <v>pump_fan_eff_</v>
      </c>
      <c r="E137" s="45">
        <f t="array" ref="E137">IFERROR(INDEX(baseline!$J$3:$J$201,MATCH($B137&amp;$C137,baseline!$C$3:$C$201&amp;baseline!$D$3:$D$201,0)),"NA")</f>
        <v>6423</v>
      </c>
      <c r="F137">
        <f>sim_annual_output!G137</f>
        <v>6276.5798484957804</v>
      </c>
      <c r="G137">
        <f>$E137/$F137^2*sim_annual_output!I137</f>
        <v>0</v>
      </c>
      <c r="H137">
        <f>$E137/$F137^2*sim_annual_output!J137</f>
        <v>436.35460983733105</v>
      </c>
      <c r="I137">
        <f>$E137/$F137^2*sim_annual_output!K137</f>
        <v>0.3700085067681646</v>
      </c>
      <c r="J137">
        <f>$E137/$F137^2*sim_annual_output!L137</f>
        <v>0</v>
      </c>
      <c r="K137">
        <f>$E137/$F137^2*sim_annual_output!M137</f>
        <v>5.8426924673391563</v>
      </c>
      <c r="L137">
        <f>$E137/$F137^2*sim_annual_output!N137</f>
        <v>57.202771682211207</v>
      </c>
      <c r="M137">
        <f>$E137/$F137^2*sim_annual_output!O137</f>
        <v>6.3657767088535149</v>
      </c>
      <c r="N137">
        <f>$E137/$F137^2*sim_annual_output!P137</f>
        <v>0</v>
      </c>
      <c r="O137">
        <f>$E137/$F137^2*sim_annual_output!Q137</f>
        <v>10.081712814156807</v>
      </c>
      <c r="P137">
        <f>$E137/$F137^2*sim_annual_output!R137</f>
        <v>6.7194812912108421</v>
      </c>
      <c r="Q137">
        <f>$E137/$F137^2*sim_annual_output!S137</f>
        <v>0</v>
      </c>
      <c r="R137">
        <f t="array" ref="R137">INDEX(G$3:G$700,MATCH($B137&amp;$C137&amp;"baseline",$B$3:$B$700&amp;$C$3:$C$700&amp;$D$3:$D$700,0))</f>
        <v>0</v>
      </c>
      <c r="S137">
        <f t="array" ref="S137">INDEX(H$3:H$700,MATCH($B137&amp;$C137&amp;"baseline",$B$3:$B$700&amp;$C$3:$C$700&amp;$D$3:$D$700,0))</f>
        <v>441.28654697160931</v>
      </c>
      <c r="T137">
        <f t="array" ref="T137">INDEX(I$3:I$700,MATCH($B137&amp;$C137&amp;"baseline",$B$3:$B$700&amp;$C$3:$C$700&amp;$D$3:$D$700,0))</f>
        <v>0.2866773375572193</v>
      </c>
      <c r="U137">
        <f t="array" ref="U137">INDEX(J$3:J$700,MATCH($B137&amp;$C137&amp;"baseline",$B$3:$B$700&amp;$C$3:$C$700&amp;$D$3:$D$700,0))</f>
        <v>0</v>
      </c>
      <c r="V137">
        <f t="array" ref="V137">INDEX(K$3:K$700,MATCH($B137&amp;$C137&amp;"baseline",$B$3:$B$700&amp;$C$3:$C$700&amp;$D$3:$D$700,0))</f>
        <v>5.8426924673391563</v>
      </c>
      <c r="W137">
        <f t="array" ref="W137">INDEX(L$3:L$700,MATCH($B137&amp;$C137&amp;"baseline",$B$3:$B$700&amp;$C$3:$C$700&amp;$D$3:$D$700,0))</f>
        <v>57.202771682211207</v>
      </c>
      <c r="X137">
        <f t="array" ref="X137">INDEX(M$3:M$700,MATCH($B137&amp;$C137&amp;"baseline",$B$3:$B$700&amp;$C$3:$C$700&amp;$D$3:$D$700,0))</f>
        <v>6.3657767088535149</v>
      </c>
      <c r="Y137">
        <f t="array" ref="Y137">INDEX(N$3:N$700,MATCH($B137&amp;$C137&amp;"baseline",$B$3:$B$700&amp;$C$3:$C$700&amp;$D$3:$D$700,0))</f>
        <v>0</v>
      </c>
      <c r="Z137">
        <f t="array" ref="Z137">INDEX(O$3:O$700,MATCH($B137&amp;$C137&amp;"baseline",$B$3:$B$700&amp;$C$3:$C$700&amp;$D$3:$D$700,0))</f>
        <v>10.044123210654044</v>
      </c>
      <c r="AA137">
        <f t="array" ref="AA137">INDEX(P$3:P$700,MATCH($B137&amp;$C137&amp;"baseline",$B$3:$B$700&amp;$C$3:$C$700&amp;$D$3:$D$700,0))</f>
        <v>8.601225900294958</v>
      </c>
      <c r="AB137">
        <f t="array" ref="AB137">INDEX(Q$3:Q$700,MATCH($B137&amp;$C137&amp;"baseline",$B$3:$B$700&amp;$C$3:$C$700&amp;$D$3:$D$700,0))</f>
        <v>0</v>
      </c>
      <c r="AC137">
        <f t="shared" si="20"/>
        <v>529.62981427851935</v>
      </c>
      <c r="AD137">
        <f t="shared" si="21"/>
        <v>4.9319371342782574</v>
      </c>
      <c r="AE137">
        <f t="shared" si="22"/>
        <v>1.7608238363704203</v>
      </c>
      <c r="AF137">
        <f t="shared" si="23"/>
        <v>1.2636677147350166</v>
      </c>
      <c r="AG137">
        <f>(S137+V137+Y137)*constants!$O$2+(R137+T137+U137+W137+X137+Z137+AA137+AB137)*constants!$N$2</f>
        <v>16.566058635782483</v>
      </c>
      <c r="AH137">
        <f>((S137+V137+Y137)-(H137+K137+N137))*constants!$O$2</f>
        <v>7.9897381575307763E-2</v>
      </c>
      <c r="AI137">
        <f>((R137+T137+U137+W137+X137+Z137+AA137+AB137)-(G137+I137+J137+L137+M137+O137+P137+Q137))*constants!$N$2</f>
        <v>0.19897309350985751</v>
      </c>
      <c r="AJ137">
        <f t="shared" si="24"/>
        <v>1.683384570925087</v>
      </c>
      <c r="AK137">
        <f t="shared" si="25"/>
        <v>0.27887047508516527</v>
      </c>
      <c r="AL137">
        <f>COUNTIFS($B:$B,$B137,$AK:$AK,"&lt;"&amp;$AK137)+COUNTIFS($B$2:$B137,$B137,$AK$2:$AK137,$AK137)</f>
        <v>37</v>
      </c>
      <c r="AM137" s="191">
        <f>IF(AK137=0, "NA",IF(((sim_annual_output!F137/E137)/AK137)&lt;0,100,((sim_annual_output!F137/E137)/AK137)))</f>
        <v>3.7156071380645423</v>
      </c>
      <c r="AN137">
        <f>(S137+V137)*constants!$F$2+(T137+U137+W137+X137+Y137+Z137+AA137+AB137)*constants!$G$2</f>
        <v>151811.63396999851</v>
      </c>
      <c r="AO137">
        <f>(AD137*constants!$F$2+AE137*constants!$G$2)</f>
        <v>2414.7334846780736</v>
      </c>
      <c r="AP137">
        <f t="shared" si="26"/>
        <v>1.5906116162054358</v>
      </c>
    </row>
    <row r="138" spans="1:42">
      <c r="A138">
        <f>sim_annual_output!B138</f>
        <v>7</v>
      </c>
      <c r="B138" t="str">
        <f>sim_annual_output!C138</f>
        <v>Hangar</v>
      </c>
      <c r="C138" t="str">
        <f>sim_annual_output!D138</f>
        <v>1980-2004</v>
      </c>
      <c r="D138" t="str">
        <f>sim_annual_output!E138</f>
        <v>air_temp_reset_enabled</v>
      </c>
      <c r="E138" s="45">
        <f t="array" ref="E138">IFERROR(INDEX(baseline!$J$3:$J$201,MATCH($B138&amp;$C138,baseline!$C$3:$C$201&amp;baseline!$D$3:$D$201,0)),"NA")</f>
        <v>6423</v>
      </c>
      <c r="F138">
        <f>sim_annual_output!G138</f>
        <v>6276.5798484957804</v>
      </c>
      <c r="G138">
        <f>$E138/$F138^2*sim_annual_output!I138</f>
        <v>0</v>
      </c>
      <c r="H138">
        <f>$E138/$F138^2*sim_annual_output!J138</f>
        <v>282.87172986765637</v>
      </c>
      <c r="I138">
        <f>$E138/$F138^2*sim_annual_output!K138</f>
        <v>2.7290957916584571</v>
      </c>
      <c r="J138">
        <f>$E138/$F138^2*sim_annual_output!L138</f>
        <v>0</v>
      </c>
      <c r="K138">
        <f>$E138/$F138^2*sim_annual_output!M138</f>
        <v>5.8426924673391563</v>
      </c>
      <c r="L138">
        <f>$E138/$F138^2*sim_annual_output!N138</f>
        <v>57.202771682211207</v>
      </c>
      <c r="M138">
        <f>$E138/$F138^2*sim_annual_output!O138</f>
        <v>6.3657767088535149</v>
      </c>
      <c r="N138">
        <f>$E138/$F138^2*sim_annual_output!P138</f>
        <v>0</v>
      </c>
      <c r="O138">
        <f>$E138/$F138^2*sim_annual_output!Q138</f>
        <v>7.116663005330401</v>
      </c>
      <c r="P138">
        <f>$E138/$F138^2*sim_annual_output!R138</f>
        <v>6.1257467105828569</v>
      </c>
      <c r="Q138">
        <f>$E138/$F138^2*sim_annual_output!S138</f>
        <v>0</v>
      </c>
      <c r="R138">
        <f t="array" ref="R138">INDEX(G$3:G$700,MATCH($B138&amp;$C138&amp;"baseline",$B$3:$B$700&amp;$C$3:$C$700&amp;$D$3:$D$700,0))</f>
        <v>0</v>
      </c>
      <c r="S138">
        <f t="array" ref="S138">INDEX(H$3:H$700,MATCH($B138&amp;$C138&amp;"baseline",$B$3:$B$700&amp;$C$3:$C$700&amp;$D$3:$D$700,0))</f>
        <v>279.44065955275357</v>
      </c>
      <c r="T138">
        <f t="array" ref="T138">INDEX(I$3:I$700,MATCH($B138&amp;$C138&amp;"baseline",$B$3:$B$700&amp;$C$3:$C$700&amp;$D$3:$D$700,0))</f>
        <v>0.22916071533009946</v>
      </c>
      <c r="U138">
        <f t="array" ref="U138">INDEX(J$3:J$700,MATCH($B138&amp;$C138&amp;"baseline",$B$3:$B$700&amp;$C$3:$C$700&amp;$D$3:$D$700,0))</f>
        <v>0</v>
      </c>
      <c r="V138">
        <f t="array" ref="V138">INDEX(K$3:K$700,MATCH($B138&amp;$C138&amp;"baseline",$B$3:$B$700&amp;$C$3:$C$700&amp;$D$3:$D$700,0))</f>
        <v>5.8426924673391563</v>
      </c>
      <c r="W138">
        <f t="array" ref="W138">INDEX(L$3:L$700,MATCH($B138&amp;$C138&amp;"baseline",$B$3:$B$700&amp;$C$3:$C$700&amp;$D$3:$D$700,0))</f>
        <v>57.202771682211207</v>
      </c>
      <c r="X138">
        <f t="array" ref="X138">INDEX(M$3:M$700,MATCH($B138&amp;$C138&amp;"baseline",$B$3:$B$700&amp;$C$3:$C$700&amp;$D$3:$D$700,0))</f>
        <v>6.3657767088535149</v>
      </c>
      <c r="Y138">
        <f t="array" ref="Y138">INDEX(N$3:N$700,MATCH($B138&amp;$C138&amp;"baseline",$B$3:$B$700&amp;$C$3:$C$700&amp;$D$3:$D$700,0))</f>
        <v>0</v>
      </c>
      <c r="Z138">
        <f t="array" ref="Z138">INDEX(O$3:O$700,MATCH($B138&amp;$C138&amp;"baseline",$B$3:$B$700&amp;$C$3:$C$700&amp;$D$3:$D$700,0))</f>
        <v>7.0682041188870803</v>
      </c>
      <c r="AA138">
        <f t="array" ref="AA138">INDEX(P$3:P$700,MATCH($B138&amp;$C138&amp;"baseline",$B$3:$B$700&amp;$C$3:$C$700&amp;$D$3:$D$700,0))</f>
        <v>5.3893527913600474</v>
      </c>
      <c r="AB138">
        <f t="array" ref="AB138">INDEX(Q$3:Q$700,MATCH($B138&amp;$C138&amp;"baseline",$B$3:$B$700&amp;$C$3:$C$700&amp;$D$3:$D$700,0))</f>
        <v>0</v>
      </c>
      <c r="AC138">
        <f t="shared" si="20"/>
        <v>361.5386180367347</v>
      </c>
      <c r="AD138">
        <f t="shared" si="21"/>
        <v>-3.4310703149027972</v>
      </c>
      <c r="AE138">
        <f t="shared" si="22"/>
        <v>-3.2847878819944754</v>
      </c>
      <c r="AF138">
        <f t="shared" si="23"/>
        <v>-1.8575769950569698</v>
      </c>
      <c r="AG138">
        <f>(S138+V138+Y138)*constants!$O$2+(R138+T138+U138+W138+X138+Z138+AA138+AB138)*constants!$N$2</f>
        <v>13.238435362606044</v>
      </c>
      <c r="AH138">
        <f>((S138+V138+Y138)-(H138+K138+N138))*constants!$O$2</f>
        <v>-5.5583339101425315E-2</v>
      </c>
      <c r="AI138">
        <f>((R138+T138+U138+W138+X138+Z138+AA138+AB138)-(G138+I138+J138+L138+M138+O138+P138+Q138))*constants!$N$2</f>
        <v>-0.37118103066537572</v>
      </c>
      <c r="AJ138">
        <f t="shared" si="24"/>
        <v>-3.2236768022621565</v>
      </c>
      <c r="AK138">
        <f t="shared" si="25"/>
        <v>-0.42676436976680104</v>
      </c>
      <c r="AL138">
        <f>COUNTIFS($B:$B,$B138,$AK:$AK,"&lt;"&amp;$AK138)+COUNTIFS($B$2:$B138,$B138,$AK$2:$AK138,$AK138)</f>
        <v>3</v>
      </c>
      <c r="AM138" s="191">
        <f>IF(AK138=0, "NA",IF(((sim_annual_output!F138/E138)/AK138)&lt;0,100,((sim_annual_output!F138/E138)/AK138)))</f>
        <v>100</v>
      </c>
      <c r="AN138">
        <f>(S138+V138)*constants!$F$2+(T138+U138+W138+X138+Y138+Z138+AA138+AB138)*constants!$G$2</f>
        <v>117407.8014460751</v>
      </c>
      <c r="AO138">
        <f>(AD138*constants!$F$2+AE138*constants!$G$2)</f>
        <v>-3471.9270437027944</v>
      </c>
      <c r="AP138">
        <f t="shared" si="26"/>
        <v>-2.9571519106398014</v>
      </c>
    </row>
    <row r="139" spans="1:42">
      <c r="A139">
        <f>sim_annual_output!B139</f>
        <v>7</v>
      </c>
      <c r="B139" t="str">
        <f>sim_annual_output!C139</f>
        <v>Hangar</v>
      </c>
      <c r="C139" t="str">
        <f>sim_annual_output!D139</f>
        <v>1980-2004</v>
      </c>
      <c r="D139" t="str">
        <f>sim_annual_output!E139</f>
        <v>baseline</v>
      </c>
      <c r="E139" s="45">
        <f t="array" ref="E139">IFERROR(INDEX(baseline!$J$3:$J$201,MATCH($B139&amp;$C139,baseline!$C$3:$C$201&amp;baseline!$D$3:$D$201,0)),"NA")</f>
        <v>6423</v>
      </c>
      <c r="F139">
        <f>sim_annual_output!G139</f>
        <v>6276.5798484957804</v>
      </c>
      <c r="G139">
        <f>$E139/$F139^2*sim_annual_output!I139</f>
        <v>0</v>
      </c>
      <c r="H139">
        <f>$E139/$F139^2*sim_annual_output!J139</f>
        <v>279.44065955275357</v>
      </c>
      <c r="I139">
        <f>$E139/$F139^2*sim_annual_output!K139</f>
        <v>0.22916071533009946</v>
      </c>
      <c r="J139">
        <f>$E139/$F139^2*sim_annual_output!L139</f>
        <v>0</v>
      </c>
      <c r="K139">
        <f>$E139/$F139^2*sim_annual_output!M139</f>
        <v>5.8426924673391563</v>
      </c>
      <c r="L139">
        <f>$E139/$F139^2*sim_annual_output!N139</f>
        <v>57.202771682211207</v>
      </c>
      <c r="M139">
        <f>$E139/$F139^2*sim_annual_output!O139</f>
        <v>6.3657767088535149</v>
      </c>
      <c r="N139">
        <f>$E139/$F139^2*sim_annual_output!P139</f>
        <v>0</v>
      </c>
      <c r="O139">
        <f>$E139/$F139^2*sim_annual_output!Q139</f>
        <v>7.0682041188870803</v>
      </c>
      <c r="P139">
        <f>$E139/$F139^2*sim_annual_output!R139</f>
        <v>5.3893527913600474</v>
      </c>
      <c r="Q139">
        <f>$E139/$F139^2*sim_annual_output!S139</f>
        <v>0</v>
      </c>
      <c r="R139">
        <f t="array" ref="R139">INDEX(G$3:G$700,MATCH($B139&amp;$C139&amp;"baseline",$B$3:$B$700&amp;$C$3:$C$700&amp;$D$3:$D$700,0))</f>
        <v>0</v>
      </c>
      <c r="S139">
        <f t="array" ref="S139">INDEX(H$3:H$700,MATCH($B139&amp;$C139&amp;"baseline",$B$3:$B$700&amp;$C$3:$C$700&amp;$D$3:$D$700,0))</f>
        <v>279.44065955275357</v>
      </c>
      <c r="T139">
        <f t="array" ref="T139">INDEX(I$3:I$700,MATCH($B139&amp;$C139&amp;"baseline",$B$3:$B$700&amp;$C$3:$C$700&amp;$D$3:$D$700,0))</f>
        <v>0.22916071533009946</v>
      </c>
      <c r="U139">
        <f t="array" ref="U139">INDEX(J$3:J$700,MATCH($B139&amp;$C139&amp;"baseline",$B$3:$B$700&amp;$C$3:$C$700&amp;$D$3:$D$700,0))</f>
        <v>0</v>
      </c>
      <c r="V139">
        <f t="array" ref="V139">INDEX(K$3:K$700,MATCH($B139&amp;$C139&amp;"baseline",$B$3:$B$700&amp;$C$3:$C$700&amp;$D$3:$D$700,0))</f>
        <v>5.8426924673391563</v>
      </c>
      <c r="W139">
        <f t="array" ref="W139">INDEX(L$3:L$700,MATCH($B139&amp;$C139&amp;"baseline",$B$3:$B$700&amp;$C$3:$C$700&amp;$D$3:$D$700,0))</f>
        <v>57.202771682211207</v>
      </c>
      <c r="X139">
        <f t="array" ref="X139">INDEX(M$3:M$700,MATCH($B139&amp;$C139&amp;"baseline",$B$3:$B$700&amp;$C$3:$C$700&amp;$D$3:$D$700,0))</f>
        <v>6.3657767088535149</v>
      </c>
      <c r="Y139">
        <f t="array" ref="Y139">INDEX(N$3:N$700,MATCH($B139&amp;$C139&amp;"baseline",$B$3:$B$700&amp;$C$3:$C$700&amp;$D$3:$D$700,0))</f>
        <v>0</v>
      </c>
      <c r="Z139">
        <f t="array" ref="Z139">INDEX(O$3:O$700,MATCH($B139&amp;$C139&amp;"baseline",$B$3:$B$700&amp;$C$3:$C$700&amp;$D$3:$D$700,0))</f>
        <v>7.0682041188870803</v>
      </c>
      <c r="AA139">
        <f t="array" ref="AA139">INDEX(P$3:P$700,MATCH($B139&amp;$C139&amp;"baseline",$B$3:$B$700&amp;$C$3:$C$700&amp;$D$3:$D$700,0))</f>
        <v>5.3893527913600474</v>
      </c>
      <c r="AB139">
        <f t="array" ref="AB139">INDEX(Q$3:Q$700,MATCH($B139&amp;$C139&amp;"baseline",$B$3:$B$700&amp;$C$3:$C$700&amp;$D$3:$D$700,0))</f>
        <v>0</v>
      </c>
      <c r="AC139">
        <f t="shared" si="20"/>
        <v>361.5386180367347</v>
      </c>
      <c r="AD139">
        <f t="shared" si="21"/>
        <v>0</v>
      </c>
      <c r="AE139">
        <f t="shared" si="22"/>
        <v>0</v>
      </c>
      <c r="AF139">
        <f t="shared" si="23"/>
        <v>0</v>
      </c>
      <c r="AG139">
        <f>(S139+V139+Y139)*constants!$O$2+(R139+T139+U139+W139+X139+Z139+AA139+AB139)*constants!$N$2</f>
        <v>13.238435362606044</v>
      </c>
      <c r="AH139">
        <f>((S139+V139+Y139)-(H139+K139+N139))*constants!$O$2</f>
        <v>0</v>
      </c>
      <c r="AI139">
        <f>((R139+T139+U139+W139+X139+Z139+AA139+AB139)-(G139+I139+J139+L139+M139+O139+P139+Q139))*constants!$N$2</f>
        <v>0</v>
      </c>
      <c r="AJ139">
        <f t="shared" si="24"/>
        <v>0</v>
      </c>
      <c r="AK139">
        <f t="shared" si="25"/>
        <v>0</v>
      </c>
      <c r="AL139">
        <f>COUNTIFS($B:$B,$B139,$AK:$AK,"&lt;"&amp;$AK139)+COUNTIFS($B$2:$B139,$B139,$AK$2:$AK139,$AK139)</f>
        <v>8</v>
      </c>
      <c r="AM139" s="191" t="str">
        <f>IF(AK139=0, "NA",IF(((sim_annual_output!F139/E139)/AK139)&lt;0,100,((sim_annual_output!F139/E139)/AK139)))</f>
        <v>NA</v>
      </c>
      <c r="AN139">
        <f>(S139+V139)*constants!$F$2+(T139+U139+W139+X139+Y139+Z139+AA139+AB139)*constants!$G$2</f>
        <v>117407.8014460751</v>
      </c>
      <c r="AO139">
        <f>(AD139*constants!$F$2+AE139*constants!$G$2)</f>
        <v>0</v>
      </c>
      <c r="AP139">
        <f t="shared" si="26"/>
        <v>0</v>
      </c>
    </row>
    <row r="140" spans="1:42">
      <c r="A140">
        <f>sim_annual_output!B140</f>
        <v>7</v>
      </c>
      <c r="B140" t="str">
        <f>sim_annual_output!C140</f>
        <v>Hangar</v>
      </c>
      <c r="C140" t="str">
        <f>sim_annual_output!D140</f>
        <v>1980-2004</v>
      </c>
      <c r="D140" t="str">
        <f>sim_annual_output!E140</f>
        <v>boiler_eff_upgrade</v>
      </c>
      <c r="E140" s="45">
        <f t="array" ref="E140">IFERROR(INDEX(baseline!$J$3:$J$201,MATCH($B140&amp;$C140,baseline!$C$3:$C$201&amp;baseline!$D$3:$D$201,0)),"NA")</f>
        <v>6423</v>
      </c>
      <c r="F140">
        <f>sim_annual_output!G140</f>
        <v>6276.5798484957804</v>
      </c>
      <c r="G140">
        <f>$E140/$F140^2*sim_annual_output!I140</f>
        <v>0</v>
      </c>
      <c r="H140">
        <f>$E140/$F140^2*sim_annual_output!J140</f>
        <v>277.49958677428555</v>
      </c>
      <c r="I140">
        <f>$E140/$F140^2*sim_annual_output!K140</f>
        <v>0.32154962032484313</v>
      </c>
      <c r="J140">
        <f>$E140/$F140^2*sim_annual_output!L140</f>
        <v>0</v>
      </c>
      <c r="K140">
        <f>$E140/$F140^2*sim_annual_output!M140</f>
        <v>5.8426924673391563</v>
      </c>
      <c r="L140">
        <f>$E140/$F140^2*sim_annual_output!N140</f>
        <v>57.202771682211207</v>
      </c>
      <c r="M140">
        <f>$E140/$F140^2*sim_annual_output!O140</f>
        <v>6.3657767088535149</v>
      </c>
      <c r="N140">
        <f>$E140/$F140^2*sim_annual_output!P140</f>
        <v>0</v>
      </c>
      <c r="O140">
        <f>$E140/$F140^2*sim_annual_output!Q140</f>
        <v>7.116663005330401</v>
      </c>
      <c r="P140">
        <f>$E140/$F140^2*sim_annual_output!R140</f>
        <v>5.4178846590790117</v>
      </c>
      <c r="Q140">
        <f>$E140/$F140^2*sim_annual_output!S140</f>
        <v>0</v>
      </c>
      <c r="R140">
        <f t="array" ref="R140">INDEX(G$3:G$700,MATCH($B140&amp;$C140&amp;"baseline",$B$3:$B$700&amp;$C$3:$C$700&amp;$D$3:$D$700,0))</f>
        <v>0</v>
      </c>
      <c r="S140">
        <f t="array" ref="S140">INDEX(H$3:H$700,MATCH($B140&amp;$C140&amp;"baseline",$B$3:$B$700&amp;$C$3:$C$700&amp;$D$3:$D$700,0))</f>
        <v>279.44065955275357</v>
      </c>
      <c r="T140">
        <f t="array" ref="T140">INDEX(I$3:I$700,MATCH($B140&amp;$C140&amp;"baseline",$B$3:$B$700&amp;$C$3:$C$700&amp;$D$3:$D$700,0))</f>
        <v>0.22916071533009946</v>
      </c>
      <c r="U140">
        <f t="array" ref="U140">INDEX(J$3:J$700,MATCH($B140&amp;$C140&amp;"baseline",$B$3:$B$700&amp;$C$3:$C$700&amp;$D$3:$D$700,0))</f>
        <v>0</v>
      </c>
      <c r="V140">
        <f t="array" ref="V140">INDEX(K$3:K$700,MATCH($B140&amp;$C140&amp;"baseline",$B$3:$B$700&amp;$C$3:$C$700&amp;$D$3:$D$700,0))</f>
        <v>5.8426924673391563</v>
      </c>
      <c r="W140">
        <f t="array" ref="W140">INDEX(L$3:L$700,MATCH($B140&amp;$C140&amp;"baseline",$B$3:$B$700&amp;$C$3:$C$700&amp;$D$3:$D$700,0))</f>
        <v>57.202771682211207</v>
      </c>
      <c r="X140">
        <f t="array" ref="X140">INDEX(M$3:M$700,MATCH($B140&amp;$C140&amp;"baseline",$B$3:$B$700&amp;$C$3:$C$700&amp;$D$3:$D$700,0))</f>
        <v>6.3657767088535149</v>
      </c>
      <c r="Y140">
        <f t="array" ref="Y140">INDEX(N$3:N$700,MATCH($B140&amp;$C140&amp;"baseline",$B$3:$B$700&amp;$C$3:$C$700&amp;$D$3:$D$700,0))</f>
        <v>0</v>
      </c>
      <c r="Z140">
        <f t="array" ref="Z140">INDEX(O$3:O$700,MATCH($B140&amp;$C140&amp;"baseline",$B$3:$B$700&amp;$C$3:$C$700&amp;$D$3:$D$700,0))</f>
        <v>7.0682041188870803</v>
      </c>
      <c r="AA140">
        <f t="array" ref="AA140">INDEX(P$3:P$700,MATCH($B140&amp;$C140&amp;"baseline",$B$3:$B$700&amp;$C$3:$C$700&amp;$D$3:$D$700,0))</f>
        <v>5.3893527913600474</v>
      </c>
      <c r="AB140">
        <f t="array" ref="AB140">INDEX(Q$3:Q$700,MATCH($B140&amp;$C140&amp;"baseline",$B$3:$B$700&amp;$C$3:$C$700&amp;$D$3:$D$700,0))</f>
        <v>0</v>
      </c>
      <c r="AC140">
        <f t="shared" si="20"/>
        <v>361.5386180367347</v>
      </c>
      <c r="AD140">
        <f t="shared" si="21"/>
        <v>1.9410727784680262</v>
      </c>
      <c r="AE140">
        <f t="shared" si="22"/>
        <v>-0.16937965915701625</v>
      </c>
      <c r="AF140">
        <f t="shared" si="23"/>
        <v>0.49004256555823705</v>
      </c>
      <c r="AG140">
        <f>(S140+V140+Y140)*constants!$O$2+(R140+T140+U140+W140+X140+Z140+AA140+AB140)*constants!$N$2</f>
        <v>13.238435362606044</v>
      </c>
      <c r="AH140">
        <f>((S140+V140+Y140)-(H140+K140+N140))*constants!$O$2</f>
        <v>3.1445379011182023E-2</v>
      </c>
      <c r="AI140">
        <f>((R140+T140+U140+W140+X140+Z140+AA140+AB140)-(G140+I140+J140+L140+M140+O140+P140+Q140))*constants!$N$2</f>
        <v>-1.9139901484742837E-2</v>
      </c>
      <c r="AJ140">
        <f t="shared" si="24"/>
        <v>9.2952657843523273E-2</v>
      </c>
      <c r="AK140">
        <f t="shared" si="25"/>
        <v>1.2305477526439186E-2</v>
      </c>
      <c r="AL140">
        <f>COUNTIFS($B:$B,$B140,$AK:$AK,"&lt;"&amp;$AK140)+COUNTIFS($B$2:$B140,$B140,$AK$2:$AK140,$AK140)</f>
        <v>11</v>
      </c>
      <c r="AM140" s="191">
        <f>IF(AK140=0, "NA",IF(((sim_annual_output!F140/E140)/AK140)&lt;0,100,((sim_annual_output!F140/E140)/AK140)))</f>
        <v>826.58938856961151</v>
      </c>
      <c r="AN140">
        <f>(S140+V140)*constants!$F$2+(T140+U140+W140+X140+Y140+Z140+AA140+AB140)*constants!$G$2</f>
        <v>117407.8014460751</v>
      </c>
      <c r="AO140">
        <f>(AD140*constants!$F$2+AE140*constants!$G$2)</f>
        <v>200.09172387917255</v>
      </c>
      <c r="AP140">
        <f t="shared" si="26"/>
        <v>0.17042455562126663</v>
      </c>
    </row>
    <row r="141" spans="1:42">
      <c r="A141">
        <f>sim_annual_output!B141</f>
        <v>7</v>
      </c>
      <c r="B141" t="str">
        <f>sim_annual_output!C141</f>
        <v>Hangar</v>
      </c>
      <c r="C141" t="str">
        <f>sim_annual_output!D141</f>
        <v>1980-2004</v>
      </c>
      <c r="D141" t="str">
        <f>sim_annual_output!E141</f>
        <v>boiler_reset</v>
      </c>
      <c r="E141" s="45">
        <f t="array" ref="E141">IFERROR(INDEX(baseline!$J$3:$J$201,MATCH($B141&amp;$C141,baseline!$C$3:$C$201&amp;baseline!$D$3:$D$201,0)),"NA")</f>
        <v>6423</v>
      </c>
      <c r="F141">
        <f>sim_annual_output!G141</f>
        <v>6276.5798484957804</v>
      </c>
      <c r="G141">
        <f>$E141/$F141^2*sim_annual_output!I141</f>
        <v>0</v>
      </c>
      <c r="H141">
        <f>$E141/$F141^2*sim_annual_output!J141</f>
        <v>225.66352354397489</v>
      </c>
      <c r="I141">
        <f>$E141/$F141^2*sim_annual_output!K141</f>
        <v>0.32154962032484313</v>
      </c>
      <c r="J141">
        <f>$E141/$F141^2*sim_annual_output!L141</f>
        <v>0</v>
      </c>
      <c r="K141">
        <f>$E141/$F141^2*sim_annual_output!M141</f>
        <v>5.8426924673391563</v>
      </c>
      <c r="L141">
        <f>$E141/$F141^2*sim_annual_output!N141</f>
        <v>57.202771682211207</v>
      </c>
      <c r="M141">
        <f>$E141/$F141^2*sim_annual_output!O141</f>
        <v>6.3657767088535149</v>
      </c>
      <c r="N141">
        <f>$E141/$F141^2*sim_annual_output!P141</f>
        <v>0</v>
      </c>
      <c r="O141">
        <f>$E141/$F141^2*sim_annual_output!Q141</f>
        <v>7.116663005330401</v>
      </c>
      <c r="P141">
        <f>$E141/$F141^2*sim_annual_output!R141</f>
        <v>0.29573507334101767</v>
      </c>
      <c r="Q141">
        <f>$E141/$F141^2*sim_annual_output!S141</f>
        <v>0</v>
      </c>
      <c r="R141">
        <f t="array" ref="R141">INDEX(G$3:G$700,MATCH($B141&amp;$C141&amp;"baseline",$B$3:$B$700&amp;$C$3:$C$700&amp;$D$3:$D$700,0))</f>
        <v>0</v>
      </c>
      <c r="S141">
        <f t="array" ref="S141">INDEX(H$3:H$700,MATCH($B141&amp;$C141&amp;"baseline",$B$3:$B$700&amp;$C$3:$C$700&amp;$D$3:$D$700,0))</f>
        <v>279.44065955275357</v>
      </c>
      <c r="T141">
        <f t="array" ref="T141">INDEX(I$3:I$700,MATCH($B141&amp;$C141&amp;"baseline",$B$3:$B$700&amp;$C$3:$C$700&amp;$D$3:$D$700,0))</f>
        <v>0.22916071533009946</v>
      </c>
      <c r="U141">
        <f t="array" ref="U141">INDEX(J$3:J$700,MATCH($B141&amp;$C141&amp;"baseline",$B$3:$B$700&amp;$C$3:$C$700&amp;$D$3:$D$700,0))</f>
        <v>0</v>
      </c>
      <c r="V141">
        <f t="array" ref="V141">INDEX(K$3:K$700,MATCH($B141&amp;$C141&amp;"baseline",$B$3:$B$700&amp;$C$3:$C$700&amp;$D$3:$D$700,0))</f>
        <v>5.8426924673391563</v>
      </c>
      <c r="W141">
        <f t="array" ref="W141">INDEX(L$3:L$700,MATCH($B141&amp;$C141&amp;"baseline",$B$3:$B$700&amp;$C$3:$C$700&amp;$D$3:$D$700,0))</f>
        <v>57.202771682211207</v>
      </c>
      <c r="X141">
        <f t="array" ref="X141">INDEX(M$3:M$700,MATCH($B141&amp;$C141&amp;"baseline",$B$3:$B$700&amp;$C$3:$C$700&amp;$D$3:$D$700,0))</f>
        <v>6.3657767088535149</v>
      </c>
      <c r="Y141">
        <f t="array" ref="Y141">INDEX(N$3:N$700,MATCH($B141&amp;$C141&amp;"baseline",$B$3:$B$700&amp;$C$3:$C$700&amp;$D$3:$D$700,0))</f>
        <v>0</v>
      </c>
      <c r="Z141">
        <f t="array" ref="Z141">INDEX(O$3:O$700,MATCH($B141&amp;$C141&amp;"baseline",$B$3:$B$700&amp;$C$3:$C$700&amp;$D$3:$D$700,0))</f>
        <v>7.0682041188870803</v>
      </c>
      <c r="AA141">
        <f t="array" ref="AA141">INDEX(P$3:P$700,MATCH($B141&amp;$C141&amp;"baseline",$B$3:$B$700&amp;$C$3:$C$700&amp;$D$3:$D$700,0))</f>
        <v>5.3893527913600474</v>
      </c>
      <c r="AB141">
        <f t="array" ref="AB141">INDEX(Q$3:Q$700,MATCH($B141&amp;$C141&amp;"baseline",$B$3:$B$700&amp;$C$3:$C$700&amp;$D$3:$D$700,0))</f>
        <v>0</v>
      </c>
      <c r="AC141">
        <f t="shared" si="20"/>
        <v>361.5386180367347</v>
      </c>
      <c r="AD141">
        <f t="shared" si="21"/>
        <v>53.777136008778655</v>
      </c>
      <c r="AE141">
        <f t="shared" si="22"/>
        <v>4.9527699265809702</v>
      </c>
      <c r="AF141">
        <f t="shared" si="23"/>
        <v>16.244435035538107</v>
      </c>
      <c r="AG141">
        <f>(S141+V141+Y141)*constants!$O$2+(R141+T141+U141+W141+X141+Z141+AA141+AB141)*constants!$N$2</f>
        <v>13.238435362606044</v>
      </c>
      <c r="AH141">
        <f>((S141+V141+Y141)-(H141+K141+N141))*constants!$O$2</f>
        <v>0.87118960334221418</v>
      </c>
      <c r="AI141">
        <f>((R141+T141+U141+W141+X141+Z141+AA141+AB141)-(G141+I141+J141+L141+M141+O141+P141+Q141))*constants!$N$2</f>
        <v>0.55966300170364969</v>
      </c>
      <c r="AJ141">
        <f t="shared" si="24"/>
        <v>10.808321118427051</v>
      </c>
      <c r="AK141">
        <f t="shared" si="25"/>
        <v>1.4308526050458639</v>
      </c>
      <c r="AL141">
        <f>COUNTIFS($B:$B,$B141,$AK:$AK,"&lt;"&amp;$AK141)+COUNTIFS($B$2:$B141,$B141,$AK$2:$AK141,$AK141)</f>
        <v>53</v>
      </c>
      <c r="AM141" s="191">
        <f>IF(AK141=0, "NA",IF(((sim_annual_output!F141/E141)/AK141)&lt;0,100,((sim_annual_output!F141/E141)/AK141)))</f>
        <v>0.10109825565914386</v>
      </c>
      <c r="AN141">
        <f>(S141+V141)*constants!$F$2+(T141+U141+W141+X141+Y141+Z141+AA141+AB141)*constants!$G$2</f>
        <v>117407.8014460751</v>
      </c>
      <c r="AO141">
        <f>(AD141*constants!$F$2+AE141*constants!$G$2)</f>
        <v>13935.017181696823</v>
      </c>
      <c r="AP141">
        <f t="shared" si="26"/>
        <v>11.868902245049803</v>
      </c>
    </row>
    <row r="142" spans="1:42">
      <c r="A142">
        <f>sim_annual_output!B142</f>
        <v>7</v>
      </c>
      <c r="B142" t="str">
        <f>sim_annual_output!C142</f>
        <v>Hangar</v>
      </c>
      <c r="C142" t="str">
        <f>sim_annual_output!D142</f>
        <v>1980-2004</v>
      </c>
      <c r="D142" t="str">
        <f>sim_annual_output!E142</f>
        <v>cooling_cop_3_0</v>
      </c>
      <c r="E142" s="45">
        <f t="array" ref="E142">IFERROR(INDEX(baseline!$J$3:$J$201,MATCH($B142&amp;$C142,baseline!$C$3:$C$201&amp;baseline!$D$3:$D$201,0)),"NA")</f>
        <v>6423</v>
      </c>
      <c r="F142">
        <f>sim_annual_output!G142</f>
        <v>6276.5798484957804</v>
      </c>
      <c r="G142">
        <f>$E142/$F142^2*sim_annual_output!I142</f>
        <v>0</v>
      </c>
      <c r="H142">
        <f>$E142/$F142^2*sim_annual_output!J142</f>
        <v>277.49958677428555</v>
      </c>
      <c r="I142">
        <f>$E142/$F142^2*sim_annual_output!K142</f>
        <v>0.27580805461666125</v>
      </c>
      <c r="J142">
        <f>$E142/$F142^2*sim_annual_output!L142</f>
        <v>0</v>
      </c>
      <c r="K142">
        <f>$E142/$F142^2*sim_annual_output!M142</f>
        <v>5.8426924673391563</v>
      </c>
      <c r="L142">
        <f>$E142/$F142^2*sim_annual_output!N142</f>
        <v>57.202771682211207</v>
      </c>
      <c r="M142">
        <f>$E142/$F142^2*sim_annual_output!O142</f>
        <v>6.3657767088535149</v>
      </c>
      <c r="N142">
        <f>$E142/$F142^2*sim_annual_output!P142</f>
        <v>0</v>
      </c>
      <c r="O142">
        <f>$E142/$F142^2*sim_annual_output!Q142</f>
        <v>7.116663005330401</v>
      </c>
      <c r="P142">
        <f>$E142/$F142^2*sim_annual_output!R142</f>
        <v>5.4178846590790117</v>
      </c>
      <c r="Q142">
        <f>$E142/$F142^2*sim_annual_output!S142</f>
        <v>0</v>
      </c>
      <c r="R142">
        <f t="array" ref="R142">INDEX(G$3:G$700,MATCH($B142&amp;$C142&amp;"baseline",$B$3:$B$700&amp;$C$3:$C$700&amp;$D$3:$D$700,0))</f>
        <v>0</v>
      </c>
      <c r="S142">
        <f t="array" ref="S142">INDEX(H$3:H$700,MATCH($B142&amp;$C142&amp;"baseline",$B$3:$B$700&amp;$C$3:$C$700&amp;$D$3:$D$700,0))</f>
        <v>279.44065955275357</v>
      </c>
      <c r="T142">
        <f t="array" ref="T142">INDEX(I$3:I$700,MATCH($B142&amp;$C142&amp;"baseline",$B$3:$B$700&amp;$C$3:$C$700&amp;$D$3:$D$700,0))</f>
        <v>0.22916071533009946</v>
      </c>
      <c r="U142">
        <f t="array" ref="U142">INDEX(J$3:J$700,MATCH($B142&amp;$C142&amp;"baseline",$B$3:$B$700&amp;$C$3:$C$700&amp;$D$3:$D$700,0))</f>
        <v>0</v>
      </c>
      <c r="V142">
        <f t="array" ref="V142">INDEX(K$3:K$700,MATCH($B142&amp;$C142&amp;"baseline",$B$3:$B$700&amp;$C$3:$C$700&amp;$D$3:$D$700,0))</f>
        <v>5.8426924673391563</v>
      </c>
      <c r="W142">
        <f t="array" ref="W142">INDEX(L$3:L$700,MATCH($B142&amp;$C142&amp;"baseline",$B$3:$B$700&amp;$C$3:$C$700&amp;$D$3:$D$700,0))</f>
        <v>57.202771682211207</v>
      </c>
      <c r="X142">
        <f t="array" ref="X142">INDEX(M$3:M$700,MATCH($B142&amp;$C142&amp;"baseline",$B$3:$B$700&amp;$C$3:$C$700&amp;$D$3:$D$700,0))</f>
        <v>6.3657767088535149</v>
      </c>
      <c r="Y142">
        <f t="array" ref="Y142">INDEX(N$3:N$700,MATCH($B142&amp;$C142&amp;"baseline",$B$3:$B$700&amp;$C$3:$C$700&amp;$D$3:$D$700,0))</f>
        <v>0</v>
      </c>
      <c r="Z142">
        <f t="array" ref="Z142">INDEX(O$3:O$700,MATCH($B142&amp;$C142&amp;"baseline",$B$3:$B$700&amp;$C$3:$C$700&amp;$D$3:$D$700,0))</f>
        <v>7.0682041188870803</v>
      </c>
      <c r="AA142">
        <f t="array" ref="AA142">INDEX(P$3:P$700,MATCH($B142&amp;$C142&amp;"baseline",$B$3:$B$700&amp;$C$3:$C$700&amp;$D$3:$D$700,0))</f>
        <v>5.3893527913600474</v>
      </c>
      <c r="AB142">
        <f t="array" ref="AB142">INDEX(Q$3:Q$700,MATCH($B142&amp;$C142&amp;"baseline",$B$3:$B$700&amp;$C$3:$C$700&amp;$D$3:$D$700,0))</f>
        <v>0</v>
      </c>
      <c r="AC142">
        <f t="shared" si="20"/>
        <v>361.5386180367347</v>
      </c>
      <c r="AD142">
        <f t="shared" si="21"/>
        <v>1.9410727784680262</v>
      </c>
      <c r="AE142">
        <f t="shared" si="22"/>
        <v>-0.12363809344883236</v>
      </c>
      <c r="AF142">
        <f t="shared" si="23"/>
        <v>0.5026944825115558</v>
      </c>
      <c r="AG142">
        <f>(S142+V142+Y142)*constants!$O$2+(R142+T142+U142+W142+X142+Z142+AA142+AB142)*constants!$N$2</f>
        <v>13.238435362606044</v>
      </c>
      <c r="AH142">
        <f>((S142+V142+Y142)-(H142+K142+N142))*constants!$O$2</f>
        <v>3.1445379011182023E-2</v>
      </c>
      <c r="AI142">
        <f>((R142+T142+U142+W142+X142+Z142+AA142+AB142)-(G142+I142+J142+L142+M142+O142+P142+Q142))*constants!$N$2</f>
        <v>-1.3971104559718058E-2</v>
      </c>
      <c r="AJ142">
        <f t="shared" si="24"/>
        <v>0.13199652355309818</v>
      </c>
      <c r="AK142">
        <f t="shared" si="25"/>
        <v>1.7474274451463965E-2</v>
      </c>
      <c r="AL142">
        <f>COUNTIFS($B:$B,$B142,$AK:$AK,"&lt;"&amp;$AK142)+COUNTIFS($B$2:$B142,$B142,$AK$2:$AK142,$AK142)</f>
        <v>14</v>
      </c>
      <c r="AM142" s="191">
        <f>IF(AK142=0, "NA",IF(((sim_annual_output!F142/E142)/AK142)&lt;0,100,((sim_annual_output!F142/E142)/AK142)))</f>
        <v>143.48933064652209</v>
      </c>
      <c r="AN142">
        <f>(S142+V142)*constants!$F$2+(T142+U142+W142+X142+Y142+Z142+AA142+AB142)*constants!$G$2</f>
        <v>117407.8014460751</v>
      </c>
      <c r="AO142">
        <f>(AD142*constants!$F$2+AE142*constants!$G$2)</f>
        <v>239.88688604529253</v>
      </c>
      <c r="AP142">
        <f t="shared" si="26"/>
        <v>0.20431937493989405</v>
      </c>
    </row>
    <row r="143" spans="1:42">
      <c r="A143">
        <f>sim_annual_output!B143</f>
        <v>7</v>
      </c>
      <c r="B143" t="str">
        <f>sim_annual_output!C143</f>
        <v>Hangar</v>
      </c>
      <c r="C143" t="str">
        <f>sim_annual_output!D143</f>
        <v>1980-2004</v>
      </c>
      <c r="D143" t="str">
        <f>sim_annual_output!E143</f>
        <v>dcv_enabled</v>
      </c>
      <c r="E143" s="45">
        <f t="array" ref="E143">IFERROR(INDEX(baseline!$J$3:$J$201,MATCH($B143&amp;$C143,baseline!$C$3:$C$201&amp;baseline!$D$3:$D$201,0)),"NA")</f>
        <v>6423</v>
      </c>
      <c r="F143">
        <f>sim_annual_output!G143</f>
        <v>6276.5798484957804</v>
      </c>
      <c r="G143">
        <f>$E143/$F143^2*sim_annual_output!I143</f>
        <v>0</v>
      </c>
      <c r="H143">
        <f>$E143/$F143^2*sim_annual_output!J143</f>
        <v>215.37891744826103</v>
      </c>
      <c r="I143">
        <f>$E143/$F143^2*sim_annual_output!K143</f>
        <v>0.48005999654131515</v>
      </c>
      <c r="J143">
        <f>$E143/$F143^2*sim_annual_output!L143</f>
        <v>0</v>
      </c>
      <c r="K143">
        <f>$E143/$F143^2*sim_annual_output!M143</f>
        <v>5.8426924673391563</v>
      </c>
      <c r="L143">
        <f>$E143/$F143^2*sim_annual_output!N143</f>
        <v>57.202771682211207</v>
      </c>
      <c r="M143">
        <f>$E143/$F143^2*sim_annual_output!O143</f>
        <v>6.3657767088535149</v>
      </c>
      <c r="N143">
        <f>$E143/$F143^2*sim_annual_output!P143</f>
        <v>0</v>
      </c>
      <c r="O143">
        <f>$E143/$F143^2*sim_annual_output!Q143</f>
        <v>7.116663005330401</v>
      </c>
      <c r="P143">
        <f>$E143/$F143^2*sim_annual_output!R143</f>
        <v>5.0628214163541143</v>
      </c>
      <c r="Q143">
        <f>$E143/$F143^2*sim_annual_output!S143</f>
        <v>0</v>
      </c>
      <c r="R143">
        <f t="array" ref="R143">INDEX(G$3:G$700,MATCH($B143&amp;$C143&amp;"baseline",$B$3:$B$700&amp;$C$3:$C$700&amp;$D$3:$D$700,0))</f>
        <v>0</v>
      </c>
      <c r="S143">
        <f t="array" ref="S143">INDEX(H$3:H$700,MATCH($B143&amp;$C143&amp;"baseline",$B$3:$B$700&amp;$C$3:$C$700&amp;$D$3:$D$700,0))</f>
        <v>279.44065955275357</v>
      </c>
      <c r="T143">
        <f t="array" ref="T143">INDEX(I$3:I$700,MATCH($B143&amp;$C143&amp;"baseline",$B$3:$B$700&amp;$C$3:$C$700&amp;$D$3:$D$700,0))</f>
        <v>0.22916071533009946</v>
      </c>
      <c r="U143">
        <f t="array" ref="U143">INDEX(J$3:J$700,MATCH($B143&amp;$C143&amp;"baseline",$B$3:$B$700&amp;$C$3:$C$700&amp;$D$3:$D$700,0))</f>
        <v>0</v>
      </c>
      <c r="V143">
        <f t="array" ref="V143">INDEX(K$3:K$700,MATCH($B143&amp;$C143&amp;"baseline",$B$3:$B$700&amp;$C$3:$C$700&amp;$D$3:$D$700,0))</f>
        <v>5.8426924673391563</v>
      </c>
      <c r="W143">
        <f t="array" ref="W143">INDEX(L$3:L$700,MATCH($B143&amp;$C143&amp;"baseline",$B$3:$B$700&amp;$C$3:$C$700&amp;$D$3:$D$700,0))</f>
        <v>57.202771682211207</v>
      </c>
      <c r="X143">
        <f t="array" ref="X143">INDEX(M$3:M$700,MATCH($B143&amp;$C143&amp;"baseline",$B$3:$B$700&amp;$C$3:$C$700&amp;$D$3:$D$700,0))</f>
        <v>6.3657767088535149</v>
      </c>
      <c r="Y143">
        <f t="array" ref="Y143">INDEX(N$3:N$700,MATCH($B143&amp;$C143&amp;"baseline",$B$3:$B$700&amp;$C$3:$C$700&amp;$D$3:$D$700,0))</f>
        <v>0</v>
      </c>
      <c r="Z143">
        <f t="array" ref="Z143">INDEX(O$3:O$700,MATCH($B143&amp;$C143&amp;"baseline",$B$3:$B$700&amp;$C$3:$C$700&amp;$D$3:$D$700,0))</f>
        <v>7.0682041188870803</v>
      </c>
      <c r="AA143">
        <f t="array" ref="AA143">INDEX(P$3:P$700,MATCH($B143&amp;$C143&amp;"baseline",$B$3:$B$700&amp;$C$3:$C$700&amp;$D$3:$D$700,0))</f>
        <v>5.3893527913600474</v>
      </c>
      <c r="AB143">
        <f t="array" ref="AB143">INDEX(Q$3:Q$700,MATCH($B143&amp;$C143&amp;"baseline",$B$3:$B$700&amp;$C$3:$C$700&amp;$D$3:$D$700,0))</f>
        <v>0</v>
      </c>
      <c r="AC143">
        <f t="shared" si="20"/>
        <v>361.5386180367347</v>
      </c>
      <c r="AD143">
        <f t="shared" si="21"/>
        <v>64.061742104492509</v>
      </c>
      <c r="AE143">
        <f t="shared" si="22"/>
        <v>2.7173207351410156E-2</v>
      </c>
      <c r="AF143">
        <f t="shared" si="23"/>
        <v>17.72671358314814</v>
      </c>
      <c r="AG143">
        <f>(S143+V143+Y143)*constants!$O$2+(R143+T143+U143+W143+X143+Z143+AA143+AB143)*constants!$N$2</f>
        <v>13.238435362606044</v>
      </c>
      <c r="AH143">
        <f>((S143+V143+Y143)-(H143+K143+N143))*constants!$O$2</f>
        <v>1.0378002220927787</v>
      </c>
      <c r="AI143">
        <f>((R143+T143+U143+W143+X143+Z143+AA143+AB143)-(G143+I143+J143+L143+M143+O143+P143+Q143))*constants!$N$2</f>
        <v>3.0705724307093477E-3</v>
      </c>
      <c r="AJ143">
        <f t="shared" si="24"/>
        <v>7.8624910422842307</v>
      </c>
      <c r="AK143">
        <f t="shared" si="25"/>
        <v>1.0408707945234881</v>
      </c>
      <c r="AL143">
        <f>COUNTIFS($B:$B,$B143,$AK:$AK,"&lt;"&amp;$AK143)+COUNTIFS($B$2:$B143,$B143,$AK$2:$AK143,$AK143)</f>
        <v>47</v>
      </c>
      <c r="AM143" s="191">
        <f>IF(AK143=0, "NA",IF(((sim_annual_output!F143/E143)/AK143)&lt;0,100,((sim_annual_output!F143/E143)/AK143)))</f>
        <v>9.5829577947086033</v>
      </c>
      <c r="AN143">
        <f>(S143+V143)*constants!$F$2+(T143+U143+W143+X143+Y143+Z143+AA143+AB143)*constants!$G$2</f>
        <v>117407.8014460751</v>
      </c>
      <c r="AO143">
        <f>(AD143*constants!$F$2+AE143*constants!$G$2)</f>
        <v>11490.692527099885</v>
      </c>
      <c r="AP143">
        <f t="shared" si="26"/>
        <v>9.7869923340464826</v>
      </c>
    </row>
    <row r="144" spans="1:42">
      <c r="A144">
        <f>sim_annual_output!B144</f>
        <v>7</v>
      </c>
      <c r="B144" t="str">
        <f>sim_annual_output!C144</f>
        <v>Hangar</v>
      </c>
      <c r="C144" t="str">
        <f>sim_annual_output!D144</f>
        <v>1980-2004</v>
      </c>
      <c r="D144" t="str">
        <f>sim_annual_output!E144</f>
        <v>ecm_cold_deck_reset_control</v>
      </c>
      <c r="E144" s="45">
        <f t="array" ref="E144">IFERROR(INDEX(baseline!$J$3:$J$201,MATCH($B144&amp;$C144,baseline!$C$3:$C$201&amp;baseline!$D$3:$D$201,0)),"NA")</f>
        <v>6423</v>
      </c>
      <c r="F144">
        <f>sim_annual_output!G144</f>
        <v>6276.5798484957804</v>
      </c>
      <c r="G144">
        <f>$E144/$F144^2*sim_annual_output!I144</f>
        <v>0</v>
      </c>
      <c r="H144">
        <f>$E144/$F144^2*sim_annual_output!J144</f>
        <v>270.11798499727905</v>
      </c>
      <c r="I144">
        <f>$E144/$F144^2*sim_annual_output!K144</f>
        <v>1.384927801342775</v>
      </c>
      <c r="J144">
        <f>$E144/$F144^2*sim_annual_output!L144</f>
        <v>0</v>
      </c>
      <c r="K144">
        <f>$E144/$F144^2*sim_annual_output!M144</f>
        <v>5.8426924673391563</v>
      </c>
      <c r="L144">
        <f>$E144/$F144^2*sim_annual_output!N144</f>
        <v>57.202771682211207</v>
      </c>
      <c r="M144">
        <f>$E144/$F144^2*sim_annual_output!O144</f>
        <v>6.3657767088535149</v>
      </c>
      <c r="N144">
        <f>$E144/$F144^2*sim_annual_output!P144</f>
        <v>0</v>
      </c>
      <c r="O144">
        <f>$E144/$F144^2*sim_annual_output!Q144</f>
        <v>7.116663005330401</v>
      </c>
      <c r="P144">
        <f>$E144/$F144^2*sim_annual_output!R144</f>
        <v>5.4713253002034232</v>
      </c>
      <c r="Q144">
        <f>$E144/$F144^2*sim_annual_output!S144</f>
        <v>0</v>
      </c>
      <c r="R144">
        <f t="array" ref="R144">INDEX(G$3:G$700,MATCH($B144&amp;$C144&amp;"baseline",$B$3:$B$700&amp;$C$3:$C$700&amp;$D$3:$D$700,0))</f>
        <v>0</v>
      </c>
      <c r="S144">
        <f t="array" ref="S144">INDEX(H$3:H$700,MATCH($B144&amp;$C144&amp;"baseline",$B$3:$B$700&amp;$C$3:$C$700&amp;$D$3:$D$700,0))</f>
        <v>279.44065955275357</v>
      </c>
      <c r="T144">
        <f t="array" ref="T144">INDEX(I$3:I$700,MATCH($B144&amp;$C144&amp;"baseline",$B$3:$B$700&amp;$C$3:$C$700&amp;$D$3:$D$700,0))</f>
        <v>0.22916071533009946</v>
      </c>
      <c r="U144">
        <f t="array" ref="U144">INDEX(J$3:J$700,MATCH($B144&amp;$C144&amp;"baseline",$B$3:$B$700&amp;$C$3:$C$700&amp;$D$3:$D$700,0))</f>
        <v>0</v>
      </c>
      <c r="V144">
        <f t="array" ref="V144">INDEX(K$3:K$700,MATCH($B144&amp;$C144&amp;"baseline",$B$3:$B$700&amp;$C$3:$C$700&amp;$D$3:$D$700,0))</f>
        <v>5.8426924673391563</v>
      </c>
      <c r="W144">
        <f t="array" ref="W144">INDEX(L$3:L$700,MATCH($B144&amp;$C144&amp;"baseline",$B$3:$B$700&amp;$C$3:$C$700&amp;$D$3:$D$700,0))</f>
        <v>57.202771682211207</v>
      </c>
      <c r="X144">
        <f t="array" ref="X144">INDEX(M$3:M$700,MATCH($B144&amp;$C144&amp;"baseline",$B$3:$B$700&amp;$C$3:$C$700&amp;$D$3:$D$700,0))</f>
        <v>6.3657767088535149</v>
      </c>
      <c r="Y144">
        <f t="array" ref="Y144">INDEX(N$3:N$700,MATCH($B144&amp;$C144&amp;"baseline",$B$3:$B$700&amp;$C$3:$C$700&amp;$D$3:$D$700,0))</f>
        <v>0</v>
      </c>
      <c r="Z144">
        <f t="array" ref="Z144">INDEX(O$3:O$700,MATCH($B144&amp;$C144&amp;"baseline",$B$3:$B$700&amp;$C$3:$C$700&amp;$D$3:$D$700,0))</f>
        <v>7.0682041188870803</v>
      </c>
      <c r="AA144">
        <f t="array" ref="AA144">INDEX(P$3:P$700,MATCH($B144&amp;$C144&amp;"baseline",$B$3:$B$700&amp;$C$3:$C$700&amp;$D$3:$D$700,0))</f>
        <v>5.3893527913600474</v>
      </c>
      <c r="AB144">
        <f t="array" ref="AB144">INDEX(Q$3:Q$700,MATCH($B144&amp;$C144&amp;"baseline",$B$3:$B$700&amp;$C$3:$C$700&amp;$D$3:$D$700,0))</f>
        <v>0</v>
      </c>
      <c r="AC144">
        <f t="shared" si="20"/>
        <v>361.5386180367347</v>
      </c>
      <c r="AD144">
        <f t="shared" si="21"/>
        <v>9.3226745554745207</v>
      </c>
      <c r="AE144">
        <f t="shared" si="22"/>
        <v>-1.2861984812993512</v>
      </c>
      <c r="AF144">
        <f t="shared" si="23"/>
        <v>2.2228541221448741</v>
      </c>
      <c r="AG144">
        <f>(S144+V144+Y144)*constants!$O$2+(R144+T144+U144+W144+X144+Z144+AA144+AB144)*constants!$N$2</f>
        <v>13.238435362606044</v>
      </c>
      <c r="AH144">
        <f>((S144+V144+Y144)-(H144+K144+N144))*constants!$O$2</f>
        <v>0.15102732779868722</v>
      </c>
      <c r="AI144">
        <f>((R144+T144+U144+W144+X144+Z144+AA144+AB144)-(G144+I144+J144+L144+M144+O144+P144+Q144))*constants!$N$2</f>
        <v>-0.1453404283868267</v>
      </c>
      <c r="AJ144">
        <f t="shared" si="24"/>
        <v>4.2957488978826133E-2</v>
      </c>
      <c r="AK144">
        <f t="shared" si="25"/>
        <v>5.6868994118605132E-3</v>
      </c>
      <c r="AL144">
        <f>COUNTIFS($B:$B,$B144,$AK:$AK,"&lt;"&amp;$AK144)+COUNTIFS($B$2:$B144,$B144,$AK$2:$AK144,$AK144)</f>
        <v>9</v>
      </c>
      <c r="AM144" s="191">
        <f>IF(AK144=0, "NA",IF(((sim_annual_output!F144/E144)/AK144)&lt;0,100,((sim_annual_output!F144/E144)/AK144)))</f>
        <v>192.5164584604195</v>
      </c>
      <c r="AN144">
        <f>(S144+V144)*constants!$F$2+(T144+U144+W144+X144+Y144+Z144+AA144+AB144)*constants!$G$2</f>
        <v>117407.8014460751</v>
      </c>
      <c r="AO144">
        <f>(AD144*constants!$F$2+AE144*constants!$G$2)</f>
        <v>549.76606669950365</v>
      </c>
      <c r="AP144">
        <f t="shared" si="26"/>
        <v>0.46825343795574681</v>
      </c>
    </row>
    <row r="145" spans="1:42">
      <c r="A145">
        <f>sim_annual_output!B145</f>
        <v>7</v>
      </c>
      <c r="B145" t="str">
        <f>sim_annual_output!C145</f>
        <v>Hangar</v>
      </c>
      <c r="C145" t="str">
        <f>sim_annual_output!D145</f>
        <v>1980-2004</v>
      </c>
      <c r="D145" t="str">
        <f>sim_annual_output!E145</f>
        <v>economizers_enabled</v>
      </c>
      <c r="E145" s="45">
        <f t="array" ref="E145">IFERROR(INDEX(baseline!$J$3:$J$201,MATCH($B145&amp;$C145,baseline!$C$3:$C$201&amp;baseline!$D$3:$D$201,0)),"NA")</f>
        <v>6423</v>
      </c>
      <c r="F145">
        <f>sim_annual_output!G145</f>
        <v>6276.5798484957804</v>
      </c>
      <c r="G145">
        <f>$E145/$F145^2*sim_annual_output!I145</f>
        <v>0</v>
      </c>
      <c r="H145">
        <f>$E145/$F145^2*sim_annual_output!J145</f>
        <v>277.50773873649098</v>
      </c>
      <c r="I145">
        <f>$E145/$F145^2*sim_annual_output!K145</f>
        <v>0.30615146949238586</v>
      </c>
      <c r="J145">
        <f>$E145/$F145^2*sim_annual_output!L145</f>
        <v>0</v>
      </c>
      <c r="K145">
        <f>$E145/$F145^2*sim_annual_output!M145</f>
        <v>5.8426924673391563</v>
      </c>
      <c r="L145">
        <f>$E145/$F145^2*sim_annual_output!N145</f>
        <v>57.202771682211207</v>
      </c>
      <c r="M145">
        <f>$E145/$F145^2*sim_annual_output!O145</f>
        <v>6.3657767088535149</v>
      </c>
      <c r="N145">
        <f>$E145/$F145^2*sim_annual_output!P145</f>
        <v>0</v>
      </c>
      <c r="O145">
        <f>$E145/$F145^2*sim_annual_output!Q145</f>
        <v>7.116663005330401</v>
      </c>
      <c r="P145">
        <f>$E145/$F145^2*sim_annual_output!R145</f>
        <v>5.4156202251330621</v>
      </c>
      <c r="Q145">
        <f>$E145/$F145^2*sim_annual_output!S145</f>
        <v>0</v>
      </c>
      <c r="R145">
        <f t="array" ref="R145">INDEX(G$3:G$700,MATCH($B145&amp;$C145&amp;"baseline",$B$3:$B$700&amp;$C$3:$C$700&amp;$D$3:$D$700,0))</f>
        <v>0</v>
      </c>
      <c r="S145">
        <f t="array" ref="S145">INDEX(H$3:H$700,MATCH($B145&amp;$C145&amp;"baseline",$B$3:$B$700&amp;$C$3:$C$700&amp;$D$3:$D$700,0))</f>
        <v>279.44065955275357</v>
      </c>
      <c r="T145">
        <f t="array" ref="T145">INDEX(I$3:I$700,MATCH($B145&amp;$C145&amp;"baseline",$B$3:$B$700&amp;$C$3:$C$700&amp;$D$3:$D$700,0))</f>
        <v>0.22916071533009946</v>
      </c>
      <c r="U145">
        <f t="array" ref="U145">INDEX(J$3:J$700,MATCH($B145&amp;$C145&amp;"baseline",$B$3:$B$700&amp;$C$3:$C$700&amp;$D$3:$D$700,0))</f>
        <v>0</v>
      </c>
      <c r="V145">
        <f t="array" ref="V145">INDEX(K$3:K$700,MATCH($B145&amp;$C145&amp;"baseline",$B$3:$B$700&amp;$C$3:$C$700&amp;$D$3:$D$700,0))</f>
        <v>5.8426924673391563</v>
      </c>
      <c r="W145">
        <f t="array" ref="W145">INDEX(L$3:L$700,MATCH($B145&amp;$C145&amp;"baseline",$B$3:$B$700&amp;$C$3:$C$700&amp;$D$3:$D$700,0))</f>
        <v>57.202771682211207</v>
      </c>
      <c r="X145">
        <f t="array" ref="X145">INDEX(M$3:M$700,MATCH($B145&amp;$C145&amp;"baseline",$B$3:$B$700&amp;$C$3:$C$700&amp;$D$3:$D$700,0))</f>
        <v>6.3657767088535149</v>
      </c>
      <c r="Y145">
        <f t="array" ref="Y145">INDEX(N$3:N$700,MATCH($B145&amp;$C145&amp;"baseline",$B$3:$B$700&amp;$C$3:$C$700&amp;$D$3:$D$700,0))</f>
        <v>0</v>
      </c>
      <c r="Z145">
        <f t="array" ref="Z145">INDEX(O$3:O$700,MATCH($B145&amp;$C145&amp;"baseline",$B$3:$B$700&amp;$C$3:$C$700&amp;$D$3:$D$700,0))</f>
        <v>7.0682041188870803</v>
      </c>
      <c r="AA145">
        <f t="array" ref="AA145">INDEX(P$3:P$700,MATCH($B145&amp;$C145&amp;"baseline",$B$3:$B$700&amp;$C$3:$C$700&amp;$D$3:$D$700,0))</f>
        <v>5.3893527913600474</v>
      </c>
      <c r="AB145">
        <f t="array" ref="AB145">INDEX(Q$3:Q$700,MATCH($B145&amp;$C145&amp;"baseline",$B$3:$B$700&amp;$C$3:$C$700&amp;$D$3:$D$700,0))</f>
        <v>0</v>
      </c>
      <c r="AC145">
        <f t="shared" si="20"/>
        <v>361.5386180367347</v>
      </c>
      <c r="AD145">
        <f t="shared" si="21"/>
        <v>1.9329208162625946</v>
      </c>
      <c r="AE145">
        <f t="shared" si="22"/>
        <v>-0.15171707437862381</v>
      </c>
      <c r="AF145">
        <f t="shared" si="23"/>
        <v>0.49267316215248369</v>
      </c>
      <c r="AG145">
        <f>(S145+V145+Y145)*constants!$O$2+(R145+T145+U145+W145+X145+Z145+AA145+AB145)*constants!$N$2</f>
        <v>13.238435362606044</v>
      </c>
      <c r="AH145">
        <f>((S145+V145+Y145)-(H145+K145+N145))*constants!$O$2</f>
        <v>3.1313317223454033E-2</v>
      </c>
      <c r="AI145">
        <f>((R145+T145+U145+W145+X145+Z145+AA145+AB145)-(G145+I145+J145+L145+M145+O145+P145+Q145))*constants!$N$2</f>
        <v>-1.7144029404784492E-2</v>
      </c>
      <c r="AJ145">
        <f t="shared" si="24"/>
        <v>0.1070314386146631</v>
      </c>
      <c r="AK145">
        <f t="shared" si="25"/>
        <v>1.4169287818669541E-2</v>
      </c>
      <c r="AL145">
        <f>COUNTIFS($B:$B,$B145,$AK:$AK,"&lt;"&amp;$AK145)+COUNTIFS($B$2:$B145,$B145,$AK$2:$AK145,$AK145)</f>
        <v>13</v>
      </c>
      <c r="AM145" s="191">
        <f>IF(AK145=0, "NA",IF(((sim_annual_output!F145/E145)/AK145)&lt;0,100,((sim_annual_output!F145/E145)/AK145)))</f>
        <v>30.189979743235238</v>
      </c>
      <c r="AN145">
        <f>(S145+V145)*constants!$F$2+(T145+U145+W145+X145+Y145+Z145+AA145+AB145)*constants!$G$2</f>
        <v>117407.8014460751</v>
      </c>
      <c r="AO145">
        <f>(AD145*constants!$F$2+AE145*constants!$G$2)</f>
        <v>213.99897140160172</v>
      </c>
      <c r="AP145">
        <f t="shared" si="26"/>
        <v>0.18226980555452316</v>
      </c>
    </row>
    <row r="146" spans="1:42">
      <c r="A146">
        <f>sim_annual_output!B146</f>
        <v>7</v>
      </c>
      <c r="B146" t="str">
        <f>sim_annual_output!C146</f>
        <v>Hangar</v>
      </c>
      <c r="C146" t="str">
        <f>sim_annual_output!D146</f>
        <v>1980-2004</v>
      </c>
      <c r="D146" t="str">
        <f>sim_annual_output!E146</f>
        <v>elec_reduce</v>
      </c>
      <c r="E146" s="45">
        <f t="array" ref="E146">IFERROR(INDEX(baseline!$J$3:$J$201,MATCH($B146&amp;$C146,baseline!$C$3:$C$201&amp;baseline!$D$3:$D$201,0)),"NA")</f>
        <v>6423</v>
      </c>
      <c r="F146">
        <f>sim_annual_output!G146</f>
        <v>6276.5798484957804</v>
      </c>
      <c r="G146">
        <f>$E146/$F146^2*sim_annual_output!I146</f>
        <v>0</v>
      </c>
      <c r="H146">
        <f>$E146/$F146^2*sim_annual_output!J146</f>
        <v>230.54926622575576</v>
      </c>
      <c r="I146">
        <f>$E146/$F146^2*sim_annual_output!K146</f>
        <v>0.254522375524735</v>
      </c>
      <c r="J146">
        <f>$E146/$F146^2*sim_annual_output!L146</f>
        <v>0</v>
      </c>
      <c r="K146">
        <f>$E146/$F146^2*sim_annual_output!M146</f>
        <v>5.8426924673391563</v>
      </c>
      <c r="L146">
        <f>$E146/$F146^2*sim_annual_output!N146</f>
        <v>40.04198546622677</v>
      </c>
      <c r="M146">
        <f>$E146/$F146^2*sim_annual_output!O146</f>
        <v>6.3657767088535149</v>
      </c>
      <c r="N146">
        <f>$E146/$F146^2*sim_annual_output!P146</f>
        <v>0</v>
      </c>
      <c r="O146">
        <f>$E146/$F146^2*sim_annual_output!Q146</f>
        <v>6.2783695585398593</v>
      </c>
      <c r="P146">
        <f>$E146/$F146^2*sim_annual_output!R146</f>
        <v>4.1054187440066245</v>
      </c>
      <c r="Q146">
        <f>$E146/$F146^2*sim_annual_output!S146</f>
        <v>0</v>
      </c>
      <c r="R146">
        <f t="array" ref="R146">INDEX(G$3:G$700,MATCH($B146&amp;$C146&amp;"baseline",$B$3:$B$700&amp;$C$3:$C$700&amp;$D$3:$D$700,0))</f>
        <v>0</v>
      </c>
      <c r="S146">
        <f t="array" ref="S146">INDEX(H$3:H$700,MATCH($B146&amp;$C146&amp;"baseline",$B$3:$B$700&amp;$C$3:$C$700&amp;$D$3:$D$700,0))</f>
        <v>279.44065955275357</v>
      </c>
      <c r="T146">
        <f t="array" ref="T146">INDEX(I$3:I$700,MATCH($B146&amp;$C146&amp;"baseline",$B$3:$B$700&amp;$C$3:$C$700&amp;$D$3:$D$700,0))</f>
        <v>0.22916071533009946</v>
      </c>
      <c r="U146">
        <f t="array" ref="U146">INDEX(J$3:J$700,MATCH($B146&amp;$C146&amp;"baseline",$B$3:$B$700&amp;$C$3:$C$700&amp;$D$3:$D$700,0))</f>
        <v>0</v>
      </c>
      <c r="V146">
        <f t="array" ref="V146">INDEX(K$3:K$700,MATCH($B146&amp;$C146&amp;"baseline",$B$3:$B$700&amp;$C$3:$C$700&amp;$D$3:$D$700,0))</f>
        <v>5.8426924673391563</v>
      </c>
      <c r="W146">
        <f t="array" ref="W146">INDEX(L$3:L$700,MATCH($B146&amp;$C146&amp;"baseline",$B$3:$B$700&amp;$C$3:$C$700&amp;$D$3:$D$700,0))</f>
        <v>57.202771682211207</v>
      </c>
      <c r="X146">
        <f t="array" ref="X146">INDEX(M$3:M$700,MATCH($B146&amp;$C146&amp;"baseline",$B$3:$B$700&amp;$C$3:$C$700&amp;$D$3:$D$700,0))</f>
        <v>6.3657767088535149</v>
      </c>
      <c r="Y146">
        <f t="array" ref="Y146">INDEX(N$3:N$700,MATCH($B146&amp;$C146&amp;"baseline",$B$3:$B$700&amp;$C$3:$C$700&amp;$D$3:$D$700,0))</f>
        <v>0</v>
      </c>
      <c r="Z146">
        <f t="array" ref="Z146">INDEX(O$3:O$700,MATCH($B146&amp;$C146&amp;"baseline",$B$3:$B$700&amp;$C$3:$C$700&amp;$D$3:$D$700,0))</f>
        <v>7.0682041188870803</v>
      </c>
      <c r="AA146">
        <f t="array" ref="AA146">INDEX(P$3:P$700,MATCH($B146&amp;$C146&amp;"baseline",$B$3:$B$700&amp;$C$3:$C$700&amp;$D$3:$D$700,0))</f>
        <v>5.3893527913600474</v>
      </c>
      <c r="AB146">
        <f t="array" ref="AB146">INDEX(Q$3:Q$700,MATCH($B146&amp;$C146&amp;"baseline",$B$3:$B$700&amp;$C$3:$C$700&amp;$D$3:$D$700,0))</f>
        <v>0</v>
      </c>
      <c r="AC146">
        <f t="shared" si="20"/>
        <v>361.5386180367347</v>
      </c>
      <c r="AD146">
        <f t="shared" si="21"/>
        <v>48.891393326997786</v>
      </c>
      <c r="AE146">
        <f t="shared" si="22"/>
        <v>19.209193163490447</v>
      </c>
      <c r="AF146">
        <f t="shared" si="23"/>
        <v>18.83632427990549</v>
      </c>
      <c r="AG146">
        <f>(S146+V146+Y146)*constants!$O$2+(R146+T146+U146+W146+X146+Z146+AA146+AB146)*constants!$N$2</f>
        <v>13.238435362606044</v>
      </c>
      <c r="AH146">
        <f>((S146+V146+Y146)-(H146+K146+N146))*constants!$O$2</f>
        <v>0.7920405718973641</v>
      </c>
      <c r="AI146">
        <f>((R146+T146+U146+W146+X146+Z146+AA146+AB146)-(G146+I146+J146+L146+M146+O146+P146+Q146))*constants!$N$2</f>
        <v>2.1706388274744204</v>
      </c>
      <c r="AJ146">
        <f t="shared" si="24"/>
        <v>22.379377307233142</v>
      </c>
      <c r="AK146">
        <f t="shared" si="25"/>
        <v>2.9626793993717846</v>
      </c>
      <c r="AL146">
        <f>COUNTIFS($B:$B,$B146,$AK:$AK,"&lt;"&amp;$AK146)+COUNTIFS($B$2:$B146,$B146,$AK$2:$AK146,$AK146)</f>
        <v>61</v>
      </c>
      <c r="AM146" s="191">
        <f>IF(AK146=0, "NA",IF(((sim_annual_output!F146/E146)/AK146)&lt;0,100,((sim_annual_output!F146/E146)/AK146)))</f>
        <v>11.845561373040097</v>
      </c>
      <c r="AN146">
        <f>(S146+V146)*constants!$F$2+(T146+U146+W146+X146+Y146+Z146+AA146+AB146)*constants!$G$2</f>
        <v>117407.8014460751</v>
      </c>
      <c r="AO146">
        <f>(AD146*constants!$F$2+AE146*constants!$G$2)</f>
        <v>25463.557457769293</v>
      </c>
      <c r="AP146">
        <f t="shared" si="26"/>
        <v>21.688130723974584</v>
      </c>
    </row>
    <row r="147" spans="1:42">
      <c r="A147">
        <f>sim_annual_output!B147</f>
        <v>7</v>
      </c>
      <c r="B147" t="str">
        <f>sim_annual_output!C147</f>
        <v>Hangar</v>
      </c>
      <c r="C147" t="str">
        <f>sim_annual_output!D147</f>
        <v>1980-2004</v>
      </c>
      <c r="D147" t="str">
        <f>sim_annual_output!E147</f>
        <v>envelope_ecm_roof</v>
      </c>
      <c r="E147" s="45">
        <f t="array" ref="E147">IFERROR(INDEX(baseline!$J$3:$J$201,MATCH($B147&amp;$C147,baseline!$C$3:$C$201&amp;baseline!$D$3:$D$201,0)),"NA")</f>
        <v>6423</v>
      </c>
      <c r="F147">
        <f>sim_annual_output!G147</f>
        <v>6276.5798484957804</v>
      </c>
      <c r="G147">
        <f>$E147/$F147^2*sim_annual_output!I147</f>
        <v>0</v>
      </c>
      <c r="H147">
        <f>$E147/$F147^2*sim_annual_output!J147</f>
        <v>259.52451011133763</v>
      </c>
      <c r="I147">
        <f>$E147/$F147^2*sim_annual_output!K147</f>
        <v>0.2984523940761572</v>
      </c>
      <c r="J147">
        <f>$E147/$F147^2*sim_annual_output!L147</f>
        <v>0</v>
      </c>
      <c r="K147">
        <f>$E147/$F147^2*sim_annual_output!M147</f>
        <v>5.8426924673391563</v>
      </c>
      <c r="L147">
        <f>$E147/$F147^2*sim_annual_output!N147</f>
        <v>57.202771682211207</v>
      </c>
      <c r="M147">
        <f>$E147/$F147^2*sim_annual_output!O147</f>
        <v>6.3657767088535149</v>
      </c>
      <c r="N147">
        <f>$E147/$F147^2*sim_annual_output!P147</f>
        <v>0</v>
      </c>
      <c r="O147">
        <f>$E147/$F147^2*sim_annual_output!Q147</f>
        <v>6.8028124604217872</v>
      </c>
      <c r="P147">
        <f>$E147/$F147^2*sim_annual_output!R147</f>
        <v>5.1004110198568773</v>
      </c>
      <c r="Q147">
        <f>$E147/$F147^2*sim_annual_output!S147</f>
        <v>0</v>
      </c>
      <c r="R147">
        <f t="array" ref="R147">INDEX(G$3:G$700,MATCH($B147&amp;$C147&amp;"baseline",$B$3:$B$700&amp;$C$3:$C$700&amp;$D$3:$D$700,0))</f>
        <v>0</v>
      </c>
      <c r="S147">
        <f t="array" ref="S147">INDEX(H$3:H$700,MATCH($B147&amp;$C147&amp;"baseline",$B$3:$B$700&amp;$C$3:$C$700&amp;$D$3:$D$700,0))</f>
        <v>279.44065955275357</v>
      </c>
      <c r="T147">
        <f t="array" ref="T147">INDEX(I$3:I$700,MATCH($B147&amp;$C147&amp;"baseline",$B$3:$B$700&amp;$C$3:$C$700&amp;$D$3:$D$700,0))</f>
        <v>0.22916071533009946</v>
      </c>
      <c r="U147">
        <f t="array" ref="U147">INDEX(J$3:J$700,MATCH($B147&amp;$C147&amp;"baseline",$B$3:$B$700&amp;$C$3:$C$700&amp;$D$3:$D$700,0))</f>
        <v>0</v>
      </c>
      <c r="V147">
        <f t="array" ref="V147">INDEX(K$3:K$700,MATCH($B147&amp;$C147&amp;"baseline",$B$3:$B$700&amp;$C$3:$C$700&amp;$D$3:$D$700,0))</f>
        <v>5.8426924673391563</v>
      </c>
      <c r="W147">
        <f t="array" ref="W147">INDEX(L$3:L$700,MATCH($B147&amp;$C147&amp;"baseline",$B$3:$B$700&amp;$C$3:$C$700&amp;$D$3:$D$700,0))</f>
        <v>57.202771682211207</v>
      </c>
      <c r="X147">
        <f t="array" ref="X147">INDEX(M$3:M$700,MATCH($B147&amp;$C147&amp;"baseline",$B$3:$B$700&amp;$C$3:$C$700&amp;$D$3:$D$700,0))</f>
        <v>6.3657767088535149</v>
      </c>
      <c r="Y147">
        <f t="array" ref="Y147">INDEX(N$3:N$700,MATCH($B147&amp;$C147&amp;"baseline",$B$3:$B$700&amp;$C$3:$C$700&amp;$D$3:$D$700,0))</f>
        <v>0</v>
      </c>
      <c r="Z147">
        <f t="array" ref="Z147">INDEX(O$3:O$700,MATCH($B147&amp;$C147&amp;"baseline",$B$3:$B$700&amp;$C$3:$C$700&amp;$D$3:$D$700,0))</f>
        <v>7.0682041188870803</v>
      </c>
      <c r="AA147">
        <f t="array" ref="AA147">INDEX(P$3:P$700,MATCH($B147&amp;$C147&amp;"baseline",$B$3:$B$700&amp;$C$3:$C$700&amp;$D$3:$D$700,0))</f>
        <v>5.3893527913600474</v>
      </c>
      <c r="AB147">
        <f t="array" ref="AB147">INDEX(Q$3:Q$700,MATCH($B147&amp;$C147&amp;"baseline",$B$3:$B$700&amp;$C$3:$C$700&amp;$D$3:$D$700,0))</f>
        <v>0</v>
      </c>
      <c r="AC147">
        <f t="shared" si="20"/>
        <v>361.5386180367347</v>
      </c>
      <c r="AD147">
        <f t="shared" si="21"/>
        <v>19.916149441415939</v>
      </c>
      <c r="AE147">
        <f t="shared" si="22"/>
        <v>0.48504175122241122</v>
      </c>
      <c r="AF147">
        <f t="shared" si="23"/>
        <v>5.6428802276844063</v>
      </c>
      <c r="AG147">
        <f>(S147+V147+Y147)*constants!$O$2+(R147+T147+U147+W147+X147+Z147+AA147+AB147)*constants!$N$2</f>
        <v>13.238435362606044</v>
      </c>
      <c r="AH147">
        <f>((S147+V147+Y147)-(H147+K147+N147))*constants!$O$2</f>
        <v>0.32264162095093818</v>
      </c>
      <c r="AI147">
        <f>((R147+T147+U147+W147+X147+Z147+AA147+AB147)-(G147+I147+J147+L147+M147+O147+P147+Q147))*constants!$N$2</f>
        <v>5.4809717888132471E-2</v>
      </c>
      <c r="AJ147">
        <f t="shared" si="24"/>
        <v>2.8511778658166724</v>
      </c>
      <c r="AK147">
        <f t="shared" si="25"/>
        <v>0.37745133883907067</v>
      </c>
      <c r="AL147">
        <f>COUNTIFS($B:$B,$B147,$AK:$AK,"&lt;"&amp;$AK147)+COUNTIFS($B$2:$B147,$B147,$AK$2:$AK147,$AK147)</f>
        <v>39</v>
      </c>
      <c r="AM147" s="191">
        <f>IF(AK147=0, "NA",IF(((sim_annual_output!F147/E147)/AK147)&lt;0,100,((sim_annual_output!F147/E147)/AK147)))</f>
        <v>460.54804065411207</v>
      </c>
      <c r="AN147">
        <f>(S147+V147)*constants!$F$2+(T147+U147+W147+X147+Y147+Z147+AA147+AB147)*constants!$G$2</f>
        <v>117407.8014460751</v>
      </c>
      <c r="AO147">
        <f>(AD147*constants!$F$2+AE147*constants!$G$2)</f>
        <v>3986.9770735769507</v>
      </c>
      <c r="AP147">
        <f t="shared" si="26"/>
        <v>3.3958365836602029</v>
      </c>
    </row>
    <row r="148" spans="1:42">
      <c r="A148">
        <f>sim_annual_output!B148</f>
        <v>7</v>
      </c>
      <c r="B148" t="str">
        <f>sim_annual_output!C148</f>
        <v>Hangar</v>
      </c>
      <c r="C148" t="str">
        <f>sim_annual_output!D148</f>
        <v>1980-2004</v>
      </c>
      <c r="D148" t="str">
        <f>sim_annual_output!E148</f>
        <v>envelope_ecm_wall</v>
      </c>
      <c r="E148" s="45">
        <f t="array" ref="E148">IFERROR(INDEX(baseline!$J$3:$J$201,MATCH($B148&amp;$C148,baseline!$C$3:$C$201&amp;baseline!$D$3:$D$201,0)),"NA")</f>
        <v>6423</v>
      </c>
      <c r="F148">
        <f>sim_annual_output!G148</f>
        <v>6276.5798484957804</v>
      </c>
      <c r="G148">
        <f>$E148/$F148^2*sim_annual_output!I148</f>
        <v>0</v>
      </c>
      <c r="H148">
        <f>$E148/$F148^2*sim_annual_output!J148</f>
        <v>272.29048292502307</v>
      </c>
      <c r="I148">
        <f>$E148/$F148^2*sim_annual_output!K148</f>
        <v>0.31475631848699431</v>
      </c>
      <c r="J148">
        <f>$E148/$F148^2*sim_annual_output!L148</f>
        <v>0</v>
      </c>
      <c r="K148">
        <f>$E148/$F148^2*sim_annual_output!M148</f>
        <v>5.8426924673391563</v>
      </c>
      <c r="L148">
        <f>$E148/$F148^2*sim_annual_output!N148</f>
        <v>57.202771682211207</v>
      </c>
      <c r="M148">
        <f>$E148/$F148^2*sim_annual_output!O148</f>
        <v>6.3657767088535149</v>
      </c>
      <c r="N148">
        <f>$E148/$F148^2*sim_annual_output!P148</f>
        <v>0</v>
      </c>
      <c r="O148">
        <f>$E148/$F148^2*sim_annual_output!Q148</f>
        <v>6.913769723773318</v>
      </c>
      <c r="P148">
        <f>$E148/$F148^2*sim_annual_output!R148</f>
        <v>5.2136327171543586</v>
      </c>
      <c r="Q148">
        <f>$E148/$F148^2*sim_annual_output!S148</f>
        <v>0</v>
      </c>
      <c r="R148">
        <f t="array" ref="R148">INDEX(G$3:G$700,MATCH($B148&amp;$C148&amp;"baseline",$B$3:$B$700&amp;$C$3:$C$700&amp;$D$3:$D$700,0))</f>
        <v>0</v>
      </c>
      <c r="S148">
        <f t="array" ref="S148">INDEX(H$3:H$700,MATCH($B148&amp;$C148&amp;"baseline",$B$3:$B$700&amp;$C$3:$C$700&amp;$D$3:$D$700,0))</f>
        <v>279.44065955275357</v>
      </c>
      <c r="T148">
        <f t="array" ref="T148">INDEX(I$3:I$700,MATCH($B148&amp;$C148&amp;"baseline",$B$3:$B$700&amp;$C$3:$C$700&amp;$D$3:$D$700,0))</f>
        <v>0.22916071533009946</v>
      </c>
      <c r="U148">
        <f t="array" ref="U148">INDEX(J$3:J$700,MATCH($B148&amp;$C148&amp;"baseline",$B$3:$B$700&amp;$C$3:$C$700&amp;$D$3:$D$700,0))</f>
        <v>0</v>
      </c>
      <c r="V148">
        <f t="array" ref="V148">INDEX(K$3:K$700,MATCH($B148&amp;$C148&amp;"baseline",$B$3:$B$700&amp;$C$3:$C$700&amp;$D$3:$D$700,0))</f>
        <v>5.8426924673391563</v>
      </c>
      <c r="W148">
        <f t="array" ref="W148">INDEX(L$3:L$700,MATCH($B148&amp;$C148&amp;"baseline",$B$3:$B$700&amp;$C$3:$C$700&amp;$D$3:$D$700,0))</f>
        <v>57.202771682211207</v>
      </c>
      <c r="X148">
        <f t="array" ref="X148">INDEX(M$3:M$700,MATCH($B148&amp;$C148&amp;"baseline",$B$3:$B$700&amp;$C$3:$C$700&amp;$D$3:$D$700,0))</f>
        <v>6.3657767088535149</v>
      </c>
      <c r="Y148">
        <f t="array" ref="Y148">INDEX(N$3:N$700,MATCH($B148&amp;$C148&amp;"baseline",$B$3:$B$700&amp;$C$3:$C$700&amp;$D$3:$D$700,0))</f>
        <v>0</v>
      </c>
      <c r="Z148">
        <f t="array" ref="Z148">INDEX(O$3:O$700,MATCH($B148&amp;$C148&amp;"baseline",$B$3:$B$700&amp;$C$3:$C$700&amp;$D$3:$D$700,0))</f>
        <v>7.0682041188870803</v>
      </c>
      <c r="AA148">
        <f t="array" ref="AA148">INDEX(P$3:P$700,MATCH($B148&amp;$C148&amp;"baseline",$B$3:$B$700&amp;$C$3:$C$700&amp;$D$3:$D$700,0))</f>
        <v>5.3893527913600474</v>
      </c>
      <c r="AB148">
        <f t="array" ref="AB148">INDEX(Q$3:Q$700,MATCH($B148&amp;$C148&amp;"baseline",$B$3:$B$700&amp;$C$3:$C$700&amp;$D$3:$D$700,0))</f>
        <v>0</v>
      </c>
      <c r="AC148">
        <f t="shared" si="20"/>
        <v>361.5386180367347</v>
      </c>
      <c r="AD148">
        <f t="shared" si="21"/>
        <v>7.1501766277305023</v>
      </c>
      <c r="AE148">
        <f t="shared" si="22"/>
        <v>0.2445588661625635</v>
      </c>
      <c r="AF148">
        <f t="shared" si="23"/>
        <v>2.0453514852849586</v>
      </c>
      <c r="AG148">
        <f>(S148+V148+Y148)*constants!$O$2+(R148+T148+U148+W148+X148+Z148+AA148+AB148)*constants!$N$2</f>
        <v>13.238435362606044</v>
      </c>
      <c r="AH148">
        <f>((S148+V148+Y148)-(H148+K148+N148))*constants!$O$2</f>
        <v>0.11583286136923412</v>
      </c>
      <c r="AI148">
        <f>((R148+T148+U148+W148+X148+Z148+AA148+AB148)-(G148+I148+J148+L148+M148+O148+P148+Q148))*constants!$N$2</f>
        <v>2.7635151876369678E-2</v>
      </c>
      <c r="AJ148">
        <f t="shared" si="24"/>
        <v>1.0837233352428552</v>
      </c>
      <c r="AK148">
        <f t="shared" si="25"/>
        <v>0.14346801324560379</v>
      </c>
      <c r="AL148">
        <f>COUNTIFS($B:$B,$B148,$AK:$AK,"&lt;"&amp;$AK148)+COUNTIFS($B$2:$B148,$B148,$AK$2:$AK148,$AK148)</f>
        <v>31</v>
      </c>
      <c r="AM148" s="191">
        <f>IF(AK148=0, "NA",IF(((sim_annual_output!F148/E148)/AK148)&lt;0,100,((sim_annual_output!F148/E148)/AK148)))</f>
        <v>972.09167960013895</v>
      </c>
      <c r="AN148">
        <f>(S148+V148)*constants!$F$2+(T148+U148+W148+X148+Y148+Z148+AA148+AB148)*constants!$G$2</f>
        <v>117407.8014460751</v>
      </c>
      <c r="AO148">
        <f>(AD148*constants!$F$2+AE148*constants!$G$2)</f>
        <v>1492.6478299251901</v>
      </c>
      <c r="AP148">
        <f t="shared" si="26"/>
        <v>1.2713361561503704</v>
      </c>
    </row>
    <row r="149" spans="1:42">
      <c r="A149">
        <f>sim_annual_output!B149</f>
        <v>7</v>
      </c>
      <c r="B149" t="str">
        <f>sim_annual_output!C149</f>
        <v>Hangar</v>
      </c>
      <c r="C149" t="str">
        <f>sim_annual_output!D149</f>
        <v>1980-2004</v>
      </c>
      <c r="D149" t="str">
        <f>sim_annual_output!E149</f>
        <v>envelope_ecm_windows</v>
      </c>
      <c r="E149" s="45">
        <f t="array" ref="E149">IFERROR(INDEX(baseline!$J$3:$J$201,MATCH($B149&amp;$C149,baseline!$C$3:$C$201&amp;baseline!$D$3:$D$201,0)),"NA")</f>
        <v>6423</v>
      </c>
      <c r="F149">
        <f>sim_annual_output!G149</f>
        <v>6276.5798484957804</v>
      </c>
      <c r="G149">
        <f>$E149/$F149^2*sim_annual_output!I149</f>
        <v>0</v>
      </c>
      <c r="H149">
        <f>$E149/$F149^2*sim_annual_output!J149</f>
        <v>274.00918828999886</v>
      </c>
      <c r="I149">
        <f>$E149/$F149^2*sim_annual_output!K149</f>
        <v>0.32200250711403305</v>
      </c>
      <c r="J149">
        <f>$E149/$F149^2*sim_annual_output!L149</f>
        <v>0</v>
      </c>
      <c r="K149">
        <f>$E149/$F149^2*sim_annual_output!M149</f>
        <v>5.8426924673391563</v>
      </c>
      <c r="L149">
        <f>$E149/$F149^2*sim_annual_output!N149</f>
        <v>57.202771682211207</v>
      </c>
      <c r="M149">
        <f>$E149/$F149^2*sim_annual_output!O149</f>
        <v>6.3657767088535149</v>
      </c>
      <c r="N149">
        <f>$E149/$F149^2*sim_annual_output!P149</f>
        <v>0</v>
      </c>
      <c r="O149">
        <f>$E149/$F149^2*sim_annual_output!Q149</f>
        <v>6.9676632516869175</v>
      </c>
      <c r="P149">
        <f>$E149/$F149^2*sim_annual_output!R149</f>
        <v>5.2580156224949697</v>
      </c>
      <c r="Q149">
        <f>$E149/$F149^2*sim_annual_output!S149</f>
        <v>0</v>
      </c>
      <c r="R149">
        <f t="array" ref="R149">INDEX(G$3:G$700,MATCH($B149&amp;$C149&amp;"baseline",$B$3:$B$700&amp;$C$3:$C$700&amp;$D$3:$D$700,0))</f>
        <v>0</v>
      </c>
      <c r="S149">
        <f t="array" ref="S149">INDEX(H$3:H$700,MATCH($B149&amp;$C149&amp;"baseline",$B$3:$B$700&amp;$C$3:$C$700&amp;$D$3:$D$700,0))</f>
        <v>279.44065955275357</v>
      </c>
      <c r="T149">
        <f t="array" ref="T149">INDEX(I$3:I$700,MATCH($B149&amp;$C149&amp;"baseline",$B$3:$B$700&amp;$C$3:$C$700&amp;$D$3:$D$700,0))</f>
        <v>0.22916071533009946</v>
      </c>
      <c r="U149">
        <f t="array" ref="U149">INDEX(J$3:J$700,MATCH($B149&amp;$C149&amp;"baseline",$B$3:$B$700&amp;$C$3:$C$700&amp;$D$3:$D$700,0))</f>
        <v>0</v>
      </c>
      <c r="V149">
        <f t="array" ref="V149">INDEX(K$3:K$700,MATCH($B149&amp;$C149&amp;"baseline",$B$3:$B$700&amp;$C$3:$C$700&amp;$D$3:$D$700,0))</f>
        <v>5.8426924673391563</v>
      </c>
      <c r="W149">
        <f t="array" ref="W149">INDEX(L$3:L$700,MATCH($B149&amp;$C149&amp;"baseline",$B$3:$B$700&amp;$C$3:$C$700&amp;$D$3:$D$700,0))</f>
        <v>57.202771682211207</v>
      </c>
      <c r="X149">
        <f t="array" ref="X149">INDEX(M$3:M$700,MATCH($B149&amp;$C149&amp;"baseline",$B$3:$B$700&amp;$C$3:$C$700&amp;$D$3:$D$700,0))</f>
        <v>6.3657767088535149</v>
      </c>
      <c r="Y149">
        <f t="array" ref="Y149">INDEX(N$3:N$700,MATCH($B149&amp;$C149&amp;"baseline",$B$3:$B$700&amp;$C$3:$C$700&amp;$D$3:$D$700,0))</f>
        <v>0</v>
      </c>
      <c r="Z149">
        <f t="array" ref="Z149">INDEX(O$3:O$700,MATCH($B149&amp;$C149&amp;"baseline",$B$3:$B$700&amp;$C$3:$C$700&amp;$D$3:$D$700,0))</f>
        <v>7.0682041188870803</v>
      </c>
      <c r="AA149">
        <f t="array" ref="AA149">INDEX(P$3:P$700,MATCH($B149&amp;$C149&amp;"baseline",$B$3:$B$700&amp;$C$3:$C$700&amp;$D$3:$D$700,0))</f>
        <v>5.3893527913600474</v>
      </c>
      <c r="AB149">
        <f t="array" ref="AB149">INDEX(Q$3:Q$700,MATCH($B149&amp;$C149&amp;"baseline",$B$3:$B$700&amp;$C$3:$C$700&amp;$D$3:$D$700,0))</f>
        <v>0</v>
      </c>
      <c r="AC149">
        <f t="shared" si="20"/>
        <v>361.5386180367347</v>
      </c>
      <c r="AD149">
        <f t="shared" si="21"/>
        <v>5.4314712627547124</v>
      </c>
      <c r="AE149">
        <f t="shared" si="22"/>
        <v>0.13903624428131423</v>
      </c>
      <c r="AF149">
        <f t="shared" si="23"/>
        <v>1.5407780052060791</v>
      </c>
      <c r="AG149">
        <f>(S149+V149+Y149)*constants!$O$2+(R149+T149+U149+W149+X149+Z149+AA149+AB149)*constants!$N$2</f>
        <v>13.238435362606044</v>
      </c>
      <c r="AH149">
        <f>((S149+V149+Y149)-(H149+K149+N149))*constants!$O$2</f>
        <v>8.7989834456626337E-2</v>
      </c>
      <c r="AI149">
        <f>((R149+T149+U149+W149+X149+Z149+AA149+AB149)-(G149+I149+J149+L149+M149+O149+P149+Q149))*constants!$N$2</f>
        <v>1.5711095603788507E-2</v>
      </c>
      <c r="AJ149">
        <f t="shared" si="24"/>
        <v>0.78333222333308172</v>
      </c>
      <c r="AK149">
        <f t="shared" si="25"/>
        <v>0.10370093006041484</v>
      </c>
      <c r="AL149">
        <f>COUNTIFS($B:$B,$B149,$AK:$AK,"&lt;"&amp;$AK149)+COUNTIFS($B$2:$B149,$B149,$AK$2:$AK149,$AK149)</f>
        <v>28</v>
      </c>
      <c r="AM149" s="191">
        <f>IF(AK149=0, "NA",IF(((sim_annual_output!F149/E149)/AK149)&lt;0,100,((sim_annual_output!F149/E149)/AK149)))</f>
        <v>281.56417142728935</v>
      </c>
      <c r="AN149">
        <f>(S149+V149)*constants!$F$2+(T149+U149+W149+X149+Y149+Z149+AA149+AB149)*constants!$G$2</f>
        <v>117407.8014460751</v>
      </c>
      <c r="AO149">
        <f>(AD149*constants!$F$2+AE149*constants!$G$2)</f>
        <v>1093.194888557837</v>
      </c>
      <c r="AP149">
        <f t="shared" si="26"/>
        <v>0.93110924069209877</v>
      </c>
    </row>
    <row r="150" spans="1:42">
      <c r="A150">
        <f>sim_annual_output!B150</f>
        <v>7</v>
      </c>
      <c r="B150" t="str">
        <f>sim_annual_output!C150</f>
        <v>Hangar</v>
      </c>
      <c r="C150" t="str">
        <f>sim_annual_output!D150</f>
        <v>1980-2004</v>
      </c>
      <c r="D150" t="str">
        <f>sim_annual_output!E150</f>
        <v>exhaust_fans_occ_control</v>
      </c>
      <c r="E150" s="45">
        <f t="array" ref="E150">IFERROR(INDEX(baseline!$J$3:$J$201,MATCH($B150&amp;$C150,baseline!$C$3:$C$201&amp;baseline!$D$3:$D$201,0)),"NA")</f>
        <v>6423</v>
      </c>
      <c r="F150">
        <f>sim_annual_output!G150</f>
        <v>6276.5798484957804</v>
      </c>
      <c r="G150">
        <f>$E150/$F150^2*sim_annual_output!I150</f>
        <v>0</v>
      </c>
      <c r="H150">
        <f>$E150/$F150^2*sim_annual_output!J150</f>
        <v>277.49777522712884</v>
      </c>
      <c r="I150">
        <f>$E150/$F150^2*sim_annual_output!K150</f>
        <v>0.32245539390322298</v>
      </c>
      <c r="J150">
        <f>$E150/$F150^2*sim_annual_output!L150</f>
        <v>0</v>
      </c>
      <c r="K150">
        <f>$E150/$F150^2*sim_annual_output!M150</f>
        <v>5.8426924673391563</v>
      </c>
      <c r="L150">
        <f>$E150/$F150^2*sim_annual_output!N150</f>
        <v>57.202771682211207</v>
      </c>
      <c r="M150">
        <f>$E150/$F150^2*sim_annual_output!O150</f>
        <v>6.3657767088535149</v>
      </c>
      <c r="N150">
        <f>$E150/$F150^2*sim_annual_output!P150</f>
        <v>0</v>
      </c>
      <c r="O150">
        <f>$E150/$F150^2*sim_annual_output!Q150</f>
        <v>6.2507434643992745</v>
      </c>
      <c r="P150">
        <f>$E150/$F150^2*sim_annual_output!R150</f>
        <v>5.4178846590790117</v>
      </c>
      <c r="Q150">
        <f>$E150/$F150^2*sim_annual_output!S150</f>
        <v>0</v>
      </c>
      <c r="R150">
        <f t="array" ref="R150">INDEX(G$3:G$700,MATCH($B150&amp;$C150&amp;"baseline",$B$3:$B$700&amp;$C$3:$C$700&amp;$D$3:$D$700,0))</f>
        <v>0</v>
      </c>
      <c r="S150">
        <f t="array" ref="S150">INDEX(H$3:H$700,MATCH($B150&amp;$C150&amp;"baseline",$B$3:$B$700&amp;$C$3:$C$700&amp;$D$3:$D$700,0))</f>
        <v>279.44065955275357</v>
      </c>
      <c r="T150">
        <f t="array" ref="T150">INDEX(I$3:I$700,MATCH($B150&amp;$C150&amp;"baseline",$B$3:$B$700&amp;$C$3:$C$700&amp;$D$3:$D$700,0))</f>
        <v>0.22916071533009946</v>
      </c>
      <c r="U150">
        <f t="array" ref="U150">INDEX(J$3:J$700,MATCH($B150&amp;$C150&amp;"baseline",$B$3:$B$700&amp;$C$3:$C$700&amp;$D$3:$D$700,0))</f>
        <v>0</v>
      </c>
      <c r="V150">
        <f t="array" ref="V150">INDEX(K$3:K$700,MATCH($B150&amp;$C150&amp;"baseline",$B$3:$B$700&amp;$C$3:$C$700&amp;$D$3:$D$700,0))</f>
        <v>5.8426924673391563</v>
      </c>
      <c r="W150">
        <f t="array" ref="W150">INDEX(L$3:L$700,MATCH($B150&amp;$C150&amp;"baseline",$B$3:$B$700&amp;$C$3:$C$700&amp;$D$3:$D$700,0))</f>
        <v>57.202771682211207</v>
      </c>
      <c r="X150">
        <f t="array" ref="X150">INDEX(M$3:M$700,MATCH($B150&amp;$C150&amp;"baseline",$B$3:$B$700&amp;$C$3:$C$700&amp;$D$3:$D$700,0))</f>
        <v>6.3657767088535149</v>
      </c>
      <c r="Y150">
        <f t="array" ref="Y150">INDEX(N$3:N$700,MATCH($B150&amp;$C150&amp;"baseline",$B$3:$B$700&amp;$C$3:$C$700&amp;$D$3:$D$700,0))</f>
        <v>0</v>
      </c>
      <c r="Z150">
        <f t="array" ref="Z150">INDEX(O$3:O$700,MATCH($B150&amp;$C150&amp;"baseline",$B$3:$B$700&amp;$C$3:$C$700&amp;$D$3:$D$700,0))</f>
        <v>7.0682041188870803</v>
      </c>
      <c r="AA150">
        <f t="array" ref="AA150">INDEX(P$3:P$700,MATCH($B150&amp;$C150&amp;"baseline",$B$3:$B$700&amp;$C$3:$C$700&amp;$D$3:$D$700,0))</f>
        <v>5.3893527913600474</v>
      </c>
      <c r="AB150">
        <f t="array" ref="AB150">INDEX(Q$3:Q$700,MATCH($B150&amp;$C150&amp;"baseline",$B$3:$B$700&amp;$C$3:$C$700&amp;$D$3:$D$700,0))</f>
        <v>0</v>
      </c>
      <c r="AC150">
        <f t="shared" si="20"/>
        <v>361.5386180367347</v>
      </c>
      <c r="AD150">
        <f t="shared" si="21"/>
        <v>1.9428843256247319</v>
      </c>
      <c r="AE150">
        <f t="shared" si="22"/>
        <v>0.69563410819571914</v>
      </c>
      <c r="AF150">
        <f t="shared" si="23"/>
        <v>0.72980265514882292</v>
      </c>
      <c r="AG150">
        <f>(S150+V150+Y150)*constants!$O$2+(R150+T150+U150+W150+X150+Z150+AA150+AB150)*constants!$N$2</f>
        <v>13.238435362606044</v>
      </c>
      <c r="AH150">
        <f>((S150+V150+Y150)-(H150+K150+N150))*constants!$O$2</f>
        <v>3.1474726075120654E-2</v>
      </c>
      <c r="AI150">
        <f>((R150+T150+U150+W150+X150+Z150+AA150+AB150)-(G150+I150+J150+L150+M150+O150+P150+Q150))*constants!$N$2</f>
        <v>7.8606654226116263E-2</v>
      </c>
      <c r="AJ150">
        <f t="shared" si="24"/>
        <v>0.83152863073364669</v>
      </c>
      <c r="AK150">
        <f t="shared" si="25"/>
        <v>0.11008138030123692</v>
      </c>
      <c r="AL150">
        <f>COUNTIFS($B:$B,$B150,$AK:$AK,"&lt;"&amp;$AK150)+COUNTIFS($B$2:$B150,$B150,$AK$2:$AK150,$AK150)</f>
        <v>29</v>
      </c>
      <c r="AM150" s="191">
        <f>IF(AK150=0, "NA",IF(((sim_annual_output!F150/E150)/AK150)&lt;0,100,((sim_annual_output!F150/E150)/AK150)))</f>
        <v>5.1753143303616467</v>
      </c>
      <c r="AN150">
        <f>(S150+V150)*constants!$F$2+(T150+U150+W150+X150+Y150+Z150+AA150+AB150)*constants!$G$2</f>
        <v>117407.8014460751</v>
      </c>
      <c r="AO150">
        <f>(AD150*constants!$F$2+AE150*constants!$G$2)</f>
        <v>952.97796841710272</v>
      </c>
      <c r="AP150">
        <f t="shared" si="26"/>
        <v>0.81168198082203369</v>
      </c>
    </row>
    <row r="151" spans="1:42">
      <c r="A151">
        <f>sim_annual_output!B151</f>
        <v>7</v>
      </c>
      <c r="B151" t="str">
        <f>sim_annual_output!C151</f>
        <v>Hangar</v>
      </c>
      <c r="C151" t="str">
        <f>sim_annual_output!D151</f>
        <v>1980-2004</v>
      </c>
      <c r="D151" t="str">
        <f>sim_annual_output!E151</f>
        <v>fans_to_variable</v>
      </c>
      <c r="E151" s="45">
        <f t="array" ref="E151">IFERROR(INDEX(baseline!$J$3:$J$201,MATCH($B151&amp;$C151,baseline!$C$3:$C$201&amp;baseline!$D$3:$D$201,0)),"NA")</f>
        <v>6423</v>
      </c>
      <c r="F151">
        <f>sim_annual_output!G151</f>
        <v>6276.5798484957804</v>
      </c>
      <c r="G151">
        <f>$E151/$F151^2*sim_annual_output!I151</f>
        <v>0</v>
      </c>
      <c r="H151">
        <f>$E151/$F151^2*sim_annual_output!J151</f>
        <v>277.58472949065327</v>
      </c>
      <c r="I151">
        <f>$E151/$F151^2*sim_annual_output!K151</f>
        <v>0.32064384674646329</v>
      </c>
      <c r="J151">
        <f>$E151/$F151^2*sim_annual_output!L151</f>
        <v>0</v>
      </c>
      <c r="K151">
        <f>$E151/$F151^2*sim_annual_output!M151</f>
        <v>5.8426924673391563</v>
      </c>
      <c r="L151">
        <f>$E151/$F151^2*sim_annual_output!N151</f>
        <v>57.202771682211207</v>
      </c>
      <c r="M151">
        <f>$E151/$F151^2*sim_annual_output!O151</f>
        <v>6.3657767088535149</v>
      </c>
      <c r="N151">
        <f>$E151/$F151^2*sim_annual_output!P151</f>
        <v>0</v>
      </c>
      <c r="O151">
        <f>$E151/$F151^2*sim_annual_output!Q151</f>
        <v>7.0564290623681423</v>
      </c>
      <c r="P151">
        <f>$E151/$F151^2*sim_annual_output!R151</f>
        <v>5.4196962062357716</v>
      </c>
      <c r="Q151">
        <f>$E151/$F151^2*sim_annual_output!S151</f>
        <v>0</v>
      </c>
      <c r="R151">
        <f t="array" ref="R151">INDEX(G$3:G$700,MATCH($B151&amp;$C151&amp;"baseline",$B$3:$B$700&amp;$C$3:$C$700&amp;$D$3:$D$700,0))</f>
        <v>0</v>
      </c>
      <c r="S151">
        <f t="array" ref="S151">INDEX(H$3:H$700,MATCH($B151&amp;$C151&amp;"baseline",$B$3:$B$700&amp;$C$3:$C$700&amp;$D$3:$D$700,0))</f>
        <v>279.44065955275357</v>
      </c>
      <c r="T151">
        <f t="array" ref="T151">INDEX(I$3:I$700,MATCH($B151&amp;$C151&amp;"baseline",$B$3:$B$700&amp;$C$3:$C$700&amp;$D$3:$D$700,0))</f>
        <v>0.22916071533009946</v>
      </c>
      <c r="U151">
        <f t="array" ref="U151">INDEX(J$3:J$700,MATCH($B151&amp;$C151&amp;"baseline",$B$3:$B$700&amp;$C$3:$C$700&amp;$D$3:$D$700,0))</f>
        <v>0</v>
      </c>
      <c r="V151">
        <f t="array" ref="V151">INDEX(K$3:K$700,MATCH($B151&amp;$C151&amp;"baseline",$B$3:$B$700&amp;$C$3:$C$700&amp;$D$3:$D$700,0))</f>
        <v>5.8426924673391563</v>
      </c>
      <c r="W151">
        <f t="array" ref="W151">INDEX(L$3:L$700,MATCH($B151&amp;$C151&amp;"baseline",$B$3:$B$700&amp;$C$3:$C$700&amp;$D$3:$D$700,0))</f>
        <v>57.202771682211207</v>
      </c>
      <c r="X151">
        <f t="array" ref="X151">INDEX(M$3:M$700,MATCH($B151&amp;$C151&amp;"baseline",$B$3:$B$700&amp;$C$3:$C$700&amp;$D$3:$D$700,0))</f>
        <v>6.3657767088535149</v>
      </c>
      <c r="Y151">
        <f t="array" ref="Y151">INDEX(N$3:N$700,MATCH($B151&amp;$C151&amp;"baseline",$B$3:$B$700&amp;$C$3:$C$700&amp;$D$3:$D$700,0))</f>
        <v>0</v>
      </c>
      <c r="Z151">
        <f t="array" ref="Z151">INDEX(O$3:O$700,MATCH($B151&amp;$C151&amp;"baseline",$B$3:$B$700&amp;$C$3:$C$700&amp;$D$3:$D$700,0))</f>
        <v>7.0682041188870803</v>
      </c>
      <c r="AA151">
        <f t="array" ref="AA151">INDEX(P$3:P$700,MATCH($B151&amp;$C151&amp;"baseline",$B$3:$B$700&amp;$C$3:$C$700&amp;$D$3:$D$700,0))</f>
        <v>5.3893527913600474</v>
      </c>
      <c r="AB151">
        <f t="array" ref="AB151">INDEX(Q$3:Q$700,MATCH($B151&amp;$C151&amp;"baseline",$B$3:$B$700&amp;$C$3:$C$700&amp;$D$3:$D$700,0))</f>
        <v>0</v>
      </c>
      <c r="AC151">
        <f t="shared" si="20"/>
        <v>361.5386180367347</v>
      </c>
      <c r="AD151">
        <f t="shared" si="21"/>
        <v>1.855930062100299</v>
      </c>
      <c r="AE151">
        <f t="shared" si="22"/>
        <v>-0.1100514897731415</v>
      </c>
      <c r="AF151">
        <f t="shared" si="23"/>
        <v>0.48290237480239656</v>
      </c>
      <c r="AG151">
        <f>(S151+V151+Y151)*constants!$O$2+(R151+T151+U151+W151+X151+Z151+AA151+AB151)*constants!$N$2</f>
        <v>13.238435362606044</v>
      </c>
      <c r="AH151">
        <f>((S151+V151+Y151)-(H151+K151+N151))*constants!$O$2</f>
        <v>3.0066067006024842E-2</v>
      </c>
      <c r="AI151">
        <f>((R151+T151+U151+W151+X151+Z151+AA151+AB151)-(G151+I151+J151+L151+M151+O151+P151+Q151))*constants!$N$2</f>
        <v>-1.2435818344364989E-2</v>
      </c>
      <c r="AJ151">
        <f t="shared" si="24"/>
        <v>0.13317471573309297</v>
      </c>
      <c r="AK151">
        <f t="shared" si="25"/>
        <v>1.7630248661659853E-2</v>
      </c>
      <c r="AL151">
        <f>COUNTIFS($B:$B,$B151,$AK:$AK,"&lt;"&amp;$AK151)+COUNTIFS($B$2:$B151,$B151,$AK$2:$AK151,$AK151)</f>
        <v>15</v>
      </c>
      <c r="AM151" s="191">
        <f>IF(AK151=0, "NA",IF(((sim_annual_output!F151/E151)/AK151)&lt;0,100,((sim_annual_output!F151/E151)/AK151)))</f>
        <v>19.333606928725008</v>
      </c>
      <c r="AN151">
        <f>(S151+V151)*constants!$F$2+(T151+U151+W151+X151+Y151+Z151+AA151+AB151)*constants!$G$2</f>
        <v>117407.8014460751</v>
      </c>
      <c r="AO151">
        <f>(AD151*constants!$F$2+AE151*constants!$G$2)</f>
        <v>236.46668501332042</v>
      </c>
      <c r="AP151">
        <f t="shared" si="26"/>
        <v>0.20140627973680997</v>
      </c>
    </row>
    <row r="152" spans="1:42">
      <c r="A152">
        <f>sim_annual_output!B152</f>
        <v>7</v>
      </c>
      <c r="B152" t="str">
        <f>sim_annual_output!C152</f>
        <v>Hangar</v>
      </c>
      <c r="C152" t="str">
        <f>sim_annual_output!D152</f>
        <v>1980-2004</v>
      </c>
      <c r="D152" t="str">
        <f>sim_annual_output!E152</f>
        <v>hrv_enabled</v>
      </c>
      <c r="E152" s="45">
        <f t="array" ref="E152">IFERROR(INDEX(baseline!$J$3:$J$201,MATCH($B152&amp;$C152,baseline!$C$3:$C$201&amp;baseline!$D$3:$D$201,0)),"NA")</f>
        <v>6423</v>
      </c>
      <c r="F152">
        <f>sim_annual_output!G152</f>
        <v>6276.5798484957804</v>
      </c>
      <c r="G152">
        <f>$E152/$F152^2*sim_annual_output!I152</f>
        <v>0</v>
      </c>
      <c r="H152">
        <f>$E152/$F152^2*sim_annual_output!J152</f>
        <v>226.11822188032158</v>
      </c>
      <c r="I152">
        <f>$E152/$F152^2*sim_annual_output!K152</f>
        <v>0.56248539217388049</v>
      </c>
      <c r="J152">
        <f>$E152/$F152^2*sim_annual_output!L152</f>
        <v>0</v>
      </c>
      <c r="K152">
        <f>$E152/$F152^2*sim_annual_output!M152</f>
        <v>5.8426924673391563</v>
      </c>
      <c r="L152">
        <f>$E152/$F152^2*sim_annual_output!N152</f>
        <v>57.202771682211207</v>
      </c>
      <c r="M152">
        <f>$E152/$F152^2*sim_annual_output!O152</f>
        <v>6.3657767088535149</v>
      </c>
      <c r="N152">
        <f>$E152/$F152^2*sim_annual_output!P152</f>
        <v>0</v>
      </c>
      <c r="O152">
        <f>$E152/$F152^2*sim_annual_output!Q152</f>
        <v>7.116663005330401</v>
      </c>
      <c r="P152">
        <f>$E152/$F152^2*sim_annual_output!R152</f>
        <v>5.1905354909056713</v>
      </c>
      <c r="Q152">
        <f>$E152/$F152^2*sim_annual_output!S152</f>
        <v>1.4284049331050073</v>
      </c>
      <c r="R152">
        <f t="array" ref="R152">INDEX(G$3:G$700,MATCH($B152&amp;$C152&amp;"baseline",$B$3:$B$700&amp;$C$3:$C$700&amp;$D$3:$D$700,0))</f>
        <v>0</v>
      </c>
      <c r="S152">
        <f t="array" ref="S152">INDEX(H$3:H$700,MATCH($B152&amp;$C152&amp;"baseline",$B$3:$B$700&amp;$C$3:$C$700&amp;$D$3:$D$700,0))</f>
        <v>279.44065955275357</v>
      </c>
      <c r="T152">
        <f t="array" ref="T152">INDEX(I$3:I$700,MATCH($B152&amp;$C152&amp;"baseline",$B$3:$B$700&amp;$C$3:$C$700&amp;$D$3:$D$700,0))</f>
        <v>0.22916071533009946</v>
      </c>
      <c r="U152">
        <f t="array" ref="U152">INDEX(J$3:J$700,MATCH($B152&amp;$C152&amp;"baseline",$B$3:$B$700&amp;$C$3:$C$700&amp;$D$3:$D$700,0))</f>
        <v>0</v>
      </c>
      <c r="V152">
        <f t="array" ref="V152">INDEX(K$3:K$700,MATCH($B152&amp;$C152&amp;"baseline",$B$3:$B$700&amp;$C$3:$C$700&amp;$D$3:$D$700,0))</f>
        <v>5.8426924673391563</v>
      </c>
      <c r="W152">
        <f t="array" ref="W152">INDEX(L$3:L$700,MATCH($B152&amp;$C152&amp;"baseline",$B$3:$B$700&amp;$C$3:$C$700&amp;$D$3:$D$700,0))</f>
        <v>57.202771682211207</v>
      </c>
      <c r="X152">
        <f t="array" ref="X152">INDEX(M$3:M$700,MATCH($B152&amp;$C152&amp;"baseline",$B$3:$B$700&amp;$C$3:$C$700&amp;$D$3:$D$700,0))</f>
        <v>6.3657767088535149</v>
      </c>
      <c r="Y152">
        <f t="array" ref="Y152">INDEX(N$3:N$700,MATCH($B152&amp;$C152&amp;"baseline",$B$3:$B$700&amp;$C$3:$C$700&amp;$D$3:$D$700,0))</f>
        <v>0</v>
      </c>
      <c r="Z152">
        <f t="array" ref="Z152">INDEX(O$3:O$700,MATCH($B152&amp;$C152&amp;"baseline",$B$3:$B$700&amp;$C$3:$C$700&amp;$D$3:$D$700,0))</f>
        <v>7.0682041188870803</v>
      </c>
      <c r="AA152">
        <f t="array" ref="AA152">INDEX(P$3:P$700,MATCH($B152&amp;$C152&amp;"baseline",$B$3:$B$700&amp;$C$3:$C$700&amp;$D$3:$D$700,0))</f>
        <v>5.3893527913600474</v>
      </c>
      <c r="AB152">
        <f t="array" ref="AB152">INDEX(Q$3:Q$700,MATCH($B152&amp;$C152&amp;"baseline",$B$3:$B$700&amp;$C$3:$C$700&amp;$D$3:$D$700,0))</f>
        <v>0</v>
      </c>
      <c r="AC152">
        <f t="shared" si="20"/>
        <v>361.5386180367347</v>
      </c>
      <c r="AD152">
        <f t="shared" si="21"/>
        <v>53.32243767243196</v>
      </c>
      <c r="AE152">
        <f t="shared" si="22"/>
        <v>-1.6113711959377355</v>
      </c>
      <c r="AF152">
        <f t="shared" si="23"/>
        <v>14.303054748978445</v>
      </c>
      <c r="AG152">
        <f>(S152+V152+Y152)*constants!$O$2+(R152+T152+U152+W152+X152+Z152+AA152+AB152)*constants!$N$2</f>
        <v>13.238435362606044</v>
      </c>
      <c r="AH152">
        <f>((S152+V152+Y152)-(H152+K152+N152))*constants!$O$2</f>
        <v>0.86382349029339767</v>
      </c>
      <c r="AI152">
        <f>((R152+T152+U152+W152+X152+Z152+AA152+AB152)-(G152+I152+J152+L152+M152+O152+P152+Q152))*constants!$N$2</f>
        <v>-0.18208494514096413</v>
      </c>
      <c r="AJ152">
        <f t="shared" si="24"/>
        <v>5.1496912322290509</v>
      </c>
      <c r="AK152">
        <f t="shared" si="25"/>
        <v>0.68173854515243359</v>
      </c>
      <c r="AL152">
        <f>COUNTIFS($B:$B,$B152,$AK:$AK,"&lt;"&amp;$AK152)+COUNTIFS($B$2:$B152,$B152,$AK$2:$AK152,$AK152)</f>
        <v>41</v>
      </c>
      <c r="AM152" s="191">
        <f>IF(AK152=0, "NA",IF(((sim_annual_output!F152/E152)/AK152)&lt;0,100,((sim_annual_output!F152/E152)/AK152)))</f>
        <v>41.47603296020781</v>
      </c>
      <c r="AN152">
        <f>(S152+V152)*constants!$F$2+(T152+U152+W152+X152+Y152+Z152+AA152+AB152)*constants!$G$2</f>
        <v>117407.8014460751</v>
      </c>
      <c r="AO152">
        <f>(AD152*constants!$F$2+AE152*constants!$G$2)</f>
        <v>8142.8234028994902</v>
      </c>
      <c r="AP152">
        <f t="shared" si="26"/>
        <v>6.935504542804555</v>
      </c>
    </row>
    <row r="153" spans="1:42">
      <c r="A153">
        <f>sim_annual_output!B153</f>
        <v>7</v>
      </c>
      <c r="B153" t="str">
        <f>sim_annual_output!C153</f>
        <v>Hangar</v>
      </c>
      <c r="C153" t="str">
        <f>sim_annual_output!D153</f>
        <v>1980-2004</v>
      </c>
      <c r="D153" t="str">
        <f>sim_annual_output!E153</f>
        <v>infil_reduce</v>
      </c>
      <c r="E153" s="45">
        <f t="array" ref="E153">IFERROR(INDEX(baseline!$J$3:$J$201,MATCH($B153&amp;$C153,baseline!$C$3:$C$201&amp;baseline!$D$3:$D$201,0)),"NA")</f>
        <v>6423</v>
      </c>
      <c r="F153">
        <f>sim_annual_output!G153</f>
        <v>6276.5798484957804</v>
      </c>
      <c r="G153">
        <f>$E153/$F153^2*sim_annual_output!I153</f>
        <v>0</v>
      </c>
      <c r="H153">
        <f>$E153/$F153^2*sim_annual_output!J153</f>
        <v>221.51825076251959</v>
      </c>
      <c r="I153">
        <f>$E153/$F153^2*sim_annual_output!K153</f>
        <v>0.36593252566545531</v>
      </c>
      <c r="J153">
        <f>$E153/$F153^2*sim_annual_output!L153</f>
        <v>0</v>
      </c>
      <c r="K153">
        <f>$E153/$F153^2*sim_annual_output!M153</f>
        <v>5.8426924673391563</v>
      </c>
      <c r="L153">
        <f>$E153/$F153^2*sim_annual_output!N153</f>
        <v>57.202771682211207</v>
      </c>
      <c r="M153">
        <f>$E153/$F153^2*sim_annual_output!O153</f>
        <v>6.3657767088535149</v>
      </c>
      <c r="N153">
        <f>$E153/$F153^2*sim_annual_output!P153</f>
        <v>0</v>
      </c>
      <c r="O153">
        <f>$E153/$F153^2*sim_annual_output!Q153</f>
        <v>6.1891508610694448</v>
      </c>
      <c r="P153">
        <f>$E153/$F153^2*sim_annual_output!R153</f>
        <v>4.3943605155097929</v>
      </c>
      <c r="Q153">
        <f>$E153/$F153^2*sim_annual_output!S153</f>
        <v>0</v>
      </c>
      <c r="R153">
        <f t="array" ref="R153">INDEX(G$3:G$700,MATCH($B153&amp;$C153&amp;"baseline",$B$3:$B$700&amp;$C$3:$C$700&amp;$D$3:$D$700,0))</f>
        <v>0</v>
      </c>
      <c r="S153">
        <f t="array" ref="S153">INDEX(H$3:H$700,MATCH($B153&amp;$C153&amp;"baseline",$B$3:$B$700&amp;$C$3:$C$700&amp;$D$3:$D$700,0))</f>
        <v>279.44065955275357</v>
      </c>
      <c r="T153">
        <f t="array" ref="T153">INDEX(I$3:I$700,MATCH($B153&amp;$C153&amp;"baseline",$B$3:$B$700&amp;$C$3:$C$700&amp;$D$3:$D$700,0))</f>
        <v>0.22916071533009946</v>
      </c>
      <c r="U153">
        <f t="array" ref="U153">INDEX(J$3:J$700,MATCH($B153&amp;$C153&amp;"baseline",$B$3:$B$700&amp;$C$3:$C$700&amp;$D$3:$D$700,0))</f>
        <v>0</v>
      </c>
      <c r="V153">
        <f t="array" ref="V153">INDEX(K$3:K$700,MATCH($B153&amp;$C153&amp;"baseline",$B$3:$B$700&amp;$C$3:$C$700&amp;$D$3:$D$700,0))</f>
        <v>5.8426924673391563</v>
      </c>
      <c r="W153">
        <f t="array" ref="W153">INDEX(L$3:L$700,MATCH($B153&amp;$C153&amp;"baseline",$B$3:$B$700&amp;$C$3:$C$700&amp;$D$3:$D$700,0))</f>
        <v>57.202771682211207</v>
      </c>
      <c r="X153">
        <f t="array" ref="X153">INDEX(M$3:M$700,MATCH($B153&amp;$C153&amp;"baseline",$B$3:$B$700&amp;$C$3:$C$700&amp;$D$3:$D$700,0))</f>
        <v>6.3657767088535149</v>
      </c>
      <c r="Y153">
        <f t="array" ref="Y153">INDEX(N$3:N$700,MATCH($B153&amp;$C153&amp;"baseline",$B$3:$B$700&amp;$C$3:$C$700&amp;$D$3:$D$700,0))</f>
        <v>0</v>
      </c>
      <c r="Z153">
        <f t="array" ref="Z153">INDEX(O$3:O$700,MATCH($B153&amp;$C153&amp;"baseline",$B$3:$B$700&amp;$C$3:$C$700&amp;$D$3:$D$700,0))</f>
        <v>7.0682041188870803</v>
      </c>
      <c r="AA153">
        <f t="array" ref="AA153">INDEX(P$3:P$700,MATCH($B153&amp;$C153&amp;"baseline",$B$3:$B$700&amp;$C$3:$C$700&amp;$D$3:$D$700,0))</f>
        <v>5.3893527913600474</v>
      </c>
      <c r="AB153">
        <f t="array" ref="AB153">INDEX(Q$3:Q$700,MATCH($B153&amp;$C153&amp;"baseline",$B$3:$B$700&amp;$C$3:$C$700&amp;$D$3:$D$700,0))</f>
        <v>0</v>
      </c>
      <c r="AC153">
        <f t="shared" si="20"/>
        <v>361.5386180367347</v>
      </c>
      <c r="AD153">
        <f t="shared" si="21"/>
        <v>57.922408790233959</v>
      </c>
      <c r="AE153">
        <f t="shared" si="22"/>
        <v>1.7372737233325353</v>
      </c>
      <c r="AF153">
        <f t="shared" si="23"/>
        <v>16.501607169252573</v>
      </c>
      <c r="AG153">
        <f>(S153+V153+Y153)*constants!$O$2+(R153+T153+U153+W153+X153+Z153+AA153+AB153)*constants!$N$2</f>
        <v>13.238435362606044</v>
      </c>
      <c r="AH153">
        <f>((S153+V153+Y153)-(H153+K153+N153))*constants!$O$2</f>
        <v>0.93834302240179013</v>
      </c>
      <c r="AI153">
        <f>((R153+T153+U153+W153+X153+Z153+AA153+AB153)-(G153+I153+J153+L153+M153+O153+P153+Q153))*constants!$N$2</f>
        <v>0.19631193073657649</v>
      </c>
      <c r="AJ153">
        <f t="shared" si="24"/>
        <v>8.5709143268045906</v>
      </c>
      <c r="AK153">
        <f t="shared" si="25"/>
        <v>1.1346549531383667</v>
      </c>
      <c r="AL153">
        <f>COUNTIFS($B:$B,$B153,$AK:$AK,"&lt;"&amp;$AK153)+COUNTIFS($B$2:$B153,$B153,$AK$2:$AK153,$AK153)</f>
        <v>50</v>
      </c>
      <c r="AM153" s="191">
        <f>IF(AK153=0, "NA",IF(((sim_annual_output!F153/E153)/AK153)&lt;0,100,((sim_annual_output!F153/E153)/AK153)))</f>
        <v>11.832904259721017</v>
      </c>
      <c r="AN153">
        <f>(S153+V153)*constants!$F$2+(T153+U153+W153+X153+Y153+Z153+AA153+AB153)*constants!$G$2</f>
        <v>117407.8014460751</v>
      </c>
      <c r="AO153">
        <f>(AD153*constants!$F$2+AE153*constants!$G$2)</f>
        <v>11879.539312751183</v>
      </c>
      <c r="AP153">
        <f t="shared" si="26"/>
        <v>10.118185645616919</v>
      </c>
    </row>
    <row r="154" spans="1:42">
      <c r="A154">
        <f>sim_annual_output!B154</f>
        <v>7</v>
      </c>
      <c r="B154" t="str">
        <f>sim_annual_output!C154</f>
        <v>Hangar</v>
      </c>
      <c r="C154" t="str">
        <f>sim_annual_output!D154</f>
        <v>1980-2004</v>
      </c>
      <c r="D154" t="str">
        <f>sim_annual_output!E154</f>
        <v>infil_reduce_plus_setback</v>
      </c>
      <c r="E154" s="45">
        <f t="array" ref="E154">IFERROR(INDEX(baseline!$J$3:$J$201,MATCH($B154&amp;$C154,baseline!$C$3:$C$201&amp;baseline!$D$3:$D$201,0)),"NA")</f>
        <v>6423</v>
      </c>
      <c r="F154">
        <f>sim_annual_output!G154</f>
        <v>6276.5798484957804</v>
      </c>
      <c r="G154">
        <f>$E154/$F154^2*sim_annual_output!I154</f>
        <v>0</v>
      </c>
      <c r="H154">
        <f>$E154/$F154^2*sim_annual_output!J154</f>
        <v>188.49284032121224</v>
      </c>
      <c r="I154">
        <f>$E154/$F154^2*sim_annual_output!K154</f>
        <v>0.22282030028144059</v>
      </c>
      <c r="J154">
        <f>$E154/$F154^2*sim_annual_output!L154</f>
        <v>0</v>
      </c>
      <c r="K154">
        <f>$E154/$F154^2*sim_annual_output!M154</f>
        <v>5.8426924673391563</v>
      </c>
      <c r="L154">
        <f>$E154/$F154^2*sim_annual_output!N154</f>
        <v>57.202771682211207</v>
      </c>
      <c r="M154">
        <f>$E154/$F154^2*sim_annual_output!O154</f>
        <v>6.3657767088535149</v>
      </c>
      <c r="N154">
        <f>$E154/$F154^2*sim_annual_output!P154</f>
        <v>0</v>
      </c>
      <c r="O154">
        <f>$E154/$F154^2*sim_annual_output!Q154</f>
        <v>5.2620916035976792</v>
      </c>
      <c r="P154">
        <f>$E154/$F154^2*sim_annual_output!R154</f>
        <v>3.4111432961784764</v>
      </c>
      <c r="Q154">
        <f>$E154/$F154^2*sim_annual_output!S154</f>
        <v>0</v>
      </c>
      <c r="R154">
        <f t="array" ref="R154">INDEX(G$3:G$700,MATCH($B154&amp;$C154&amp;"baseline",$B$3:$B$700&amp;$C$3:$C$700&amp;$D$3:$D$700,0))</f>
        <v>0</v>
      </c>
      <c r="S154">
        <f t="array" ref="S154">INDEX(H$3:H$700,MATCH($B154&amp;$C154&amp;"baseline",$B$3:$B$700&amp;$C$3:$C$700&amp;$D$3:$D$700,0))</f>
        <v>279.44065955275357</v>
      </c>
      <c r="T154">
        <f t="array" ref="T154">INDEX(I$3:I$700,MATCH($B154&amp;$C154&amp;"baseline",$B$3:$B$700&amp;$C$3:$C$700&amp;$D$3:$D$700,0))</f>
        <v>0.22916071533009946</v>
      </c>
      <c r="U154">
        <f t="array" ref="U154">INDEX(J$3:J$700,MATCH($B154&amp;$C154&amp;"baseline",$B$3:$B$700&amp;$C$3:$C$700&amp;$D$3:$D$700,0))</f>
        <v>0</v>
      </c>
      <c r="V154">
        <f t="array" ref="V154">INDEX(K$3:K$700,MATCH($B154&amp;$C154&amp;"baseline",$B$3:$B$700&amp;$C$3:$C$700&amp;$D$3:$D$700,0))</f>
        <v>5.8426924673391563</v>
      </c>
      <c r="W154">
        <f t="array" ref="W154">INDEX(L$3:L$700,MATCH($B154&amp;$C154&amp;"baseline",$B$3:$B$700&amp;$C$3:$C$700&amp;$D$3:$D$700,0))</f>
        <v>57.202771682211207</v>
      </c>
      <c r="X154">
        <f t="array" ref="X154">INDEX(M$3:M$700,MATCH($B154&amp;$C154&amp;"baseline",$B$3:$B$700&amp;$C$3:$C$700&amp;$D$3:$D$700,0))</f>
        <v>6.3657767088535149</v>
      </c>
      <c r="Y154">
        <f t="array" ref="Y154">INDEX(N$3:N$700,MATCH($B154&amp;$C154&amp;"baseline",$B$3:$B$700&amp;$C$3:$C$700&amp;$D$3:$D$700,0))</f>
        <v>0</v>
      </c>
      <c r="Z154">
        <f t="array" ref="Z154">INDEX(O$3:O$700,MATCH($B154&amp;$C154&amp;"baseline",$B$3:$B$700&amp;$C$3:$C$700&amp;$D$3:$D$700,0))</f>
        <v>7.0682041188870803</v>
      </c>
      <c r="AA154">
        <f t="array" ref="AA154">INDEX(P$3:P$700,MATCH($B154&amp;$C154&amp;"baseline",$B$3:$B$700&amp;$C$3:$C$700&amp;$D$3:$D$700,0))</f>
        <v>5.3893527913600474</v>
      </c>
      <c r="AB154">
        <f t="array" ref="AB154">INDEX(Q$3:Q$700,MATCH($B154&amp;$C154&amp;"baseline",$B$3:$B$700&amp;$C$3:$C$700&amp;$D$3:$D$700,0))</f>
        <v>0</v>
      </c>
      <c r="AC154">
        <f t="shared" si="20"/>
        <v>361.5386180367347</v>
      </c>
      <c r="AD154">
        <f t="shared" si="21"/>
        <v>90.947819231541303</v>
      </c>
      <c r="AE154">
        <f t="shared" si="22"/>
        <v>3.7906624255196277</v>
      </c>
      <c r="AF154">
        <f t="shared" si="23"/>
        <v>26.20424954089825</v>
      </c>
      <c r="AG154">
        <f>(S154+V154+Y154)*constants!$O$2+(R154+T154+U154+W154+X154+Z154+AA154+AB154)*constants!$N$2</f>
        <v>13.238435362606044</v>
      </c>
      <c r="AH154">
        <f>((S154+V154+Y154)-(H154+K154+N154))*constants!$O$2</f>
        <v>1.4733546715509691</v>
      </c>
      <c r="AI154">
        <f>((R154+T154+U154+W154+X154+Z154+AA154+AB154)-(G154+I154+J154+L154+M154+O154+P154+Q154))*constants!$N$2</f>
        <v>0.42834485408371792</v>
      </c>
      <c r="AJ154">
        <f t="shared" si="24"/>
        <v>14.364987051312154</v>
      </c>
      <c r="AK154">
        <f t="shared" si="25"/>
        <v>1.9016995256346871</v>
      </c>
      <c r="AL154">
        <f>COUNTIFS($B:$B,$B154,$AK:$AK,"&lt;"&amp;$AK154)+COUNTIFS($B$2:$B154,$B154,$AK$2:$AK154,$AK154)</f>
        <v>57</v>
      </c>
      <c r="AM154" s="191">
        <f>IF(AK154=0, "NA",IF(((sim_annual_output!F154/E154)/AK154)&lt;0,100,((sim_annual_output!F154/E154)/AK154)))</f>
        <v>10.063703145894896</v>
      </c>
      <c r="AN154">
        <f>(S154+V154)*constants!$F$2+(T154+U154+W154+X154+Y154+Z154+AA154+AB154)*constants!$G$2</f>
        <v>117407.8014460751</v>
      </c>
      <c r="AO154">
        <f>(AD154*constants!$F$2+AE154*constants!$G$2)</f>
        <v>19577.53595264797</v>
      </c>
      <c r="AP154">
        <f t="shared" si="26"/>
        <v>16.674816929980459</v>
      </c>
    </row>
    <row r="155" spans="1:42">
      <c r="A155">
        <f>sim_annual_output!B155</f>
        <v>7</v>
      </c>
      <c r="B155" t="str">
        <f>sim_annual_output!C155</f>
        <v>Hangar</v>
      </c>
      <c r="C155" t="str">
        <f>sim_annual_output!D155</f>
        <v>1980-2004</v>
      </c>
      <c r="D155" t="str">
        <f>sim_annual_output!E155</f>
        <v>lights_reduce_70p</v>
      </c>
      <c r="E155" s="45">
        <f t="array" ref="E155">IFERROR(INDEX(baseline!$J$3:$J$201,MATCH($B155&amp;$C155,baseline!$C$3:$C$201&amp;baseline!$D$3:$D$201,0)),"NA")</f>
        <v>6423</v>
      </c>
      <c r="F155">
        <f>sim_annual_output!G155</f>
        <v>6276.5798484957804</v>
      </c>
      <c r="G155">
        <f>$E155/$F155^2*sim_annual_output!I155</f>
        <v>0</v>
      </c>
      <c r="H155">
        <f>$E155/$F155^2*sim_annual_output!J155</f>
        <v>292.77817549439669</v>
      </c>
      <c r="I155">
        <f>$E155/$F155^2*sim_annual_output!K155</f>
        <v>0.16485079126513086</v>
      </c>
      <c r="J155">
        <f>$E155/$F155^2*sim_annual_output!L155</f>
        <v>0</v>
      </c>
      <c r="K155">
        <f>$E155/$F155^2*sim_annual_output!M155</f>
        <v>5.8426924673391563</v>
      </c>
      <c r="L155">
        <f>$E155/$F155^2*sim_annual_output!N155</f>
        <v>40.04198546622677</v>
      </c>
      <c r="M155">
        <f>$E155/$F155^2*sim_annual_output!O155</f>
        <v>6.3657767088535149</v>
      </c>
      <c r="N155">
        <f>$E155/$F155^2*sim_annual_output!P155</f>
        <v>0</v>
      </c>
      <c r="O155">
        <f>$E155/$F155^2*sim_annual_output!Q155</f>
        <v>7.1393073447898976</v>
      </c>
      <c r="P155">
        <f>$E155/$F155^2*sim_annual_output!R155</f>
        <v>5.5732248277711536</v>
      </c>
      <c r="Q155">
        <f>$E155/$F155^2*sim_annual_output!S155</f>
        <v>0</v>
      </c>
      <c r="R155">
        <f t="array" ref="R155">INDEX(G$3:G$700,MATCH($B155&amp;$C155&amp;"baseline",$B$3:$B$700&amp;$C$3:$C$700&amp;$D$3:$D$700,0))</f>
        <v>0</v>
      </c>
      <c r="S155">
        <f t="array" ref="S155">INDEX(H$3:H$700,MATCH($B155&amp;$C155&amp;"baseline",$B$3:$B$700&amp;$C$3:$C$700&amp;$D$3:$D$700,0))</f>
        <v>279.44065955275357</v>
      </c>
      <c r="T155">
        <f t="array" ref="T155">INDEX(I$3:I$700,MATCH($B155&amp;$C155&amp;"baseline",$B$3:$B$700&amp;$C$3:$C$700&amp;$D$3:$D$700,0))</f>
        <v>0.22916071533009946</v>
      </c>
      <c r="U155">
        <f t="array" ref="U155">INDEX(J$3:J$700,MATCH($B155&amp;$C155&amp;"baseline",$B$3:$B$700&amp;$C$3:$C$700&amp;$D$3:$D$700,0))</f>
        <v>0</v>
      </c>
      <c r="V155">
        <f t="array" ref="V155">INDEX(K$3:K$700,MATCH($B155&amp;$C155&amp;"baseline",$B$3:$B$700&amp;$C$3:$C$700&amp;$D$3:$D$700,0))</f>
        <v>5.8426924673391563</v>
      </c>
      <c r="W155">
        <f t="array" ref="W155">INDEX(L$3:L$700,MATCH($B155&amp;$C155&amp;"baseline",$B$3:$B$700&amp;$C$3:$C$700&amp;$D$3:$D$700,0))</f>
        <v>57.202771682211207</v>
      </c>
      <c r="X155">
        <f t="array" ref="X155">INDEX(M$3:M$700,MATCH($B155&amp;$C155&amp;"baseline",$B$3:$B$700&amp;$C$3:$C$700&amp;$D$3:$D$700,0))</f>
        <v>6.3657767088535149</v>
      </c>
      <c r="Y155">
        <f t="array" ref="Y155">INDEX(N$3:N$700,MATCH($B155&amp;$C155&amp;"baseline",$B$3:$B$700&amp;$C$3:$C$700&amp;$D$3:$D$700,0))</f>
        <v>0</v>
      </c>
      <c r="Z155">
        <f t="array" ref="Z155">INDEX(O$3:O$700,MATCH($B155&amp;$C155&amp;"baseline",$B$3:$B$700&amp;$C$3:$C$700&amp;$D$3:$D$700,0))</f>
        <v>7.0682041188870803</v>
      </c>
      <c r="AA155">
        <f t="array" ref="AA155">INDEX(P$3:P$700,MATCH($B155&amp;$C155&amp;"baseline",$B$3:$B$700&amp;$C$3:$C$700&amp;$D$3:$D$700,0))</f>
        <v>5.3893527913600474</v>
      </c>
      <c r="AB155">
        <f t="array" ref="AB155">INDEX(Q$3:Q$700,MATCH($B155&amp;$C155&amp;"baseline",$B$3:$B$700&amp;$C$3:$C$700&amp;$D$3:$D$700,0))</f>
        <v>0</v>
      </c>
      <c r="AC155">
        <f t="shared" si="20"/>
        <v>361.5386180367347</v>
      </c>
      <c r="AD155">
        <f t="shared" si="21"/>
        <v>-13.337515941643119</v>
      </c>
      <c r="AE155">
        <f t="shared" si="22"/>
        <v>16.970120877735482</v>
      </c>
      <c r="AF155">
        <f t="shared" si="23"/>
        <v>1.0047626325006493</v>
      </c>
      <c r="AG155">
        <f>(S155+V155+Y155)*constants!$O$2+(R155+T155+U155+W155+X155+Z155+AA155+AB155)*constants!$N$2</f>
        <v>13.238435362606044</v>
      </c>
      <c r="AH155">
        <f>((S155+V155+Y155)-(H155+K155+N155))*constants!$O$2</f>
        <v>-0.21606775825461852</v>
      </c>
      <c r="AI155">
        <f>((R155+T155+U155+W155+X155+Z155+AA155+AB155)-(G155+I155+J155+L155+M155+O155+P155+Q155))*constants!$N$2</f>
        <v>1.9176236591841096</v>
      </c>
      <c r="AJ155">
        <f t="shared" si="24"/>
        <v>12.853149593008492</v>
      </c>
      <c r="AK155">
        <f t="shared" si="25"/>
        <v>1.7015559009294912</v>
      </c>
      <c r="AL155">
        <f>COUNTIFS($B:$B,$B155,$AK:$AK,"&lt;"&amp;$AK155)+COUNTIFS($B$2:$B155,$B155,$AK$2:$AK155,$AK155)</f>
        <v>54</v>
      </c>
      <c r="AM155" s="191">
        <f>IF(AK155=0, "NA",IF(((sim_annual_output!F155/E155)/AK155)&lt;0,100,((sim_annual_output!F155/E155)/AK155)))</f>
        <v>11.878244923629726</v>
      </c>
      <c r="AN155">
        <f>(S155+V155)*constants!$F$2+(T155+U155+W155+X155+Y155+Z155+AA155+AB155)*constants!$G$2</f>
        <v>117407.8014460751</v>
      </c>
      <c r="AO155">
        <f>(AD155*constants!$F$2+AE155*constants!$G$2)</f>
        <v>12376.589810075751</v>
      </c>
      <c r="AP155">
        <f t="shared" si="26"/>
        <v>10.541539537949927</v>
      </c>
    </row>
    <row r="156" spans="1:42">
      <c r="A156">
        <f>sim_annual_output!B156</f>
        <v>7</v>
      </c>
      <c r="B156" t="str">
        <f>sim_annual_output!C156</f>
        <v>Hangar</v>
      </c>
      <c r="C156" t="str">
        <f>sim_annual_output!D156</f>
        <v>1980-2004</v>
      </c>
      <c r="D156" t="str">
        <f>sim_annual_output!E156</f>
        <v>load_reduce</v>
      </c>
      <c r="E156" s="45">
        <f t="array" ref="E156">IFERROR(INDEX(baseline!$J$3:$J$201,MATCH($B156&amp;$C156,baseline!$C$3:$C$201&amp;baseline!$D$3:$D$201,0)),"NA")</f>
        <v>6423</v>
      </c>
      <c r="F156">
        <f>sim_annual_output!G156</f>
        <v>6276.5798484957804</v>
      </c>
      <c r="G156">
        <f>$E156/$F156^2*sim_annual_output!I156</f>
        <v>0</v>
      </c>
      <c r="H156">
        <f>$E156/$F156^2*sim_annual_output!J156</f>
        <v>154.04944134295124</v>
      </c>
      <c r="I156">
        <f>$E156/$F156^2*sim_annual_output!K156</f>
        <v>0.22282030028144059</v>
      </c>
      <c r="J156">
        <f>$E156/$F156^2*sim_annual_output!L156</f>
        <v>0</v>
      </c>
      <c r="K156">
        <f>$E156/$F156^2*sim_annual_output!M156</f>
        <v>5.8426924673391563</v>
      </c>
      <c r="L156">
        <f>$E156/$F156^2*sim_annual_output!N156</f>
        <v>57.202771682211207</v>
      </c>
      <c r="M156">
        <f>$E156/$F156^2*sim_annual_output!O156</f>
        <v>6.3657767088535149</v>
      </c>
      <c r="N156">
        <f>$E156/$F156^2*sim_annual_output!P156</f>
        <v>0</v>
      </c>
      <c r="O156">
        <f>$E156/$F156^2*sim_annual_output!Q156</f>
        <v>5.2620916035976792</v>
      </c>
      <c r="P156">
        <f>$E156/$F156^2*sim_annual_output!R156</f>
        <v>0.26222145094096366</v>
      </c>
      <c r="Q156">
        <f>$E156/$F156^2*sim_annual_output!S156</f>
        <v>0</v>
      </c>
      <c r="R156">
        <f t="array" ref="R156">INDEX(G$3:G$700,MATCH($B156&amp;$C156&amp;"baseline",$B$3:$B$700&amp;$C$3:$C$700&amp;$D$3:$D$700,0))</f>
        <v>0</v>
      </c>
      <c r="S156">
        <f t="array" ref="S156">INDEX(H$3:H$700,MATCH($B156&amp;$C156&amp;"baseline",$B$3:$B$700&amp;$C$3:$C$700&amp;$D$3:$D$700,0))</f>
        <v>279.44065955275357</v>
      </c>
      <c r="T156">
        <f t="array" ref="T156">INDEX(I$3:I$700,MATCH($B156&amp;$C156&amp;"baseline",$B$3:$B$700&amp;$C$3:$C$700&amp;$D$3:$D$700,0))</f>
        <v>0.22916071533009946</v>
      </c>
      <c r="U156">
        <f t="array" ref="U156">INDEX(J$3:J$700,MATCH($B156&amp;$C156&amp;"baseline",$B$3:$B$700&amp;$C$3:$C$700&amp;$D$3:$D$700,0))</f>
        <v>0</v>
      </c>
      <c r="V156">
        <f t="array" ref="V156">INDEX(K$3:K$700,MATCH($B156&amp;$C156&amp;"baseline",$B$3:$B$700&amp;$C$3:$C$700&amp;$D$3:$D$700,0))</f>
        <v>5.8426924673391563</v>
      </c>
      <c r="W156">
        <f t="array" ref="W156">INDEX(L$3:L$700,MATCH($B156&amp;$C156&amp;"baseline",$B$3:$B$700&amp;$C$3:$C$700&amp;$D$3:$D$700,0))</f>
        <v>57.202771682211207</v>
      </c>
      <c r="X156">
        <f t="array" ref="X156">INDEX(M$3:M$700,MATCH($B156&amp;$C156&amp;"baseline",$B$3:$B$700&amp;$C$3:$C$700&amp;$D$3:$D$700,0))</f>
        <v>6.3657767088535149</v>
      </c>
      <c r="Y156">
        <f t="array" ref="Y156">INDEX(N$3:N$700,MATCH($B156&amp;$C156&amp;"baseline",$B$3:$B$700&amp;$C$3:$C$700&amp;$D$3:$D$700,0))</f>
        <v>0</v>
      </c>
      <c r="Z156">
        <f t="array" ref="Z156">INDEX(O$3:O$700,MATCH($B156&amp;$C156&amp;"baseline",$B$3:$B$700&amp;$C$3:$C$700&amp;$D$3:$D$700,0))</f>
        <v>7.0682041188870803</v>
      </c>
      <c r="AA156">
        <f t="array" ref="AA156">INDEX(P$3:P$700,MATCH($B156&amp;$C156&amp;"baseline",$B$3:$B$700&amp;$C$3:$C$700&amp;$D$3:$D$700,0))</f>
        <v>5.3893527913600474</v>
      </c>
      <c r="AB156">
        <f t="array" ref="AB156">INDEX(Q$3:Q$700,MATCH($B156&amp;$C156&amp;"baseline",$B$3:$B$700&amp;$C$3:$C$700&amp;$D$3:$D$700,0))</f>
        <v>0</v>
      </c>
      <c r="AC156">
        <f t="shared" si="20"/>
        <v>361.5386180367347</v>
      </c>
      <c r="AD156">
        <f t="shared" si="21"/>
        <v>125.3912182098023</v>
      </c>
      <c r="AE156">
        <f t="shared" si="22"/>
        <v>6.9395842707571376</v>
      </c>
      <c r="AF156">
        <f t="shared" si="23"/>
        <v>36.602121012453992</v>
      </c>
      <c r="AG156">
        <f>(S156+V156+Y156)*constants!$O$2+(R156+T156+U156+W156+X156+Z156+AA156+AB156)*constants!$N$2</f>
        <v>13.238435362606044</v>
      </c>
      <c r="AH156">
        <f>((S156+V156+Y156)-(H156+K156+N156))*constants!$O$2</f>
        <v>2.0313377349987971</v>
      </c>
      <c r="AI156">
        <f>((R156+T156+U156+W156+X156+Z156+AA156+AB156)-(G156+I156+J156+L156+M156+O156+P156+Q156))*constants!$N$2</f>
        <v>0.78417302259555655</v>
      </c>
      <c r="AJ156">
        <f t="shared" si="24"/>
        <v>21.267700302009921</v>
      </c>
      <c r="AK156">
        <f t="shared" si="25"/>
        <v>2.8155107575943537</v>
      </c>
      <c r="AL156">
        <f>COUNTIFS($B:$B,$B156,$AK:$AK,"&lt;"&amp;$AK156)+COUNTIFS($B$2:$B156,$B156,$AK$2:$AK156,$AK156)</f>
        <v>60</v>
      </c>
      <c r="AM156" s="191">
        <f>IF(AK156=0, "NA",IF(((sim_annual_output!F156/E156)/AK156)&lt;0,100,((sim_annual_output!F156/E156)/AK156)))</f>
        <v>6.8487737612580952</v>
      </c>
      <c r="AN156">
        <f>(S156+V156)*constants!$F$2+(T156+U156+W156+X156+Y156+Z156+AA156+AB156)*constants!$G$2</f>
        <v>117407.8014460751</v>
      </c>
      <c r="AO156">
        <f>(AD156*constants!$F$2+AE156*constants!$G$2)</f>
        <v>28482.466375113323</v>
      </c>
      <c r="AP156">
        <f t="shared" si="26"/>
        <v>24.259432528591553</v>
      </c>
    </row>
    <row r="157" spans="1:42">
      <c r="A157">
        <f>sim_annual_output!B157</f>
        <v>7</v>
      </c>
      <c r="B157" t="str">
        <f>sim_annual_output!C157</f>
        <v>Hangar</v>
      </c>
      <c r="C157" t="str">
        <f>sim_annual_output!D157</f>
        <v>1980-2004</v>
      </c>
      <c r="D157" t="str">
        <f>sim_annual_output!E157</f>
        <v>occupancy_setback</v>
      </c>
      <c r="E157" s="45">
        <f t="array" ref="E157">IFERROR(INDEX(baseline!$J$3:$J$201,MATCH($B157&amp;$C157,baseline!$C$3:$C$201&amp;baseline!$D$3:$D$201,0)),"NA")</f>
        <v>6423</v>
      </c>
      <c r="F157">
        <f>sim_annual_output!G157</f>
        <v>6276.5798484957804</v>
      </c>
      <c r="G157">
        <f>$E157/$F157^2*sim_annual_output!I157</f>
        <v>0</v>
      </c>
      <c r="H157">
        <f>$E157/$F157^2*sim_annual_output!J157</f>
        <v>240.21024721275515</v>
      </c>
      <c r="I157">
        <f>$E157/$F157^2*sim_annual_output!K157</f>
        <v>0.19247688540571595</v>
      </c>
      <c r="J157">
        <f>$E157/$F157^2*sim_annual_output!L157</f>
        <v>0</v>
      </c>
      <c r="K157">
        <f>$E157/$F157^2*sim_annual_output!M157</f>
        <v>5.8426924673391563</v>
      </c>
      <c r="L157">
        <f>$E157/$F157^2*sim_annual_output!N157</f>
        <v>57.202771682211207</v>
      </c>
      <c r="M157">
        <f>$E157/$F157^2*sim_annual_output!O157</f>
        <v>6.3657767088535149</v>
      </c>
      <c r="N157">
        <f>$E157/$F157^2*sim_annual_output!P157</f>
        <v>0</v>
      </c>
      <c r="O157">
        <f>$E157/$F157^2*sim_annual_output!Q157</f>
        <v>6.1121601069071589</v>
      </c>
      <c r="P157">
        <f>$E157/$F157^2*sim_annual_output!R157</f>
        <v>4.2974427426231498</v>
      </c>
      <c r="Q157">
        <f>$E157/$F157^2*sim_annual_output!S157</f>
        <v>0</v>
      </c>
      <c r="R157">
        <f t="array" ref="R157">INDEX(G$3:G$700,MATCH($B157&amp;$C157&amp;"baseline",$B$3:$B$700&amp;$C$3:$C$700&amp;$D$3:$D$700,0))</f>
        <v>0</v>
      </c>
      <c r="S157">
        <f t="array" ref="S157">INDEX(H$3:H$700,MATCH($B157&amp;$C157&amp;"baseline",$B$3:$B$700&amp;$C$3:$C$700&amp;$D$3:$D$700,0))</f>
        <v>279.44065955275357</v>
      </c>
      <c r="T157">
        <f t="array" ref="T157">INDEX(I$3:I$700,MATCH($B157&amp;$C157&amp;"baseline",$B$3:$B$700&amp;$C$3:$C$700&amp;$D$3:$D$700,0))</f>
        <v>0.22916071533009946</v>
      </c>
      <c r="U157">
        <f t="array" ref="U157">INDEX(J$3:J$700,MATCH($B157&amp;$C157&amp;"baseline",$B$3:$B$700&amp;$C$3:$C$700&amp;$D$3:$D$700,0))</f>
        <v>0</v>
      </c>
      <c r="V157">
        <f t="array" ref="V157">INDEX(K$3:K$700,MATCH($B157&amp;$C157&amp;"baseline",$B$3:$B$700&amp;$C$3:$C$700&amp;$D$3:$D$700,0))</f>
        <v>5.8426924673391563</v>
      </c>
      <c r="W157">
        <f t="array" ref="W157">INDEX(L$3:L$700,MATCH($B157&amp;$C157&amp;"baseline",$B$3:$B$700&amp;$C$3:$C$700&amp;$D$3:$D$700,0))</f>
        <v>57.202771682211207</v>
      </c>
      <c r="X157">
        <f t="array" ref="X157">INDEX(M$3:M$700,MATCH($B157&amp;$C157&amp;"baseline",$B$3:$B$700&amp;$C$3:$C$700&amp;$D$3:$D$700,0))</f>
        <v>6.3657767088535149</v>
      </c>
      <c r="Y157">
        <f t="array" ref="Y157">INDEX(N$3:N$700,MATCH($B157&amp;$C157&amp;"baseline",$B$3:$B$700&amp;$C$3:$C$700&amp;$D$3:$D$700,0))</f>
        <v>0</v>
      </c>
      <c r="Z157">
        <f t="array" ref="Z157">INDEX(O$3:O$700,MATCH($B157&amp;$C157&amp;"baseline",$B$3:$B$700&amp;$C$3:$C$700&amp;$D$3:$D$700,0))</f>
        <v>7.0682041188870803</v>
      </c>
      <c r="AA157">
        <f t="array" ref="AA157">INDEX(P$3:P$700,MATCH($B157&amp;$C157&amp;"baseline",$B$3:$B$700&amp;$C$3:$C$700&amp;$D$3:$D$700,0))</f>
        <v>5.3893527913600474</v>
      </c>
      <c r="AB157">
        <f t="array" ref="AB157">INDEX(Q$3:Q$700,MATCH($B157&amp;$C157&amp;"baseline",$B$3:$B$700&amp;$C$3:$C$700&amp;$D$3:$D$700,0))</f>
        <v>0</v>
      </c>
      <c r="AC157">
        <f t="shared" si="20"/>
        <v>361.5386180367347</v>
      </c>
      <c r="AD157">
        <f t="shared" si="21"/>
        <v>39.230412339998395</v>
      </c>
      <c r="AE157">
        <f t="shared" si="22"/>
        <v>2.0846378906412042</v>
      </c>
      <c r="AF157">
        <f t="shared" si="23"/>
        <v>11.427562138449542</v>
      </c>
      <c r="AG157">
        <f>(S157+V157+Y157)*constants!$O$2+(R157+T157+U157+W157+X157+Z157+AA157+AB157)*constants!$N$2</f>
        <v>13.238435362606044</v>
      </c>
      <c r="AH157">
        <f>((S157+V157+Y157)-(H157+K157+N157))*constants!$O$2</f>
        <v>0.63553267990797402</v>
      </c>
      <c r="AI157">
        <f>((R157+T157+U157+W157+X157+Z157+AA157+AB157)-(G157+I157+J157+L157+M157+O157+P157+Q157))*constants!$N$2</f>
        <v>0.23556408164245607</v>
      </c>
      <c r="AJ157">
        <f t="shared" si="24"/>
        <v>6.5800582749451966</v>
      </c>
      <c r="AK157">
        <f t="shared" si="25"/>
        <v>0.87109676155043014</v>
      </c>
      <c r="AL157">
        <f>COUNTIFS($B:$B,$B157,$AK:$AK,"&lt;"&amp;$AK157)+COUNTIFS($B$2:$B157,$B157,$AK$2:$AK157,$AK157)</f>
        <v>45</v>
      </c>
      <c r="AM157" s="191">
        <f>IF(AK157=0, "NA",IF(((sim_annual_output!F157/E157)/AK157)&lt;0,100,((sim_annual_output!F157/E157)/AK157)))</f>
        <v>6.55710860433663</v>
      </c>
      <c r="AN157">
        <f>(S157+V157)*constants!$F$2+(T157+U157+W157+X157+Y157+Z157+AA157+AB157)*constants!$G$2</f>
        <v>117407.8014460751</v>
      </c>
      <c r="AO157">
        <f>(AD157*constants!$F$2+AE157*constants!$G$2)</f>
        <v>8835.8787737175608</v>
      </c>
      <c r="AP157">
        <f t="shared" si="26"/>
        <v>7.5258020888636104</v>
      </c>
    </row>
    <row r="158" spans="1:42">
      <c r="A158">
        <f>sim_annual_output!B158</f>
        <v>7</v>
      </c>
      <c r="B158" t="str">
        <f>sim_annual_output!C158</f>
        <v>Hangar</v>
      </c>
      <c r="C158" t="str">
        <f>sim_annual_output!D158</f>
        <v>1980-2004</v>
      </c>
      <c r="D158" t="str">
        <f>sim_annual_output!E158</f>
        <v>payback_less_than_20</v>
      </c>
      <c r="E158" s="45">
        <f t="array" ref="E158">IFERROR(INDEX(baseline!$J$3:$J$201,MATCH($B158&amp;$C158,baseline!$C$3:$C$201&amp;baseline!$D$3:$D$201,0)),"NA")</f>
        <v>6423</v>
      </c>
      <c r="F158">
        <f>sim_annual_output!G158</f>
        <v>6276.5798484957804</v>
      </c>
      <c r="G158">
        <f>$E158/$F158^2*sim_annual_output!I158</f>
        <v>0</v>
      </c>
      <c r="H158">
        <f>$E158/$F158^2*sim_annual_output!J158</f>
        <v>125.37446139860228</v>
      </c>
      <c r="I158">
        <f>$E158/$F158^2*sim_annual_output!K158</f>
        <v>1.3713411976670775</v>
      </c>
      <c r="J158">
        <f>$E158/$F158^2*sim_annual_output!L158</f>
        <v>0</v>
      </c>
      <c r="K158">
        <f>$E158/$F158^2*sim_annual_output!M158</f>
        <v>5.8426924673391563</v>
      </c>
      <c r="L158">
        <f>$E158/$F158^2*sim_annual_output!N158</f>
        <v>40.04198546622677</v>
      </c>
      <c r="M158">
        <f>$E158/$F158^2*sim_annual_output!O158</f>
        <v>6.3657767088535149</v>
      </c>
      <c r="N158">
        <f>$E158/$F158^2*sim_annual_output!P158</f>
        <v>0</v>
      </c>
      <c r="O158">
        <f>$E158/$F158^2*sim_annual_output!Q158</f>
        <v>4.4224394964395684</v>
      </c>
      <c r="P158">
        <f>$E158/$F158^2*sim_annual_output!R158</f>
        <v>9.5106225729883184E-2</v>
      </c>
      <c r="Q158">
        <f>$E158/$F158^2*sim_annual_output!S158</f>
        <v>0</v>
      </c>
      <c r="R158">
        <f t="array" ref="R158">INDEX(G$3:G$700,MATCH($B158&amp;$C158&amp;"baseline",$B$3:$B$700&amp;$C$3:$C$700&amp;$D$3:$D$700,0))</f>
        <v>0</v>
      </c>
      <c r="S158">
        <f t="array" ref="S158">INDEX(H$3:H$700,MATCH($B158&amp;$C158&amp;"baseline",$B$3:$B$700&amp;$C$3:$C$700&amp;$D$3:$D$700,0))</f>
        <v>279.44065955275357</v>
      </c>
      <c r="T158">
        <f t="array" ref="T158">INDEX(I$3:I$700,MATCH($B158&amp;$C158&amp;"baseline",$B$3:$B$700&amp;$C$3:$C$700&amp;$D$3:$D$700,0))</f>
        <v>0.22916071533009946</v>
      </c>
      <c r="U158">
        <f t="array" ref="U158">INDEX(J$3:J$700,MATCH($B158&amp;$C158&amp;"baseline",$B$3:$B$700&amp;$C$3:$C$700&amp;$D$3:$D$700,0))</f>
        <v>0</v>
      </c>
      <c r="V158">
        <f t="array" ref="V158">INDEX(K$3:K$700,MATCH($B158&amp;$C158&amp;"baseline",$B$3:$B$700&amp;$C$3:$C$700&amp;$D$3:$D$700,0))</f>
        <v>5.8426924673391563</v>
      </c>
      <c r="W158">
        <f t="array" ref="W158">INDEX(L$3:L$700,MATCH($B158&amp;$C158&amp;"baseline",$B$3:$B$700&amp;$C$3:$C$700&amp;$D$3:$D$700,0))</f>
        <v>57.202771682211207</v>
      </c>
      <c r="X158">
        <f t="array" ref="X158">INDEX(M$3:M$700,MATCH($B158&amp;$C158&amp;"baseline",$B$3:$B$700&amp;$C$3:$C$700&amp;$D$3:$D$700,0))</f>
        <v>6.3657767088535149</v>
      </c>
      <c r="Y158">
        <f t="array" ref="Y158">INDEX(N$3:N$700,MATCH($B158&amp;$C158&amp;"baseline",$B$3:$B$700&amp;$C$3:$C$700&amp;$D$3:$D$700,0))</f>
        <v>0</v>
      </c>
      <c r="Z158">
        <f t="array" ref="Z158">INDEX(O$3:O$700,MATCH($B158&amp;$C158&amp;"baseline",$B$3:$B$700&amp;$C$3:$C$700&amp;$D$3:$D$700,0))</f>
        <v>7.0682041188870803</v>
      </c>
      <c r="AA158">
        <f t="array" ref="AA158">INDEX(P$3:P$700,MATCH($B158&amp;$C158&amp;"baseline",$B$3:$B$700&amp;$C$3:$C$700&amp;$D$3:$D$700,0))</f>
        <v>5.3893527913600474</v>
      </c>
      <c r="AB158">
        <f t="array" ref="AB158">INDEX(Q$3:Q$700,MATCH($B158&amp;$C158&amp;"baseline",$B$3:$B$700&amp;$C$3:$C$700&amp;$D$3:$D$700,0))</f>
        <v>0</v>
      </c>
      <c r="AC158">
        <f t="shared" si="20"/>
        <v>361.5386180367347</v>
      </c>
      <c r="AD158">
        <f t="shared" si="21"/>
        <v>154.06619815415127</v>
      </c>
      <c r="AE158">
        <f t="shared" si="22"/>
        <v>23.958616921725138</v>
      </c>
      <c r="AF158">
        <f t="shared" si="23"/>
        <v>49.2408849828009</v>
      </c>
      <c r="AG158">
        <f>(S158+V158+Y158)*constants!$O$2+(R158+T158+U158+W158+X158+Z158+AA158+AB158)*constants!$N$2</f>
        <v>13.238435362606044</v>
      </c>
      <c r="AH158">
        <f>((S158+V158+Y158)-(H158+K158+N158))*constants!$O$2</f>
        <v>2.4958724100972502</v>
      </c>
      <c r="AI158">
        <f>((R158+T158+U158+W158+X158+Z158+AA158+AB158)-(G158+I158+J158+L158+M158+O158+P158+Q158))*constants!$N$2</f>
        <v>2.7073237121549405</v>
      </c>
      <c r="AJ158">
        <f t="shared" si="24"/>
        <v>39.303709084454212</v>
      </c>
      <c r="AK158">
        <f t="shared" si="25"/>
        <v>5.2031961222521907</v>
      </c>
      <c r="AL158">
        <f>COUNTIFS($B:$B,$B158,$AK:$AK,"&lt;"&amp;$AK158)+COUNTIFS($B$2:$B158,$B158,$AK$2:$AK158,$AK158)</f>
        <v>68</v>
      </c>
      <c r="AM158" s="191">
        <f>IF(AK158=0, "NA",IF(((sim_annual_output!F158/E158)/AK158)&lt;0,100,((sim_annual_output!F158/E158)/AK158)))</f>
        <v>11.623336449890409</v>
      </c>
      <c r="AN158">
        <f>(S158+V158)*constants!$F$2+(T158+U158+W158+X158+Y158+Z158+AA158+AB158)*constants!$G$2</f>
        <v>117407.8014460751</v>
      </c>
      <c r="AO158">
        <f>(AD158*constants!$F$2+AE158*constants!$G$2)</f>
        <v>48421.84619149394</v>
      </c>
      <c r="AP158">
        <f t="shared" si="26"/>
        <v>41.242443513205458</v>
      </c>
    </row>
    <row r="159" spans="1:42">
      <c r="A159">
        <f>sim_annual_output!B159</f>
        <v>7</v>
      </c>
      <c r="B159" t="str">
        <f>sim_annual_output!C159</f>
        <v>Hangar</v>
      </c>
      <c r="C159" t="str">
        <f>sim_annual_output!D159</f>
        <v>1980-2004</v>
      </c>
      <c r="D159" t="str">
        <f>sim_annual_output!E159</f>
        <v>plug_loads_90_percent</v>
      </c>
      <c r="E159" s="45">
        <f t="array" ref="E159">IFERROR(INDEX(baseline!$J$3:$J$201,MATCH($B159&amp;$C159,baseline!$C$3:$C$201&amp;baseline!$D$3:$D$201,0)),"NA")</f>
        <v>6423</v>
      </c>
      <c r="F159">
        <f>sim_annual_output!G159</f>
        <v>6276.5798484957804</v>
      </c>
      <c r="G159">
        <f>$E159/$F159^2*sim_annual_output!I159</f>
        <v>0</v>
      </c>
      <c r="H159">
        <f>$E159/$F159^2*sim_annual_output!J159</f>
        <v>277.53400617026398</v>
      </c>
      <c r="I159">
        <f>$E159/$F159^2*sim_annual_output!K159</f>
        <v>0.3133976581194246</v>
      </c>
      <c r="J159">
        <f>$E159/$F159^2*sim_annual_output!L159</f>
        <v>0</v>
      </c>
      <c r="K159">
        <f>$E159/$F159^2*sim_annual_output!M159</f>
        <v>5.8426924673391563</v>
      </c>
      <c r="L159">
        <f>$E159/$F159^2*sim_annual_output!N159</f>
        <v>57.202771682211207</v>
      </c>
      <c r="M159">
        <f>$E159/$F159^2*sim_annual_output!O159</f>
        <v>6.3657767088535149</v>
      </c>
      <c r="N159">
        <f>$E159/$F159^2*sim_annual_output!P159</f>
        <v>0</v>
      </c>
      <c r="O159">
        <f>$E159/$F159^2*sim_annual_output!Q159</f>
        <v>7.12164476001149</v>
      </c>
      <c r="P159">
        <f>$E159/$F159^2*sim_annual_output!R159</f>
        <v>5.424225074127671</v>
      </c>
      <c r="Q159">
        <f>$E159/$F159^2*sim_annual_output!S159</f>
        <v>0</v>
      </c>
      <c r="R159">
        <f t="array" ref="R159">INDEX(G$3:G$700,MATCH($B159&amp;$C159&amp;"baseline",$B$3:$B$700&amp;$C$3:$C$700&amp;$D$3:$D$700,0))</f>
        <v>0</v>
      </c>
      <c r="S159">
        <f t="array" ref="S159">INDEX(H$3:H$700,MATCH($B159&amp;$C159&amp;"baseline",$B$3:$B$700&amp;$C$3:$C$700&amp;$D$3:$D$700,0))</f>
        <v>279.44065955275357</v>
      </c>
      <c r="T159">
        <f t="array" ref="T159">INDEX(I$3:I$700,MATCH($B159&amp;$C159&amp;"baseline",$B$3:$B$700&amp;$C$3:$C$700&amp;$D$3:$D$700,0))</f>
        <v>0.22916071533009946</v>
      </c>
      <c r="U159">
        <f t="array" ref="U159">INDEX(J$3:J$700,MATCH($B159&amp;$C159&amp;"baseline",$B$3:$B$700&amp;$C$3:$C$700&amp;$D$3:$D$700,0))</f>
        <v>0</v>
      </c>
      <c r="V159">
        <f t="array" ref="V159">INDEX(K$3:K$700,MATCH($B159&amp;$C159&amp;"baseline",$B$3:$B$700&amp;$C$3:$C$700&amp;$D$3:$D$700,0))</f>
        <v>5.8426924673391563</v>
      </c>
      <c r="W159">
        <f t="array" ref="W159">INDEX(L$3:L$700,MATCH($B159&amp;$C159&amp;"baseline",$B$3:$B$700&amp;$C$3:$C$700&amp;$D$3:$D$700,0))</f>
        <v>57.202771682211207</v>
      </c>
      <c r="X159">
        <f t="array" ref="X159">INDEX(M$3:M$700,MATCH($B159&amp;$C159&amp;"baseline",$B$3:$B$700&amp;$C$3:$C$700&amp;$D$3:$D$700,0))</f>
        <v>6.3657767088535149</v>
      </c>
      <c r="Y159">
        <f t="array" ref="Y159">INDEX(N$3:N$700,MATCH($B159&amp;$C159&amp;"baseline",$B$3:$B$700&amp;$C$3:$C$700&amp;$D$3:$D$700,0))</f>
        <v>0</v>
      </c>
      <c r="Z159">
        <f t="array" ref="Z159">INDEX(O$3:O$700,MATCH($B159&amp;$C159&amp;"baseline",$B$3:$B$700&amp;$C$3:$C$700&amp;$D$3:$D$700,0))</f>
        <v>7.0682041188870803</v>
      </c>
      <c r="AA159">
        <f t="array" ref="AA159">INDEX(P$3:P$700,MATCH($B159&amp;$C159&amp;"baseline",$B$3:$B$700&amp;$C$3:$C$700&amp;$D$3:$D$700,0))</f>
        <v>5.3893527913600474</v>
      </c>
      <c r="AB159">
        <f t="array" ref="AB159">INDEX(Q$3:Q$700,MATCH($B159&amp;$C159&amp;"baseline",$B$3:$B$700&amp;$C$3:$C$700&amp;$D$3:$D$700,0))</f>
        <v>0</v>
      </c>
      <c r="AC159">
        <f t="shared" si="20"/>
        <v>361.5386180367347</v>
      </c>
      <c r="AD159">
        <f t="shared" si="21"/>
        <v>1.9066533824895942</v>
      </c>
      <c r="AE159">
        <f t="shared" si="22"/>
        <v>-0.17254986668136496</v>
      </c>
      <c r="AF159">
        <f t="shared" si="23"/>
        <v>0.47964544568570344</v>
      </c>
      <c r="AG159">
        <f>(S159+V159+Y159)*constants!$O$2+(R159+T159+U159+W159+X159+Z159+AA159+AB159)*constants!$N$2</f>
        <v>13.238435362606044</v>
      </c>
      <c r="AH159">
        <f>((S159+V159+Y159)-(H159+K159+N159))*constants!$O$2</f>
        <v>3.0887784796331422E-2</v>
      </c>
      <c r="AI159">
        <f>((R159+T159+U159+W159+X159+Z159+AA159+AB159)-(G159+I159+J159+L159+M159+O159+P159+Q159))*constants!$N$2</f>
        <v>-1.9498134934994242E-2</v>
      </c>
      <c r="AJ159">
        <f t="shared" si="24"/>
        <v>8.6034712935253374E-2</v>
      </c>
      <c r="AK159">
        <f t="shared" si="25"/>
        <v>1.138964986133718E-2</v>
      </c>
      <c r="AL159">
        <f>COUNTIFS($B:$B,$B159,$AK:$AK,"&lt;"&amp;$AK159)+COUNTIFS($B$2:$B159,$B159,$AK$2:$AK159,$AK159)</f>
        <v>10</v>
      </c>
      <c r="AM159" s="191">
        <f>IF(AK159=0, "NA",IF(((sim_annual_output!F159/E159)/AK159)&lt;0,100,((sim_annual_output!F159/E159)/AK159)))</f>
        <v>289.96529174779283</v>
      </c>
      <c r="AN159">
        <f>(S159+V159)*constants!$F$2+(T159+U159+W159+X159+Y159+Z159+AA159+AB159)*constants!$G$2</f>
        <v>117407.8014460751</v>
      </c>
      <c r="AO159">
        <f>(AD159*constants!$F$2+AE159*constants!$G$2)</f>
        <v>191.17257145284984</v>
      </c>
      <c r="AP159">
        <f t="shared" si="26"/>
        <v>0.16282782668463014</v>
      </c>
    </row>
    <row r="160" spans="1:42">
      <c r="A160">
        <f>sim_annual_output!B160</f>
        <v>7</v>
      </c>
      <c r="B160" t="str">
        <f>sim_annual_output!C160</f>
        <v>Hangar</v>
      </c>
      <c r="C160" t="str">
        <f>sim_annual_output!D160</f>
        <v>1980-2004</v>
      </c>
      <c r="D160" t="str">
        <f>sim_annual_output!E160</f>
        <v>pumps_to_variable</v>
      </c>
      <c r="E160" s="45">
        <f t="array" ref="E160">IFERROR(INDEX(baseline!$J$3:$J$201,MATCH($B160&amp;$C160,baseline!$C$3:$C$201&amp;baseline!$D$3:$D$201,0)),"NA")</f>
        <v>6423</v>
      </c>
      <c r="F160">
        <f>sim_annual_output!G160</f>
        <v>6276.5798484957804</v>
      </c>
      <c r="G160">
        <f>$E160/$F160^2*sim_annual_output!I160</f>
        <v>0</v>
      </c>
      <c r="H160">
        <f>$E160/$F160^2*sim_annual_output!J160</f>
        <v>277.49958677428555</v>
      </c>
      <c r="I160">
        <f>$E160/$F160^2*sim_annual_output!K160</f>
        <v>0.32154962032484313</v>
      </c>
      <c r="J160">
        <f>$E160/$F160^2*sim_annual_output!L160</f>
        <v>0</v>
      </c>
      <c r="K160">
        <f>$E160/$F160^2*sim_annual_output!M160</f>
        <v>5.8589963917499945</v>
      </c>
      <c r="L160">
        <f>$E160/$F160^2*sim_annual_output!N160</f>
        <v>57.202771682211207</v>
      </c>
      <c r="M160">
        <f>$E160/$F160^2*sim_annual_output!O160</f>
        <v>6.3657767088535149</v>
      </c>
      <c r="N160">
        <f>$E160/$F160^2*sim_annual_output!P160</f>
        <v>0</v>
      </c>
      <c r="O160">
        <f>$E160/$F160^2*sim_annual_output!Q160</f>
        <v>7.116663005330401</v>
      </c>
      <c r="P160">
        <f>$E160/$F160^2*sim_annual_output!R160</f>
        <v>5.4015807346681743</v>
      </c>
      <c r="Q160">
        <f>$E160/$F160^2*sim_annual_output!S160</f>
        <v>0</v>
      </c>
      <c r="R160">
        <f t="array" ref="R160">INDEX(G$3:G$700,MATCH($B160&amp;$C160&amp;"baseline",$B$3:$B$700&amp;$C$3:$C$700&amp;$D$3:$D$700,0))</f>
        <v>0</v>
      </c>
      <c r="S160">
        <f t="array" ref="S160">INDEX(H$3:H$700,MATCH($B160&amp;$C160&amp;"baseline",$B$3:$B$700&amp;$C$3:$C$700&amp;$D$3:$D$700,0))</f>
        <v>279.44065955275357</v>
      </c>
      <c r="T160">
        <f t="array" ref="T160">INDEX(I$3:I$700,MATCH($B160&amp;$C160&amp;"baseline",$B$3:$B$700&amp;$C$3:$C$700&amp;$D$3:$D$700,0))</f>
        <v>0.22916071533009946</v>
      </c>
      <c r="U160">
        <f t="array" ref="U160">INDEX(J$3:J$700,MATCH($B160&amp;$C160&amp;"baseline",$B$3:$B$700&amp;$C$3:$C$700&amp;$D$3:$D$700,0))</f>
        <v>0</v>
      </c>
      <c r="V160">
        <f t="array" ref="V160">INDEX(K$3:K$700,MATCH($B160&amp;$C160&amp;"baseline",$B$3:$B$700&amp;$C$3:$C$700&amp;$D$3:$D$700,0))</f>
        <v>5.8426924673391563</v>
      </c>
      <c r="W160">
        <f t="array" ref="W160">INDEX(L$3:L$700,MATCH($B160&amp;$C160&amp;"baseline",$B$3:$B$700&amp;$C$3:$C$700&amp;$D$3:$D$700,0))</f>
        <v>57.202771682211207</v>
      </c>
      <c r="X160">
        <f t="array" ref="X160">INDEX(M$3:M$700,MATCH($B160&amp;$C160&amp;"baseline",$B$3:$B$700&amp;$C$3:$C$700&amp;$D$3:$D$700,0))</f>
        <v>6.3657767088535149</v>
      </c>
      <c r="Y160">
        <f t="array" ref="Y160">INDEX(N$3:N$700,MATCH($B160&amp;$C160&amp;"baseline",$B$3:$B$700&amp;$C$3:$C$700&amp;$D$3:$D$700,0))</f>
        <v>0</v>
      </c>
      <c r="Z160">
        <f t="array" ref="Z160">INDEX(O$3:O$700,MATCH($B160&amp;$C160&amp;"baseline",$B$3:$B$700&amp;$C$3:$C$700&amp;$D$3:$D$700,0))</f>
        <v>7.0682041188870803</v>
      </c>
      <c r="AA160">
        <f t="array" ref="AA160">INDEX(P$3:P$700,MATCH($B160&amp;$C160&amp;"baseline",$B$3:$B$700&amp;$C$3:$C$700&amp;$D$3:$D$700,0))</f>
        <v>5.3893527913600474</v>
      </c>
      <c r="AB160">
        <f t="array" ref="AB160">INDEX(Q$3:Q$700,MATCH($B160&amp;$C160&amp;"baseline",$B$3:$B$700&amp;$C$3:$C$700&amp;$D$3:$D$700,0))</f>
        <v>0</v>
      </c>
      <c r="AC160">
        <f t="shared" si="20"/>
        <v>361.5386180367347</v>
      </c>
      <c r="AD160">
        <f t="shared" si="21"/>
        <v>1.924768854057163</v>
      </c>
      <c r="AE160">
        <f t="shared" si="22"/>
        <v>-0.15307573474618152</v>
      </c>
      <c r="AF160">
        <f t="shared" si="23"/>
        <v>0.49004256555822923</v>
      </c>
      <c r="AG160">
        <f>(S160+V160+Y160)*constants!$O$2+(R160+T160+U160+W160+X160+Z160+AA160+AB160)*constants!$N$2</f>
        <v>13.238435362606044</v>
      </c>
      <c r="AH160">
        <f>((S160+V160+Y160)-(H160+K160+N160))*constants!$O$2</f>
        <v>3.118125543572604E-2</v>
      </c>
      <c r="AI160">
        <f>((R160+T160+U160+W160+X160+Z160+AA160+AB160)-(G160+I160+J160+L160+M160+O160+P160+Q160))*constants!$N$2</f>
        <v>-1.7297558026318514E-2</v>
      </c>
      <c r="AJ160">
        <f t="shared" si="24"/>
        <v>0.10487415641748815</v>
      </c>
      <c r="AK160">
        <f t="shared" si="25"/>
        <v>1.3883697409407526E-2</v>
      </c>
      <c r="AL160">
        <f>COUNTIFS($B:$B,$B160,$AK:$AK,"&lt;"&amp;$AK160)+COUNTIFS($B$2:$B160,$B160,$AK$2:$AK160,$AK160)</f>
        <v>12</v>
      </c>
      <c r="AM160" s="191">
        <f>IF(AK160=0, "NA",IF(((sim_annual_output!F160/E160)/AK160)&lt;0,100,((sim_annual_output!F160/E160)/AK160)))</f>
        <v>38.410321763174927</v>
      </c>
      <c r="AN160">
        <f>(S160+V160)*constants!$F$2+(T160+U160+W160+X160+Y160+Z160+AA160+AB160)*constants!$G$2</f>
        <v>117407.8014460751</v>
      </c>
      <c r="AO160">
        <f>(AD160*constants!$F$2+AE160*constants!$G$2)</f>
        <v>211.35773564705426</v>
      </c>
      <c r="AP160">
        <f t="shared" si="26"/>
        <v>0.18002018012757862</v>
      </c>
    </row>
    <row r="161" spans="1:42">
      <c r="A161">
        <f>sim_annual_output!B161</f>
        <v>7</v>
      </c>
      <c r="B161" t="str">
        <f>sim_annual_output!C161</f>
        <v>Hangar</v>
      </c>
      <c r="C161" t="str">
        <f>sim_annual_output!D161</f>
        <v>1980-2004</v>
      </c>
      <c r="D161" t="str">
        <f>sim_annual_output!E161</f>
        <v>pump_fan_eff_</v>
      </c>
      <c r="E161" s="45">
        <f t="array" ref="E161">IFERROR(INDEX(baseline!$J$3:$J$201,MATCH($B161&amp;$C161,baseline!$C$3:$C$201&amp;baseline!$D$3:$D$201,0)),"NA")</f>
        <v>6423</v>
      </c>
      <c r="F161">
        <f>sim_annual_output!G161</f>
        <v>6276.5798484957804</v>
      </c>
      <c r="G161">
        <f>$E161/$F161^2*sim_annual_output!I161</f>
        <v>0</v>
      </c>
      <c r="H161">
        <f>$E161/$F161^2*sim_annual_output!J161</f>
        <v>277.49958677428555</v>
      </c>
      <c r="I161">
        <f>$E161/$F161^2*sim_annual_output!K161</f>
        <v>0.32154962032484313</v>
      </c>
      <c r="J161">
        <f>$E161/$F161^2*sim_annual_output!L161</f>
        <v>0</v>
      </c>
      <c r="K161">
        <f>$E161/$F161^2*sim_annual_output!M161</f>
        <v>5.8426924673391563</v>
      </c>
      <c r="L161">
        <f>$E161/$F161^2*sim_annual_output!N161</f>
        <v>57.202771682211207</v>
      </c>
      <c r="M161">
        <f>$E161/$F161^2*sim_annual_output!O161</f>
        <v>6.3657767088535149</v>
      </c>
      <c r="N161">
        <f>$E161/$F161^2*sim_annual_output!P161</f>
        <v>0</v>
      </c>
      <c r="O161">
        <f>$E161/$F161^2*sim_annual_output!Q161</f>
        <v>7.116663005330401</v>
      </c>
      <c r="P161">
        <f>$E161/$F161^2*sim_annual_output!R161</f>
        <v>4.2376616864500809</v>
      </c>
      <c r="Q161">
        <f>$E161/$F161^2*sim_annual_output!S161</f>
        <v>0</v>
      </c>
      <c r="R161">
        <f t="array" ref="R161">INDEX(G$3:G$700,MATCH($B161&amp;$C161&amp;"baseline",$B$3:$B$700&amp;$C$3:$C$700&amp;$D$3:$D$700,0))</f>
        <v>0</v>
      </c>
      <c r="S161">
        <f t="array" ref="S161">INDEX(H$3:H$700,MATCH($B161&amp;$C161&amp;"baseline",$B$3:$B$700&amp;$C$3:$C$700&amp;$D$3:$D$700,0))</f>
        <v>279.44065955275357</v>
      </c>
      <c r="T161">
        <f t="array" ref="T161">INDEX(I$3:I$700,MATCH($B161&amp;$C161&amp;"baseline",$B$3:$B$700&amp;$C$3:$C$700&amp;$D$3:$D$700,0))</f>
        <v>0.22916071533009946</v>
      </c>
      <c r="U161">
        <f t="array" ref="U161">INDEX(J$3:J$700,MATCH($B161&amp;$C161&amp;"baseline",$B$3:$B$700&amp;$C$3:$C$700&amp;$D$3:$D$700,0))</f>
        <v>0</v>
      </c>
      <c r="V161">
        <f t="array" ref="V161">INDEX(K$3:K$700,MATCH($B161&amp;$C161&amp;"baseline",$B$3:$B$700&amp;$C$3:$C$700&amp;$D$3:$D$700,0))</f>
        <v>5.8426924673391563</v>
      </c>
      <c r="W161">
        <f t="array" ref="W161">INDEX(L$3:L$700,MATCH($B161&amp;$C161&amp;"baseline",$B$3:$B$700&amp;$C$3:$C$700&amp;$D$3:$D$700,0))</f>
        <v>57.202771682211207</v>
      </c>
      <c r="X161">
        <f t="array" ref="X161">INDEX(M$3:M$700,MATCH($B161&amp;$C161&amp;"baseline",$B$3:$B$700&amp;$C$3:$C$700&amp;$D$3:$D$700,0))</f>
        <v>6.3657767088535149</v>
      </c>
      <c r="Y161">
        <f t="array" ref="Y161">INDEX(N$3:N$700,MATCH($B161&amp;$C161&amp;"baseline",$B$3:$B$700&amp;$C$3:$C$700&amp;$D$3:$D$700,0))</f>
        <v>0</v>
      </c>
      <c r="Z161">
        <f t="array" ref="Z161">INDEX(O$3:O$700,MATCH($B161&amp;$C161&amp;"baseline",$B$3:$B$700&amp;$C$3:$C$700&amp;$D$3:$D$700,0))</f>
        <v>7.0682041188870803</v>
      </c>
      <c r="AA161">
        <f t="array" ref="AA161">INDEX(P$3:P$700,MATCH($B161&amp;$C161&amp;"baseline",$B$3:$B$700&amp;$C$3:$C$700&amp;$D$3:$D$700,0))</f>
        <v>5.3893527913600474</v>
      </c>
      <c r="AB161">
        <f t="array" ref="AB161">INDEX(Q$3:Q$700,MATCH($B161&amp;$C161&amp;"baseline",$B$3:$B$700&amp;$C$3:$C$700&amp;$D$3:$D$700,0))</f>
        <v>0</v>
      </c>
      <c r="AC161">
        <f t="shared" si="20"/>
        <v>361.5386180367347</v>
      </c>
      <c r="AD161">
        <f t="shared" si="21"/>
        <v>1.9410727784680262</v>
      </c>
      <c r="AE161">
        <f t="shared" si="22"/>
        <v>1.0108433134719093</v>
      </c>
      <c r="AF161">
        <f t="shared" si="23"/>
        <v>0.81648707625474226</v>
      </c>
      <c r="AG161">
        <f>(S161+V161+Y161)*constants!$O$2+(R161+T161+U161+W161+X161+Z161+AA161+AB161)*constants!$N$2</f>
        <v>13.238435362606044</v>
      </c>
      <c r="AH161">
        <f>((S161+V161+Y161)-(H161+K161+N161))*constants!$O$2</f>
        <v>3.1445379011182023E-2</v>
      </c>
      <c r="AI161">
        <f>((R161+T161+U161+W161+X161+Z161+AA161+AB161)-(G161+I161+J161+L161+M161+O161+P161+Q161))*constants!$N$2</f>
        <v>0.11422529442232575</v>
      </c>
      <c r="AJ161">
        <f t="shared" si="24"/>
        <v>1.1003617077360708</v>
      </c>
      <c r="AK161">
        <f t="shared" si="25"/>
        <v>0.14567067343350776</v>
      </c>
      <c r="AL161">
        <f>COUNTIFS($B:$B,$B161,$AK:$AK,"&lt;"&amp;$AK161)+COUNTIFS($B$2:$B161,$B161,$AK$2:$AK161,$AK161)</f>
        <v>32</v>
      </c>
      <c r="AM161" s="191">
        <f>IF(AK161=0, "NA",IF(((sim_annual_output!F161/E161)/AK161)&lt;0,100,((sim_annual_output!F161/E161)/AK161)))</f>
        <v>7.113121010557129</v>
      </c>
      <c r="AN161">
        <f>(S161+V161)*constants!$F$2+(T161+U161+W161+X161+Y161+Z161+AA161+AB161)*constants!$G$2</f>
        <v>117407.8014460751</v>
      </c>
      <c r="AO161">
        <f>(AD161*constants!$F$2+AE161*constants!$G$2)</f>
        <v>1226.8857100663377</v>
      </c>
      <c r="AP161">
        <f t="shared" si="26"/>
        <v>1.0449780124959083</v>
      </c>
    </row>
    <row r="162" spans="1:42">
      <c r="A162">
        <f>sim_annual_output!B162</f>
        <v>10</v>
      </c>
      <c r="B162" t="str">
        <f>sim_annual_output!C162</f>
        <v>Maintenance Shop-Small</v>
      </c>
      <c r="C162" t="str">
        <f>sim_annual_output!D162</f>
        <v>1959-pre</v>
      </c>
      <c r="D162" t="str">
        <f>sim_annual_output!E162</f>
        <v>air_temp_reset_enabled</v>
      </c>
      <c r="E162" s="45">
        <f t="array" ref="E162">IFERROR(INDEX(baseline!$J$3:$J$201,MATCH($B162&amp;$C162,baseline!$C$3:$C$201&amp;baseline!$D$3:$D$201,0)),"NA")</f>
        <v>927</v>
      </c>
      <c r="F162">
        <f>sim_annual_output!G162</f>
        <v>923.71795399999996</v>
      </c>
      <c r="G162">
        <f>$E162/$F162^2*sim_annual_output!I162</f>
        <v>0</v>
      </c>
      <c r="H162">
        <f>$E162/$F162^2*sim_annual_output!J162</f>
        <v>772.76480865116059</v>
      </c>
      <c r="I162">
        <f>$E162/$F162^2*sim_annual_output!K162</f>
        <v>8.0184488900670683</v>
      </c>
      <c r="J162">
        <f>$E162/$F162^2*sim_annual_output!L162</f>
        <v>0</v>
      </c>
      <c r="K162">
        <f>$E162/$F162^2*sim_annual_output!M162</f>
        <v>4.8406443431191484</v>
      </c>
      <c r="L162">
        <f>$E162/$F162^2*sim_annual_output!N162</f>
        <v>55.142302641816137</v>
      </c>
      <c r="M162">
        <f>$E162/$F162^2*sim_annual_output!O162</f>
        <v>6.60609131364577</v>
      </c>
      <c r="N162">
        <f>$E162/$F162^2*sim_annual_output!P162</f>
        <v>0</v>
      </c>
      <c r="O162">
        <f>$E162/$F162^2*sim_annual_output!Q162</f>
        <v>28.292419399465096</v>
      </c>
      <c r="P162">
        <f>$E162/$F162^2*sim_annual_output!R162</f>
        <v>41.49554845254881</v>
      </c>
      <c r="Q162">
        <f>$E162/$F162^2*sim_annual_output!S162</f>
        <v>0</v>
      </c>
      <c r="R162">
        <f t="array" ref="R162">INDEX(G$3:G$700,MATCH($B162&amp;$C162&amp;"baseline",$B$3:$B$700&amp;$C$3:$C$700&amp;$D$3:$D$700,0))</f>
        <v>0</v>
      </c>
      <c r="S162">
        <f t="array" ref="S162">INDEX(H$3:H$700,MATCH($B162&amp;$C162&amp;"baseline",$B$3:$B$700&amp;$C$3:$C$700&amp;$D$3:$D$700,0))</f>
        <v>757.1413574265174</v>
      </c>
      <c r="T162">
        <f t="array" ref="T162">INDEX(I$3:I$700,MATCH($B162&amp;$C162&amp;"baseline",$B$3:$B$700&amp;$C$3:$C$700&amp;$D$3:$D$700,0))</f>
        <v>0.8781966981593966</v>
      </c>
      <c r="U162">
        <f t="array" ref="U162">INDEX(J$3:J$700,MATCH($B162&amp;$C162&amp;"baseline",$B$3:$B$700&amp;$C$3:$C$700&amp;$D$3:$D$700,0))</f>
        <v>0</v>
      </c>
      <c r="V162">
        <f t="array" ref="V162">INDEX(K$3:K$700,MATCH($B162&amp;$C162&amp;"baseline",$B$3:$B$700&amp;$C$3:$C$700&amp;$D$3:$D$700,0))</f>
        <v>4.8406443431191484</v>
      </c>
      <c r="W162">
        <f t="array" ref="W162">INDEX(L$3:L$700,MATCH($B162&amp;$C162&amp;"baseline",$B$3:$B$700&amp;$C$3:$C$700&amp;$D$3:$D$700,0))</f>
        <v>55.142302641816137</v>
      </c>
      <c r="X162">
        <f t="array" ref="X162">INDEX(M$3:M$700,MATCH($B162&amp;$C162&amp;"baseline",$B$3:$B$700&amp;$C$3:$C$700&amp;$D$3:$D$700,0))</f>
        <v>6.60609131364577</v>
      </c>
      <c r="Y162">
        <f t="array" ref="Y162">INDEX(N$3:N$700,MATCH($B162&amp;$C162&amp;"baseline",$B$3:$B$700&amp;$C$3:$C$700&amp;$D$3:$D$700,0))</f>
        <v>0</v>
      </c>
      <c r="Z162">
        <f t="array" ref="Z162">INDEX(O$3:O$700,MATCH($B162&amp;$C162&amp;"baseline",$B$3:$B$700&amp;$C$3:$C$700&amp;$D$3:$D$700,0))</f>
        <v>27.148651191209389</v>
      </c>
      <c r="AA162">
        <f t="array" ref="AA162">INDEX(P$3:P$700,MATCH($B162&amp;$C162&amp;"baseline",$B$3:$B$700&amp;$C$3:$C$700&amp;$D$3:$D$700,0))</f>
        <v>40.744101793299016</v>
      </c>
      <c r="AB162">
        <f t="array" ref="AB162">INDEX(Q$3:Q$700,MATCH($B162&amp;$C162&amp;"baseline",$B$3:$B$700&amp;$C$3:$C$700&amp;$D$3:$D$700,0))</f>
        <v>0</v>
      </c>
      <c r="AC162">
        <f t="shared" si="20"/>
        <v>892.50134540776628</v>
      </c>
      <c r="AD162">
        <f t="shared" si="21"/>
        <v>-15.62345122464319</v>
      </c>
      <c r="AE162">
        <f t="shared" si="22"/>
        <v>-9.0354670594131505</v>
      </c>
      <c r="AF162">
        <f t="shared" si="23"/>
        <v>-2.7628998444579564</v>
      </c>
      <c r="AG162">
        <f>(S162+V162+Y162)*constants!$O$2+(R162+T162+U162+W162+X162+Z162+AA162+AB162)*constants!$N$2</f>
        <v>27.09279425977677</v>
      </c>
      <c r="AH162">
        <f>((S162+V162+Y162)-(H162+K162+N162))*constants!$O$2</f>
        <v>-0.25309990983921965</v>
      </c>
      <c r="AI162">
        <f>((R162+T162+U162+W162+X162+Z162+AA162+AB162)-(G162+I162+J162+L162+M162+O162+P162+Q162))*constants!$N$2</f>
        <v>-1.0210077777136861</v>
      </c>
      <c r="AJ162">
        <f t="shared" si="24"/>
        <v>-4.7027548186290469</v>
      </c>
      <c r="AK162">
        <f t="shared" si="25"/>
        <v>-1.2741076875529058</v>
      </c>
      <c r="AL162">
        <f>COUNTIFS($B:$B,$B162,$AK:$AK,"&lt;"&amp;$AK162)+COUNTIFS($B$2:$B162,$B162,$AK$2:$AK162,$AK162)</f>
        <v>1</v>
      </c>
      <c r="AM162" s="191">
        <f>IF(AK162=0, "NA",IF(((sim_annual_output!F162/E162)/AK162)&lt;0,100,((sim_annual_output!F162/E162)/AK162)))</f>
        <v>100</v>
      </c>
      <c r="AN162">
        <f>(S162+V162)*constants!$F$2+(T162+U162+W162+X162+Y162+Z162+AA162+AB162)*constants!$G$2</f>
        <v>249946.60728193779</v>
      </c>
      <c r="AO162">
        <f>(AD162*constants!$F$2+AE162*constants!$G$2)</f>
        <v>-10657.454110900573</v>
      </c>
      <c r="AP162">
        <f t="shared" si="26"/>
        <v>-4.2638922875552581</v>
      </c>
    </row>
    <row r="163" spans="1:42">
      <c r="A163">
        <f>sim_annual_output!B163</f>
        <v>10</v>
      </c>
      <c r="B163" t="str">
        <f>sim_annual_output!C163</f>
        <v>Maintenance Shop-Small</v>
      </c>
      <c r="C163" t="str">
        <f>sim_annual_output!D163</f>
        <v>1959-pre</v>
      </c>
      <c r="D163" t="str">
        <f>sim_annual_output!E163</f>
        <v>baseline</v>
      </c>
      <c r="E163" s="45">
        <f t="array" ref="E163">IFERROR(INDEX(baseline!$J$3:$J$201,MATCH($B163&amp;$C163,baseline!$C$3:$C$201&amp;baseline!$D$3:$D$201,0)),"NA")</f>
        <v>927</v>
      </c>
      <c r="F163">
        <f>sim_annual_output!G163</f>
        <v>923.71795399999996</v>
      </c>
      <c r="G163">
        <f>$E163/$F163^2*sim_annual_output!I163</f>
        <v>0</v>
      </c>
      <c r="H163">
        <f>$E163/$F163^2*sim_annual_output!J163</f>
        <v>757.1413574265174</v>
      </c>
      <c r="I163">
        <f>$E163/$F163^2*sim_annual_output!K163</f>
        <v>0.8781966981593966</v>
      </c>
      <c r="J163">
        <f>$E163/$F163^2*sim_annual_output!L163</f>
        <v>0</v>
      </c>
      <c r="K163">
        <f>$E163/$F163^2*sim_annual_output!M163</f>
        <v>4.8406443431191484</v>
      </c>
      <c r="L163">
        <f>$E163/$F163^2*sim_annual_output!N163</f>
        <v>55.142302641816137</v>
      </c>
      <c r="M163">
        <f>$E163/$F163^2*sim_annual_output!O163</f>
        <v>6.60609131364577</v>
      </c>
      <c r="N163">
        <f>$E163/$F163^2*sim_annual_output!P163</f>
        <v>0</v>
      </c>
      <c r="O163">
        <f>$E163/$F163^2*sim_annual_output!Q163</f>
        <v>27.148651191209389</v>
      </c>
      <c r="P163">
        <f>$E163/$F163^2*sim_annual_output!R163</f>
        <v>40.744101793299016</v>
      </c>
      <c r="Q163">
        <f>$E163/$F163^2*sim_annual_output!S163</f>
        <v>0</v>
      </c>
      <c r="R163">
        <f t="array" ref="R163">INDEX(G$3:G$700,MATCH($B163&amp;$C163&amp;"baseline",$B$3:$B$700&amp;$C$3:$C$700&amp;$D$3:$D$700,0))</f>
        <v>0</v>
      </c>
      <c r="S163">
        <f t="array" ref="S163">INDEX(H$3:H$700,MATCH($B163&amp;$C163&amp;"baseline",$B$3:$B$700&amp;$C$3:$C$700&amp;$D$3:$D$700,0))</f>
        <v>757.1413574265174</v>
      </c>
      <c r="T163">
        <f t="array" ref="T163">INDEX(I$3:I$700,MATCH($B163&amp;$C163&amp;"baseline",$B$3:$B$700&amp;$C$3:$C$700&amp;$D$3:$D$700,0))</f>
        <v>0.8781966981593966</v>
      </c>
      <c r="U163">
        <f t="array" ref="U163">INDEX(J$3:J$700,MATCH($B163&amp;$C163&amp;"baseline",$B$3:$B$700&amp;$C$3:$C$700&amp;$D$3:$D$700,0))</f>
        <v>0</v>
      </c>
      <c r="V163">
        <f t="array" ref="V163">INDEX(K$3:K$700,MATCH($B163&amp;$C163&amp;"baseline",$B$3:$B$700&amp;$C$3:$C$700&amp;$D$3:$D$700,0))</f>
        <v>4.8406443431191484</v>
      </c>
      <c r="W163">
        <f t="array" ref="W163">INDEX(L$3:L$700,MATCH($B163&amp;$C163&amp;"baseline",$B$3:$B$700&amp;$C$3:$C$700&amp;$D$3:$D$700,0))</f>
        <v>55.142302641816137</v>
      </c>
      <c r="X163">
        <f t="array" ref="X163">INDEX(M$3:M$700,MATCH($B163&amp;$C163&amp;"baseline",$B$3:$B$700&amp;$C$3:$C$700&amp;$D$3:$D$700,0))</f>
        <v>6.60609131364577</v>
      </c>
      <c r="Y163">
        <f t="array" ref="Y163">INDEX(N$3:N$700,MATCH($B163&amp;$C163&amp;"baseline",$B$3:$B$700&amp;$C$3:$C$700&amp;$D$3:$D$700,0))</f>
        <v>0</v>
      </c>
      <c r="Z163">
        <f t="array" ref="Z163">INDEX(O$3:O$700,MATCH($B163&amp;$C163&amp;"baseline",$B$3:$B$700&amp;$C$3:$C$700&amp;$D$3:$D$700,0))</f>
        <v>27.148651191209389</v>
      </c>
      <c r="AA163">
        <f t="array" ref="AA163">INDEX(P$3:P$700,MATCH($B163&amp;$C163&amp;"baseline",$B$3:$B$700&amp;$C$3:$C$700&amp;$D$3:$D$700,0))</f>
        <v>40.744101793299016</v>
      </c>
      <c r="AB163">
        <f t="array" ref="AB163">INDEX(Q$3:Q$700,MATCH($B163&amp;$C163&amp;"baseline",$B$3:$B$700&amp;$C$3:$C$700&amp;$D$3:$D$700,0))</f>
        <v>0</v>
      </c>
      <c r="AC163">
        <f t="shared" si="20"/>
        <v>892.50134540776628</v>
      </c>
      <c r="AD163">
        <f t="shared" si="21"/>
        <v>0</v>
      </c>
      <c r="AE163">
        <f t="shared" si="22"/>
        <v>0</v>
      </c>
      <c r="AF163">
        <f t="shared" si="23"/>
        <v>0</v>
      </c>
      <c r="AG163">
        <f>(S163+V163+Y163)*constants!$O$2+(R163+T163+U163+W163+X163+Z163+AA163+AB163)*constants!$N$2</f>
        <v>27.09279425977677</v>
      </c>
      <c r="AH163">
        <f>((S163+V163+Y163)-(H163+K163+N163))*constants!$O$2</f>
        <v>0</v>
      </c>
      <c r="AI163">
        <f>((R163+T163+U163+W163+X163+Z163+AA163+AB163)-(G163+I163+J163+L163+M163+O163+P163+Q163))*constants!$N$2</f>
        <v>0</v>
      </c>
      <c r="AJ163">
        <f t="shared" si="24"/>
        <v>0</v>
      </c>
      <c r="AK163">
        <f t="shared" si="25"/>
        <v>0</v>
      </c>
      <c r="AL163">
        <f>COUNTIFS($B:$B,$B163,$AK:$AK,"&lt;"&amp;$AK163)+COUNTIFS($B$2:$B163,$B163,$AK$2:$AK163,$AK163)</f>
        <v>17</v>
      </c>
      <c r="AM163" s="191" t="str">
        <f>IF(AK163=0, "NA",IF(((sim_annual_output!F163/E163)/AK163)&lt;0,100,((sim_annual_output!F163/E163)/AK163)))</f>
        <v>NA</v>
      </c>
      <c r="AN163">
        <f>(S163+V163)*constants!$F$2+(T163+U163+W163+X163+Y163+Z163+AA163+AB163)*constants!$G$2</f>
        <v>249946.60728193779</v>
      </c>
      <c r="AO163">
        <f>(AD163*constants!$F$2+AE163*constants!$G$2)</f>
        <v>0</v>
      </c>
      <c r="AP163">
        <f t="shared" si="26"/>
        <v>0</v>
      </c>
    </row>
    <row r="164" spans="1:42">
      <c r="A164">
        <f>sim_annual_output!B164</f>
        <v>10</v>
      </c>
      <c r="B164" t="str">
        <f>sim_annual_output!C164</f>
        <v>Maintenance Shop-Small</v>
      </c>
      <c r="C164" t="str">
        <f>sim_annual_output!D164</f>
        <v>1959-pre</v>
      </c>
      <c r="D164" t="str">
        <f>sim_annual_output!E164</f>
        <v>boiler_eff_upgrade</v>
      </c>
      <c r="E164" s="45">
        <f t="array" ref="E164">IFERROR(INDEX(baseline!$J$3:$J$201,MATCH($B164&amp;$C164,baseline!$C$3:$C$201&amp;baseline!$D$3:$D$201,0)),"NA")</f>
        <v>927</v>
      </c>
      <c r="F164">
        <f>sim_annual_output!G164</f>
        <v>923.71795399999996</v>
      </c>
      <c r="G164">
        <f>$E164/$F164^2*sim_annual_output!I164</f>
        <v>0</v>
      </c>
      <c r="H164">
        <f>$E164/$F164^2*sim_annual_output!J164</f>
        <v>752.54515958700961</v>
      </c>
      <c r="I164">
        <f>$E164/$F164^2*sim_annual_output!K164</f>
        <v>1.2161968019183396</v>
      </c>
      <c r="J164">
        <f>$E164/$F164^2*sim_annual_output!L164</f>
        <v>0</v>
      </c>
      <c r="K164">
        <f>$E164/$F164^2*sim_annual_output!M164</f>
        <v>4.8406443431191484</v>
      </c>
      <c r="L164">
        <f>$E164/$F164^2*sim_annual_output!N164</f>
        <v>55.142302641816137</v>
      </c>
      <c r="M164">
        <f>$E164/$F164^2*sim_annual_output!O164</f>
        <v>6.60609131364577</v>
      </c>
      <c r="N164">
        <f>$E164/$F164^2*sim_annual_output!P164</f>
        <v>0</v>
      </c>
      <c r="O164">
        <f>$E164/$F164^2*sim_annual_output!Q164</f>
        <v>27.13054404279373</v>
      </c>
      <c r="P164">
        <f>$E164/$F164^2*sim_annual_output!R164</f>
        <v>40.750137509437572</v>
      </c>
      <c r="Q164">
        <f>$E164/$F164^2*sim_annual_output!S164</f>
        <v>0</v>
      </c>
      <c r="R164">
        <f t="array" ref="R164">INDEX(G$3:G$700,MATCH($B164&amp;$C164&amp;"baseline",$B$3:$B$700&amp;$C$3:$C$700&amp;$D$3:$D$700,0))</f>
        <v>0</v>
      </c>
      <c r="S164">
        <f t="array" ref="S164">INDEX(H$3:H$700,MATCH($B164&amp;$C164&amp;"baseline",$B$3:$B$700&amp;$C$3:$C$700&amp;$D$3:$D$700,0))</f>
        <v>757.1413574265174</v>
      </c>
      <c r="T164">
        <f t="array" ref="T164">INDEX(I$3:I$700,MATCH($B164&amp;$C164&amp;"baseline",$B$3:$B$700&amp;$C$3:$C$700&amp;$D$3:$D$700,0))</f>
        <v>0.8781966981593966</v>
      </c>
      <c r="U164">
        <f t="array" ref="U164">INDEX(J$3:J$700,MATCH($B164&amp;$C164&amp;"baseline",$B$3:$B$700&amp;$C$3:$C$700&amp;$D$3:$D$700,0))</f>
        <v>0</v>
      </c>
      <c r="V164">
        <f t="array" ref="V164">INDEX(K$3:K$700,MATCH($B164&amp;$C164&amp;"baseline",$B$3:$B$700&amp;$C$3:$C$700&amp;$D$3:$D$700,0))</f>
        <v>4.8406443431191484</v>
      </c>
      <c r="W164">
        <f t="array" ref="W164">INDEX(L$3:L$700,MATCH($B164&amp;$C164&amp;"baseline",$B$3:$B$700&amp;$C$3:$C$700&amp;$D$3:$D$700,0))</f>
        <v>55.142302641816137</v>
      </c>
      <c r="X164">
        <f t="array" ref="X164">INDEX(M$3:M$700,MATCH($B164&amp;$C164&amp;"baseline",$B$3:$B$700&amp;$C$3:$C$700&amp;$D$3:$D$700,0))</f>
        <v>6.60609131364577</v>
      </c>
      <c r="Y164">
        <f t="array" ref="Y164">INDEX(N$3:N$700,MATCH($B164&amp;$C164&amp;"baseline",$B$3:$B$700&amp;$C$3:$C$700&amp;$D$3:$D$700,0))</f>
        <v>0</v>
      </c>
      <c r="Z164">
        <f t="array" ref="Z164">INDEX(O$3:O$700,MATCH($B164&amp;$C164&amp;"baseline",$B$3:$B$700&amp;$C$3:$C$700&amp;$D$3:$D$700,0))</f>
        <v>27.148651191209389</v>
      </c>
      <c r="AA164">
        <f t="array" ref="AA164">INDEX(P$3:P$700,MATCH($B164&amp;$C164&amp;"baseline",$B$3:$B$700&amp;$C$3:$C$700&amp;$D$3:$D$700,0))</f>
        <v>40.744101793299016</v>
      </c>
      <c r="AB164">
        <f t="array" ref="AB164">INDEX(Q$3:Q$700,MATCH($B164&amp;$C164&amp;"baseline",$B$3:$B$700&amp;$C$3:$C$700&amp;$D$3:$D$700,0))</f>
        <v>0</v>
      </c>
      <c r="AC164">
        <f t="shared" si="20"/>
        <v>892.50134540776628</v>
      </c>
      <c r="AD164">
        <f t="shared" si="21"/>
        <v>4.5961978395077949</v>
      </c>
      <c r="AE164">
        <f t="shared" si="22"/>
        <v>-0.32592867148181881</v>
      </c>
      <c r="AF164">
        <f t="shared" si="23"/>
        <v>0.47846081017110115</v>
      </c>
      <c r="AG164">
        <f>(S164+V164+Y164)*constants!$O$2+(R164+T164+U164+W164+X164+Z164+AA164+AB164)*constants!$N$2</f>
        <v>27.09279425977677</v>
      </c>
      <c r="AH164">
        <f>((S164+V164+Y164)-(H164+K164+N164))*constants!$O$2</f>
        <v>7.4458405000026276E-2</v>
      </c>
      <c r="AI164">
        <f>((R164+T164+U164+W164+X164+Z164+AA164+AB164)-(G164+I164+J164+L164+M164+O164+P164+Q164))*constants!$N$2</f>
        <v>-3.6829939877445525E-2</v>
      </c>
      <c r="AJ164">
        <f t="shared" si="24"/>
        <v>0.13888735418644407</v>
      </c>
      <c r="AK164">
        <f t="shared" si="25"/>
        <v>3.7628465122580751E-2</v>
      </c>
      <c r="AL164">
        <f>COUNTIFS($B:$B,$B164,$AK:$AK,"&lt;"&amp;$AK164)+COUNTIFS($B$2:$B164,$B164,$AK$2:$AK164,$AK164)</f>
        <v>26</v>
      </c>
      <c r="AM164" s="191">
        <f>IF(AK164=0, "NA",IF(((sim_annual_output!F164/E164)/AK164)&lt;0,100,((sim_annual_output!F164/E164)/AK164)))</f>
        <v>1872.9663786271328</v>
      </c>
      <c r="AN164">
        <f>(S164+V164)*constants!$F$2+(T164+U164+W164+X164+Y164+Z164+AA164+AB164)*constants!$G$2</f>
        <v>249946.60728193779</v>
      </c>
      <c r="AO164">
        <f>(AD164*constants!$F$2+AE164*constants!$G$2)</f>
        <v>539.16146908271298</v>
      </c>
      <c r="AP164">
        <f t="shared" si="26"/>
        <v>0.21571065714628529</v>
      </c>
    </row>
    <row r="165" spans="1:42">
      <c r="A165">
        <f>sim_annual_output!B165</f>
        <v>10</v>
      </c>
      <c r="B165" t="str">
        <f>sim_annual_output!C165</f>
        <v>Maintenance Shop-Small</v>
      </c>
      <c r="C165" t="str">
        <f>sim_annual_output!D165</f>
        <v>1959-pre</v>
      </c>
      <c r="D165" t="str">
        <f>sim_annual_output!E165</f>
        <v>boiler_reset</v>
      </c>
      <c r="E165" s="45">
        <f t="array" ref="E165">IFERROR(INDEX(baseline!$J$3:$J$201,MATCH($B165&amp;$C165,baseline!$C$3:$C$201&amp;baseline!$D$3:$D$201,0)),"NA")</f>
        <v>927</v>
      </c>
      <c r="F165">
        <f>sim_annual_output!G165</f>
        <v>923.71795399999996</v>
      </c>
      <c r="G165">
        <f>$E165/$F165^2*sim_annual_output!I165</f>
        <v>0</v>
      </c>
      <c r="H165">
        <f>$E165/$F165^2*sim_annual_output!J165</f>
        <v>468.03357224791927</v>
      </c>
      <c r="I165">
        <f>$E165/$F165^2*sim_annual_output!K165</f>
        <v>1.2161968019183396</v>
      </c>
      <c r="J165">
        <f>$E165/$F165^2*sim_annual_output!L165</f>
        <v>0</v>
      </c>
      <c r="K165">
        <f>$E165/$F165^2*sim_annual_output!M165</f>
        <v>4.8406443431191484</v>
      </c>
      <c r="L165">
        <f>$E165/$F165^2*sim_annual_output!N165</f>
        <v>55.142302641816137</v>
      </c>
      <c r="M165">
        <f>$E165/$F165^2*sim_annual_output!O165</f>
        <v>6.60609131364577</v>
      </c>
      <c r="N165">
        <f>$E165/$F165^2*sim_annual_output!P165</f>
        <v>0</v>
      </c>
      <c r="O165">
        <f>$E165/$F165^2*sim_annual_output!Q165</f>
        <v>27.13054404279373</v>
      </c>
      <c r="P165">
        <f>$E165/$F165^2*sim_annual_output!R165</f>
        <v>40.750137509437572</v>
      </c>
      <c r="Q165">
        <f>$E165/$F165^2*sim_annual_output!S165</f>
        <v>0</v>
      </c>
      <c r="R165">
        <f t="array" ref="R165">INDEX(G$3:G$700,MATCH($B165&amp;$C165&amp;"baseline",$B$3:$B$700&amp;$C$3:$C$700&amp;$D$3:$D$700,0))</f>
        <v>0</v>
      </c>
      <c r="S165">
        <f t="array" ref="S165">INDEX(H$3:H$700,MATCH($B165&amp;$C165&amp;"baseline",$B$3:$B$700&amp;$C$3:$C$700&amp;$D$3:$D$700,0))</f>
        <v>757.1413574265174</v>
      </c>
      <c r="T165">
        <f t="array" ref="T165">INDEX(I$3:I$700,MATCH($B165&amp;$C165&amp;"baseline",$B$3:$B$700&amp;$C$3:$C$700&amp;$D$3:$D$700,0))</f>
        <v>0.8781966981593966</v>
      </c>
      <c r="U165">
        <f t="array" ref="U165">INDEX(J$3:J$700,MATCH($B165&amp;$C165&amp;"baseline",$B$3:$B$700&amp;$C$3:$C$700&amp;$D$3:$D$700,0))</f>
        <v>0</v>
      </c>
      <c r="V165">
        <f t="array" ref="V165">INDEX(K$3:K$700,MATCH($B165&amp;$C165&amp;"baseline",$B$3:$B$700&amp;$C$3:$C$700&amp;$D$3:$D$700,0))</f>
        <v>4.8406443431191484</v>
      </c>
      <c r="W165">
        <f t="array" ref="W165">INDEX(L$3:L$700,MATCH($B165&amp;$C165&amp;"baseline",$B$3:$B$700&amp;$C$3:$C$700&amp;$D$3:$D$700,0))</f>
        <v>55.142302641816137</v>
      </c>
      <c r="X165">
        <f t="array" ref="X165">INDEX(M$3:M$700,MATCH($B165&amp;$C165&amp;"baseline",$B$3:$B$700&amp;$C$3:$C$700&amp;$D$3:$D$700,0))</f>
        <v>6.60609131364577</v>
      </c>
      <c r="Y165">
        <f t="array" ref="Y165">INDEX(N$3:N$700,MATCH($B165&amp;$C165&amp;"baseline",$B$3:$B$700&amp;$C$3:$C$700&amp;$D$3:$D$700,0))</f>
        <v>0</v>
      </c>
      <c r="Z165">
        <f t="array" ref="Z165">INDEX(O$3:O$700,MATCH($B165&amp;$C165&amp;"baseline",$B$3:$B$700&amp;$C$3:$C$700&amp;$D$3:$D$700,0))</f>
        <v>27.148651191209389</v>
      </c>
      <c r="AA165">
        <f t="array" ref="AA165">INDEX(P$3:P$700,MATCH($B165&amp;$C165&amp;"baseline",$B$3:$B$700&amp;$C$3:$C$700&amp;$D$3:$D$700,0))</f>
        <v>40.744101793299016</v>
      </c>
      <c r="AB165">
        <f t="array" ref="AB165">INDEX(Q$3:Q$700,MATCH($B165&amp;$C165&amp;"baseline",$B$3:$B$700&amp;$C$3:$C$700&amp;$D$3:$D$700,0))</f>
        <v>0</v>
      </c>
      <c r="AC165">
        <f t="shared" si="20"/>
        <v>892.50134540776628</v>
      </c>
      <c r="AD165">
        <f t="shared" si="21"/>
        <v>289.10778517859814</v>
      </c>
      <c r="AE165">
        <f t="shared" si="22"/>
        <v>-0.32592867148181881</v>
      </c>
      <c r="AF165">
        <f t="shared" si="23"/>
        <v>32.356461756948676</v>
      </c>
      <c r="AG165">
        <f>(S165+V165+Y165)*constants!$O$2+(R165+T165+U165+W165+X165+Z165+AA165+AB165)*constants!$N$2</f>
        <v>27.09279425977677</v>
      </c>
      <c r="AH165">
        <f>((S165+V165+Y165)-(H165+K165+N165))*constants!$O$2</f>
        <v>4.6835461198932897</v>
      </c>
      <c r="AI165">
        <f>((R165+T165+U165+W165+X165+Z165+AA165+AB165)-(G165+I165+J165+L165+M165+O165+P165+Q165))*constants!$N$2</f>
        <v>-3.6829939877445525E-2</v>
      </c>
      <c r="AJ165">
        <f t="shared" si="24"/>
        <v>17.151114556369613</v>
      </c>
      <c r="AK165">
        <f t="shared" si="25"/>
        <v>4.6467161800158445</v>
      </c>
      <c r="AL165">
        <f>COUNTIFS($B:$B,$B165,$AK:$AK,"&lt;"&amp;$AK165)+COUNTIFS($B$2:$B165,$B165,$AK$2:$AK165,$AK165)</f>
        <v>60</v>
      </c>
      <c r="AM165" s="191">
        <f>IF(AK165=0, "NA",IF(((sim_annual_output!F165/E165)/AK165)&lt;0,100,((sim_annual_output!F165/E165)/AK165)))</f>
        <v>0.21570022695563343</v>
      </c>
      <c r="AN165">
        <f>(S165+V165)*constants!$F$2+(T165+U165+W165+X165+Y165+Z165+AA165+AB165)*constants!$G$2</f>
        <v>249946.60728193779</v>
      </c>
      <c r="AO165">
        <f>(AD165*constants!$F$2+AE165*constants!$G$2)</f>
        <v>51466.735602779881</v>
      </c>
      <c r="AP165">
        <f t="shared" si="26"/>
        <v>20.591091898569285</v>
      </c>
    </row>
    <row r="166" spans="1:42">
      <c r="A166">
        <f>sim_annual_output!B166</f>
        <v>10</v>
      </c>
      <c r="B166" t="str">
        <f>sim_annual_output!C166</f>
        <v>Maintenance Shop-Small</v>
      </c>
      <c r="C166" t="str">
        <f>sim_annual_output!D166</f>
        <v>1959-pre</v>
      </c>
      <c r="D166" t="str">
        <f>sim_annual_output!E166</f>
        <v>cooling_cop_3_0</v>
      </c>
      <c r="E166" s="45">
        <f t="array" ref="E166">IFERROR(INDEX(baseline!$J$3:$J$201,MATCH($B166&amp;$C166,baseline!$C$3:$C$201&amp;baseline!$D$3:$D$201,0)),"NA")</f>
        <v>927</v>
      </c>
      <c r="F166">
        <f>sim_annual_output!G166</f>
        <v>923.71795399999996</v>
      </c>
      <c r="G166">
        <f>$E166/$F166^2*sim_annual_output!I166</f>
        <v>0</v>
      </c>
      <c r="H166">
        <f>$E166/$F166^2*sim_annual_output!J166</f>
        <v>752.54515958700961</v>
      </c>
      <c r="I166">
        <f>$E166/$F166^2*sim_annual_output!K166</f>
        <v>0.86914312395156779</v>
      </c>
      <c r="J166">
        <f>$E166/$F166^2*sim_annual_output!L166</f>
        <v>0</v>
      </c>
      <c r="K166">
        <f>$E166/$F166^2*sim_annual_output!M166</f>
        <v>4.8406443431191484</v>
      </c>
      <c r="L166">
        <f>$E166/$F166^2*sim_annual_output!N166</f>
        <v>55.142302641816137</v>
      </c>
      <c r="M166">
        <f>$E166/$F166^2*sim_annual_output!O166</f>
        <v>6.60609131364577</v>
      </c>
      <c r="N166">
        <f>$E166/$F166^2*sim_annual_output!P166</f>
        <v>0</v>
      </c>
      <c r="O166">
        <f>$E166/$F166^2*sim_annual_output!Q166</f>
        <v>27.13054404279373</v>
      </c>
      <c r="P166">
        <f>$E166/$F166^2*sim_annual_output!R166</f>
        <v>40.750137509437572</v>
      </c>
      <c r="Q166">
        <f>$E166/$F166^2*sim_annual_output!S166</f>
        <v>0</v>
      </c>
      <c r="R166">
        <f t="array" ref="R166">INDEX(G$3:G$700,MATCH($B166&amp;$C166&amp;"baseline",$B$3:$B$700&amp;$C$3:$C$700&amp;$D$3:$D$700,0))</f>
        <v>0</v>
      </c>
      <c r="S166">
        <f t="array" ref="S166">INDEX(H$3:H$700,MATCH($B166&amp;$C166&amp;"baseline",$B$3:$B$700&amp;$C$3:$C$700&amp;$D$3:$D$700,0))</f>
        <v>757.1413574265174</v>
      </c>
      <c r="T166">
        <f t="array" ref="T166">INDEX(I$3:I$700,MATCH($B166&amp;$C166&amp;"baseline",$B$3:$B$700&amp;$C$3:$C$700&amp;$D$3:$D$700,0))</f>
        <v>0.8781966981593966</v>
      </c>
      <c r="U166">
        <f t="array" ref="U166">INDEX(J$3:J$700,MATCH($B166&amp;$C166&amp;"baseline",$B$3:$B$700&amp;$C$3:$C$700&amp;$D$3:$D$700,0))</f>
        <v>0</v>
      </c>
      <c r="V166">
        <f t="array" ref="V166">INDEX(K$3:K$700,MATCH($B166&amp;$C166&amp;"baseline",$B$3:$B$700&amp;$C$3:$C$700&amp;$D$3:$D$700,0))</f>
        <v>4.8406443431191484</v>
      </c>
      <c r="W166">
        <f t="array" ref="W166">INDEX(L$3:L$700,MATCH($B166&amp;$C166&amp;"baseline",$B$3:$B$700&amp;$C$3:$C$700&amp;$D$3:$D$700,0))</f>
        <v>55.142302641816137</v>
      </c>
      <c r="X166">
        <f t="array" ref="X166">INDEX(M$3:M$700,MATCH($B166&amp;$C166&amp;"baseline",$B$3:$B$700&amp;$C$3:$C$700&amp;$D$3:$D$700,0))</f>
        <v>6.60609131364577</v>
      </c>
      <c r="Y166">
        <f t="array" ref="Y166">INDEX(N$3:N$700,MATCH($B166&amp;$C166&amp;"baseline",$B$3:$B$700&amp;$C$3:$C$700&amp;$D$3:$D$700,0))</f>
        <v>0</v>
      </c>
      <c r="Z166">
        <f t="array" ref="Z166">INDEX(O$3:O$700,MATCH($B166&amp;$C166&amp;"baseline",$B$3:$B$700&amp;$C$3:$C$700&amp;$D$3:$D$700,0))</f>
        <v>27.148651191209389</v>
      </c>
      <c r="AA166">
        <f t="array" ref="AA166">INDEX(P$3:P$700,MATCH($B166&amp;$C166&amp;"baseline",$B$3:$B$700&amp;$C$3:$C$700&amp;$D$3:$D$700,0))</f>
        <v>40.744101793299016</v>
      </c>
      <c r="AB166">
        <f t="array" ref="AB166">INDEX(Q$3:Q$700,MATCH($B166&amp;$C166&amp;"baseline",$B$3:$B$700&amp;$C$3:$C$700&amp;$D$3:$D$700,0))</f>
        <v>0</v>
      </c>
      <c r="AC166">
        <f t="shared" si="20"/>
        <v>892.50134540776628</v>
      </c>
      <c r="AD166">
        <f t="shared" si="21"/>
        <v>4.5961978395077949</v>
      </c>
      <c r="AE166">
        <f t="shared" si="22"/>
        <v>2.112500648496507E-2</v>
      </c>
      <c r="AF166">
        <f t="shared" si="23"/>
        <v>0.51734631771150952</v>
      </c>
      <c r="AG166">
        <f>(S166+V166+Y166)*constants!$O$2+(R166+T166+U166+W166+X166+Z166+AA166+AB166)*constants!$N$2</f>
        <v>27.09279425977677</v>
      </c>
      <c r="AH166">
        <f>((S166+V166+Y166)-(H166+K166+N166))*constants!$O$2</f>
        <v>7.4458405000026276E-2</v>
      </c>
      <c r="AI166">
        <f>((R166+T166+U166+W166+X166+Z166+AA166+AB166)-(G166+I166+J166+L166+M166+O166+P166+Q166))*constants!$N$2</f>
        <v>2.3871257328010528E-3</v>
      </c>
      <c r="AJ166">
        <f t="shared" si="24"/>
        <v>0.28363826187878965</v>
      </c>
      <c r="AK166">
        <f t="shared" si="25"/>
        <v>7.6845530732827322E-2</v>
      </c>
      <c r="AL166">
        <f>COUNTIFS($B:$B,$B166,$AK:$AK,"&lt;"&amp;$AK166)+COUNTIFS($B$2:$B166,$B166,$AK$2:$AK166,$AK166)</f>
        <v>36</v>
      </c>
      <c r="AM166" s="191">
        <f>IF(AK166=0, "NA",IF(((sim_annual_output!F166/E166)/AK166)&lt;0,100,((sim_annual_output!F166/E166)/AK166)))</f>
        <v>141.06023957172243</v>
      </c>
      <c r="AN166">
        <f>(S166+V166)*constants!$F$2+(T166+U166+W166+X166+Y166+Z166+AA166+AB166)*constants!$G$2</f>
        <v>249946.60728193779</v>
      </c>
      <c r="AO166">
        <f>(AD166*constants!$F$2+AE166*constants!$G$2)</f>
        <v>841.0981689138149</v>
      </c>
      <c r="AP166">
        <f t="shared" si="26"/>
        <v>0.33651113654247877</v>
      </c>
    </row>
    <row r="167" spans="1:42">
      <c r="A167">
        <f>sim_annual_output!B167</f>
        <v>10</v>
      </c>
      <c r="B167" t="str">
        <f>sim_annual_output!C167</f>
        <v>Maintenance Shop-Small</v>
      </c>
      <c r="C167" t="str">
        <f>sim_annual_output!D167</f>
        <v>1959-pre</v>
      </c>
      <c r="D167" t="str">
        <f>sim_annual_output!E167</f>
        <v>dcv_enabled</v>
      </c>
      <c r="E167" s="45">
        <f t="array" ref="E167">IFERROR(INDEX(baseline!$J$3:$J$201,MATCH($B167&amp;$C167,baseline!$C$3:$C$201&amp;baseline!$D$3:$D$201,0)),"NA")</f>
        <v>927</v>
      </c>
      <c r="F167">
        <f>sim_annual_output!G167</f>
        <v>923.71795399999996</v>
      </c>
      <c r="G167">
        <f>$E167/$F167^2*sim_annual_output!I167</f>
        <v>0</v>
      </c>
      <c r="H167">
        <f>$E167/$F167^2*sim_annual_output!J167</f>
        <v>752.54515958700961</v>
      </c>
      <c r="I167">
        <f>$E167/$F167^2*sim_annual_output!K167</f>
        <v>1.2161968019183396</v>
      </c>
      <c r="J167">
        <f>$E167/$F167^2*sim_annual_output!L167</f>
        <v>0</v>
      </c>
      <c r="K167">
        <f>$E167/$F167^2*sim_annual_output!M167</f>
        <v>4.8406443431191484</v>
      </c>
      <c r="L167">
        <f>$E167/$F167^2*sim_annual_output!N167</f>
        <v>55.142302641816137</v>
      </c>
      <c r="M167">
        <f>$E167/$F167^2*sim_annual_output!O167</f>
        <v>6.60609131364577</v>
      </c>
      <c r="N167">
        <f>$E167/$F167^2*sim_annual_output!P167</f>
        <v>0</v>
      </c>
      <c r="O167">
        <f>$E167/$F167^2*sim_annual_output!Q167</f>
        <v>27.13054404279373</v>
      </c>
      <c r="P167">
        <f>$E167/$F167^2*sim_annual_output!R167</f>
        <v>40.750137509437572</v>
      </c>
      <c r="Q167">
        <f>$E167/$F167^2*sim_annual_output!S167</f>
        <v>0</v>
      </c>
      <c r="R167">
        <f t="array" ref="R167">INDEX(G$3:G$700,MATCH($B167&amp;$C167&amp;"baseline",$B$3:$B$700&amp;$C$3:$C$700&amp;$D$3:$D$700,0))</f>
        <v>0</v>
      </c>
      <c r="S167">
        <f t="array" ref="S167">INDEX(H$3:H$700,MATCH($B167&amp;$C167&amp;"baseline",$B$3:$B$700&amp;$C$3:$C$700&amp;$D$3:$D$700,0))</f>
        <v>757.1413574265174</v>
      </c>
      <c r="T167">
        <f t="array" ref="T167">INDEX(I$3:I$700,MATCH($B167&amp;$C167&amp;"baseline",$B$3:$B$700&amp;$C$3:$C$700&amp;$D$3:$D$700,0))</f>
        <v>0.8781966981593966</v>
      </c>
      <c r="U167">
        <f t="array" ref="U167">INDEX(J$3:J$700,MATCH($B167&amp;$C167&amp;"baseline",$B$3:$B$700&amp;$C$3:$C$700&amp;$D$3:$D$700,0))</f>
        <v>0</v>
      </c>
      <c r="V167">
        <f t="array" ref="V167">INDEX(K$3:K$700,MATCH($B167&amp;$C167&amp;"baseline",$B$3:$B$700&amp;$C$3:$C$700&amp;$D$3:$D$700,0))</f>
        <v>4.8406443431191484</v>
      </c>
      <c r="W167">
        <f t="array" ref="W167">INDEX(L$3:L$700,MATCH($B167&amp;$C167&amp;"baseline",$B$3:$B$700&amp;$C$3:$C$700&amp;$D$3:$D$700,0))</f>
        <v>55.142302641816137</v>
      </c>
      <c r="X167">
        <f t="array" ref="X167">INDEX(M$3:M$700,MATCH($B167&amp;$C167&amp;"baseline",$B$3:$B$700&amp;$C$3:$C$700&amp;$D$3:$D$700,0))</f>
        <v>6.60609131364577</v>
      </c>
      <c r="Y167">
        <f t="array" ref="Y167">INDEX(N$3:N$700,MATCH($B167&amp;$C167&amp;"baseline",$B$3:$B$700&amp;$C$3:$C$700&amp;$D$3:$D$700,0))</f>
        <v>0</v>
      </c>
      <c r="Z167">
        <f t="array" ref="Z167">INDEX(O$3:O$700,MATCH($B167&amp;$C167&amp;"baseline",$B$3:$B$700&amp;$C$3:$C$700&amp;$D$3:$D$700,0))</f>
        <v>27.148651191209389</v>
      </c>
      <c r="AA167">
        <f t="array" ref="AA167">INDEX(P$3:P$700,MATCH($B167&amp;$C167&amp;"baseline",$B$3:$B$700&amp;$C$3:$C$700&amp;$D$3:$D$700,0))</f>
        <v>40.744101793299016</v>
      </c>
      <c r="AB167">
        <f t="array" ref="AB167">INDEX(Q$3:Q$700,MATCH($B167&amp;$C167&amp;"baseline",$B$3:$B$700&amp;$C$3:$C$700&amp;$D$3:$D$700,0))</f>
        <v>0</v>
      </c>
      <c r="AC167">
        <f t="shared" si="20"/>
        <v>892.50134540776628</v>
      </c>
      <c r="AD167">
        <f t="shared" si="21"/>
        <v>4.5961978395077949</v>
      </c>
      <c r="AE167">
        <f t="shared" si="22"/>
        <v>-0.32592867148181881</v>
      </c>
      <c r="AF167">
        <f t="shared" si="23"/>
        <v>0.47846081017110115</v>
      </c>
      <c r="AG167">
        <f>(S167+V167+Y167)*constants!$O$2+(R167+T167+U167+W167+X167+Z167+AA167+AB167)*constants!$N$2</f>
        <v>27.09279425977677</v>
      </c>
      <c r="AH167">
        <f>((S167+V167+Y167)-(H167+K167+N167))*constants!$O$2</f>
        <v>7.4458405000026276E-2</v>
      </c>
      <c r="AI167">
        <f>((R167+T167+U167+W167+X167+Z167+AA167+AB167)-(G167+I167+J167+L167+M167+O167+P167+Q167))*constants!$N$2</f>
        <v>-3.6829939877445525E-2</v>
      </c>
      <c r="AJ167">
        <f t="shared" si="24"/>
        <v>0.13888735418644407</v>
      </c>
      <c r="AK167">
        <f t="shared" si="25"/>
        <v>3.7628465122580751E-2</v>
      </c>
      <c r="AL167">
        <f>COUNTIFS($B:$B,$B167,$AK:$AK,"&lt;"&amp;$AK167)+COUNTIFS($B$2:$B167,$B167,$AK$2:$AK167,$AK167)</f>
        <v>27</v>
      </c>
      <c r="AM167" s="191">
        <f>IF(AK167=0, "NA",IF(((sim_annual_output!F167/E167)/AK167)&lt;0,100,((sim_annual_output!F167/E167)/AK167)))</f>
        <v>214.679164792535</v>
      </c>
      <c r="AN167">
        <f>(S167+V167)*constants!$F$2+(T167+U167+W167+X167+Y167+Z167+AA167+AB167)*constants!$G$2</f>
        <v>249946.60728193779</v>
      </c>
      <c r="AO167">
        <f>(AD167*constants!$F$2+AE167*constants!$G$2)</f>
        <v>539.16146908271298</v>
      </c>
      <c r="AP167">
        <f t="shared" si="26"/>
        <v>0.21571065714628529</v>
      </c>
    </row>
    <row r="168" spans="1:42">
      <c r="A168">
        <f>sim_annual_output!B168</f>
        <v>10</v>
      </c>
      <c r="B168" t="str">
        <f>sim_annual_output!C168</f>
        <v>Maintenance Shop-Small</v>
      </c>
      <c r="C168" t="str">
        <f>sim_annual_output!D168</f>
        <v>1959-pre</v>
      </c>
      <c r="D168" t="str">
        <f>sim_annual_output!E168</f>
        <v>ecm_cold_deck_reset_control</v>
      </c>
      <c r="E168" s="45">
        <f t="array" ref="E168">IFERROR(INDEX(baseline!$J$3:$J$201,MATCH($B168&amp;$C168,baseline!$C$3:$C$201&amp;baseline!$D$3:$D$201,0)),"NA")</f>
        <v>927</v>
      </c>
      <c r="F168">
        <f>sim_annual_output!G168</f>
        <v>923.71795399999996</v>
      </c>
      <c r="G168">
        <f>$E168/$F168^2*sim_annual_output!I168</f>
        <v>0</v>
      </c>
      <c r="H168">
        <f>$E168/$F168^2*sim_annual_output!J168</f>
        <v>750.24856959629028</v>
      </c>
      <c r="I168">
        <f>$E168/$F168^2*sim_annual_output!K168</f>
        <v>4.5207513877758636</v>
      </c>
      <c r="J168">
        <f>$E168/$F168^2*sim_annual_output!L168</f>
        <v>0</v>
      </c>
      <c r="K168">
        <f>$E168/$F168^2*sim_annual_output!M168</f>
        <v>4.8406443431191484</v>
      </c>
      <c r="L168">
        <f>$E168/$F168^2*sim_annual_output!N168</f>
        <v>55.142302641816137</v>
      </c>
      <c r="M168">
        <f>$E168/$F168^2*sim_annual_output!O168</f>
        <v>6.60609131364577</v>
      </c>
      <c r="N168">
        <f>$E168/$F168^2*sim_annual_output!P168</f>
        <v>0</v>
      </c>
      <c r="O168">
        <f>$E168/$F168^2*sim_annual_output!Q168</f>
        <v>28.947294600498047</v>
      </c>
      <c r="P168">
        <f>$E168/$F168^2*sim_annual_output!R168</f>
        <v>40.312548089392507</v>
      </c>
      <c r="Q168">
        <f>$E168/$F168^2*sim_annual_output!S168</f>
        <v>0</v>
      </c>
      <c r="R168">
        <f t="array" ref="R168">INDEX(G$3:G$700,MATCH($B168&amp;$C168&amp;"baseline",$B$3:$B$700&amp;$C$3:$C$700&amp;$D$3:$D$700,0))</f>
        <v>0</v>
      </c>
      <c r="S168">
        <f t="array" ref="S168">INDEX(H$3:H$700,MATCH($B168&amp;$C168&amp;"baseline",$B$3:$B$700&amp;$C$3:$C$700&amp;$D$3:$D$700,0))</f>
        <v>757.1413574265174</v>
      </c>
      <c r="T168">
        <f t="array" ref="T168">INDEX(I$3:I$700,MATCH($B168&amp;$C168&amp;"baseline",$B$3:$B$700&amp;$C$3:$C$700&amp;$D$3:$D$700,0))</f>
        <v>0.8781966981593966</v>
      </c>
      <c r="U168">
        <f t="array" ref="U168">INDEX(J$3:J$700,MATCH($B168&amp;$C168&amp;"baseline",$B$3:$B$700&amp;$C$3:$C$700&amp;$D$3:$D$700,0))</f>
        <v>0</v>
      </c>
      <c r="V168">
        <f t="array" ref="V168">INDEX(K$3:K$700,MATCH($B168&amp;$C168&amp;"baseline",$B$3:$B$700&amp;$C$3:$C$700&amp;$D$3:$D$700,0))</f>
        <v>4.8406443431191484</v>
      </c>
      <c r="W168">
        <f t="array" ref="W168">INDEX(L$3:L$700,MATCH($B168&amp;$C168&amp;"baseline",$B$3:$B$700&amp;$C$3:$C$700&amp;$D$3:$D$700,0))</f>
        <v>55.142302641816137</v>
      </c>
      <c r="X168">
        <f t="array" ref="X168">INDEX(M$3:M$700,MATCH($B168&amp;$C168&amp;"baseline",$B$3:$B$700&amp;$C$3:$C$700&amp;$D$3:$D$700,0))</f>
        <v>6.60609131364577</v>
      </c>
      <c r="Y168">
        <f t="array" ref="Y168">INDEX(N$3:N$700,MATCH($B168&amp;$C168&amp;"baseline",$B$3:$B$700&amp;$C$3:$C$700&amp;$D$3:$D$700,0))</f>
        <v>0</v>
      </c>
      <c r="Z168">
        <f t="array" ref="Z168">INDEX(O$3:O$700,MATCH($B168&amp;$C168&amp;"baseline",$B$3:$B$700&amp;$C$3:$C$700&amp;$D$3:$D$700,0))</f>
        <v>27.148651191209389</v>
      </c>
      <c r="AA168">
        <f t="array" ref="AA168">INDEX(P$3:P$700,MATCH($B168&amp;$C168&amp;"baseline",$B$3:$B$700&amp;$C$3:$C$700&amp;$D$3:$D$700,0))</f>
        <v>40.744101793299016</v>
      </c>
      <c r="AB168">
        <f t="array" ref="AB168">INDEX(Q$3:Q$700,MATCH($B168&amp;$C168&amp;"baseline",$B$3:$B$700&amp;$C$3:$C$700&amp;$D$3:$D$700,0))</f>
        <v>0</v>
      </c>
      <c r="AC168">
        <f t="shared" si="20"/>
        <v>892.50134540776628</v>
      </c>
      <c r="AD168">
        <f t="shared" si="21"/>
        <v>6.892787830227121</v>
      </c>
      <c r="AE168">
        <f t="shared" si="22"/>
        <v>-5.0096443949985883</v>
      </c>
      <c r="AF168">
        <f t="shared" si="23"/>
        <v>0.21099614526274599</v>
      </c>
      <c r="AG168">
        <f>(S168+V168+Y168)*constants!$O$2+(R168+T168+U168+W168+X168+Z168+AA168+AB168)*constants!$N$2</f>
        <v>27.09279425977677</v>
      </c>
      <c r="AH168">
        <f>((S168+V168+Y168)-(H168+K168+N168))*constants!$O$2</f>
        <v>0.11166316284967935</v>
      </c>
      <c r="AI168">
        <f>((R168+T168+U168+W168+X168+Z168+AA168+AB168)-(G168+I168+J168+L168+M168+O168+P168+Q168))*constants!$N$2</f>
        <v>-0.56608981663484048</v>
      </c>
      <c r="AJ168">
        <f t="shared" si="24"/>
        <v>-1.6772971050085599</v>
      </c>
      <c r="AK168">
        <f t="shared" si="25"/>
        <v>-0.45442665378516112</v>
      </c>
      <c r="AL168">
        <f>COUNTIFS($B:$B,$B168,$AK:$AK,"&lt;"&amp;$AK168)+COUNTIFS($B$2:$B168,$B168,$AK$2:$AK168,$AK168)</f>
        <v>4</v>
      </c>
      <c r="AM168" s="191">
        <f>IF(AK168=0, "NA",IF(((sim_annual_output!F168/E168)/AK168)&lt;0,100,((sim_annual_output!F168/E168)/AK168)))</f>
        <v>100</v>
      </c>
      <c r="AN168">
        <f>(S168+V168)*constants!$F$2+(T168+U168+W168+X168+Y168+Z168+AA168+AB168)*constants!$G$2</f>
        <v>249946.60728193779</v>
      </c>
      <c r="AO168">
        <f>(AD168*constants!$F$2+AE168*constants!$G$2)</f>
        <v>-3124.5816020381171</v>
      </c>
      <c r="AP168">
        <f t="shared" si="26"/>
        <v>-1.2500996256827017</v>
      </c>
    </row>
    <row r="169" spans="1:42">
      <c r="A169">
        <f>sim_annual_output!B169</f>
        <v>10</v>
      </c>
      <c r="B169" t="str">
        <f>sim_annual_output!C169</f>
        <v>Maintenance Shop-Small</v>
      </c>
      <c r="C169" t="str">
        <f>sim_annual_output!D169</f>
        <v>1959-pre</v>
      </c>
      <c r="D169" t="str">
        <f>sim_annual_output!E169</f>
        <v>economizers_enabled</v>
      </c>
      <c r="E169" s="45">
        <f t="array" ref="E169">IFERROR(INDEX(baseline!$J$3:$J$201,MATCH($B169&amp;$C169,baseline!$C$3:$C$201&amp;baseline!$D$3:$D$201,0)),"NA")</f>
        <v>927</v>
      </c>
      <c r="F169">
        <f>sim_annual_output!G169</f>
        <v>923.71795399999996</v>
      </c>
      <c r="G169">
        <f>$E169/$F169^2*sim_annual_output!I169</f>
        <v>0</v>
      </c>
      <c r="H169">
        <f>$E169/$F169^2*sim_annual_output!J169</f>
        <v>752.67492748398843</v>
      </c>
      <c r="I169">
        <f>$E169/$F169^2*sim_annual_output!K169</f>
        <v>1.13471463404788</v>
      </c>
      <c r="J169">
        <f>$E169/$F169^2*sim_annual_output!L169</f>
        <v>0</v>
      </c>
      <c r="K169">
        <f>$E169/$F169^2*sim_annual_output!M169</f>
        <v>4.8406443431191484</v>
      </c>
      <c r="L169">
        <f>$E169/$F169^2*sim_annual_output!N169</f>
        <v>55.142302641816137</v>
      </c>
      <c r="M169">
        <f>$E169/$F169^2*sim_annual_output!O169</f>
        <v>6.60609131364577</v>
      </c>
      <c r="N169">
        <f>$E169/$F169^2*sim_annual_output!P169</f>
        <v>0</v>
      </c>
      <c r="O169">
        <f>$E169/$F169^2*sim_annual_output!Q169</f>
        <v>27.133561900863008</v>
      </c>
      <c r="P169">
        <f>$E169/$F169^2*sim_annual_output!R169</f>
        <v>40.662619625428555</v>
      </c>
      <c r="Q169">
        <f>$E169/$F169^2*sim_annual_output!S169</f>
        <v>0</v>
      </c>
      <c r="R169">
        <f t="array" ref="R169">INDEX(G$3:G$700,MATCH($B169&amp;$C169&amp;"baseline",$B$3:$B$700&amp;$C$3:$C$700&amp;$D$3:$D$700,0))</f>
        <v>0</v>
      </c>
      <c r="S169">
        <f t="array" ref="S169">INDEX(H$3:H$700,MATCH($B169&amp;$C169&amp;"baseline",$B$3:$B$700&amp;$C$3:$C$700&amp;$D$3:$D$700,0))</f>
        <v>757.1413574265174</v>
      </c>
      <c r="T169">
        <f t="array" ref="T169">INDEX(I$3:I$700,MATCH($B169&amp;$C169&amp;"baseline",$B$3:$B$700&amp;$C$3:$C$700&amp;$D$3:$D$700,0))</f>
        <v>0.8781966981593966</v>
      </c>
      <c r="U169">
        <f t="array" ref="U169">INDEX(J$3:J$700,MATCH($B169&amp;$C169&amp;"baseline",$B$3:$B$700&amp;$C$3:$C$700&amp;$D$3:$D$700,0))</f>
        <v>0</v>
      </c>
      <c r="V169">
        <f t="array" ref="V169">INDEX(K$3:K$700,MATCH($B169&amp;$C169&amp;"baseline",$B$3:$B$700&amp;$C$3:$C$700&amp;$D$3:$D$700,0))</f>
        <v>4.8406443431191484</v>
      </c>
      <c r="W169">
        <f t="array" ref="W169">INDEX(L$3:L$700,MATCH($B169&amp;$C169&amp;"baseline",$B$3:$B$700&amp;$C$3:$C$700&amp;$D$3:$D$700,0))</f>
        <v>55.142302641816137</v>
      </c>
      <c r="X169">
        <f t="array" ref="X169">INDEX(M$3:M$700,MATCH($B169&amp;$C169&amp;"baseline",$B$3:$B$700&amp;$C$3:$C$700&amp;$D$3:$D$700,0))</f>
        <v>6.60609131364577</v>
      </c>
      <c r="Y169">
        <f t="array" ref="Y169">INDEX(N$3:N$700,MATCH($B169&amp;$C169&amp;"baseline",$B$3:$B$700&amp;$C$3:$C$700&amp;$D$3:$D$700,0))</f>
        <v>0</v>
      </c>
      <c r="Z169">
        <f t="array" ref="Z169">INDEX(O$3:O$700,MATCH($B169&amp;$C169&amp;"baseline",$B$3:$B$700&amp;$C$3:$C$700&amp;$D$3:$D$700,0))</f>
        <v>27.148651191209389</v>
      </c>
      <c r="AA169">
        <f t="array" ref="AA169">INDEX(P$3:P$700,MATCH($B169&amp;$C169&amp;"baseline",$B$3:$B$700&amp;$C$3:$C$700&amp;$D$3:$D$700,0))</f>
        <v>40.744101793299016</v>
      </c>
      <c r="AB169">
        <f t="array" ref="AB169">INDEX(Q$3:Q$700,MATCH($B169&amp;$C169&amp;"baseline",$B$3:$B$700&amp;$C$3:$C$700&amp;$D$3:$D$700,0))</f>
        <v>0</v>
      </c>
      <c r="AC169">
        <f t="shared" si="20"/>
        <v>892.50134540776628</v>
      </c>
      <c r="AD169">
        <f t="shared" si="21"/>
        <v>4.4664299425289755</v>
      </c>
      <c r="AE169">
        <f t="shared" si="22"/>
        <v>-0.15994647767163883</v>
      </c>
      <c r="AF169">
        <f t="shared" si="23"/>
        <v>0.48251842834923558</v>
      </c>
      <c r="AG169">
        <f>(S169+V169+Y169)*constants!$O$2+(R169+T169+U169+W169+X169+Z169+AA169+AB169)*constants!$N$2</f>
        <v>27.09279425977677</v>
      </c>
      <c r="AH169">
        <f>((S169+V169+Y169)-(H169+K169+N169))*constants!$O$2</f>
        <v>7.23561650689694E-2</v>
      </c>
      <c r="AI169">
        <f>((R169+T169+U169+W169+X169+Z169+AA169+AB169)-(G169+I169+J169+L169+M169+O169+P169+Q169))*constants!$N$2</f>
        <v>-1.8073951976895188E-2</v>
      </c>
      <c r="AJ169">
        <f t="shared" si="24"/>
        <v>0.2003566430675042</v>
      </c>
      <c r="AK169">
        <f t="shared" si="25"/>
        <v>5.4282213092074212E-2</v>
      </c>
      <c r="AL169">
        <f>COUNTIFS($B:$B,$B169,$AK:$AK,"&lt;"&amp;$AK169)+COUNTIFS($B$2:$B169,$B169,$AK$2:$AK169,$AK169)</f>
        <v>31</v>
      </c>
      <c r="AM169" s="191">
        <f>IF(AK169=0, "NA",IF(((sim_annual_output!F169/E169)/AK169)&lt;0,100,((sim_annual_output!F169/E169)/AK169)))</f>
        <v>27.301283894203397</v>
      </c>
      <c r="AN169">
        <f>(S169+V169)*constants!$F$2+(T169+U169+W169+X169+Y169+Z169+AA169+AB169)*constants!$G$2</f>
        <v>249946.60728193779</v>
      </c>
      <c r="AO169">
        <f>(AD169*constants!$F$2+AE169*constants!$G$2)</f>
        <v>660.33752413836078</v>
      </c>
      <c r="AP169">
        <f t="shared" si="26"/>
        <v>0.26419143325018424</v>
      </c>
    </row>
    <row r="170" spans="1:42">
      <c r="A170">
        <f>sim_annual_output!B170</f>
        <v>10</v>
      </c>
      <c r="B170" t="str">
        <f>sim_annual_output!C170</f>
        <v>Maintenance Shop-Small</v>
      </c>
      <c r="C170" t="str">
        <f>sim_annual_output!D170</f>
        <v>1959-pre</v>
      </c>
      <c r="D170" t="str">
        <f>sim_annual_output!E170</f>
        <v>elec_reduce</v>
      </c>
      <c r="E170" s="45">
        <f t="array" ref="E170">IFERROR(INDEX(baseline!$J$3:$J$201,MATCH($B170&amp;$C170,baseline!$C$3:$C$201&amp;baseline!$D$3:$D$201,0)),"NA")</f>
        <v>927</v>
      </c>
      <c r="F170">
        <f>sim_annual_output!G170</f>
        <v>923.71795399999996</v>
      </c>
      <c r="G170">
        <f>$E170/$F170^2*sim_annual_output!I170</f>
        <v>0</v>
      </c>
      <c r="H170">
        <f>$E170/$F170^2*sim_annual_output!J170</f>
        <v>775.60461309434959</v>
      </c>
      <c r="I170">
        <f>$E170/$F170^2*sim_annual_output!K170</f>
        <v>0.70014307207209636</v>
      </c>
      <c r="J170">
        <f>$E170/$F170^2*sim_annual_output!L170</f>
        <v>0</v>
      </c>
      <c r="K170">
        <f>$E170/$F170^2*sim_annual_output!M170</f>
        <v>4.8406443431191484</v>
      </c>
      <c r="L170">
        <f>$E170/$F170^2*sim_annual_output!N170</f>
        <v>38.601422564112866</v>
      </c>
      <c r="M170">
        <f>$E170/$F170^2*sim_annual_output!O170</f>
        <v>6.60609131364577</v>
      </c>
      <c r="N170">
        <f>$E170/$F170^2*sim_annual_output!P170</f>
        <v>0</v>
      </c>
      <c r="O170">
        <f>$E170/$F170^2*sim_annual_output!Q170</f>
        <v>27.432329849721356</v>
      </c>
      <c r="P170">
        <f>$E170/$F170^2*sim_annual_output!R170</f>
        <v>32.224688463732086</v>
      </c>
      <c r="Q170">
        <f>$E170/$F170^2*sim_annual_output!S170</f>
        <v>0</v>
      </c>
      <c r="R170">
        <f t="array" ref="R170">INDEX(G$3:G$700,MATCH($B170&amp;$C170&amp;"baseline",$B$3:$B$700&amp;$C$3:$C$700&amp;$D$3:$D$700,0))</f>
        <v>0</v>
      </c>
      <c r="S170">
        <f t="array" ref="S170">INDEX(H$3:H$700,MATCH($B170&amp;$C170&amp;"baseline",$B$3:$B$700&amp;$C$3:$C$700&amp;$D$3:$D$700,0))</f>
        <v>757.1413574265174</v>
      </c>
      <c r="T170">
        <f t="array" ref="T170">INDEX(I$3:I$700,MATCH($B170&amp;$C170&amp;"baseline",$B$3:$B$700&amp;$C$3:$C$700&amp;$D$3:$D$700,0))</f>
        <v>0.8781966981593966</v>
      </c>
      <c r="U170">
        <f t="array" ref="U170">INDEX(J$3:J$700,MATCH($B170&amp;$C170&amp;"baseline",$B$3:$B$700&amp;$C$3:$C$700&amp;$D$3:$D$700,0))</f>
        <v>0</v>
      </c>
      <c r="V170">
        <f t="array" ref="V170">INDEX(K$3:K$700,MATCH($B170&amp;$C170&amp;"baseline",$B$3:$B$700&amp;$C$3:$C$700&amp;$D$3:$D$700,0))</f>
        <v>4.8406443431191484</v>
      </c>
      <c r="W170">
        <f t="array" ref="W170">INDEX(L$3:L$700,MATCH($B170&amp;$C170&amp;"baseline",$B$3:$B$700&amp;$C$3:$C$700&amp;$D$3:$D$700,0))</f>
        <v>55.142302641816137</v>
      </c>
      <c r="X170">
        <f t="array" ref="X170">INDEX(M$3:M$700,MATCH($B170&amp;$C170&amp;"baseline",$B$3:$B$700&amp;$C$3:$C$700&amp;$D$3:$D$700,0))</f>
        <v>6.60609131364577</v>
      </c>
      <c r="Y170">
        <f t="array" ref="Y170">INDEX(N$3:N$700,MATCH($B170&amp;$C170&amp;"baseline",$B$3:$B$700&amp;$C$3:$C$700&amp;$D$3:$D$700,0))</f>
        <v>0</v>
      </c>
      <c r="Z170">
        <f t="array" ref="Z170">INDEX(O$3:O$700,MATCH($B170&amp;$C170&amp;"baseline",$B$3:$B$700&amp;$C$3:$C$700&amp;$D$3:$D$700,0))</f>
        <v>27.148651191209389</v>
      </c>
      <c r="AA170">
        <f t="array" ref="AA170">INDEX(P$3:P$700,MATCH($B170&amp;$C170&amp;"baseline",$B$3:$B$700&amp;$C$3:$C$700&amp;$D$3:$D$700,0))</f>
        <v>40.744101793299016</v>
      </c>
      <c r="AB170">
        <f t="array" ref="AB170">INDEX(Q$3:Q$700,MATCH($B170&amp;$C170&amp;"baseline",$B$3:$B$700&amp;$C$3:$C$700&amp;$D$3:$D$700,0))</f>
        <v>0</v>
      </c>
      <c r="AC170">
        <f t="shared" si="20"/>
        <v>892.50134540776628</v>
      </c>
      <c r="AD170">
        <f t="shared" si="21"/>
        <v>-18.463255667832186</v>
      </c>
      <c r="AE170">
        <f t="shared" si="22"/>
        <v>24.954668374845539</v>
      </c>
      <c r="AF170">
        <f t="shared" si="23"/>
        <v>0.72732805842971082</v>
      </c>
      <c r="AG170">
        <f>(S170+V170+Y170)*constants!$O$2+(R170+T170+U170+W170+X170+Z170+AA170+AB170)*constants!$N$2</f>
        <v>27.09279425977677</v>
      </c>
      <c r="AH170">
        <f>((S170+V170+Y170)-(H170+K170+N170))*constants!$O$2</f>
        <v>-0.29910474181888141</v>
      </c>
      <c r="AI170">
        <f>((R170+T170+U170+W170+X170+Z170+AA170+AB170)-(G170+I170+J170+L170+M170+O170+P170+Q170))*constants!$N$2</f>
        <v>2.819877526357546</v>
      </c>
      <c r="AJ170">
        <f t="shared" si="24"/>
        <v>9.3042185326787124</v>
      </c>
      <c r="AK170">
        <f t="shared" si="25"/>
        <v>2.5207727845386647</v>
      </c>
      <c r="AL170">
        <f>COUNTIFS($B:$B,$B170,$AK:$AK,"&lt;"&amp;$AK170)+COUNTIFS($B$2:$B170,$B170,$AK$2:$AK170,$AK170)</f>
        <v>56</v>
      </c>
      <c r="AM170" s="191">
        <f>IF(AK170=0, "NA",IF(((sim_annual_output!F170/E170)/AK170)&lt;0,100,((sim_annual_output!F170/E170)/AK170)))</f>
        <v>16.4970171790278</v>
      </c>
      <c r="AN170">
        <f>(S170+V170)*constants!$F$2+(T170+U170+W170+X170+Y170+Z170+AA170+AB170)*constants!$G$2</f>
        <v>249946.60728193779</v>
      </c>
      <c r="AO170">
        <f>(AD170*constants!$F$2+AE170*constants!$G$2)</f>
        <v>18405.638721573661</v>
      </c>
      <c r="AP170">
        <f t="shared" si="26"/>
        <v>7.3638281878386325</v>
      </c>
    </row>
    <row r="171" spans="1:42">
      <c r="A171">
        <f>sim_annual_output!B171</f>
        <v>10</v>
      </c>
      <c r="B171" t="str">
        <f>sim_annual_output!C171</f>
        <v>Maintenance Shop-Small</v>
      </c>
      <c r="C171" t="str">
        <f>sim_annual_output!D171</f>
        <v>1959-pre</v>
      </c>
      <c r="D171" t="str">
        <f>sim_annual_output!E171</f>
        <v>envelope_ecm_roof</v>
      </c>
      <c r="E171" s="45">
        <f t="array" ref="E171">IFERROR(INDEX(baseline!$J$3:$J$201,MATCH($B171&amp;$C171,baseline!$C$3:$C$201&amp;baseline!$D$3:$D$201,0)),"NA")</f>
        <v>927</v>
      </c>
      <c r="F171">
        <f>sim_annual_output!G171</f>
        <v>923.71795399999996</v>
      </c>
      <c r="G171">
        <f>$E171/$F171^2*sim_annual_output!I171</f>
        <v>0</v>
      </c>
      <c r="H171">
        <f>$E171/$F171^2*sim_annual_output!J171</f>
        <v>703.16998371558043</v>
      </c>
      <c r="I171">
        <f>$E171/$F171^2*sim_annual_output!K171</f>
        <v>1.0683217565238021</v>
      </c>
      <c r="J171">
        <f>$E171/$F171^2*sim_annual_output!L171</f>
        <v>0</v>
      </c>
      <c r="K171">
        <f>$E171/$F171^2*sim_annual_output!M171</f>
        <v>4.8406443431191484</v>
      </c>
      <c r="L171">
        <f>$E171/$F171^2*sim_annual_output!N171</f>
        <v>55.142302641816137</v>
      </c>
      <c r="M171">
        <f>$E171/$F171^2*sim_annual_output!O171</f>
        <v>6.60609131364577</v>
      </c>
      <c r="N171">
        <f>$E171/$F171^2*sim_annual_output!P171</f>
        <v>0</v>
      </c>
      <c r="O171">
        <f>$E171/$F171^2*sim_annual_output!Q171</f>
        <v>25.522025691869477</v>
      </c>
      <c r="P171">
        <f>$E171/$F171^2*sim_annual_output!R171</f>
        <v>38.133654563375032</v>
      </c>
      <c r="Q171">
        <f>$E171/$F171^2*sim_annual_output!S171</f>
        <v>0</v>
      </c>
      <c r="R171">
        <f t="array" ref="R171">INDEX(G$3:G$700,MATCH($B171&amp;$C171&amp;"baseline",$B$3:$B$700&amp;$C$3:$C$700&amp;$D$3:$D$700,0))</f>
        <v>0</v>
      </c>
      <c r="S171">
        <f t="array" ref="S171">INDEX(H$3:H$700,MATCH($B171&amp;$C171&amp;"baseline",$B$3:$B$700&amp;$C$3:$C$700&amp;$D$3:$D$700,0))</f>
        <v>757.1413574265174</v>
      </c>
      <c r="T171">
        <f t="array" ref="T171">INDEX(I$3:I$700,MATCH($B171&amp;$C171&amp;"baseline",$B$3:$B$700&amp;$C$3:$C$700&amp;$D$3:$D$700,0))</f>
        <v>0.8781966981593966</v>
      </c>
      <c r="U171">
        <f t="array" ref="U171">INDEX(J$3:J$700,MATCH($B171&amp;$C171&amp;"baseline",$B$3:$B$700&amp;$C$3:$C$700&amp;$D$3:$D$700,0))</f>
        <v>0</v>
      </c>
      <c r="V171">
        <f t="array" ref="V171">INDEX(K$3:K$700,MATCH($B171&amp;$C171&amp;"baseline",$B$3:$B$700&amp;$C$3:$C$700&amp;$D$3:$D$700,0))</f>
        <v>4.8406443431191484</v>
      </c>
      <c r="W171">
        <f t="array" ref="W171">INDEX(L$3:L$700,MATCH($B171&amp;$C171&amp;"baseline",$B$3:$B$700&amp;$C$3:$C$700&amp;$D$3:$D$700,0))</f>
        <v>55.142302641816137</v>
      </c>
      <c r="X171">
        <f t="array" ref="X171">INDEX(M$3:M$700,MATCH($B171&amp;$C171&amp;"baseline",$B$3:$B$700&amp;$C$3:$C$700&amp;$D$3:$D$700,0))</f>
        <v>6.60609131364577</v>
      </c>
      <c r="Y171">
        <f t="array" ref="Y171">INDEX(N$3:N$700,MATCH($B171&amp;$C171&amp;"baseline",$B$3:$B$700&amp;$C$3:$C$700&amp;$D$3:$D$700,0))</f>
        <v>0</v>
      </c>
      <c r="Z171">
        <f t="array" ref="Z171">INDEX(O$3:O$700,MATCH($B171&amp;$C171&amp;"baseline",$B$3:$B$700&amp;$C$3:$C$700&amp;$D$3:$D$700,0))</f>
        <v>27.148651191209389</v>
      </c>
      <c r="AA171">
        <f t="array" ref="AA171">INDEX(P$3:P$700,MATCH($B171&amp;$C171&amp;"baseline",$B$3:$B$700&amp;$C$3:$C$700&amp;$D$3:$D$700,0))</f>
        <v>40.744101793299016</v>
      </c>
      <c r="AB171">
        <f t="array" ref="AB171">INDEX(Q$3:Q$700,MATCH($B171&amp;$C171&amp;"baseline",$B$3:$B$700&amp;$C$3:$C$700&amp;$D$3:$D$700,0))</f>
        <v>0</v>
      </c>
      <c r="AC171">
        <f t="shared" si="20"/>
        <v>892.50134540776628</v>
      </c>
      <c r="AD171">
        <f t="shared" si="21"/>
        <v>53.971373710936973</v>
      </c>
      <c r="AE171">
        <f t="shared" si="22"/>
        <v>4.0469476708995131</v>
      </c>
      <c r="AF171">
        <f t="shared" si="23"/>
        <v>6.5006424562115432</v>
      </c>
      <c r="AG171">
        <f>(S171+V171+Y171)*constants!$O$2+(R171+T171+U171+W171+X171+Z171+AA171+AB171)*constants!$N$2</f>
        <v>27.09279425977677</v>
      </c>
      <c r="AH171">
        <f>((S171+V171+Y171)-(H171+K171+N171))*constants!$O$2</f>
        <v>0.87433625411717897</v>
      </c>
      <c r="AI171">
        <f>((R171+T171+U171+W171+X171+Z171+AA171+AB171)-(G171+I171+J171+L171+M171+O171+P171+Q171))*constants!$N$2</f>
        <v>0.457305086811645</v>
      </c>
      <c r="AJ171">
        <f t="shared" si="24"/>
        <v>4.9151125873562655</v>
      </c>
      <c r="AK171">
        <f t="shared" si="25"/>
        <v>1.3316413409288239</v>
      </c>
      <c r="AL171">
        <f>COUNTIFS($B:$B,$B171,$AK:$AK,"&lt;"&amp;$AK171)+COUNTIFS($B$2:$B171,$B171,$AK$2:$AK171,$AK171)</f>
        <v>46</v>
      </c>
      <c r="AM171" s="191">
        <f>IF(AK171=0, "NA",IF(((sim_annual_output!F171/E171)/AK171)&lt;0,100,((sim_annual_output!F171/E171)/AK171)))</f>
        <v>85.05782462630043</v>
      </c>
      <c r="AN171">
        <f>(S171+V171)*constants!$F$2+(T171+U171+W171+X171+Y171+Z171+AA171+AB171)*constants!$G$2</f>
        <v>249946.60728193779</v>
      </c>
      <c r="AO171">
        <f>(AD171*constants!$F$2+AE171*constants!$G$2)</f>
        <v>13181.720367940296</v>
      </c>
      <c r="AP171">
        <f t="shared" si="26"/>
        <v>5.273814480334762</v>
      </c>
    </row>
    <row r="172" spans="1:42">
      <c r="A172">
        <f>sim_annual_output!B172</f>
        <v>10</v>
      </c>
      <c r="B172" t="str">
        <f>sim_annual_output!C172</f>
        <v>Maintenance Shop-Small</v>
      </c>
      <c r="C172" t="str">
        <f>sim_annual_output!D172</f>
        <v>1959-pre</v>
      </c>
      <c r="D172" t="str">
        <f>sim_annual_output!E172</f>
        <v>envelope_ecm_wall</v>
      </c>
      <c r="E172" s="45">
        <f t="array" ref="E172">IFERROR(INDEX(baseline!$J$3:$J$201,MATCH($B172&amp;$C172,baseline!$C$3:$C$201&amp;baseline!$D$3:$D$201,0)),"NA")</f>
        <v>927</v>
      </c>
      <c r="F172">
        <f>sim_annual_output!G172</f>
        <v>923.71795399999996</v>
      </c>
      <c r="G172">
        <f>$E172/$F172^2*sim_annual_output!I172</f>
        <v>0</v>
      </c>
      <c r="H172">
        <f>$E172/$F172^2*sim_annual_output!J172</f>
        <v>656.44448722897573</v>
      </c>
      <c r="I172">
        <f>$E172/$F172^2*sim_annual_output!K172</f>
        <v>1.1920539373641295</v>
      </c>
      <c r="J172">
        <f>$E172/$F172^2*sim_annual_output!L172</f>
        <v>0</v>
      </c>
      <c r="K172">
        <f>$E172/$F172^2*sim_annual_output!M172</f>
        <v>4.8406443431191484</v>
      </c>
      <c r="L172">
        <f>$E172/$F172^2*sim_annual_output!N172</f>
        <v>55.142302641816137</v>
      </c>
      <c r="M172">
        <f>$E172/$F172^2*sim_annual_output!O172</f>
        <v>6.60609131364577</v>
      </c>
      <c r="N172">
        <f>$E172/$F172^2*sim_annual_output!P172</f>
        <v>0</v>
      </c>
      <c r="O172">
        <f>$E172/$F172^2*sim_annual_output!Q172</f>
        <v>23.934632347430153</v>
      </c>
      <c r="P172">
        <f>$E172/$F172^2*sim_annual_output!R172</f>
        <v>36.036243205228025</v>
      </c>
      <c r="Q172">
        <f>$E172/$F172^2*sim_annual_output!S172</f>
        <v>0</v>
      </c>
      <c r="R172">
        <f t="array" ref="R172">INDEX(G$3:G$700,MATCH($B172&amp;$C172&amp;"baseline",$B$3:$B$700&amp;$C$3:$C$700&amp;$D$3:$D$700,0))</f>
        <v>0</v>
      </c>
      <c r="S172">
        <f t="array" ref="S172">INDEX(H$3:H$700,MATCH($B172&amp;$C172&amp;"baseline",$B$3:$B$700&amp;$C$3:$C$700&amp;$D$3:$D$700,0))</f>
        <v>757.1413574265174</v>
      </c>
      <c r="T172">
        <f t="array" ref="T172">INDEX(I$3:I$700,MATCH($B172&amp;$C172&amp;"baseline",$B$3:$B$700&amp;$C$3:$C$700&amp;$D$3:$D$700,0))</f>
        <v>0.8781966981593966</v>
      </c>
      <c r="U172">
        <f t="array" ref="U172">INDEX(J$3:J$700,MATCH($B172&amp;$C172&amp;"baseline",$B$3:$B$700&amp;$C$3:$C$700&amp;$D$3:$D$700,0))</f>
        <v>0</v>
      </c>
      <c r="V172">
        <f t="array" ref="V172">INDEX(K$3:K$700,MATCH($B172&amp;$C172&amp;"baseline",$B$3:$B$700&amp;$C$3:$C$700&amp;$D$3:$D$700,0))</f>
        <v>4.8406443431191484</v>
      </c>
      <c r="W172">
        <f t="array" ref="W172">INDEX(L$3:L$700,MATCH($B172&amp;$C172&amp;"baseline",$B$3:$B$700&amp;$C$3:$C$700&amp;$D$3:$D$700,0))</f>
        <v>55.142302641816137</v>
      </c>
      <c r="X172">
        <f t="array" ref="X172">INDEX(M$3:M$700,MATCH($B172&amp;$C172&amp;"baseline",$B$3:$B$700&amp;$C$3:$C$700&amp;$D$3:$D$700,0))</f>
        <v>6.60609131364577</v>
      </c>
      <c r="Y172">
        <f t="array" ref="Y172">INDEX(N$3:N$700,MATCH($B172&amp;$C172&amp;"baseline",$B$3:$B$700&amp;$C$3:$C$700&amp;$D$3:$D$700,0))</f>
        <v>0</v>
      </c>
      <c r="Z172">
        <f t="array" ref="Z172">INDEX(O$3:O$700,MATCH($B172&amp;$C172&amp;"baseline",$B$3:$B$700&amp;$C$3:$C$700&amp;$D$3:$D$700,0))</f>
        <v>27.148651191209389</v>
      </c>
      <c r="AA172">
        <f t="array" ref="AA172">INDEX(P$3:P$700,MATCH($B172&amp;$C172&amp;"baseline",$B$3:$B$700&amp;$C$3:$C$700&amp;$D$3:$D$700,0))</f>
        <v>40.744101793299016</v>
      </c>
      <c r="AB172">
        <f t="array" ref="AB172">INDEX(Q$3:Q$700,MATCH($B172&amp;$C172&amp;"baseline",$B$3:$B$700&amp;$C$3:$C$700&amp;$D$3:$D$700,0))</f>
        <v>0</v>
      </c>
      <c r="AC172">
        <f t="shared" si="20"/>
        <v>892.50134540776628</v>
      </c>
      <c r="AD172">
        <f t="shared" si="21"/>
        <v>100.69687019754167</v>
      </c>
      <c r="AE172">
        <f t="shared" si="22"/>
        <v>7.6080201926455118</v>
      </c>
      <c r="AF172">
        <f t="shared" si="23"/>
        <v>12.134983431392454</v>
      </c>
      <c r="AG172">
        <f>(S172+V172+Y172)*constants!$O$2+(R172+T172+U172+W172+X172+Z172+AA172+AB172)*constants!$N$2</f>
        <v>27.09279425977677</v>
      </c>
      <c r="AH172">
        <f>((S172+V172+Y172)-(H172+K172+N172))*constants!$O$2</f>
        <v>1.6312892972001749</v>
      </c>
      <c r="AI172">
        <f>((R172+T172+U172+W172+X172+Z172+AA172+AB172)-(G172+I172+J172+L172+M172+O172+P172+Q172))*constants!$N$2</f>
        <v>0.85970628176894281</v>
      </c>
      <c r="AJ172">
        <f t="shared" si="24"/>
        <v>9.1943103213512618</v>
      </c>
      <c r="AK172">
        <f t="shared" si="25"/>
        <v>2.4909955789691178</v>
      </c>
      <c r="AL172">
        <f>COUNTIFS($B:$B,$B172,$AK:$AK,"&lt;"&amp;$AK172)+COUNTIFS($B$2:$B172,$B172,$AK$2:$AK172,$AK172)</f>
        <v>54</v>
      </c>
      <c r="AM172" s="191">
        <f>IF(AK172=0, "NA",IF(((sim_annual_output!F172/E172)/AK172)&lt;0,100,((sim_annual_output!F172/E172)/AK172)))</f>
        <v>111.37989165211503</v>
      </c>
      <c r="AN172">
        <f>(S172+V172)*constants!$F$2+(T172+U172+W172+X172+Y172+Z172+AA172+AB172)*constants!$G$2</f>
        <v>249946.60728193779</v>
      </c>
      <c r="AO172">
        <f>(AD172*constants!$F$2+AE172*constants!$G$2)</f>
        <v>24643.717332961554</v>
      </c>
      <c r="AP172">
        <f t="shared" si="26"/>
        <v>9.8595926549879653</v>
      </c>
    </row>
    <row r="173" spans="1:42">
      <c r="A173">
        <f>sim_annual_output!B173</f>
        <v>10</v>
      </c>
      <c r="B173" t="str">
        <f>sim_annual_output!C173</f>
        <v>Maintenance Shop-Small</v>
      </c>
      <c r="C173" t="str">
        <f>sim_annual_output!D173</f>
        <v>1959-pre</v>
      </c>
      <c r="D173" t="str">
        <f>sim_annual_output!E173</f>
        <v>envelope_ecm_windows</v>
      </c>
      <c r="E173" s="45">
        <f t="array" ref="E173">IFERROR(INDEX(baseline!$J$3:$J$201,MATCH($B173&amp;$C173,baseline!$C$3:$C$201&amp;baseline!$D$3:$D$201,0)),"NA")</f>
        <v>927</v>
      </c>
      <c r="F173">
        <f>sim_annual_output!G173</f>
        <v>923.71795399999996</v>
      </c>
      <c r="G173">
        <f>$E173/$F173^2*sim_annual_output!I173</f>
        <v>0</v>
      </c>
      <c r="H173">
        <f>$E173/$F173^2*sim_annual_output!J173</f>
        <v>751.27464133984427</v>
      </c>
      <c r="I173">
        <f>$E173/$F173^2*sim_annual_output!K173</f>
        <v>1.2161968019183396</v>
      </c>
      <c r="J173">
        <f>$E173/$F173^2*sim_annual_output!L173</f>
        <v>0</v>
      </c>
      <c r="K173">
        <f>$E173/$F173^2*sim_annual_output!M173</f>
        <v>4.8406443431191484</v>
      </c>
      <c r="L173">
        <f>$E173/$F173^2*sim_annual_output!N173</f>
        <v>55.142302641816137</v>
      </c>
      <c r="M173">
        <f>$E173/$F173^2*sim_annual_output!O173</f>
        <v>6.60609131364577</v>
      </c>
      <c r="N173">
        <f>$E173/$F173^2*sim_annual_output!P173</f>
        <v>0</v>
      </c>
      <c r="O173">
        <f>$E173/$F173^2*sim_annual_output!Q173</f>
        <v>27.115454752447349</v>
      </c>
      <c r="P173">
        <f>$E173/$F173^2*sim_annual_output!R173</f>
        <v>40.692798206121317</v>
      </c>
      <c r="Q173">
        <f>$E173/$F173^2*sim_annual_output!S173</f>
        <v>0</v>
      </c>
      <c r="R173">
        <f t="array" ref="R173">INDEX(G$3:G$700,MATCH($B173&amp;$C173&amp;"baseline",$B$3:$B$700&amp;$C$3:$C$700&amp;$D$3:$D$700,0))</f>
        <v>0</v>
      </c>
      <c r="S173">
        <f t="array" ref="S173">INDEX(H$3:H$700,MATCH($B173&amp;$C173&amp;"baseline",$B$3:$B$700&amp;$C$3:$C$700&amp;$D$3:$D$700,0))</f>
        <v>757.1413574265174</v>
      </c>
      <c r="T173">
        <f t="array" ref="T173">INDEX(I$3:I$700,MATCH($B173&amp;$C173&amp;"baseline",$B$3:$B$700&amp;$C$3:$C$700&amp;$D$3:$D$700,0))</f>
        <v>0.8781966981593966</v>
      </c>
      <c r="U173">
        <f t="array" ref="U173">INDEX(J$3:J$700,MATCH($B173&amp;$C173&amp;"baseline",$B$3:$B$700&amp;$C$3:$C$700&amp;$D$3:$D$700,0))</f>
        <v>0</v>
      </c>
      <c r="V173">
        <f t="array" ref="V173">INDEX(K$3:K$700,MATCH($B173&amp;$C173&amp;"baseline",$B$3:$B$700&amp;$C$3:$C$700&amp;$D$3:$D$700,0))</f>
        <v>4.8406443431191484</v>
      </c>
      <c r="W173">
        <f t="array" ref="W173">INDEX(L$3:L$700,MATCH($B173&amp;$C173&amp;"baseline",$B$3:$B$700&amp;$C$3:$C$700&amp;$D$3:$D$700,0))</f>
        <v>55.142302641816137</v>
      </c>
      <c r="X173">
        <f t="array" ref="X173">INDEX(M$3:M$700,MATCH($B173&amp;$C173&amp;"baseline",$B$3:$B$700&amp;$C$3:$C$700&amp;$D$3:$D$700,0))</f>
        <v>6.60609131364577</v>
      </c>
      <c r="Y173">
        <f t="array" ref="Y173">INDEX(N$3:N$700,MATCH($B173&amp;$C173&amp;"baseline",$B$3:$B$700&amp;$C$3:$C$700&amp;$D$3:$D$700,0))</f>
        <v>0</v>
      </c>
      <c r="Z173">
        <f t="array" ref="Z173">INDEX(O$3:O$700,MATCH($B173&amp;$C173&amp;"baseline",$B$3:$B$700&amp;$C$3:$C$700&amp;$D$3:$D$700,0))</f>
        <v>27.148651191209389</v>
      </c>
      <c r="AA173">
        <f t="array" ref="AA173">INDEX(P$3:P$700,MATCH($B173&amp;$C173&amp;"baseline",$B$3:$B$700&amp;$C$3:$C$700&amp;$D$3:$D$700,0))</f>
        <v>40.744101793299016</v>
      </c>
      <c r="AB173">
        <f t="array" ref="AB173">INDEX(Q$3:Q$700,MATCH($B173&amp;$C173&amp;"baseline",$B$3:$B$700&amp;$C$3:$C$700&amp;$D$3:$D$700,0))</f>
        <v>0</v>
      </c>
      <c r="AC173">
        <f t="shared" si="20"/>
        <v>892.50134540776628</v>
      </c>
      <c r="AD173">
        <f t="shared" si="21"/>
        <v>5.8667160866731365</v>
      </c>
      <c r="AE173">
        <f t="shared" si="22"/>
        <v>-0.25350007781918293</v>
      </c>
      <c r="AF173">
        <f t="shared" si="23"/>
        <v>0.62893081761007164</v>
      </c>
      <c r="AG173">
        <f>(S173+V173+Y173)*constants!$O$2+(R173+T173+U173+W173+X173+Z173+AA173+AB173)*constants!$N$2</f>
        <v>27.09279425977677</v>
      </c>
      <c r="AH173">
        <f>((S173+V173+Y173)-(H173+K173+N173))*constants!$O$2</f>
        <v>9.5040800604104803E-2</v>
      </c>
      <c r="AI173">
        <f>((R173+T173+U173+W173+X173+Z173+AA173+AB173)-(G173+I173+J173+L173+M173+O173+P173+Q173))*constants!$N$2</f>
        <v>-2.8645508793567673E-2</v>
      </c>
      <c r="AJ173">
        <f t="shared" si="24"/>
        <v>0.24506623855004386</v>
      </c>
      <c r="AK173">
        <f t="shared" si="25"/>
        <v>6.6395291810537133E-2</v>
      </c>
      <c r="AL173">
        <f>COUNTIFS($B:$B,$B173,$AK:$AK,"&lt;"&amp;$AK173)+COUNTIFS($B$2:$B173,$B173,$AK$2:$AK173,$AK173)</f>
        <v>34</v>
      </c>
      <c r="AM173" s="191">
        <f>IF(AK173=0, "NA",IF(((sim_annual_output!F173/E173)/AK173)&lt;0,100,((sim_annual_output!F173/E173)/AK173)))</f>
        <v>108.63655501188065</v>
      </c>
      <c r="AN173">
        <f>(S173+V173)*constants!$F$2+(T173+U173+W173+X173+Y173+Z173+AA173+AB173)*constants!$G$2</f>
        <v>249946.60728193779</v>
      </c>
      <c r="AO173">
        <f>(AD173*constants!$F$2+AE173*constants!$G$2)</f>
        <v>829.59711181180239</v>
      </c>
      <c r="AP173">
        <f t="shared" si="26"/>
        <v>0.33190973097547327</v>
      </c>
    </row>
    <row r="174" spans="1:42">
      <c r="A174">
        <f>sim_annual_output!B174</f>
        <v>10</v>
      </c>
      <c r="B174" t="str">
        <f>sim_annual_output!C174</f>
        <v>Maintenance Shop-Small</v>
      </c>
      <c r="C174" t="str">
        <f>sim_annual_output!D174</f>
        <v>1959-pre</v>
      </c>
      <c r="D174" t="str">
        <f>sim_annual_output!E174</f>
        <v>exhaust_fans_occ_control</v>
      </c>
      <c r="E174" s="45">
        <f t="array" ref="E174">IFERROR(INDEX(baseline!$J$3:$J$201,MATCH($B174&amp;$C174,baseline!$C$3:$C$201&amp;baseline!$D$3:$D$201,0)),"NA")</f>
        <v>927</v>
      </c>
      <c r="F174">
        <f>sim_annual_output!G174</f>
        <v>923.71795399999996</v>
      </c>
      <c r="G174">
        <f>$E174/$F174^2*sim_annual_output!I174</f>
        <v>0</v>
      </c>
      <c r="H174">
        <f>$E174/$F174^2*sim_annual_output!J174</f>
        <v>752.54515958700961</v>
      </c>
      <c r="I174">
        <f>$E174/$F174^2*sim_annual_output!K174</f>
        <v>1.2161968019183396</v>
      </c>
      <c r="J174">
        <f>$E174/$F174^2*sim_annual_output!L174</f>
        <v>0</v>
      </c>
      <c r="K174">
        <f>$E174/$F174^2*sim_annual_output!M174</f>
        <v>4.8406443431191484</v>
      </c>
      <c r="L174">
        <f>$E174/$F174^2*sim_annual_output!N174</f>
        <v>55.142302641816137</v>
      </c>
      <c r="M174">
        <f>$E174/$F174^2*sim_annual_output!O174</f>
        <v>6.60609131364577</v>
      </c>
      <c r="N174">
        <f>$E174/$F174^2*sim_annual_output!P174</f>
        <v>0</v>
      </c>
      <c r="O174">
        <f>$E174/$F174^2*sim_annual_output!Q174</f>
        <v>27.13054404279373</v>
      </c>
      <c r="P174">
        <f>$E174/$F174^2*sim_annual_output!R174</f>
        <v>40.750137509437572</v>
      </c>
      <c r="Q174">
        <f>$E174/$F174^2*sim_annual_output!S174</f>
        <v>0</v>
      </c>
      <c r="R174">
        <f t="array" ref="R174">INDEX(G$3:G$700,MATCH($B174&amp;$C174&amp;"baseline",$B$3:$B$700&amp;$C$3:$C$700&amp;$D$3:$D$700,0))</f>
        <v>0</v>
      </c>
      <c r="S174">
        <f t="array" ref="S174">INDEX(H$3:H$700,MATCH($B174&amp;$C174&amp;"baseline",$B$3:$B$700&amp;$C$3:$C$700&amp;$D$3:$D$700,0))</f>
        <v>757.1413574265174</v>
      </c>
      <c r="T174">
        <f t="array" ref="T174">INDEX(I$3:I$700,MATCH($B174&amp;$C174&amp;"baseline",$B$3:$B$700&amp;$C$3:$C$700&amp;$D$3:$D$700,0))</f>
        <v>0.8781966981593966</v>
      </c>
      <c r="U174">
        <f t="array" ref="U174">INDEX(J$3:J$700,MATCH($B174&amp;$C174&amp;"baseline",$B$3:$B$700&amp;$C$3:$C$700&amp;$D$3:$D$700,0))</f>
        <v>0</v>
      </c>
      <c r="V174">
        <f t="array" ref="V174">INDEX(K$3:K$700,MATCH($B174&amp;$C174&amp;"baseline",$B$3:$B$700&amp;$C$3:$C$700&amp;$D$3:$D$700,0))</f>
        <v>4.8406443431191484</v>
      </c>
      <c r="W174">
        <f t="array" ref="W174">INDEX(L$3:L$700,MATCH($B174&amp;$C174&amp;"baseline",$B$3:$B$700&amp;$C$3:$C$700&amp;$D$3:$D$700,0))</f>
        <v>55.142302641816137</v>
      </c>
      <c r="X174">
        <f t="array" ref="X174">INDEX(M$3:M$700,MATCH($B174&amp;$C174&amp;"baseline",$B$3:$B$700&amp;$C$3:$C$700&amp;$D$3:$D$700,0))</f>
        <v>6.60609131364577</v>
      </c>
      <c r="Y174">
        <f t="array" ref="Y174">INDEX(N$3:N$700,MATCH($B174&amp;$C174&amp;"baseline",$B$3:$B$700&amp;$C$3:$C$700&amp;$D$3:$D$700,0))</f>
        <v>0</v>
      </c>
      <c r="Z174">
        <f t="array" ref="Z174">INDEX(O$3:O$700,MATCH($B174&amp;$C174&amp;"baseline",$B$3:$B$700&amp;$C$3:$C$700&amp;$D$3:$D$700,0))</f>
        <v>27.148651191209389</v>
      </c>
      <c r="AA174">
        <f t="array" ref="AA174">INDEX(P$3:P$700,MATCH($B174&amp;$C174&amp;"baseline",$B$3:$B$700&amp;$C$3:$C$700&amp;$D$3:$D$700,0))</f>
        <v>40.744101793299016</v>
      </c>
      <c r="AB174">
        <f t="array" ref="AB174">INDEX(Q$3:Q$700,MATCH($B174&amp;$C174&amp;"baseline",$B$3:$B$700&amp;$C$3:$C$700&amp;$D$3:$D$700,0))</f>
        <v>0</v>
      </c>
      <c r="AC174">
        <f t="shared" si="20"/>
        <v>892.50134540776628</v>
      </c>
      <c r="AD174">
        <f t="shared" si="21"/>
        <v>4.5961978395077949</v>
      </c>
      <c r="AE174">
        <f t="shared" si="22"/>
        <v>-0.32592867148181881</v>
      </c>
      <c r="AF174">
        <f t="shared" si="23"/>
        <v>0.47846081017110115</v>
      </c>
      <c r="AG174">
        <f>(S174+V174+Y174)*constants!$O$2+(R174+T174+U174+W174+X174+Z174+AA174+AB174)*constants!$N$2</f>
        <v>27.09279425977677</v>
      </c>
      <c r="AH174">
        <f>((S174+V174+Y174)-(H174+K174+N174))*constants!$O$2</f>
        <v>7.4458405000026276E-2</v>
      </c>
      <c r="AI174">
        <f>((R174+T174+U174+W174+X174+Z174+AA174+AB174)-(G174+I174+J174+L174+M174+O174+P174+Q174))*constants!$N$2</f>
        <v>-3.6829939877445525E-2</v>
      </c>
      <c r="AJ174">
        <f t="shared" si="24"/>
        <v>0.13888735418644407</v>
      </c>
      <c r="AK174">
        <f t="shared" si="25"/>
        <v>3.7628465122580751E-2</v>
      </c>
      <c r="AL174">
        <f>COUNTIFS($B:$B,$B174,$AK:$AK,"&lt;"&amp;$AK174)+COUNTIFS($B$2:$B174,$B174,$AK$2:$AK174,$AK174)</f>
        <v>28</v>
      </c>
      <c r="AM174" s="191">
        <f>IF(AK174=0, "NA",IF(((sim_annual_output!F174/E174)/AK174)&lt;0,100,((sim_annual_output!F174/E174)/AK174)))</f>
        <v>20.98643036112459</v>
      </c>
      <c r="AN174">
        <f>(S174+V174)*constants!$F$2+(T174+U174+W174+X174+Y174+Z174+AA174+AB174)*constants!$G$2</f>
        <v>249946.60728193779</v>
      </c>
      <c r="AO174">
        <f>(AD174*constants!$F$2+AE174*constants!$G$2)</f>
        <v>539.16146908271298</v>
      </c>
      <c r="AP174">
        <f t="shared" si="26"/>
        <v>0.21571065714628529</v>
      </c>
    </row>
    <row r="175" spans="1:42">
      <c r="A175">
        <f>sim_annual_output!B175</f>
        <v>10</v>
      </c>
      <c r="B175" t="str">
        <f>sim_annual_output!C175</f>
        <v>Maintenance Shop-Small</v>
      </c>
      <c r="C175" t="str">
        <f>sim_annual_output!D175</f>
        <v>1959-pre</v>
      </c>
      <c r="D175" t="str">
        <f>sim_annual_output!E175</f>
        <v>fans_to_variable</v>
      </c>
      <c r="E175" s="45">
        <f t="array" ref="E175">IFERROR(INDEX(baseline!$J$3:$J$201,MATCH($B175&amp;$C175,baseline!$C$3:$C$201&amp;baseline!$D$3:$D$201,0)),"NA")</f>
        <v>927</v>
      </c>
      <c r="F175">
        <f>sim_annual_output!G175</f>
        <v>923.71795399999996</v>
      </c>
      <c r="G175">
        <f>$E175/$F175^2*sim_annual_output!I175</f>
        <v>0</v>
      </c>
      <c r="H175">
        <f>$E175/$F175^2*sim_annual_output!J175</f>
        <v>752.67190962591906</v>
      </c>
      <c r="I175">
        <f>$E175/$F175^2*sim_annual_output!K175</f>
        <v>1.2101610857797871</v>
      </c>
      <c r="J175">
        <f>$E175/$F175^2*sim_annual_output!L175</f>
        <v>0</v>
      </c>
      <c r="K175">
        <f>$E175/$F175^2*sim_annual_output!M175</f>
        <v>4.8406443431191484</v>
      </c>
      <c r="L175">
        <f>$E175/$F175^2*sim_annual_output!N175</f>
        <v>55.142302641816137</v>
      </c>
      <c r="M175">
        <f>$E175/$F175^2*sim_annual_output!O175</f>
        <v>6.60609131364577</v>
      </c>
      <c r="N175">
        <f>$E175/$F175^2*sim_annual_output!P175</f>
        <v>0</v>
      </c>
      <c r="O175">
        <f>$E175/$F175^2*sim_annual_output!Q175</f>
        <v>27.036990442646168</v>
      </c>
      <c r="P175">
        <f>$E175/$F175^2*sim_annual_output!R175</f>
        <v>40.75617322557612</v>
      </c>
      <c r="Q175">
        <f>$E175/$F175^2*sim_annual_output!S175</f>
        <v>0</v>
      </c>
      <c r="R175">
        <f t="array" ref="R175">INDEX(G$3:G$700,MATCH($B175&amp;$C175&amp;"baseline",$B$3:$B$700&amp;$C$3:$C$700&amp;$D$3:$D$700,0))</f>
        <v>0</v>
      </c>
      <c r="S175">
        <f t="array" ref="S175">INDEX(H$3:H$700,MATCH($B175&amp;$C175&amp;"baseline",$B$3:$B$700&amp;$C$3:$C$700&amp;$D$3:$D$700,0))</f>
        <v>757.1413574265174</v>
      </c>
      <c r="T175">
        <f t="array" ref="T175">INDEX(I$3:I$700,MATCH($B175&amp;$C175&amp;"baseline",$B$3:$B$700&amp;$C$3:$C$700&amp;$D$3:$D$700,0))</f>
        <v>0.8781966981593966</v>
      </c>
      <c r="U175">
        <f t="array" ref="U175">INDEX(J$3:J$700,MATCH($B175&amp;$C175&amp;"baseline",$B$3:$B$700&amp;$C$3:$C$700&amp;$D$3:$D$700,0))</f>
        <v>0</v>
      </c>
      <c r="V175">
        <f t="array" ref="V175">INDEX(K$3:K$700,MATCH($B175&amp;$C175&amp;"baseline",$B$3:$B$700&amp;$C$3:$C$700&amp;$D$3:$D$700,0))</f>
        <v>4.8406443431191484</v>
      </c>
      <c r="W175">
        <f t="array" ref="W175">INDEX(L$3:L$700,MATCH($B175&amp;$C175&amp;"baseline",$B$3:$B$700&amp;$C$3:$C$700&amp;$D$3:$D$700,0))</f>
        <v>55.142302641816137</v>
      </c>
      <c r="X175">
        <f t="array" ref="X175">INDEX(M$3:M$700,MATCH($B175&amp;$C175&amp;"baseline",$B$3:$B$700&amp;$C$3:$C$700&amp;$D$3:$D$700,0))</f>
        <v>6.60609131364577</v>
      </c>
      <c r="Y175">
        <f t="array" ref="Y175">INDEX(N$3:N$700,MATCH($B175&amp;$C175&amp;"baseline",$B$3:$B$700&amp;$C$3:$C$700&amp;$D$3:$D$700,0))</f>
        <v>0</v>
      </c>
      <c r="Z175">
        <f t="array" ref="Z175">INDEX(O$3:O$700,MATCH($B175&amp;$C175&amp;"baseline",$B$3:$B$700&amp;$C$3:$C$700&amp;$D$3:$D$700,0))</f>
        <v>27.148651191209389</v>
      </c>
      <c r="AA175">
        <f t="array" ref="AA175">INDEX(P$3:P$700,MATCH($B175&amp;$C175&amp;"baseline",$B$3:$B$700&amp;$C$3:$C$700&amp;$D$3:$D$700,0))</f>
        <v>40.744101793299016</v>
      </c>
      <c r="AB175">
        <f t="array" ref="AB175">INDEX(Q$3:Q$700,MATCH($B175&amp;$C175&amp;"baseline",$B$3:$B$700&amp;$C$3:$C$700&amp;$D$3:$D$700,0))</f>
        <v>0</v>
      </c>
      <c r="AC175">
        <f t="shared" si="20"/>
        <v>892.50134540776628</v>
      </c>
      <c r="AD175">
        <f t="shared" si="21"/>
        <v>4.4694478005983456</v>
      </c>
      <c r="AE175">
        <f t="shared" si="22"/>
        <v>-0.23237507133427471</v>
      </c>
      <c r="AF175">
        <f t="shared" si="23"/>
        <v>0.4747413268411641</v>
      </c>
      <c r="AG175">
        <f>(S175+V175+Y175)*constants!$O$2+(R175+T175+U175+W175+X175+Z175+AA175+AB175)*constants!$N$2</f>
        <v>27.09279425977677</v>
      </c>
      <c r="AH175">
        <f>((S175+V175+Y175)-(H175+K175+N175))*constants!$O$2</f>
        <v>7.2405054369693189E-2</v>
      </c>
      <c r="AI175">
        <f>((R175+T175+U175+W175+X175+Z175+AA175+AB175)-(G175+I175+J175+L175+M175+O175+P175+Q175))*constants!$N$2</f>
        <v>-2.6258383060773043E-2</v>
      </c>
      <c r="AJ175">
        <f t="shared" si="24"/>
        <v>0.17032820928859174</v>
      </c>
      <c r="AK175">
        <f t="shared" si="25"/>
        <v>4.6146671308920147E-2</v>
      </c>
      <c r="AL175">
        <f>COUNTIFS($B:$B,$B175,$AK:$AK,"&lt;"&amp;$AK175)+COUNTIFS($B$2:$B175,$B175,$AK$2:$AK175,$AK175)</f>
        <v>30</v>
      </c>
      <c r="AM175" s="191">
        <f>IF(AK175=0, "NA",IF(((sim_annual_output!F175/E175)/AK175)&lt;0,100,((sim_annual_output!F175/E175)/AK175)))</f>
        <v>61.437238606349929</v>
      </c>
      <c r="AN175">
        <f>(S175+V175)*constants!$F$2+(T175+U175+W175+X175+Y175+Z175+AA175+AB175)*constants!$G$2</f>
        <v>249946.60728193779</v>
      </c>
      <c r="AO175">
        <f>(AD175*constants!$F$2+AE175*constants!$G$2)</f>
        <v>597.86484424628486</v>
      </c>
      <c r="AP175">
        <f t="shared" si="26"/>
        <v>0.23919702321540137</v>
      </c>
    </row>
    <row r="176" spans="1:42">
      <c r="A176">
        <f>sim_annual_output!B176</f>
        <v>10</v>
      </c>
      <c r="B176" t="str">
        <f>sim_annual_output!C176</f>
        <v>Maintenance Shop-Small</v>
      </c>
      <c r="C176" t="str">
        <f>sim_annual_output!D176</f>
        <v>1959-pre</v>
      </c>
      <c r="D176" t="str">
        <f>sim_annual_output!E176</f>
        <v>hrv_enabled</v>
      </c>
      <c r="E176" s="45">
        <f t="array" ref="E176">IFERROR(INDEX(baseline!$J$3:$J$201,MATCH($B176&amp;$C176,baseline!$C$3:$C$201&amp;baseline!$D$3:$D$201,0)),"NA")</f>
        <v>927</v>
      </c>
      <c r="F176">
        <f>sim_annual_output!G176</f>
        <v>923.71795399999996</v>
      </c>
      <c r="G176">
        <f>$E176/$F176^2*sim_annual_output!I176</f>
        <v>0</v>
      </c>
      <c r="H176">
        <f>$E176/$F176^2*sim_annual_output!J176</f>
        <v>739.10663760452223</v>
      </c>
      <c r="I176">
        <f>$E176/$F176^2*sim_annual_output!K176</f>
        <v>1.3188039762737331</v>
      </c>
      <c r="J176">
        <f>$E176/$F176^2*sim_annual_output!L176</f>
        <v>0</v>
      </c>
      <c r="K176">
        <f>$E176/$F176^2*sim_annual_output!M176</f>
        <v>4.8406443431191484</v>
      </c>
      <c r="L176">
        <f>$E176/$F176^2*sim_annual_output!N176</f>
        <v>55.142302641816137</v>
      </c>
      <c r="M176">
        <f>$E176/$F176^2*sim_annual_output!O176</f>
        <v>6.60609131364577</v>
      </c>
      <c r="N176">
        <f>$E176/$F176^2*sim_annual_output!P176</f>
        <v>0</v>
      </c>
      <c r="O176">
        <f>$E176/$F176^2*sim_annual_output!Q176</f>
        <v>27.085276171754586</v>
      </c>
      <c r="P176">
        <f>$E176/$F176^2*sim_annual_output!R176</f>
        <v>40.665637483497832</v>
      </c>
      <c r="Q176">
        <f>$E176/$F176^2*sim_annual_output!S176</f>
        <v>2.4022150231439166</v>
      </c>
      <c r="R176">
        <f t="array" ref="R176">INDEX(G$3:G$700,MATCH($B176&amp;$C176&amp;"baseline",$B$3:$B$700&amp;$C$3:$C$700&amp;$D$3:$D$700,0))</f>
        <v>0</v>
      </c>
      <c r="S176">
        <f t="array" ref="S176">INDEX(H$3:H$700,MATCH($B176&amp;$C176&amp;"baseline",$B$3:$B$700&amp;$C$3:$C$700&amp;$D$3:$D$700,0))</f>
        <v>757.1413574265174</v>
      </c>
      <c r="T176">
        <f t="array" ref="T176">INDEX(I$3:I$700,MATCH($B176&amp;$C176&amp;"baseline",$B$3:$B$700&amp;$C$3:$C$700&amp;$D$3:$D$700,0))</f>
        <v>0.8781966981593966</v>
      </c>
      <c r="U176">
        <f t="array" ref="U176">INDEX(J$3:J$700,MATCH($B176&amp;$C176&amp;"baseline",$B$3:$B$700&amp;$C$3:$C$700&amp;$D$3:$D$700,0))</f>
        <v>0</v>
      </c>
      <c r="V176">
        <f t="array" ref="V176">INDEX(K$3:K$700,MATCH($B176&amp;$C176&amp;"baseline",$B$3:$B$700&amp;$C$3:$C$700&amp;$D$3:$D$700,0))</f>
        <v>4.8406443431191484</v>
      </c>
      <c r="W176">
        <f t="array" ref="W176">INDEX(L$3:L$700,MATCH($B176&amp;$C176&amp;"baseline",$B$3:$B$700&amp;$C$3:$C$700&amp;$D$3:$D$700,0))</f>
        <v>55.142302641816137</v>
      </c>
      <c r="X176">
        <f t="array" ref="X176">INDEX(M$3:M$700,MATCH($B176&amp;$C176&amp;"baseline",$B$3:$B$700&amp;$C$3:$C$700&amp;$D$3:$D$700,0))</f>
        <v>6.60609131364577</v>
      </c>
      <c r="Y176">
        <f t="array" ref="Y176">INDEX(N$3:N$700,MATCH($B176&amp;$C176&amp;"baseline",$B$3:$B$700&amp;$C$3:$C$700&amp;$D$3:$D$700,0))</f>
        <v>0</v>
      </c>
      <c r="Z176">
        <f t="array" ref="Z176">INDEX(O$3:O$700,MATCH($B176&amp;$C176&amp;"baseline",$B$3:$B$700&amp;$C$3:$C$700&amp;$D$3:$D$700,0))</f>
        <v>27.148651191209389</v>
      </c>
      <c r="AA176">
        <f t="array" ref="AA176">INDEX(P$3:P$700,MATCH($B176&amp;$C176&amp;"baseline",$B$3:$B$700&amp;$C$3:$C$700&amp;$D$3:$D$700,0))</f>
        <v>40.744101793299016</v>
      </c>
      <c r="AB176">
        <f t="array" ref="AB176">INDEX(Q$3:Q$700,MATCH($B176&amp;$C176&amp;"baseline",$B$3:$B$700&amp;$C$3:$C$700&amp;$D$3:$D$700,0))</f>
        <v>0</v>
      </c>
      <c r="AC176">
        <f t="shared" si="20"/>
        <v>892.50134540776628</v>
      </c>
      <c r="AD176">
        <f t="shared" si="21"/>
        <v>18.034719821995168</v>
      </c>
      <c r="AE176">
        <f t="shared" si="22"/>
        <v>-2.7009829720022367</v>
      </c>
      <c r="AF176">
        <f t="shared" si="23"/>
        <v>1.7180631635896579</v>
      </c>
      <c r="AG176">
        <f>(S176+V176+Y176)*constants!$O$2+(R176+T176+U176+W176+X176+Z176+AA176+AB176)*constants!$N$2</f>
        <v>27.09279425977677</v>
      </c>
      <c r="AH176">
        <f>((S176+V176+Y176)-(H176+K176+N176))*constants!$O$2</f>
        <v>0.29216246111632171</v>
      </c>
      <c r="AI176">
        <f>((R176+T176+U176+W176+X176+Z176+AA176+AB176)-(G176+I176+J176+L176+M176+O176+P176+Q176))*constants!$N$2</f>
        <v>-0.30521107583625273</v>
      </c>
      <c r="AJ176">
        <f t="shared" si="24"/>
        <v>-4.8162676004606879E-2</v>
      </c>
      <c r="AK176">
        <f t="shared" si="25"/>
        <v>-1.3048614719931018E-2</v>
      </c>
      <c r="AL176">
        <f>COUNTIFS($B:$B,$B176,$AK:$AK,"&lt;"&amp;$AK176)+COUNTIFS($B$2:$B176,$B176,$AK$2:$AK176,$AK176)</f>
        <v>16</v>
      </c>
      <c r="AM176" s="191">
        <f>IF(AK176=0, "NA",IF(((sim_annual_output!F176/E176)/AK176)&lt;0,100,((sim_annual_output!F176/E176)/AK176)))</f>
        <v>100</v>
      </c>
      <c r="AN176">
        <f>(S176+V176)*constants!$F$2+(T176+U176+W176+X176+Y176+Z176+AA176+AB176)*constants!$G$2</f>
        <v>249946.60728193779</v>
      </c>
      <c r="AO176">
        <f>(AD176*constants!$F$2+AE176*constants!$G$2)</f>
        <v>878.35966249518924</v>
      </c>
      <c r="AP176">
        <f t="shared" si="26"/>
        <v>0.35141891784288415</v>
      </c>
    </row>
    <row r="177" spans="1:42">
      <c r="A177">
        <f>sim_annual_output!B177</f>
        <v>10</v>
      </c>
      <c r="B177" t="str">
        <f>sim_annual_output!C177</f>
        <v>Maintenance Shop-Small</v>
      </c>
      <c r="C177" t="str">
        <f>sim_annual_output!D177</f>
        <v>1959-pre</v>
      </c>
      <c r="D177" t="str">
        <f>sim_annual_output!E177</f>
        <v>infil_reduce</v>
      </c>
      <c r="E177" s="45">
        <f t="array" ref="E177">IFERROR(INDEX(baseline!$J$3:$J$201,MATCH($B177&amp;$C177,baseline!$C$3:$C$201&amp;baseline!$D$3:$D$201,0)),"NA")</f>
        <v>927</v>
      </c>
      <c r="F177">
        <f>sim_annual_output!G177</f>
        <v>923.71795399999996</v>
      </c>
      <c r="G177">
        <f>$E177/$F177^2*sim_annual_output!I177</f>
        <v>0</v>
      </c>
      <c r="H177">
        <f>$E177/$F177^2*sim_annual_output!J177</f>
        <v>417.56894961348138</v>
      </c>
      <c r="I177">
        <f>$E177/$F177^2*sim_annual_output!K177</f>
        <v>1.5451433314694538</v>
      </c>
      <c r="J177">
        <f>$E177/$F177^2*sim_annual_output!L177</f>
        <v>0</v>
      </c>
      <c r="K177">
        <f>$E177/$F177^2*sim_annual_output!M177</f>
        <v>4.8406443431191484</v>
      </c>
      <c r="L177">
        <f>$E177/$F177^2*sim_annual_output!N177</f>
        <v>55.142302641816137</v>
      </c>
      <c r="M177">
        <f>$E177/$F177^2*sim_annual_output!O177</f>
        <v>6.60609131364577</v>
      </c>
      <c r="N177">
        <f>$E177/$F177^2*sim_annual_output!P177</f>
        <v>0</v>
      </c>
      <c r="O177">
        <f>$E177/$F177^2*sim_annual_output!Q177</f>
        <v>16.169683535182294</v>
      </c>
      <c r="P177">
        <f>$E177/$F177^2*sim_annual_output!R177</f>
        <v>23.629828682433249</v>
      </c>
      <c r="Q177">
        <f>$E177/$F177^2*sim_annual_output!S177</f>
        <v>0</v>
      </c>
      <c r="R177">
        <f t="array" ref="R177">INDEX(G$3:G$700,MATCH($B177&amp;$C177&amp;"baseline",$B$3:$B$700&amp;$C$3:$C$700&amp;$D$3:$D$700,0))</f>
        <v>0</v>
      </c>
      <c r="S177">
        <f t="array" ref="S177">INDEX(H$3:H$700,MATCH($B177&amp;$C177&amp;"baseline",$B$3:$B$700&amp;$C$3:$C$700&amp;$D$3:$D$700,0))</f>
        <v>757.1413574265174</v>
      </c>
      <c r="T177">
        <f t="array" ref="T177">INDEX(I$3:I$700,MATCH($B177&amp;$C177&amp;"baseline",$B$3:$B$700&amp;$C$3:$C$700&amp;$D$3:$D$700,0))</f>
        <v>0.8781966981593966</v>
      </c>
      <c r="U177">
        <f t="array" ref="U177">INDEX(J$3:J$700,MATCH($B177&amp;$C177&amp;"baseline",$B$3:$B$700&amp;$C$3:$C$700&amp;$D$3:$D$700,0))</f>
        <v>0</v>
      </c>
      <c r="V177">
        <f t="array" ref="V177">INDEX(K$3:K$700,MATCH($B177&amp;$C177&amp;"baseline",$B$3:$B$700&amp;$C$3:$C$700&amp;$D$3:$D$700,0))</f>
        <v>4.8406443431191484</v>
      </c>
      <c r="W177">
        <f t="array" ref="W177">INDEX(L$3:L$700,MATCH($B177&amp;$C177&amp;"baseline",$B$3:$B$700&amp;$C$3:$C$700&amp;$D$3:$D$700,0))</f>
        <v>55.142302641816137</v>
      </c>
      <c r="X177">
        <f t="array" ref="X177">INDEX(M$3:M$700,MATCH($B177&amp;$C177&amp;"baseline",$B$3:$B$700&amp;$C$3:$C$700&amp;$D$3:$D$700,0))</f>
        <v>6.60609131364577</v>
      </c>
      <c r="Y177">
        <f t="array" ref="Y177">INDEX(N$3:N$700,MATCH($B177&amp;$C177&amp;"baseline",$B$3:$B$700&amp;$C$3:$C$700&amp;$D$3:$D$700,0))</f>
        <v>0</v>
      </c>
      <c r="Z177">
        <f t="array" ref="Z177">INDEX(O$3:O$700,MATCH($B177&amp;$C177&amp;"baseline",$B$3:$B$700&amp;$C$3:$C$700&amp;$D$3:$D$700,0))</f>
        <v>27.148651191209389</v>
      </c>
      <c r="AA177">
        <f t="array" ref="AA177">INDEX(P$3:P$700,MATCH($B177&amp;$C177&amp;"baseline",$B$3:$B$700&amp;$C$3:$C$700&amp;$D$3:$D$700,0))</f>
        <v>40.744101793299016</v>
      </c>
      <c r="AB177">
        <f t="array" ref="AB177">INDEX(Q$3:Q$700,MATCH($B177&amp;$C177&amp;"baseline",$B$3:$B$700&amp;$C$3:$C$700&amp;$D$3:$D$700,0))</f>
        <v>0</v>
      </c>
      <c r="AC177">
        <f t="shared" si="20"/>
        <v>892.50134540776628</v>
      </c>
      <c r="AD177">
        <f t="shared" si="21"/>
        <v>339.57240781303602</v>
      </c>
      <c r="AE177">
        <f t="shared" si="22"/>
        <v>27.426294133582815</v>
      </c>
      <c r="AF177">
        <f t="shared" si="23"/>
        <v>41.120240752011902</v>
      </c>
      <c r="AG177">
        <f>(S177+V177+Y177)*constants!$O$2+(R177+T177+U177+W177+X177+Z177+AA177+AB177)*constants!$N$2</f>
        <v>27.09279425977677</v>
      </c>
      <c r="AH177">
        <f>((S177+V177+Y177)-(H177+K177+N177))*constants!$O$2</f>
        <v>5.5010730065711835</v>
      </c>
      <c r="AI177">
        <f>((R177+T177+U177+W177+X177+Z177+AA177+AB177)-(G177+I177+J177+L177+M177+O177+P177+Q177))*constants!$N$2</f>
        <v>3.0991712370948581</v>
      </c>
      <c r="AJ177">
        <f t="shared" si="24"/>
        <v>31.743659074820375</v>
      </c>
      <c r="AK177">
        <f t="shared" si="25"/>
        <v>8.600244243666042</v>
      </c>
      <c r="AL177">
        <f>COUNTIFS($B:$B,$B177,$AK:$AK,"&lt;"&amp;$AK177)+COUNTIFS($B$2:$B177,$B177,$AK$2:$AK177,$AK177)</f>
        <v>64</v>
      </c>
      <c r="AM177" s="191">
        <f>IF(AK177=0, "NA",IF(((sim_annual_output!F177/E177)/AK177)&lt;0,100,((sim_annual_output!F177/E177)/AK177)))</f>
        <v>5.7365195519881089</v>
      </c>
      <c r="AN177">
        <f>(S177+V177)*constants!$F$2+(T177+U177+W177+X177+Y177+Z177+AA177+AB177)*constants!$G$2</f>
        <v>249946.60728193779</v>
      </c>
      <c r="AO177">
        <f>(AD177*constants!$F$2+AE177*constants!$G$2)</f>
        <v>84644.336894750493</v>
      </c>
      <c r="AP177">
        <f t="shared" si="26"/>
        <v>33.864967328511227</v>
      </c>
    </row>
    <row r="178" spans="1:42">
      <c r="A178">
        <f>sim_annual_output!B178</f>
        <v>10</v>
      </c>
      <c r="B178" t="str">
        <f>sim_annual_output!C178</f>
        <v>Maintenance Shop-Small</v>
      </c>
      <c r="C178" t="str">
        <f>sim_annual_output!D178</f>
        <v>1959-pre</v>
      </c>
      <c r="D178" t="str">
        <f>sim_annual_output!E178</f>
        <v>infil_reduce_plus_setback</v>
      </c>
      <c r="E178" s="45">
        <f t="array" ref="E178">IFERROR(INDEX(baseline!$J$3:$J$201,MATCH($B178&amp;$C178,baseline!$C$3:$C$201&amp;baseline!$D$3:$D$201,0)),"NA")</f>
        <v>927</v>
      </c>
      <c r="F178">
        <f>sim_annual_output!G178</f>
        <v>923.71795399999996</v>
      </c>
      <c r="G178">
        <f>$E178/$F178^2*sim_annual_output!I178</f>
        <v>0</v>
      </c>
      <c r="H178">
        <f>$E178/$F178^2*sim_annual_output!J178</f>
        <v>364.81075484639348</v>
      </c>
      <c r="I178">
        <f>$E178/$F178^2*sim_annual_output!K178</f>
        <v>1.5119468927074149</v>
      </c>
      <c r="J178">
        <f>$E178/$F178^2*sim_annual_output!L178</f>
        <v>0</v>
      </c>
      <c r="K178">
        <f>$E178/$F178^2*sim_annual_output!M178</f>
        <v>4.8406443431191484</v>
      </c>
      <c r="L178">
        <f>$E178/$F178^2*sim_annual_output!N178</f>
        <v>55.142302641816137</v>
      </c>
      <c r="M178">
        <f>$E178/$F178^2*sim_annual_output!O178</f>
        <v>6.60609131364577</v>
      </c>
      <c r="N178">
        <f>$E178/$F178^2*sim_annual_output!P178</f>
        <v>0</v>
      </c>
      <c r="O178">
        <f>$E178/$F178^2*sim_annual_output!Q178</f>
        <v>16.945273058986295</v>
      </c>
      <c r="P178">
        <f>$E178/$F178^2*sim_annual_output!R178</f>
        <v>23.720364424511537</v>
      </c>
      <c r="Q178">
        <f>$E178/$F178^2*sim_annual_output!S178</f>
        <v>0</v>
      </c>
      <c r="R178">
        <f t="array" ref="R178">INDEX(G$3:G$700,MATCH($B178&amp;$C178&amp;"baseline",$B$3:$B$700&amp;$C$3:$C$700&amp;$D$3:$D$700,0))</f>
        <v>0</v>
      </c>
      <c r="S178">
        <f t="array" ref="S178">INDEX(H$3:H$700,MATCH($B178&amp;$C178&amp;"baseline",$B$3:$B$700&amp;$C$3:$C$700&amp;$D$3:$D$700,0))</f>
        <v>757.1413574265174</v>
      </c>
      <c r="T178">
        <f t="array" ref="T178">INDEX(I$3:I$700,MATCH($B178&amp;$C178&amp;"baseline",$B$3:$B$700&amp;$C$3:$C$700&amp;$D$3:$D$700,0))</f>
        <v>0.8781966981593966</v>
      </c>
      <c r="U178">
        <f t="array" ref="U178">INDEX(J$3:J$700,MATCH($B178&amp;$C178&amp;"baseline",$B$3:$B$700&amp;$C$3:$C$700&amp;$D$3:$D$700,0))</f>
        <v>0</v>
      </c>
      <c r="V178">
        <f t="array" ref="V178">INDEX(K$3:K$700,MATCH($B178&amp;$C178&amp;"baseline",$B$3:$B$700&amp;$C$3:$C$700&amp;$D$3:$D$700,0))</f>
        <v>4.8406443431191484</v>
      </c>
      <c r="W178">
        <f t="array" ref="W178">INDEX(L$3:L$700,MATCH($B178&amp;$C178&amp;"baseline",$B$3:$B$700&amp;$C$3:$C$700&amp;$D$3:$D$700,0))</f>
        <v>55.142302641816137</v>
      </c>
      <c r="X178">
        <f t="array" ref="X178">INDEX(M$3:M$700,MATCH($B178&amp;$C178&amp;"baseline",$B$3:$B$700&amp;$C$3:$C$700&amp;$D$3:$D$700,0))</f>
        <v>6.60609131364577</v>
      </c>
      <c r="Y178">
        <f t="array" ref="Y178">INDEX(N$3:N$700,MATCH($B178&amp;$C178&amp;"baseline",$B$3:$B$700&amp;$C$3:$C$700&amp;$D$3:$D$700,0))</f>
        <v>0</v>
      </c>
      <c r="Z178">
        <f t="array" ref="Z178">INDEX(O$3:O$700,MATCH($B178&amp;$C178&amp;"baseline",$B$3:$B$700&amp;$C$3:$C$700&amp;$D$3:$D$700,0))</f>
        <v>27.148651191209389</v>
      </c>
      <c r="AA178">
        <f t="array" ref="AA178">INDEX(P$3:P$700,MATCH($B178&amp;$C178&amp;"baseline",$B$3:$B$700&amp;$C$3:$C$700&amp;$D$3:$D$700,0))</f>
        <v>40.744101793299016</v>
      </c>
      <c r="AB178">
        <f t="array" ref="AB178">INDEX(Q$3:Q$700,MATCH($B178&amp;$C178&amp;"baseline",$B$3:$B$700&amp;$C$3:$C$700&amp;$D$3:$D$700,0))</f>
        <v>0</v>
      </c>
      <c r="AC178">
        <f t="shared" si="20"/>
        <v>892.50134540776628</v>
      </c>
      <c r="AD178">
        <f t="shared" si="21"/>
        <v>392.33060258012392</v>
      </c>
      <c r="AE178">
        <f t="shared" si="22"/>
        <v>26.593365306462573</v>
      </c>
      <c r="AF178">
        <f t="shared" si="23"/>
        <v>46.938188949753169</v>
      </c>
      <c r="AG178">
        <f>(S178+V178+Y178)*constants!$O$2+(R178+T178+U178+W178+X178+Z178+AA178+AB178)*constants!$N$2</f>
        <v>27.09279425977677</v>
      </c>
      <c r="AH178">
        <f>((S178+V178+Y178)-(H178+K178+N178))*constants!$O$2</f>
        <v>6.3557557617980072</v>
      </c>
      <c r="AI178">
        <f>((R178+T178+U178+W178+X178+Z178+AA178+AB178)-(G178+I178+J178+L178+M178+O178+P178+Q178))*constants!$N$2</f>
        <v>3.0050502796302707</v>
      </c>
      <c r="AJ178">
        <f t="shared" si="24"/>
        <v>34.55090660517719</v>
      </c>
      <c r="AK178">
        <f t="shared" si="25"/>
        <v>9.3608060414282779</v>
      </c>
      <c r="AL178">
        <f>COUNTIFS($B:$B,$B178,$AK:$AK,"&lt;"&amp;$AK178)+COUNTIFS($B$2:$B178,$B178,$AK$2:$AK178,$AK178)</f>
        <v>65</v>
      </c>
      <c r="AM178" s="191">
        <f>IF(AK178=0, "NA",IF(((sim_annual_output!F178/E178)/AK178)&lt;0,100,((sim_annual_output!F178/E178)/AK178)))</f>
        <v>5.764623345124372</v>
      </c>
      <c r="AN178">
        <f>(S178+V178)*constants!$F$2+(T178+U178+W178+X178+Y178+Z178+AA178+AB178)*constants!$G$2</f>
        <v>249946.60728193779</v>
      </c>
      <c r="AO178">
        <f>(AD178*constants!$F$2+AE178*constants!$G$2)</f>
        <v>93363.405678464624</v>
      </c>
      <c r="AP178">
        <f t="shared" si="26"/>
        <v>37.353339856760464</v>
      </c>
    </row>
    <row r="179" spans="1:42">
      <c r="A179">
        <f>sim_annual_output!B179</f>
        <v>10</v>
      </c>
      <c r="B179" t="str">
        <f>sim_annual_output!C179</f>
        <v>Maintenance Shop-Small</v>
      </c>
      <c r="C179" t="str">
        <f>sim_annual_output!D179</f>
        <v>1959-pre</v>
      </c>
      <c r="D179" t="str">
        <f>sim_annual_output!E179</f>
        <v>lights_reduce_70p</v>
      </c>
      <c r="E179" s="45">
        <f t="array" ref="E179">IFERROR(INDEX(baseline!$J$3:$J$201,MATCH($B179&amp;$C179,baseline!$C$3:$C$201&amp;baseline!$D$3:$D$201,0)),"NA")</f>
        <v>927</v>
      </c>
      <c r="F179">
        <f>sim_annual_output!G179</f>
        <v>923.71795399999996</v>
      </c>
      <c r="G179">
        <f>$E179/$F179^2*sim_annual_output!I179</f>
        <v>0</v>
      </c>
      <c r="H179">
        <f>$E179/$F179^2*sim_annual_output!J179</f>
        <v>775.39034517143102</v>
      </c>
      <c r="I179">
        <f>$E179/$F179^2*sim_annual_output!K179</f>
        <v>0.72126807855703023</v>
      </c>
      <c r="J179">
        <f>$E179/$F179^2*sim_annual_output!L179</f>
        <v>0</v>
      </c>
      <c r="K179">
        <f>$E179/$F179^2*sim_annual_output!M179</f>
        <v>4.8406443431191484</v>
      </c>
      <c r="L179">
        <f>$E179/$F179^2*sim_annual_output!N179</f>
        <v>38.601422564112866</v>
      </c>
      <c r="M179">
        <f>$E179/$F179^2*sim_annual_output!O179</f>
        <v>6.60609131364577</v>
      </c>
      <c r="N179">
        <f>$E179/$F179^2*sim_annual_output!P179</f>
        <v>0</v>
      </c>
      <c r="O179">
        <f>$E179/$F179^2*sim_annual_output!Q179</f>
        <v>27.426294133582804</v>
      </c>
      <c r="P179">
        <f>$E179/$F179^2*sim_annual_output!R179</f>
        <v>41.193762645621185</v>
      </c>
      <c r="Q179">
        <f>$E179/$F179^2*sim_annual_output!S179</f>
        <v>0</v>
      </c>
      <c r="R179">
        <f t="array" ref="R179">INDEX(G$3:G$700,MATCH($B179&amp;$C179&amp;"baseline",$B$3:$B$700&amp;$C$3:$C$700&amp;$D$3:$D$700,0))</f>
        <v>0</v>
      </c>
      <c r="S179">
        <f t="array" ref="S179">INDEX(H$3:H$700,MATCH($B179&amp;$C179&amp;"baseline",$B$3:$B$700&amp;$C$3:$C$700&amp;$D$3:$D$700,0))</f>
        <v>757.1413574265174</v>
      </c>
      <c r="T179">
        <f t="array" ref="T179">INDEX(I$3:I$700,MATCH($B179&amp;$C179&amp;"baseline",$B$3:$B$700&amp;$C$3:$C$700&amp;$D$3:$D$700,0))</f>
        <v>0.8781966981593966</v>
      </c>
      <c r="U179">
        <f t="array" ref="U179">INDEX(J$3:J$700,MATCH($B179&amp;$C179&amp;"baseline",$B$3:$B$700&amp;$C$3:$C$700&amp;$D$3:$D$700,0))</f>
        <v>0</v>
      </c>
      <c r="V179">
        <f t="array" ref="V179">INDEX(K$3:K$700,MATCH($B179&amp;$C179&amp;"baseline",$B$3:$B$700&amp;$C$3:$C$700&amp;$D$3:$D$700,0))</f>
        <v>4.8406443431191484</v>
      </c>
      <c r="W179">
        <f t="array" ref="W179">INDEX(L$3:L$700,MATCH($B179&amp;$C179&amp;"baseline",$B$3:$B$700&amp;$C$3:$C$700&amp;$D$3:$D$700,0))</f>
        <v>55.142302641816137</v>
      </c>
      <c r="X179">
        <f t="array" ref="X179">INDEX(M$3:M$700,MATCH($B179&amp;$C179&amp;"baseline",$B$3:$B$700&amp;$C$3:$C$700&amp;$D$3:$D$700,0))</f>
        <v>6.60609131364577</v>
      </c>
      <c r="Y179">
        <f t="array" ref="Y179">INDEX(N$3:N$700,MATCH($B179&amp;$C179&amp;"baseline",$B$3:$B$700&amp;$C$3:$C$700&amp;$D$3:$D$700,0))</f>
        <v>0</v>
      </c>
      <c r="Z179">
        <f t="array" ref="Z179">INDEX(O$3:O$700,MATCH($B179&amp;$C179&amp;"baseline",$B$3:$B$700&amp;$C$3:$C$700&amp;$D$3:$D$700,0))</f>
        <v>27.148651191209389</v>
      </c>
      <c r="AA179">
        <f t="array" ref="AA179">INDEX(P$3:P$700,MATCH($B179&amp;$C179&amp;"baseline",$B$3:$B$700&amp;$C$3:$C$700&amp;$D$3:$D$700,0))</f>
        <v>40.744101793299016</v>
      </c>
      <c r="AB179">
        <f t="array" ref="AB179">INDEX(Q$3:Q$700,MATCH($B179&amp;$C179&amp;"baseline",$B$3:$B$700&amp;$C$3:$C$700&amp;$D$3:$D$700,0))</f>
        <v>0</v>
      </c>
      <c r="AC179">
        <f t="shared" si="20"/>
        <v>892.50134540776628</v>
      </c>
      <c r="AD179">
        <f t="shared" si="21"/>
        <v>-18.24898774491362</v>
      </c>
      <c r="AE179">
        <f t="shared" si="22"/>
        <v>15.97050490261006</v>
      </c>
      <c r="AF179">
        <f t="shared" si="23"/>
        <v>-0.25529181037397392</v>
      </c>
      <c r="AG179">
        <f>(S179+V179+Y179)*constants!$O$2+(R179+T179+U179+W179+X179+Z179+AA179+AB179)*constants!$N$2</f>
        <v>27.09279425977677</v>
      </c>
      <c r="AH179">
        <f>((S179+V179+Y179)-(H179+K179+N179))*constants!$O$2</f>
        <v>-0.29563360146760065</v>
      </c>
      <c r="AI179">
        <f>((R179+T179+U179+W179+X179+Z179+AA179+AB179)-(G179+I179+J179+L179+M179+O179+P179+Q179))*constants!$N$2</f>
        <v>1.8046670539949368</v>
      </c>
      <c r="AJ179">
        <f t="shared" si="24"/>
        <v>5.5698701213987283</v>
      </c>
      <c r="AK179">
        <f t="shared" si="25"/>
        <v>1.5090334525273361</v>
      </c>
      <c r="AL179">
        <f>COUNTIFS($B:$B,$B179,$AK:$AK,"&lt;"&amp;$AK179)+COUNTIFS($B$2:$B179,$B179,$AK$2:$AK179,$AK179)</f>
        <v>48</v>
      </c>
      <c r="AM179" s="191">
        <f>IF(AK179=0, "NA",IF(((sim_annual_output!F179/E179)/AK179)&lt;0,100,((sim_annual_output!F179/E179)/AK179)))</f>
        <v>16.774241156809378</v>
      </c>
      <c r="AN179">
        <f>(S179+V179)*constants!$F$2+(T179+U179+W179+X179+Y179+Z179+AA179+AB179)*constants!$G$2</f>
        <v>249946.60728193779</v>
      </c>
      <c r="AO179">
        <f>(AD179*constants!$F$2+AE179*constants!$G$2)</f>
        <v>10627.770458931212</v>
      </c>
      <c r="AP179">
        <f t="shared" si="26"/>
        <v>4.2520162904004417</v>
      </c>
    </row>
    <row r="180" spans="1:42">
      <c r="A180">
        <f>sim_annual_output!B180</f>
        <v>10</v>
      </c>
      <c r="B180" t="str">
        <f>sim_annual_output!C180</f>
        <v>Maintenance Shop-Small</v>
      </c>
      <c r="C180" t="str">
        <f>sim_annual_output!D180</f>
        <v>1959-pre</v>
      </c>
      <c r="D180" t="str">
        <f>sim_annual_output!E180</f>
        <v>load_reduce</v>
      </c>
      <c r="E180" s="45">
        <f t="array" ref="E180">IFERROR(INDEX(baseline!$J$3:$J$201,MATCH($B180&amp;$C180,baseline!$C$3:$C$201&amp;baseline!$D$3:$D$201,0)),"NA")</f>
        <v>927</v>
      </c>
      <c r="F180">
        <f>sim_annual_output!G180</f>
        <v>923.71795399999996</v>
      </c>
      <c r="G180">
        <f>$E180/$F180^2*sim_annual_output!I180</f>
        <v>0</v>
      </c>
      <c r="H180">
        <f>$E180/$F180^2*sim_annual_output!J180</f>
        <v>225.17747983904943</v>
      </c>
      <c r="I180">
        <f>$E180/$F180^2*sim_annual_output!K180</f>
        <v>1.5119468927074149</v>
      </c>
      <c r="J180">
        <f>$E180/$F180^2*sim_annual_output!L180</f>
        <v>0</v>
      </c>
      <c r="K180">
        <f>$E180/$F180^2*sim_annual_output!M180</f>
        <v>4.8406443431191484</v>
      </c>
      <c r="L180">
        <f>$E180/$F180^2*sim_annual_output!N180</f>
        <v>55.142302641816137</v>
      </c>
      <c r="M180">
        <f>$E180/$F180^2*sim_annual_output!O180</f>
        <v>6.60609131364577</v>
      </c>
      <c r="N180">
        <f>$E180/$F180^2*sim_annual_output!P180</f>
        <v>0</v>
      </c>
      <c r="O180">
        <f>$E180/$F180^2*sim_annual_output!Q180</f>
        <v>16.945273058986295</v>
      </c>
      <c r="P180">
        <f>$E180/$F180^2*sim_annual_output!R180</f>
        <v>23.720364424511537</v>
      </c>
      <c r="Q180">
        <f>$E180/$F180^2*sim_annual_output!S180</f>
        <v>0</v>
      </c>
      <c r="R180">
        <f t="array" ref="R180">INDEX(G$3:G$700,MATCH($B180&amp;$C180&amp;"baseline",$B$3:$B$700&amp;$C$3:$C$700&amp;$D$3:$D$700,0))</f>
        <v>0</v>
      </c>
      <c r="S180">
        <f t="array" ref="S180">INDEX(H$3:H$700,MATCH($B180&amp;$C180&amp;"baseline",$B$3:$B$700&amp;$C$3:$C$700&amp;$D$3:$D$700,0))</f>
        <v>757.1413574265174</v>
      </c>
      <c r="T180">
        <f t="array" ref="T180">INDEX(I$3:I$700,MATCH($B180&amp;$C180&amp;"baseline",$B$3:$B$700&amp;$C$3:$C$700&amp;$D$3:$D$700,0))</f>
        <v>0.8781966981593966</v>
      </c>
      <c r="U180">
        <f t="array" ref="U180">INDEX(J$3:J$700,MATCH($B180&amp;$C180&amp;"baseline",$B$3:$B$700&amp;$C$3:$C$700&amp;$D$3:$D$700,0))</f>
        <v>0</v>
      </c>
      <c r="V180">
        <f t="array" ref="V180">INDEX(K$3:K$700,MATCH($B180&amp;$C180&amp;"baseline",$B$3:$B$700&amp;$C$3:$C$700&amp;$D$3:$D$700,0))</f>
        <v>4.8406443431191484</v>
      </c>
      <c r="W180">
        <f t="array" ref="W180">INDEX(L$3:L$700,MATCH($B180&amp;$C180&amp;"baseline",$B$3:$B$700&amp;$C$3:$C$700&amp;$D$3:$D$700,0))</f>
        <v>55.142302641816137</v>
      </c>
      <c r="X180">
        <f t="array" ref="X180">INDEX(M$3:M$700,MATCH($B180&amp;$C180&amp;"baseline",$B$3:$B$700&amp;$C$3:$C$700&amp;$D$3:$D$700,0))</f>
        <v>6.60609131364577</v>
      </c>
      <c r="Y180">
        <f t="array" ref="Y180">INDEX(N$3:N$700,MATCH($B180&amp;$C180&amp;"baseline",$B$3:$B$700&amp;$C$3:$C$700&amp;$D$3:$D$700,0))</f>
        <v>0</v>
      </c>
      <c r="Z180">
        <f t="array" ref="Z180">INDEX(O$3:O$700,MATCH($B180&amp;$C180&amp;"baseline",$B$3:$B$700&amp;$C$3:$C$700&amp;$D$3:$D$700,0))</f>
        <v>27.148651191209389</v>
      </c>
      <c r="AA180">
        <f t="array" ref="AA180">INDEX(P$3:P$700,MATCH($B180&amp;$C180&amp;"baseline",$B$3:$B$700&amp;$C$3:$C$700&amp;$D$3:$D$700,0))</f>
        <v>40.744101793299016</v>
      </c>
      <c r="AB180">
        <f t="array" ref="AB180">INDEX(Q$3:Q$700,MATCH($B180&amp;$C180&amp;"baseline",$B$3:$B$700&amp;$C$3:$C$700&amp;$D$3:$D$700,0))</f>
        <v>0</v>
      </c>
      <c r="AC180">
        <f t="shared" si="20"/>
        <v>892.50134540776628</v>
      </c>
      <c r="AD180">
        <f t="shared" si="21"/>
        <v>531.96387758746801</v>
      </c>
      <c r="AE180">
        <f t="shared" si="22"/>
        <v>26.593365306462573</v>
      </c>
      <c r="AF180">
        <f t="shared" si="23"/>
        <v>62.583350240075752</v>
      </c>
      <c r="AG180">
        <f>(S180+V180+Y180)*constants!$O$2+(R180+T180+U180+W180+X180+Z180+AA180+AB180)*constants!$N$2</f>
        <v>27.09279425977677</v>
      </c>
      <c r="AH180">
        <f>((S180+V180+Y180)-(H180+K180+N180))*constants!$O$2</f>
        <v>8.6178148169169813</v>
      </c>
      <c r="AI180">
        <f>((R180+T180+U180+W180+X180+Z180+AA180+AB180)-(G180+I180+J180+L180+M180+O180+P180+Q180))*constants!$N$2</f>
        <v>3.0050502796302707</v>
      </c>
      <c r="AJ180">
        <f t="shared" si="24"/>
        <v>42.900208022481834</v>
      </c>
      <c r="AK180">
        <f t="shared" si="25"/>
        <v>11.622865096547251</v>
      </c>
      <c r="AL180">
        <f>COUNTIFS($B:$B,$B180,$AK:$AK,"&lt;"&amp;$AK180)+COUNTIFS($B$2:$B180,$B180,$AK$2:$AK180,$AK180)</f>
        <v>67</v>
      </c>
      <c r="AM180" s="191">
        <f>IF(AK180=0, "NA",IF(((sim_annual_output!F180/E180)/AK180)&lt;0,100,((sim_annual_output!F180/E180)/AK180)))</f>
        <v>4.7289388901669671</v>
      </c>
      <c r="AN180">
        <f>(S180+V180)*constants!$F$2+(T180+U180+W180+X180+Y180+Z180+AA180+AB180)*constants!$G$2</f>
        <v>249946.60728193779</v>
      </c>
      <c r="AO180">
        <f>(AD180*constants!$F$2+AE180*constants!$G$2)</f>
        <v>118357.76190477921</v>
      </c>
      <c r="AP180">
        <f t="shared" si="26"/>
        <v>47.353218029990138</v>
      </c>
    </row>
    <row r="181" spans="1:42">
      <c r="A181">
        <f>sim_annual_output!B181</f>
        <v>10</v>
      </c>
      <c r="B181" t="str">
        <f>sim_annual_output!C181</f>
        <v>Maintenance Shop-Small</v>
      </c>
      <c r="C181" t="str">
        <f>sim_annual_output!D181</f>
        <v>1959-pre</v>
      </c>
      <c r="D181" t="str">
        <f>sim_annual_output!E181</f>
        <v>occupancy_setback</v>
      </c>
      <c r="E181" s="45">
        <f t="array" ref="E181">IFERROR(INDEX(baseline!$J$3:$J$201,MATCH($B181&amp;$C181,baseline!$C$3:$C$201&amp;baseline!$D$3:$D$201,0)),"NA")</f>
        <v>927</v>
      </c>
      <c r="F181">
        <f>sim_annual_output!G181</f>
        <v>923.71795399999996</v>
      </c>
      <c r="G181">
        <f>$E181/$F181^2*sim_annual_output!I181</f>
        <v>0</v>
      </c>
      <c r="H181">
        <f>$E181/$F181^2*sim_annual_output!J181</f>
        <v>663.13206071049194</v>
      </c>
      <c r="I181">
        <f>$E181/$F181^2*sim_annual_output!K181</f>
        <v>1.1166074856322226</v>
      </c>
      <c r="J181">
        <f>$E181/$F181^2*sim_annual_output!L181</f>
        <v>0</v>
      </c>
      <c r="K181">
        <f>$E181/$F181^2*sim_annual_output!M181</f>
        <v>4.8406443431191484</v>
      </c>
      <c r="L181">
        <f>$E181/$F181^2*sim_annual_output!N181</f>
        <v>55.142302641816137</v>
      </c>
      <c r="M181">
        <f>$E181/$F181^2*sim_annual_output!O181</f>
        <v>6.60609131364577</v>
      </c>
      <c r="N181">
        <f>$E181/$F181^2*sim_annual_output!P181</f>
        <v>0</v>
      </c>
      <c r="O181">
        <f>$E181/$F181^2*sim_annual_output!Q181</f>
        <v>29.179669671832322</v>
      </c>
      <c r="P181">
        <f>$E181/$F181^2*sim_annual_output!R181</f>
        <v>41.724905665813807</v>
      </c>
      <c r="Q181">
        <f>$E181/$F181^2*sim_annual_output!S181</f>
        <v>0</v>
      </c>
      <c r="R181">
        <f t="array" ref="R181">INDEX(G$3:G$700,MATCH($B181&amp;$C181&amp;"baseline",$B$3:$B$700&amp;$C$3:$C$700&amp;$D$3:$D$700,0))</f>
        <v>0</v>
      </c>
      <c r="S181">
        <f t="array" ref="S181">INDEX(H$3:H$700,MATCH($B181&amp;$C181&amp;"baseline",$B$3:$B$700&amp;$C$3:$C$700&amp;$D$3:$D$700,0))</f>
        <v>757.1413574265174</v>
      </c>
      <c r="T181">
        <f t="array" ref="T181">INDEX(I$3:I$700,MATCH($B181&amp;$C181&amp;"baseline",$B$3:$B$700&amp;$C$3:$C$700&amp;$D$3:$D$700,0))</f>
        <v>0.8781966981593966</v>
      </c>
      <c r="U181">
        <f t="array" ref="U181">INDEX(J$3:J$700,MATCH($B181&amp;$C181&amp;"baseline",$B$3:$B$700&amp;$C$3:$C$700&amp;$D$3:$D$700,0))</f>
        <v>0</v>
      </c>
      <c r="V181">
        <f t="array" ref="V181">INDEX(K$3:K$700,MATCH($B181&amp;$C181&amp;"baseline",$B$3:$B$700&amp;$C$3:$C$700&amp;$D$3:$D$700,0))</f>
        <v>4.8406443431191484</v>
      </c>
      <c r="W181">
        <f t="array" ref="W181">INDEX(L$3:L$700,MATCH($B181&amp;$C181&amp;"baseline",$B$3:$B$700&amp;$C$3:$C$700&amp;$D$3:$D$700,0))</f>
        <v>55.142302641816137</v>
      </c>
      <c r="X181">
        <f t="array" ref="X181">INDEX(M$3:M$700,MATCH($B181&amp;$C181&amp;"baseline",$B$3:$B$700&amp;$C$3:$C$700&amp;$D$3:$D$700,0))</f>
        <v>6.60609131364577</v>
      </c>
      <c r="Y181">
        <f t="array" ref="Y181">INDEX(N$3:N$700,MATCH($B181&amp;$C181&amp;"baseline",$B$3:$B$700&amp;$C$3:$C$700&amp;$D$3:$D$700,0))</f>
        <v>0</v>
      </c>
      <c r="Z181">
        <f t="array" ref="Z181">INDEX(O$3:O$700,MATCH($B181&amp;$C181&amp;"baseline",$B$3:$B$700&amp;$C$3:$C$700&amp;$D$3:$D$700,0))</f>
        <v>27.148651191209389</v>
      </c>
      <c r="AA181">
        <f t="array" ref="AA181">INDEX(P$3:P$700,MATCH($B181&amp;$C181&amp;"baseline",$B$3:$B$700&amp;$C$3:$C$700&amp;$D$3:$D$700,0))</f>
        <v>40.744101793299016</v>
      </c>
      <c r="AB181">
        <f t="array" ref="AB181">INDEX(Q$3:Q$700,MATCH($B181&amp;$C181&amp;"baseline",$B$3:$B$700&amp;$C$3:$C$700&amp;$D$3:$D$700,0))</f>
        <v>0</v>
      </c>
      <c r="AC181">
        <f t="shared" si="20"/>
        <v>892.50134540776628</v>
      </c>
      <c r="AD181">
        <f t="shared" si="21"/>
        <v>94.00929671602546</v>
      </c>
      <c r="AE181">
        <f t="shared" si="22"/>
        <v>-3.2502331406105327</v>
      </c>
      <c r="AF181">
        <f t="shared" si="23"/>
        <v>10.169067424088745</v>
      </c>
      <c r="AG181">
        <f>(S181+V181+Y181)*constants!$O$2+(R181+T181+U181+W181+X181+Z181+AA181+AB181)*constants!$N$2</f>
        <v>27.09279425977677</v>
      </c>
      <c r="AH181">
        <f>((S181+V181+Y181)-(H181+K181+N181))*constants!$O$2</f>
        <v>1.5229506067996124</v>
      </c>
      <c r="AI181">
        <f>((R181+T181+U181+W181+X181+Z181+AA181+AB181)-(G181+I181+J181+L181+M181+O181+P181+Q181))*constants!$N$2</f>
        <v>-0.36727634488899019</v>
      </c>
      <c r="AJ181">
        <f t="shared" si="24"/>
        <v>4.2656148746768077</v>
      </c>
      <c r="AK181">
        <f t="shared" si="25"/>
        <v>1.1556742619106222</v>
      </c>
      <c r="AL181">
        <f>COUNTIFS($B:$B,$B181,$AK:$AK,"&lt;"&amp;$AK181)+COUNTIFS($B$2:$B181,$B181,$AK$2:$AK181,$AK181)</f>
        <v>44</v>
      </c>
      <c r="AM181" s="191">
        <f>IF(AK181=0, "NA",IF(((sim_annual_output!F181/E181)/AK181)&lt;0,100,((sim_annual_output!F181/E181)/AK181)))</f>
        <v>4.0029028355163341</v>
      </c>
      <c r="AN181">
        <f>(S181+V181)*constants!$F$2+(T181+U181+W181+X181+Y181+Z181+AA181+AB181)*constants!$G$2</f>
        <v>249946.60728193779</v>
      </c>
      <c r="AO181">
        <f>(AD181*constants!$F$2+AE181*constants!$G$2)</f>
        <v>13999.961279837393</v>
      </c>
      <c r="AP181">
        <f t="shared" si="26"/>
        <v>5.6011807609957067</v>
      </c>
    </row>
    <row r="182" spans="1:42">
      <c r="A182">
        <f>sim_annual_output!B182</f>
        <v>10</v>
      </c>
      <c r="B182" t="str">
        <f>sim_annual_output!C182</f>
        <v>Maintenance Shop-Small</v>
      </c>
      <c r="C182" t="str">
        <f>sim_annual_output!D182</f>
        <v>1959-pre</v>
      </c>
      <c r="D182" t="str">
        <f>sim_annual_output!E182</f>
        <v>payback_less_than_20</v>
      </c>
      <c r="E182" s="45">
        <f t="array" ref="E182">IFERROR(INDEX(baseline!$J$3:$J$201,MATCH($B182&amp;$C182,baseline!$C$3:$C$201&amp;baseline!$D$3:$D$201,0)),"NA")</f>
        <v>927</v>
      </c>
      <c r="F182">
        <f>sim_annual_output!G182</f>
        <v>923.71795399999996</v>
      </c>
      <c r="G182">
        <f>$E182/$F182^2*sim_annual_output!I182</f>
        <v>0</v>
      </c>
      <c r="H182">
        <f>$E182/$F182^2*sim_annual_output!J182</f>
        <v>251.93380948125287</v>
      </c>
      <c r="I182">
        <f>$E182/$F182^2*sim_annual_output!K182</f>
        <v>5.3627337891039444</v>
      </c>
      <c r="J182">
        <f>$E182/$F182^2*sim_annual_output!L182</f>
        <v>0</v>
      </c>
      <c r="K182">
        <f>$E182/$F182^2*sim_annual_output!M182</f>
        <v>4.8406443431191484</v>
      </c>
      <c r="L182">
        <f>$E182/$F182^2*sim_annual_output!N182</f>
        <v>38.601422564112866</v>
      </c>
      <c r="M182">
        <f>$E182/$F182^2*sim_annual_output!O182</f>
        <v>6.60609131364577</v>
      </c>
      <c r="N182">
        <f>$E182/$F182^2*sim_annual_output!P182</f>
        <v>0</v>
      </c>
      <c r="O182">
        <f>$E182/$F182^2*sim_annual_output!Q182</f>
        <v>18.921970094362258</v>
      </c>
      <c r="P182">
        <f>$E182/$F182^2*sim_annual_output!R182</f>
        <v>18.44816637748588</v>
      </c>
      <c r="Q182">
        <f>$E182/$F182^2*sim_annual_output!S182</f>
        <v>0</v>
      </c>
      <c r="R182">
        <f t="array" ref="R182">INDEX(G$3:G$700,MATCH($B182&amp;$C182&amp;"baseline",$B$3:$B$700&amp;$C$3:$C$700&amp;$D$3:$D$700,0))</f>
        <v>0</v>
      </c>
      <c r="S182">
        <f t="array" ref="S182">INDEX(H$3:H$700,MATCH($B182&amp;$C182&amp;"baseline",$B$3:$B$700&amp;$C$3:$C$700&amp;$D$3:$D$700,0))</f>
        <v>757.1413574265174</v>
      </c>
      <c r="T182">
        <f t="array" ref="T182">INDEX(I$3:I$700,MATCH($B182&amp;$C182&amp;"baseline",$B$3:$B$700&amp;$C$3:$C$700&amp;$D$3:$D$700,0))</f>
        <v>0.8781966981593966</v>
      </c>
      <c r="U182">
        <f t="array" ref="U182">INDEX(J$3:J$700,MATCH($B182&amp;$C182&amp;"baseline",$B$3:$B$700&amp;$C$3:$C$700&amp;$D$3:$D$700,0))</f>
        <v>0</v>
      </c>
      <c r="V182">
        <f t="array" ref="V182">INDEX(K$3:K$700,MATCH($B182&amp;$C182&amp;"baseline",$B$3:$B$700&amp;$C$3:$C$700&amp;$D$3:$D$700,0))</f>
        <v>4.8406443431191484</v>
      </c>
      <c r="W182">
        <f t="array" ref="W182">INDEX(L$3:L$700,MATCH($B182&amp;$C182&amp;"baseline",$B$3:$B$700&amp;$C$3:$C$700&amp;$D$3:$D$700,0))</f>
        <v>55.142302641816137</v>
      </c>
      <c r="X182">
        <f t="array" ref="X182">INDEX(M$3:M$700,MATCH($B182&amp;$C182&amp;"baseline",$B$3:$B$700&amp;$C$3:$C$700&amp;$D$3:$D$700,0))</f>
        <v>6.60609131364577</v>
      </c>
      <c r="Y182">
        <f t="array" ref="Y182">INDEX(N$3:N$700,MATCH($B182&amp;$C182&amp;"baseline",$B$3:$B$700&amp;$C$3:$C$700&amp;$D$3:$D$700,0))</f>
        <v>0</v>
      </c>
      <c r="Z182">
        <f t="array" ref="Z182">INDEX(O$3:O$700,MATCH($B182&amp;$C182&amp;"baseline",$B$3:$B$700&amp;$C$3:$C$700&amp;$D$3:$D$700,0))</f>
        <v>27.148651191209389</v>
      </c>
      <c r="AA182">
        <f t="array" ref="AA182">INDEX(P$3:P$700,MATCH($B182&amp;$C182&amp;"baseline",$B$3:$B$700&amp;$C$3:$C$700&amp;$D$3:$D$700,0))</f>
        <v>40.744101793299016</v>
      </c>
      <c r="AB182">
        <f t="array" ref="AB182">INDEX(Q$3:Q$700,MATCH($B182&amp;$C182&amp;"baseline",$B$3:$B$700&amp;$C$3:$C$700&amp;$D$3:$D$700,0))</f>
        <v>0</v>
      </c>
      <c r="AC182">
        <f t="shared" si="20"/>
        <v>892.50134540776628</v>
      </c>
      <c r="AD182">
        <f t="shared" si="21"/>
        <v>505.20754794526454</v>
      </c>
      <c r="AE182">
        <f t="shared" si="22"/>
        <v>42.578959499419014</v>
      </c>
      <c r="AF182">
        <f t="shared" si="23"/>
        <v>61.37654696693042</v>
      </c>
      <c r="AG182">
        <f>(S182+V182+Y182)*constants!$O$2+(R182+T182+U182+W182+X182+Z182+AA182+AB182)*constants!$N$2</f>
        <v>27.09279425977677</v>
      </c>
      <c r="AH182">
        <f>((S182+V182+Y182)-(H182+K182+N182))*constants!$O$2</f>
        <v>8.1843622767132853</v>
      </c>
      <c r="AI182">
        <f>((R182+T182+U182+W182+X182+Z182+AA182+AB182)-(G182+I182+J182+L182+M182+O182+P182+Q182))*constants!$N$2</f>
        <v>4.8114224234343483</v>
      </c>
      <c r="AJ182">
        <f t="shared" si="24"/>
        <v>47.96767943364847</v>
      </c>
      <c r="AK182">
        <f t="shared" si="25"/>
        <v>12.995784700147635</v>
      </c>
      <c r="AL182">
        <f>COUNTIFS($B:$B,$B182,$AK:$AK,"&lt;"&amp;$AK182)+COUNTIFS($B$2:$B182,$B182,$AK$2:$AK182,$AK182)</f>
        <v>69</v>
      </c>
      <c r="AM182" s="191">
        <f>IF(AK182=0, "NA",IF(((sim_annual_output!F182/E182)/AK182)&lt;0,100,((sim_annual_output!F182/E182)/AK182)))</f>
        <v>8.2215381580314624</v>
      </c>
      <c r="AN182">
        <f>(S182+V182)*constants!$F$2+(T182+U182+W182+X182+Y182+Z182+AA182+AB182)*constants!$G$2</f>
        <v>249946.60728193779</v>
      </c>
      <c r="AO182">
        <f>(AD182*constants!$F$2+AE182*constants!$G$2)</f>
        <v>127475.8458466969</v>
      </c>
      <c r="AP182">
        <f t="shared" si="26"/>
        <v>51.001230716008536</v>
      </c>
    </row>
    <row r="183" spans="1:42">
      <c r="A183">
        <f>sim_annual_output!B183</f>
        <v>10</v>
      </c>
      <c r="B183" t="str">
        <f>sim_annual_output!C183</f>
        <v>Maintenance Shop-Small</v>
      </c>
      <c r="C183" t="str">
        <f>sim_annual_output!D183</f>
        <v>1959-pre</v>
      </c>
      <c r="D183" t="str">
        <f>sim_annual_output!E183</f>
        <v>plug_loads_90_percent</v>
      </c>
      <c r="E183" s="45">
        <f t="array" ref="E183">IFERROR(INDEX(baseline!$J$3:$J$201,MATCH($B183&amp;$C183,baseline!$C$3:$C$201&amp;baseline!$D$3:$D$201,0)),"NA")</f>
        <v>927</v>
      </c>
      <c r="F183">
        <f>sim_annual_output!G183</f>
        <v>923.71795399999996</v>
      </c>
      <c r="G183">
        <f>$E183/$F183^2*sim_annual_output!I183</f>
        <v>0</v>
      </c>
      <c r="H183">
        <f>$E183/$F183^2*sim_annual_output!J183</f>
        <v>752.71717749695836</v>
      </c>
      <c r="I183">
        <f>$E183/$F183^2*sim_annual_output!K183</f>
        <v>1.1830003631563006</v>
      </c>
      <c r="J183">
        <f>$E183/$F183^2*sim_annual_output!L183</f>
        <v>0</v>
      </c>
      <c r="K183">
        <f>$E183/$F183^2*sim_annual_output!M183</f>
        <v>4.8406443431191484</v>
      </c>
      <c r="L183">
        <f>$E183/$F183^2*sim_annual_output!N183</f>
        <v>55.142302641816137</v>
      </c>
      <c r="M183">
        <f>$E183/$F183^2*sim_annual_output!O183</f>
        <v>6.60609131364577</v>
      </c>
      <c r="N183">
        <f>$E183/$F183^2*sim_annual_output!P183</f>
        <v>0</v>
      </c>
      <c r="O183">
        <f>$E183/$F183^2*sim_annual_output!Q183</f>
        <v>27.133561900863008</v>
      </c>
      <c r="P183">
        <f>$E183/$F183^2*sim_annual_output!R183</f>
        <v>40.762208941714668</v>
      </c>
      <c r="Q183">
        <f>$E183/$F183^2*sim_annual_output!S183</f>
        <v>0</v>
      </c>
      <c r="R183">
        <f t="array" ref="R183">INDEX(G$3:G$700,MATCH($B183&amp;$C183&amp;"baseline",$B$3:$B$700&amp;$C$3:$C$700&amp;$D$3:$D$700,0))</f>
        <v>0</v>
      </c>
      <c r="S183">
        <f t="array" ref="S183">INDEX(H$3:H$700,MATCH($B183&amp;$C183&amp;"baseline",$B$3:$B$700&amp;$C$3:$C$700&amp;$D$3:$D$700,0))</f>
        <v>757.1413574265174</v>
      </c>
      <c r="T183">
        <f t="array" ref="T183">INDEX(I$3:I$700,MATCH($B183&amp;$C183&amp;"baseline",$B$3:$B$700&amp;$C$3:$C$700&amp;$D$3:$D$700,0))</f>
        <v>0.8781966981593966</v>
      </c>
      <c r="U183">
        <f t="array" ref="U183">INDEX(J$3:J$700,MATCH($B183&amp;$C183&amp;"baseline",$B$3:$B$700&amp;$C$3:$C$700&amp;$D$3:$D$700,0))</f>
        <v>0</v>
      </c>
      <c r="V183">
        <f t="array" ref="V183">INDEX(K$3:K$700,MATCH($B183&amp;$C183&amp;"baseline",$B$3:$B$700&amp;$C$3:$C$700&amp;$D$3:$D$700,0))</f>
        <v>4.8406443431191484</v>
      </c>
      <c r="W183">
        <f t="array" ref="W183">INDEX(L$3:L$700,MATCH($B183&amp;$C183&amp;"baseline",$B$3:$B$700&amp;$C$3:$C$700&amp;$D$3:$D$700,0))</f>
        <v>55.142302641816137</v>
      </c>
      <c r="X183">
        <f t="array" ref="X183">INDEX(M$3:M$700,MATCH($B183&amp;$C183&amp;"baseline",$B$3:$B$700&amp;$C$3:$C$700&amp;$D$3:$D$700,0))</f>
        <v>6.60609131364577</v>
      </c>
      <c r="Y183">
        <f t="array" ref="Y183">INDEX(N$3:N$700,MATCH($B183&amp;$C183&amp;"baseline",$B$3:$B$700&amp;$C$3:$C$700&amp;$D$3:$D$700,0))</f>
        <v>0</v>
      </c>
      <c r="Z183">
        <f t="array" ref="Z183">INDEX(O$3:O$700,MATCH($B183&amp;$C183&amp;"baseline",$B$3:$B$700&amp;$C$3:$C$700&amp;$D$3:$D$700,0))</f>
        <v>27.148651191209389</v>
      </c>
      <c r="AA183">
        <f t="array" ref="AA183">INDEX(P$3:P$700,MATCH($B183&amp;$C183&amp;"baseline",$B$3:$B$700&amp;$C$3:$C$700&amp;$D$3:$D$700,0))</f>
        <v>40.744101793299016</v>
      </c>
      <c r="AB183">
        <f t="array" ref="AB183">INDEX(Q$3:Q$700,MATCH($B183&amp;$C183&amp;"baseline",$B$3:$B$700&amp;$C$3:$C$700&amp;$D$3:$D$700,0))</f>
        <v>0</v>
      </c>
      <c r="AC183">
        <f t="shared" si="20"/>
        <v>892.50134540776628</v>
      </c>
      <c r="AD183">
        <f t="shared" si="21"/>
        <v>4.4241799295590454</v>
      </c>
      <c r="AE183">
        <f t="shared" si="22"/>
        <v>-0.30782152306616695</v>
      </c>
      <c r="AF183">
        <f t="shared" si="23"/>
        <v>0.46121593291405016</v>
      </c>
      <c r="AG183">
        <f>(S183+V183+Y183)*constants!$O$2+(R183+T183+U183+W183+X183+Z183+AA183+AB183)*constants!$N$2</f>
        <v>27.09279425977677</v>
      </c>
      <c r="AH183">
        <f>((S183+V183+Y183)-(H183+K183+N183))*constants!$O$2</f>
        <v>7.1671714858856525E-2</v>
      </c>
      <c r="AI183">
        <f>((R183+T183+U183+W183+X183+Z183+AA183+AB183)-(G183+I183+J183+L183+M183+O183+P183+Q183))*constants!$N$2</f>
        <v>-3.4783832106476863E-2</v>
      </c>
      <c r="AJ183">
        <f t="shared" si="24"/>
        <v>0.13615385108927336</v>
      </c>
      <c r="AK183">
        <f t="shared" si="25"/>
        <v>3.6887882752379662E-2</v>
      </c>
      <c r="AL183">
        <f>COUNTIFS($B:$B,$B183,$AK:$AK,"&lt;"&amp;$AK183)+COUNTIFS($B$2:$B183,$B183,$AK$2:$AK183,$AK183)</f>
        <v>25</v>
      </c>
      <c r="AM183" s="191">
        <f>IF(AK183=0, "NA",IF(((sim_annual_output!F183/E183)/AK183)&lt;0,100,((sim_annual_output!F183/E183)/AK183)))</f>
        <v>72.513675069424039</v>
      </c>
      <c r="AN183">
        <f>(S183+V183)*constants!$F$2+(T183+U183+W183+X183+Y183+Z183+AA183+AB183)*constants!$G$2</f>
        <v>249946.60728193779</v>
      </c>
      <c r="AO183">
        <f>(AD183*constants!$F$2+AE183*constants!$G$2)</f>
        <v>524.12348232350382</v>
      </c>
      <c r="AP183">
        <f t="shared" si="26"/>
        <v>0.20969417749779523</v>
      </c>
    </row>
    <row r="184" spans="1:42">
      <c r="A184">
        <f>sim_annual_output!B184</f>
        <v>10</v>
      </c>
      <c r="B184" t="str">
        <f>sim_annual_output!C184</f>
        <v>Maintenance Shop-Small</v>
      </c>
      <c r="C184" t="str">
        <f>sim_annual_output!D184</f>
        <v>1959-pre</v>
      </c>
      <c r="D184" t="str">
        <f>sim_annual_output!E184</f>
        <v>pump_fan_eff_</v>
      </c>
      <c r="E184" s="45">
        <f t="array" ref="E184">IFERROR(INDEX(baseline!$J$3:$J$201,MATCH($B184&amp;$C184,baseline!$C$3:$C$201&amp;baseline!$D$3:$D$201,0)),"NA")</f>
        <v>927</v>
      </c>
      <c r="F184">
        <f>sim_annual_output!G184</f>
        <v>923.71795399999996</v>
      </c>
      <c r="G184">
        <f>$E184/$F184^2*sim_annual_output!I184</f>
        <v>0</v>
      </c>
      <c r="H184">
        <f>$E184/$F184^2*sim_annual_output!J184</f>
        <v>752.54515958700961</v>
      </c>
      <c r="I184">
        <f>$E184/$F184^2*sim_annual_output!K184</f>
        <v>1.2161968019183396</v>
      </c>
      <c r="J184">
        <f>$E184/$F184^2*sim_annual_output!L184</f>
        <v>0</v>
      </c>
      <c r="K184">
        <f>$E184/$F184^2*sim_annual_output!M184</f>
        <v>4.8406443431191484</v>
      </c>
      <c r="L184">
        <f>$E184/$F184^2*sim_annual_output!N184</f>
        <v>55.142302641816137</v>
      </c>
      <c r="M184">
        <f>$E184/$F184^2*sim_annual_output!O184</f>
        <v>6.60609131364577</v>
      </c>
      <c r="N184">
        <f>$E184/$F184^2*sim_annual_output!P184</f>
        <v>0</v>
      </c>
      <c r="O184">
        <f>$E184/$F184^2*sim_annual_output!Q184</f>
        <v>27.13054404279373</v>
      </c>
      <c r="P184">
        <f>$E184/$F184^2*sim_annual_output!R184</f>
        <v>31.871599069626765</v>
      </c>
      <c r="Q184">
        <f>$E184/$F184^2*sim_annual_output!S184</f>
        <v>0</v>
      </c>
      <c r="R184">
        <f t="array" ref="R184">INDEX(G$3:G$700,MATCH($B184&amp;$C184&amp;"baseline",$B$3:$B$700&amp;$C$3:$C$700&amp;$D$3:$D$700,0))</f>
        <v>0</v>
      </c>
      <c r="S184">
        <f t="array" ref="S184">INDEX(H$3:H$700,MATCH($B184&amp;$C184&amp;"baseline",$B$3:$B$700&amp;$C$3:$C$700&amp;$D$3:$D$700,0))</f>
        <v>757.1413574265174</v>
      </c>
      <c r="T184">
        <f t="array" ref="T184">INDEX(I$3:I$700,MATCH($B184&amp;$C184&amp;"baseline",$B$3:$B$700&amp;$C$3:$C$700&amp;$D$3:$D$700,0))</f>
        <v>0.8781966981593966</v>
      </c>
      <c r="U184">
        <f t="array" ref="U184">INDEX(J$3:J$700,MATCH($B184&amp;$C184&amp;"baseline",$B$3:$B$700&amp;$C$3:$C$700&amp;$D$3:$D$700,0))</f>
        <v>0</v>
      </c>
      <c r="V184">
        <f t="array" ref="V184">INDEX(K$3:K$700,MATCH($B184&amp;$C184&amp;"baseline",$B$3:$B$700&amp;$C$3:$C$700&amp;$D$3:$D$700,0))</f>
        <v>4.8406443431191484</v>
      </c>
      <c r="W184">
        <f t="array" ref="W184">INDEX(L$3:L$700,MATCH($B184&amp;$C184&amp;"baseline",$B$3:$B$700&amp;$C$3:$C$700&amp;$D$3:$D$700,0))</f>
        <v>55.142302641816137</v>
      </c>
      <c r="X184">
        <f t="array" ref="X184">INDEX(M$3:M$700,MATCH($B184&amp;$C184&amp;"baseline",$B$3:$B$700&amp;$C$3:$C$700&amp;$D$3:$D$700,0))</f>
        <v>6.60609131364577</v>
      </c>
      <c r="Y184">
        <f t="array" ref="Y184">INDEX(N$3:N$700,MATCH($B184&amp;$C184&amp;"baseline",$B$3:$B$700&amp;$C$3:$C$700&amp;$D$3:$D$700,0))</f>
        <v>0</v>
      </c>
      <c r="Z184">
        <f t="array" ref="Z184">INDEX(O$3:O$700,MATCH($B184&amp;$C184&amp;"baseline",$B$3:$B$700&amp;$C$3:$C$700&amp;$D$3:$D$700,0))</f>
        <v>27.148651191209389</v>
      </c>
      <c r="AA184">
        <f t="array" ref="AA184">INDEX(P$3:P$700,MATCH($B184&amp;$C184&amp;"baseline",$B$3:$B$700&amp;$C$3:$C$700&amp;$D$3:$D$700,0))</f>
        <v>40.744101793299016</v>
      </c>
      <c r="AB184">
        <f t="array" ref="AB184">INDEX(Q$3:Q$700,MATCH($B184&amp;$C184&amp;"baseline",$B$3:$B$700&amp;$C$3:$C$700&amp;$D$3:$D$700,0))</f>
        <v>0</v>
      </c>
      <c r="AC184">
        <f t="shared" si="20"/>
        <v>892.50134540776628</v>
      </c>
      <c r="AD184">
        <f t="shared" si="21"/>
        <v>4.5961978395077949</v>
      </c>
      <c r="AE184">
        <f t="shared" si="22"/>
        <v>8.5526097683289777</v>
      </c>
      <c r="AF184">
        <f t="shared" si="23"/>
        <v>1.4732535335091672</v>
      </c>
      <c r="AG184">
        <f>(S184+V184+Y184)*constants!$O$2+(R184+T184+U184+W184+X184+Z184+AA184+AB184)*constants!$N$2</f>
        <v>27.09279425977677</v>
      </c>
      <c r="AH184">
        <f>((S184+V184+Y184)-(H184+K184+N184))*constants!$O$2</f>
        <v>7.4458405000026276E-2</v>
      </c>
      <c r="AI184">
        <f>((R184+T184+U184+W184+X184+Z184+AA184+AB184)-(G184+I184+J184+L184+M184+O184+P184+Q184))*constants!$N$2</f>
        <v>0.96644490382117454</v>
      </c>
      <c r="AJ184">
        <f t="shared" si="24"/>
        <v>3.8419931840200565</v>
      </c>
      <c r="AK184">
        <f t="shared" si="25"/>
        <v>1.0409033088212007</v>
      </c>
      <c r="AL184">
        <f>COUNTIFS($B:$B,$B184,$AK:$AK,"&lt;"&amp;$AK184)+COUNTIFS($B$2:$B184,$B184,$AK$2:$AK184,$AK184)</f>
        <v>42</v>
      </c>
      <c r="AM184" s="191">
        <f>IF(AK184=0, "NA",IF(((sim_annual_output!F184/E184)/AK184)&lt;0,100,((sim_annual_output!F184/E184)/AK184)))</f>
        <v>4.543881319466597</v>
      </c>
      <c r="AN184">
        <f>(S184+V184)*constants!$F$2+(T184+U184+W184+X184+Y184+Z184+AA184+AB184)*constants!$G$2</f>
        <v>249946.60728193779</v>
      </c>
      <c r="AO184">
        <f>(AD184*constants!$F$2+AE184*constants!$G$2)</f>
        <v>8263.4899117181067</v>
      </c>
      <c r="AP184">
        <f t="shared" si="26"/>
        <v>3.3061020517861861</v>
      </c>
    </row>
    <row r="185" spans="1:42">
      <c r="A185">
        <f>sim_annual_output!B185</f>
        <v>11</v>
      </c>
      <c r="B185" t="str">
        <f>sim_annual_output!C185</f>
        <v>Maintenance Shop-Small</v>
      </c>
      <c r="C185" t="str">
        <f>sim_annual_output!D185</f>
        <v>1960-1979</v>
      </c>
      <c r="D185" t="str">
        <f>sim_annual_output!E185</f>
        <v>air_temp_reset_enabled</v>
      </c>
      <c r="E185" s="45">
        <f t="array" ref="E185">IFERROR(INDEX(baseline!$J$3:$J$201,MATCH($B185&amp;$C185,baseline!$C$3:$C$201&amp;baseline!$D$3:$D$201,0)),"NA")</f>
        <v>927</v>
      </c>
      <c r="F185">
        <f>sim_annual_output!G185</f>
        <v>923.71795399999996</v>
      </c>
      <c r="G185">
        <f>$E185/$F185^2*sim_annual_output!I185</f>
        <v>0</v>
      </c>
      <c r="H185">
        <f>$E185/$F185^2*sim_annual_output!J185</f>
        <v>713.14702249260779</v>
      </c>
      <c r="I185">
        <f>$E185/$F185^2*sim_annual_output!K185</f>
        <v>7.31227010185642</v>
      </c>
      <c r="J185">
        <f>$E185/$F185^2*sim_annual_output!L185</f>
        <v>0</v>
      </c>
      <c r="K185">
        <f>$E185/$F185^2*sim_annual_output!M185</f>
        <v>4.8406443431191484</v>
      </c>
      <c r="L185">
        <f>$E185/$F185^2*sim_annual_output!N185</f>
        <v>55.142302641816137</v>
      </c>
      <c r="M185">
        <f>$E185/$F185^2*sim_annual_output!O185</f>
        <v>6.60609131364577</v>
      </c>
      <c r="N185">
        <f>$E185/$F185^2*sim_annual_output!P185</f>
        <v>0</v>
      </c>
      <c r="O185">
        <f>$E185/$F185^2*sim_annual_output!Q185</f>
        <v>26.225186622010849</v>
      </c>
      <c r="P185">
        <f>$E185/$F185^2*sim_annual_output!R185</f>
        <v>38.860958358070619</v>
      </c>
      <c r="Q185">
        <f>$E185/$F185^2*sim_annual_output!S185</f>
        <v>0</v>
      </c>
      <c r="R185">
        <f t="array" ref="R185">INDEX(G$3:G$700,MATCH($B185&amp;$C185&amp;"baseline",$B$3:$B$700&amp;$C$3:$C$700&amp;$D$3:$D$700,0))</f>
        <v>0</v>
      </c>
      <c r="S185">
        <f t="array" ref="S185">INDEX(H$3:H$700,MATCH($B185&amp;$C185&amp;"baseline",$B$3:$B$700&amp;$C$3:$C$700&amp;$D$3:$D$700,0))</f>
        <v>704.08439471057113</v>
      </c>
      <c r="T185">
        <f t="array" ref="T185">INDEX(I$3:I$700,MATCH($B185&amp;$C185&amp;"baseline",$B$3:$B$700&amp;$C$3:$C$700&amp;$D$3:$D$700,0))</f>
        <v>0.72428593662630647</v>
      </c>
      <c r="U185">
        <f t="array" ref="U185">INDEX(J$3:J$700,MATCH($B185&amp;$C185&amp;"baseline",$B$3:$B$700&amp;$C$3:$C$700&amp;$D$3:$D$700,0))</f>
        <v>0</v>
      </c>
      <c r="V185">
        <f t="array" ref="V185">INDEX(K$3:K$700,MATCH($B185&amp;$C185&amp;"baseline",$B$3:$B$700&amp;$C$3:$C$700&amp;$D$3:$D$700,0))</f>
        <v>4.8406443431191484</v>
      </c>
      <c r="W185">
        <f t="array" ref="W185">INDEX(L$3:L$700,MATCH($B185&amp;$C185&amp;"baseline",$B$3:$B$700&amp;$C$3:$C$700&amp;$D$3:$D$700,0))</f>
        <v>55.142302641816137</v>
      </c>
      <c r="X185">
        <f t="array" ref="X185">INDEX(M$3:M$700,MATCH($B185&amp;$C185&amp;"baseline",$B$3:$B$700&amp;$C$3:$C$700&amp;$D$3:$D$700,0))</f>
        <v>6.60609131364577</v>
      </c>
      <c r="Y185">
        <f t="array" ref="Y185">INDEX(N$3:N$700,MATCH($B185&amp;$C185&amp;"baseline",$B$3:$B$700&amp;$C$3:$C$700&amp;$D$3:$D$700,0))</f>
        <v>0</v>
      </c>
      <c r="Z185">
        <f t="array" ref="Z185">INDEX(O$3:O$700,MATCH($B185&amp;$C185&amp;"baseline",$B$3:$B$700&amp;$C$3:$C$700&amp;$D$3:$D$700,0))</f>
        <v>25.211186310734021</v>
      </c>
      <c r="AA185">
        <f t="array" ref="AA185">INDEX(P$3:P$700,MATCH($B185&amp;$C185&amp;"baseline",$B$3:$B$700&amp;$C$3:$C$700&amp;$D$3:$D$700,0))</f>
        <v>38.052172395504577</v>
      </c>
      <c r="AB185">
        <f t="array" ref="AB185">INDEX(Q$3:Q$700,MATCH($B185&amp;$C185&amp;"baseline",$B$3:$B$700&amp;$C$3:$C$700&amp;$D$3:$D$700,0))</f>
        <v>0</v>
      </c>
      <c r="AC185">
        <f t="shared" si="20"/>
        <v>834.66107765201707</v>
      </c>
      <c r="AD185">
        <f t="shared" si="21"/>
        <v>-9.0626277820366568</v>
      </c>
      <c r="AE185">
        <f t="shared" si="22"/>
        <v>-8.4107704390729907</v>
      </c>
      <c r="AF185">
        <f t="shared" si="23"/>
        <v>-2.0934722714354934</v>
      </c>
      <c r="AG185">
        <f>(S185+V185+Y185)*constants!$O$2+(R185+T185+U185+W185+X185+Z185+AA185+AB185)*constants!$N$2</f>
        <v>25.692757994280711</v>
      </c>
      <c r="AH185">
        <f>((S185+V185+Y185)-(H185+K185+N185))*constants!$O$2</f>
        <v>-0.14681457006899384</v>
      </c>
      <c r="AI185">
        <f>((R185+T185+U185+W185+X185+Z185+AA185+AB185)-(G185+I185+J185+L185+M185+O185+P185+Q185))*constants!$N$2</f>
        <v>-0.95041705961524803</v>
      </c>
      <c r="AJ185">
        <f t="shared" si="24"/>
        <v>-4.2705871823044035</v>
      </c>
      <c r="AK185">
        <f t="shared" si="25"/>
        <v>-1.0972316296842419</v>
      </c>
      <c r="AL185">
        <f>COUNTIFS($B:$B,$B185,$AK:$AK,"&lt;"&amp;$AK185)+COUNTIFS($B$2:$B185,$B185,$AK$2:$AK185,$AK185)</f>
        <v>2</v>
      </c>
      <c r="AM185" s="191">
        <f>IF(AK185=0, "NA",IF(((sim_annual_output!F185/E185)/AK185)&lt;0,100,((sim_annual_output!F185/E185)/AK185)))</f>
        <v>100</v>
      </c>
      <c r="AN185">
        <f>(S185+V185)*constants!$F$2+(T185+U185+W185+X185+Y185+Z185+AA185+AB185)*constants!$G$2</f>
        <v>236287.93557115487</v>
      </c>
      <c r="AO185">
        <f>(AD185*constants!$F$2+AE185*constants!$G$2)</f>
        <v>-8939.5806549780627</v>
      </c>
      <c r="AP185">
        <f t="shared" si="26"/>
        <v>-3.7833419778158883</v>
      </c>
    </row>
    <row r="186" spans="1:42">
      <c r="A186">
        <f>sim_annual_output!B186</f>
        <v>11</v>
      </c>
      <c r="B186" t="str">
        <f>sim_annual_output!C186</f>
        <v>Maintenance Shop-Small</v>
      </c>
      <c r="C186" t="str">
        <f>sim_annual_output!D186</f>
        <v>1960-1979</v>
      </c>
      <c r="D186" t="str">
        <f>sim_annual_output!E186</f>
        <v>baseline</v>
      </c>
      <c r="E186" s="45">
        <f t="array" ref="E186">IFERROR(INDEX(baseline!$J$3:$J$201,MATCH($B186&amp;$C186,baseline!$C$3:$C$201&amp;baseline!$D$3:$D$201,0)),"NA")</f>
        <v>927</v>
      </c>
      <c r="F186">
        <f>sim_annual_output!G186</f>
        <v>923.71795399999996</v>
      </c>
      <c r="G186">
        <f>$E186/$F186^2*sim_annual_output!I186</f>
        <v>0</v>
      </c>
      <c r="H186">
        <f>$E186/$F186^2*sim_annual_output!J186</f>
        <v>704.08439471057113</v>
      </c>
      <c r="I186">
        <f>$E186/$F186^2*sim_annual_output!K186</f>
        <v>0.72428593662630647</v>
      </c>
      <c r="J186">
        <f>$E186/$F186^2*sim_annual_output!L186</f>
        <v>0</v>
      </c>
      <c r="K186">
        <f>$E186/$F186^2*sim_annual_output!M186</f>
        <v>4.8406443431191484</v>
      </c>
      <c r="L186">
        <f>$E186/$F186^2*sim_annual_output!N186</f>
        <v>55.142302641816137</v>
      </c>
      <c r="M186">
        <f>$E186/$F186^2*sim_annual_output!O186</f>
        <v>6.60609131364577</v>
      </c>
      <c r="N186">
        <f>$E186/$F186^2*sim_annual_output!P186</f>
        <v>0</v>
      </c>
      <c r="O186">
        <f>$E186/$F186^2*sim_annual_output!Q186</f>
        <v>25.211186310734021</v>
      </c>
      <c r="P186">
        <f>$E186/$F186^2*sim_annual_output!R186</f>
        <v>38.052172395504577</v>
      </c>
      <c r="Q186">
        <f>$E186/$F186^2*sim_annual_output!S186</f>
        <v>0</v>
      </c>
      <c r="R186">
        <f t="array" ref="R186">INDEX(G$3:G$700,MATCH($B186&amp;$C186&amp;"baseline",$B$3:$B$700&amp;$C$3:$C$700&amp;$D$3:$D$700,0))</f>
        <v>0</v>
      </c>
      <c r="S186">
        <f t="array" ref="S186">INDEX(H$3:H$700,MATCH($B186&amp;$C186&amp;"baseline",$B$3:$B$700&amp;$C$3:$C$700&amp;$D$3:$D$700,0))</f>
        <v>704.08439471057113</v>
      </c>
      <c r="T186">
        <f t="array" ref="T186">INDEX(I$3:I$700,MATCH($B186&amp;$C186&amp;"baseline",$B$3:$B$700&amp;$C$3:$C$700&amp;$D$3:$D$700,0))</f>
        <v>0.72428593662630647</v>
      </c>
      <c r="U186">
        <f t="array" ref="U186">INDEX(J$3:J$700,MATCH($B186&amp;$C186&amp;"baseline",$B$3:$B$700&amp;$C$3:$C$700&amp;$D$3:$D$700,0))</f>
        <v>0</v>
      </c>
      <c r="V186">
        <f t="array" ref="V186">INDEX(K$3:K$700,MATCH($B186&amp;$C186&amp;"baseline",$B$3:$B$700&amp;$C$3:$C$700&amp;$D$3:$D$700,0))</f>
        <v>4.8406443431191484</v>
      </c>
      <c r="W186">
        <f t="array" ref="W186">INDEX(L$3:L$700,MATCH($B186&amp;$C186&amp;"baseline",$B$3:$B$700&amp;$C$3:$C$700&amp;$D$3:$D$700,0))</f>
        <v>55.142302641816137</v>
      </c>
      <c r="X186">
        <f t="array" ref="X186">INDEX(M$3:M$700,MATCH($B186&amp;$C186&amp;"baseline",$B$3:$B$700&amp;$C$3:$C$700&amp;$D$3:$D$700,0))</f>
        <v>6.60609131364577</v>
      </c>
      <c r="Y186">
        <f t="array" ref="Y186">INDEX(N$3:N$700,MATCH($B186&amp;$C186&amp;"baseline",$B$3:$B$700&amp;$C$3:$C$700&amp;$D$3:$D$700,0))</f>
        <v>0</v>
      </c>
      <c r="Z186">
        <f t="array" ref="Z186">INDEX(O$3:O$700,MATCH($B186&amp;$C186&amp;"baseline",$B$3:$B$700&amp;$C$3:$C$700&amp;$D$3:$D$700,0))</f>
        <v>25.211186310734021</v>
      </c>
      <c r="AA186">
        <f t="array" ref="AA186">INDEX(P$3:P$700,MATCH($B186&amp;$C186&amp;"baseline",$B$3:$B$700&amp;$C$3:$C$700&amp;$D$3:$D$700,0))</f>
        <v>38.052172395504577</v>
      </c>
      <c r="AB186">
        <f t="array" ref="AB186">INDEX(Q$3:Q$700,MATCH($B186&amp;$C186&amp;"baseline",$B$3:$B$700&amp;$C$3:$C$700&amp;$D$3:$D$700,0))</f>
        <v>0</v>
      </c>
      <c r="AC186">
        <f t="shared" si="20"/>
        <v>834.66107765201707</v>
      </c>
      <c r="AD186">
        <f t="shared" si="21"/>
        <v>0</v>
      </c>
      <c r="AE186">
        <f t="shared" si="22"/>
        <v>0</v>
      </c>
      <c r="AF186">
        <f t="shared" si="23"/>
        <v>0</v>
      </c>
      <c r="AG186">
        <f>(S186+V186+Y186)*constants!$O$2+(R186+T186+U186+W186+X186+Z186+AA186+AB186)*constants!$N$2</f>
        <v>25.692757994280711</v>
      </c>
      <c r="AH186">
        <f>((S186+V186+Y186)-(H186+K186+N186))*constants!$O$2</f>
        <v>0</v>
      </c>
      <c r="AI186">
        <f>((R186+T186+U186+W186+X186+Z186+AA186+AB186)-(G186+I186+J186+L186+M186+O186+P186+Q186))*constants!$N$2</f>
        <v>0</v>
      </c>
      <c r="AJ186">
        <f t="shared" si="24"/>
        <v>0</v>
      </c>
      <c r="AK186">
        <f t="shared" si="25"/>
        <v>0</v>
      </c>
      <c r="AL186">
        <f>COUNTIFS($B:$B,$B186,$AK:$AK,"&lt;"&amp;$AK186)+COUNTIFS($B$2:$B186,$B186,$AK$2:$AK186,$AK186)</f>
        <v>18</v>
      </c>
      <c r="AM186" s="191" t="str">
        <f>IF(AK186=0, "NA",IF(((sim_annual_output!F186/E186)/AK186)&lt;0,100,((sim_annual_output!F186/E186)/AK186)))</f>
        <v>NA</v>
      </c>
      <c r="AN186">
        <f>(S186+V186)*constants!$F$2+(T186+U186+W186+X186+Y186+Z186+AA186+AB186)*constants!$G$2</f>
        <v>236287.93557115487</v>
      </c>
      <c r="AO186">
        <f>(AD186*constants!$F$2+AE186*constants!$G$2)</f>
        <v>0</v>
      </c>
      <c r="AP186">
        <f t="shared" si="26"/>
        <v>0</v>
      </c>
    </row>
    <row r="187" spans="1:42">
      <c r="A187">
        <f>sim_annual_output!B187</f>
        <v>11</v>
      </c>
      <c r="B187" t="str">
        <f>sim_annual_output!C187</f>
        <v>Maintenance Shop-Small</v>
      </c>
      <c r="C187" t="str">
        <f>sim_annual_output!D187</f>
        <v>1960-1979</v>
      </c>
      <c r="D187" t="str">
        <f>sim_annual_output!E187</f>
        <v>boiler_eff_upgrade</v>
      </c>
      <c r="E187" s="45">
        <f t="array" ref="E187">IFERROR(INDEX(baseline!$J$3:$J$201,MATCH($B187&amp;$C187,baseline!$C$3:$C$201&amp;baseline!$D$3:$D$201,0)),"NA")</f>
        <v>927</v>
      </c>
      <c r="F187">
        <f>sim_annual_output!G187</f>
        <v>923.71795399999996</v>
      </c>
      <c r="G187">
        <f>$E187/$F187^2*sim_annual_output!I187</f>
        <v>0</v>
      </c>
      <c r="H187">
        <f>$E187/$F187^2*sim_annual_output!J187</f>
        <v>697.64126773266628</v>
      </c>
      <c r="I187">
        <f>$E187/$F187^2*sim_annual_output!K187</f>
        <v>1.2222325180568923</v>
      </c>
      <c r="J187">
        <f>$E187/$F187^2*sim_annual_output!L187</f>
        <v>0</v>
      </c>
      <c r="K187">
        <f>$E187/$F187^2*sim_annual_output!M187</f>
        <v>4.8406443431191484</v>
      </c>
      <c r="L187">
        <f>$E187/$F187^2*sim_annual_output!N187</f>
        <v>55.142302641816137</v>
      </c>
      <c r="M187">
        <f>$E187/$F187^2*sim_annual_output!O187</f>
        <v>6.60609131364577</v>
      </c>
      <c r="N187">
        <f>$E187/$F187^2*sim_annual_output!P187</f>
        <v>0</v>
      </c>
      <c r="O187">
        <f>$E187/$F187^2*sim_annual_output!Q187</f>
        <v>25.253436323703884</v>
      </c>
      <c r="P187">
        <f>$E187/$F187^2*sim_annual_output!R187</f>
        <v>38.121583131097935</v>
      </c>
      <c r="Q187">
        <f>$E187/$F187^2*sim_annual_output!S187</f>
        <v>0</v>
      </c>
      <c r="R187">
        <f t="array" ref="R187">INDEX(G$3:G$700,MATCH($B187&amp;$C187&amp;"baseline",$B$3:$B$700&amp;$C$3:$C$700&amp;$D$3:$D$700,0))</f>
        <v>0</v>
      </c>
      <c r="S187">
        <f t="array" ref="S187">INDEX(H$3:H$700,MATCH($B187&amp;$C187&amp;"baseline",$B$3:$B$700&amp;$C$3:$C$700&amp;$D$3:$D$700,0))</f>
        <v>704.08439471057113</v>
      </c>
      <c r="T187">
        <f t="array" ref="T187">INDEX(I$3:I$700,MATCH($B187&amp;$C187&amp;"baseline",$B$3:$B$700&amp;$C$3:$C$700&amp;$D$3:$D$700,0))</f>
        <v>0.72428593662630647</v>
      </c>
      <c r="U187">
        <f t="array" ref="U187">INDEX(J$3:J$700,MATCH($B187&amp;$C187&amp;"baseline",$B$3:$B$700&amp;$C$3:$C$700&amp;$D$3:$D$700,0))</f>
        <v>0</v>
      </c>
      <c r="V187">
        <f t="array" ref="V187">INDEX(K$3:K$700,MATCH($B187&amp;$C187&amp;"baseline",$B$3:$B$700&amp;$C$3:$C$700&amp;$D$3:$D$700,0))</f>
        <v>4.8406443431191484</v>
      </c>
      <c r="W187">
        <f t="array" ref="W187">INDEX(L$3:L$700,MATCH($B187&amp;$C187&amp;"baseline",$B$3:$B$700&amp;$C$3:$C$700&amp;$D$3:$D$700,0))</f>
        <v>55.142302641816137</v>
      </c>
      <c r="X187">
        <f t="array" ref="X187">INDEX(M$3:M$700,MATCH($B187&amp;$C187&amp;"baseline",$B$3:$B$700&amp;$C$3:$C$700&amp;$D$3:$D$700,0))</f>
        <v>6.60609131364577</v>
      </c>
      <c r="Y187">
        <f t="array" ref="Y187">INDEX(N$3:N$700,MATCH($B187&amp;$C187&amp;"baseline",$B$3:$B$700&amp;$C$3:$C$700&amp;$D$3:$D$700,0))</f>
        <v>0</v>
      </c>
      <c r="Z187">
        <f t="array" ref="Z187">INDEX(O$3:O$700,MATCH($B187&amp;$C187&amp;"baseline",$B$3:$B$700&amp;$C$3:$C$700&amp;$D$3:$D$700,0))</f>
        <v>25.211186310734021</v>
      </c>
      <c r="AA187">
        <f t="array" ref="AA187">INDEX(P$3:P$700,MATCH($B187&amp;$C187&amp;"baseline",$B$3:$B$700&amp;$C$3:$C$700&amp;$D$3:$D$700,0))</f>
        <v>38.052172395504577</v>
      </c>
      <c r="AB187">
        <f t="array" ref="AB187">INDEX(Q$3:Q$700,MATCH($B187&amp;$C187&amp;"baseline",$B$3:$B$700&amp;$C$3:$C$700&amp;$D$3:$D$700,0))</f>
        <v>0</v>
      </c>
      <c r="AC187">
        <f t="shared" si="20"/>
        <v>834.66107765201707</v>
      </c>
      <c r="AD187">
        <f t="shared" si="21"/>
        <v>6.4431269779048534</v>
      </c>
      <c r="AE187">
        <f t="shared" si="22"/>
        <v>-0.60960732999380696</v>
      </c>
      <c r="AF187">
        <f t="shared" si="23"/>
        <v>0.69890879113727278</v>
      </c>
      <c r="AG187">
        <f>(S187+V187+Y187)*constants!$O$2+(R187+T187+U187+W187+X187+Z187+AA187+AB187)*constants!$N$2</f>
        <v>25.692757994280711</v>
      </c>
      <c r="AH187">
        <f>((S187+V187+Y187)-(H187+K187+N187))*constants!$O$2</f>
        <v>0.10437865704205862</v>
      </c>
      <c r="AI187">
        <f>((R187+T187+U187+W187+X187+Z187+AA187+AB187)-(G187+I187+J187+L187+M187+O187+P187+Q187))*constants!$N$2</f>
        <v>-6.8885628289300185E-2</v>
      </c>
      <c r="AJ187">
        <f t="shared" si="24"/>
        <v>0.13814409788415588</v>
      </c>
      <c r="AK187">
        <f t="shared" si="25"/>
        <v>3.5493028752758435E-2</v>
      </c>
      <c r="AL187">
        <f>COUNTIFS($B:$B,$B187,$AK:$AK,"&lt;"&amp;$AK187)+COUNTIFS($B$2:$B187,$B187,$AK$2:$AK187,$AK187)</f>
        <v>22</v>
      </c>
      <c r="AM187" s="191">
        <f>IF(AK187=0, "NA",IF(((sim_annual_output!F187/E187)/AK187)&lt;0,100,((sim_annual_output!F187/E187)/AK187)))</f>
        <v>1985.6533108198084</v>
      </c>
      <c r="AN187">
        <f>(S187+V187)*constants!$F$2+(T187+U187+W187+X187+Y187+Z187+AA187+AB187)*constants!$G$2</f>
        <v>236287.93557115487</v>
      </c>
      <c r="AO187">
        <f>(AD187*constants!$F$2+AE187*constants!$G$2)</f>
        <v>622.96135195035686</v>
      </c>
      <c r="AP187">
        <f t="shared" si="26"/>
        <v>0.26364501024757592</v>
      </c>
    </row>
    <row r="188" spans="1:42">
      <c r="A188">
        <f>sim_annual_output!B188</f>
        <v>11</v>
      </c>
      <c r="B188" t="str">
        <f>sim_annual_output!C188</f>
        <v>Maintenance Shop-Small</v>
      </c>
      <c r="C188" t="str">
        <f>sim_annual_output!D188</f>
        <v>1960-1979</v>
      </c>
      <c r="D188" t="str">
        <f>sim_annual_output!E188</f>
        <v>boiler_reset</v>
      </c>
      <c r="E188" s="45">
        <f t="array" ref="E188">IFERROR(INDEX(baseline!$J$3:$J$201,MATCH($B188&amp;$C188,baseline!$C$3:$C$201&amp;baseline!$D$3:$D$201,0)),"NA")</f>
        <v>927</v>
      </c>
      <c r="F188">
        <f>sim_annual_output!G188</f>
        <v>923.71795399999996</v>
      </c>
      <c r="G188">
        <f>$E188/$F188^2*sim_annual_output!I188</f>
        <v>0</v>
      </c>
      <c r="H188">
        <f>$E188/$F188^2*sim_annual_output!J188</f>
        <v>433.43684734173604</v>
      </c>
      <c r="I188">
        <f>$E188/$F188^2*sim_annual_output!K188</f>
        <v>1.2222325180568923</v>
      </c>
      <c r="J188">
        <f>$E188/$F188^2*sim_annual_output!L188</f>
        <v>0</v>
      </c>
      <c r="K188">
        <f>$E188/$F188^2*sim_annual_output!M188</f>
        <v>4.8406443431191484</v>
      </c>
      <c r="L188">
        <f>$E188/$F188^2*sim_annual_output!N188</f>
        <v>55.142302641816137</v>
      </c>
      <c r="M188">
        <f>$E188/$F188^2*sim_annual_output!O188</f>
        <v>6.60609131364577</v>
      </c>
      <c r="N188">
        <f>$E188/$F188^2*sim_annual_output!P188</f>
        <v>0</v>
      </c>
      <c r="O188">
        <f>$E188/$F188^2*sim_annual_output!Q188</f>
        <v>25.253436323703884</v>
      </c>
      <c r="P188">
        <f>$E188/$F188^2*sim_annual_output!R188</f>
        <v>38.121583131097935</v>
      </c>
      <c r="Q188">
        <f>$E188/$F188^2*sim_annual_output!S188</f>
        <v>0</v>
      </c>
      <c r="R188">
        <f t="array" ref="R188">INDEX(G$3:G$700,MATCH($B188&amp;$C188&amp;"baseline",$B$3:$B$700&amp;$C$3:$C$700&amp;$D$3:$D$700,0))</f>
        <v>0</v>
      </c>
      <c r="S188">
        <f t="array" ref="S188">INDEX(H$3:H$700,MATCH($B188&amp;$C188&amp;"baseline",$B$3:$B$700&amp;$C$3:$C$700&amp;$D$3:$D$700,0))</f>
        <v>704.08439471057113</v>
      </c>
      <c r="T188">
        <f t="array" ref="T188">INDEX(I$3:I$700,MATCH($B188&amp;$C188&amp;"baseline",$B$3:$B$700&amp;$C$3:$C$700&amp;$D$3:$D$700,0))</f>
        <v>0.72428593662630647</v>
      </c>
      <c r="U188">
        <f t="array" ref="U188">INDEX(J$3:J$700,MATCH($B188&amp;$C188&amp;"baseline",$B$3:$B$700&amp;$C$3:$C$700&amp;$D$3:$D$700,0))</f>
        <v>0</v>
      </c>
      <c r="V188">
        <f t="array" ref="V188">INDEX(K$3:K$700,MATCH($B188&amp;$C188&amp;"baseline",$B$3:$B$700&amp;$C$3:$C$700&amp;$D$3:$D$700,0))</f>
        <v>4.8406443431191484</v>
      </c>
      <c r="W188">
        <f t="array" ref="W188">INDEX(L$3:L$700,MATCH($B188&amp;$C188&amp;"baseline",$B$3:$B$700&amp;$C$3:$C$700&amp;$D$3:$D$700,0))</f>
        <v>55.142302641816137</v>
      </c>
      <c r="X188">
        <f t="array" ref="X188">INDEX(M$3:M$700,MATCH($B188&amp;$C188&amp;"baseline",$B$3:$B$700&amp;$C$3:$C$700&amp;$D$3:$D$700,0))</f>
        <v>6.60609131364577</v>
      </c>
      <c r="Y188">
        <f t="array" ref="Y188">INDEX(N$3:N$700,MATCH($B188&amp;$C188&amp;"baseline",$B$3:$B$700&amp;$C$3:$C$700&amp;$D$3:$D$700,0))</f>
        <v>0</v>
      </c>
      <c r="Z188">
        <f t="array" ref="Z188">INDEX(O$3:O$700,MATCH($B188&amp;$C188&amp;"baseline",$B$3:$B$700&amp;$C$3:$C$700&amp;$D$3:$D$700,0))</f>
        <v>25.211186310734021</v>
      </c>
      <c r="AA188">
        <f t="array" ref="AA188">INDEX(P$3:P$700,MATCH($B188&amp;$C188&amp;"baseline",$B$3:$B$700&amp;$C$3:$C$700&amp;$D$3:$D$700,0))</f>
        <v>38.052172395504577</v>
      </c>
      <c r="AB188">
        <f t="array" ref="AB188">INDEX(Q$3:Q$700,MATCH($B188&amp;$C188&amp;"baseline",$B$3:$B$700&amp;$C$3:$C$700&amp;$D$3:$D$700,0))</f>
        <v>0</v>
      </c>
      <c r="AC188">
        <f t="shared" si="20"/>
        <v>834.66107765201707</v>
      </c>
      <c r="AD188">
        <f t="shared" si="21"/>
        <v>270.64754736883509</v>
      </c>
      <c r="AE188">
        <f t="shared" si="22"/>
        <v>-0.60960732999380696</v>
      </c>
      <c r="AF188">
        <f t="shared" si="23"/>
        <v>32.353004982391695</v>
      </c>
      <c r="AG188">
        <f>(S188+V188+Y188)*constants!$O$2+(R188+T188+U188+W188+X188+Z188+AA188+AB188)*constants!$N$2</f>
        <v>25.692757994280711</v>
      </c>
      <c r="AH188">
        <f>((S188+V188+Y188)-(H188+K188+N188))*constants!$O$2</f>
        <v>4.3844902673751278</v>
      </c>
      <c r="AI188">
        <f>((R188+T188+U188+W188+X188+Z188+AA188+AB188)-(G188+I188+J188+L188+M188+O188+P188+Q188))*constants!$N$2</f>
        <v>-6.8885628289300185E-2</v>
      </c>
      <c r="AJ188">
        <f t="shared" si="24"/>
        <v>16.796969169469836</v>
      </c>
      <c r="AK188">
        <f t="shared" si="25"/>
        <v>4.3156046390858274</v>
      </c>
      <c r="AL188">
        <f>COUNTIFS($B:$B,$B188,$AK:$AK,"&lt;"&amp;$AK188)+COUNTIFS($B$2:$B188,$B188,$AK$2:$AK188,$AK188)</f>
        <v>58</v>
      </c>
      <c r="AM188" s="191">
        <f>IF(AK188=0, "NA",IF(((sim_annual_output!F188/E188)/AK188)&lt;0,100,((sim_annual_output!F188/E188)/AK188)))</f>
        <v>0.23224966567839911</v>
      </c>
      <c r="AN188">
        <f>(S188+V188)*constants!$F$2+(T188+U188+W188+X188+Y188+Z188+AA188+AB188)*constants!$G$2</f>
        <v>236287.93557115487</v>
      </c>
      <c r="AO188">
        <f>(AD188*constants!$F$2+AE188*constants!$G$2)</f>
        <v>47915.552601926865</v>
      </c>
      <c r="AP188">
        <f t="shared" si="26"/>
        <v>20.278459196871587</v>
      </c>
    </row>
    <row r="189" spans="1:42">
      <c r="A189">
        <f>sim_annual_output!B189</f>
        <v>11</v>
      </c>
      <c r="B189" t="str">
        <f>sim_annual_output!C189</f>
        <v>Maintenance Shop-Small</v>
      </c>
      <c r="C189" t="str">
        <f>sim_annual_output!D189</f>
        <v>1960-1979</v>
      </c>
      <c r="D189" t="str">
        <f>sim_annual_output!E189</f>
        <v>cooling_cop_3_0</v>
      </c>
      <c r="E189" s="45">
        <f t="array" ref="E189">IFERROR(INDEX(baseline!$J$3:$J$201,MATCH($B189&amp;$C189,baseline!$C$3:$C$201&amp;baseline!$D$3:$D$201,0)),"NA")</f>
        <v>927</v>
      </c>
      <c r="F189">
        <f>sim_annual_output!G189</f>
        <v>923.71795399999996</v>
      </c>
      <c r="G189">
        <f>$E189/$F189^2*sim_annual_output!I189</f>
        <v>0</v>
      </c>
      <c r="H189">
        <f>$E189/$F189^2*sim_annual_output!J189</f>
        <v>697.64126773266628</v>
      </c>
      <c r="I189">
        <f>$E189/$F189^2*sim_annual_output!K189</f>
        <v>0.87216098202084402</v>
      </c>
      <c r="J189">
        <f>$E189/$F189^2*sim_annual_output!L189</f>
        <v>0</v>
      </c>
      <c r="K189">
        <f>$E189/$F189^2*sim_annual_output!M189</f>
        <v>4.8406443431191484</v>
      </c>
      <c r="L189">
        <f>$E189/$F189^2*sim_annual_output!N189</f>
        <v>55.142302641816137</v>
      </c>
      <c r="M189">
        <f>$E189/$F189^2*sim_annual_output!O189</f>
        <v>6.60609131364577</v>
      </c>
      <c r="N189">
        <f>$E189/$F189^2*sim_annual_output!P189</f>
        <v>0</v>
      </c>
      <c r="O189">
        <f>$E189/$F189^2*sim_annual_output!Q189</f>
        <v>25.253436323703884</v>
      </c>
      <c r="P189">
        <f>$E189/$F189^2*sim_annual_output!R189</f>
        <v>38.121583131097935</v>
      </c>
      <c r="Q189">
        <f>$E189/$F189^2*sim_annual_output!S189</f>
        <v>0</v>
      </c>
      <c r="R189">
        <f t="array" ref="R189">INDEX(G$3:G$700,MATCH($B189&amp;$C189&amp;"baseline",$B$3:$B$700&amp;$C$3:$C$700&amp;$D$3:$D$700,0))</f>
        <v>0</v>
      </c>
      <c r="S189">
        <f t="array" ref="S189">INDEX(H$3:H$700,MATCH($B189&amp;$C189&amp;"baseline",$B$3:$B$700&amp;$C$3:$C$700&amp;$D$3:$D$700,0))</f>
        <v>704.08439471057113</v>
      </c>
      <c r="T189">
        <f t="array" ref="T189">INDEX(I$3:I$700,MATCH($B189&amp;$C189&amp;"baseline",$B$3:$B$700&amp;$C$3:$C$700&amp;$D$3:$D$700,0))</f>
        <v>0.72428593662630647</v>
      </c>
      <c r="U189">
        <f t="array" ref="U189">INDEX(J$3:J$700,MATCH($B189&amp;$C189&amp;"baseline",$B$3:$B$700&amp;$C$3:$C$700&amp;$D$3:$D$700,0))</f>
        <v>0</v>
      </c>
      <c r="V189">
        <f t="array" ref="V189">INDEX(K$3:K$700,MATCH($B189&amp;$C189&amp;"baseline",$B$3:$B$700&amp;$C$3:$C$700&amp;$D$3:$D$700,0))</f>
        <v>4.8406443431191484</v>
      </c>
      <c r="W189">
        <f t="array" ref="W189">INDEX(L$3:L$700,MATCH($B189&amp;$C189&amp;"baseline",$B$3:$B$700&amp;$C$3:$C$700&amp;$D$3:$D$700,0))</f>
        <v>55.142302641816137</v>
      </c>
      <c r="X189">
        <f t="array" ref="X189">INDEX(M$3:M$700,MATCH($B189&amp;$C189&amp;"baseline",$B$3:$B$700&amp;$C$3:$C$700&amp;$D$3:$D$700,0))</f>
        <v>6.60609131364577</v>
      </c>
      <c r="Y189">
        <f t="array" ref="Y189">INDEX(N$3:N$700,MATCH($B189&amp;$C189&amp;"baseline",$B$3:$B$700&amp;$C$3:$C$700&amp;$D$3:$D$700,0))</f>
        <v>0</v>
      </c>
      <c r="Z189">
        <f t="array" ref="Z189">INDEX(O$3:O$700,MATCH($B189&amp;$C189&amp;"baseline",$B$3:$B$700&amp;$C$3:$C$700&amp;$D$3:$D$700,0))</f>
        <v>25.211186310734021</v>
      </c>
      <c r="AA189">
        <f t="array" ref="AA189">INDEX(P$3:P$700,MATCH($B189&amp;$C189&amp;"baseline",$B$3:$B$700&amp;$C$3:$C$700&amp;$D$3:$D$700,0))</f>
        <v>38.052172395504577</v>
      </c>
      <c r="AB189">
        <f t="array" ref="AB189">INDEX(Q$3:Q$700,MATCH($B189&amp;$C189&amp;"baseline",$B$3:$B$700&amp;$C$3:$C$700&amp;$D$3:$D$700,0))</f>
        <v>0</v>
      </c>
      <c r="AC189">
        <f t="shared" si="20"/>
        <v>834.66107765201707</v>
      </c>
      <c r="AD189">
        <f t="shared" si="21"/>
        <v>6.4431269779048534</v>
      </c>
      <c r="AE189">
        <f t="shared" si="22"/>
        <v>-0.2595357939577525</v>
      </c>
      <c r="AF189">
        <f t="shared" si="23"/>
        <v>0.74085054994323507</v>
      </c>
      <c r="AG189">
        <f>(S189+V189+Y189)*constants!$O$2+(R189+T189+U189+W189+X189+Z189+AA189+AB189)*constants!$N$2</f>
        <v>25.692757994280711</v>
      </c>
      <c r="AH189">
        <f>((S189+V189+Y189)-(H189+K189+N189))*constants!$O$2</f>
        <v>0.10437865704205862</v>
      </c>
      <c r="AI189">
        <f>((R189+T189+U189+W189+X189+Z189+AA189+AB189)-(G189+I189+J189+L189+M189+O189+P189+Q189))*constants!$N$2</f>
        <v>-2.9327544717226033E-2</v>
      </c>
      <c r="AJ189">
        <f t="shared" si="24"/>
        <v>0.29210998812015121</v>
      </c>
      <c r="AK189">
        <f t="shared" si="25"/>
        <v>7.5051112324832581E-2</v>
      </c>
      <c r="AL189">
        <f>COUNTIFS($B:$B,$B189,$AK:$AK,"&lt;"&amp;$AK189)+COUNTIFS($B$2:$B189,$B189,$AK$2:$AK189,$AK189)</f>
        <v>35</v>
      </c>
      <c r="AM189" s="191">
        <f>IF(AK189=0, "NA",IF(((sim_annual_output!F189/E189)/AK189)&lt;0,100,((sim_annual_output!F189/E189)/AK189)))</f>
        <v>144.43288899266773</v>
      </c>
      <c r="AN189">
        <f>(S189+V189)*constants!$F$2+(T189+U189+W189+X189+Y189+Z189+AA189+AB189)*constants!$G$2</f>
        <v>236287.93557115487</v>
      </c>
      <c r="AO189">
        <f>(AD189*constants!$F$2+AE189*constants!$G$2)</f>
        <v>927.5235883017242</v>
      </c>
      <c r="AP189">
        <f t="shared" si="26"/>
        <v>0.39253954547434483</v>
      </c>
    </row>
    <row r="190" spans="1:42">
      <c r="A190">
        <f>sim_annual_output!B190</f>
        <v>11</v>
      </c>
      <c r="B190" t="str">
        <f>sim_annual_output!C190</f>
        <v>Maintenance Shop-Small</v>
      </c>
      <c r="C190" t="str">
        <f>sim_annual_output!D190</f>
        <v>1960-1979</v>
      </c>
      <c r="D190" t="str">
        <f>sim_annual_output!E190</f>
        <v>dcv_enabled</v>
      </c>
      <c r="E190" s="45">
        <f t="array" ref="E190">IFERROR(INDEX(baseline!$J$3:$J$201,MATCH($B190&amp;$C190,baseline!$C$3:$C$201&amp;baseline!$D$3:$D$201,0)),"NA")</f>
        <v>927</v>
      </c>
      <c r="F190">
        <f>sim_annual_output!G190</f>
        <v>923.71795399999996</v>
      </c>
      <c r="G190">
        <f>$E190/$F190^2*sim_annual_output!I190</f>
        <v>0</v>
      </c>
      <c r="H190">
        <f>$E190/$F190^2*sim_annual_output!J190</f>
        <v>697.64126773266628</v>
      </c>
      <c r="I190">
        <f>$E190/$F190^2*sim_annual_output!K190</f>
        <v>1.2222325180568923</v>
      </c>
      <c r="J190">
        <f>$E190/$F190^2*sim_annual_output!L190</f>
        <v>0</v>
      </c>
      <c r="K190">
        <f>$E190/$F190^2*sim_annual_output!M190</f>
        <v>4.8406443431191484</v>
      </c>
      <c r="L190">
        <f>$E190/$F190^2*sim_annual_output!N190</f>
        <v>55.142302641816137</v>
      </c>
      <c r="M190">
        <f>$E190/$F190^2*sim_annual_output!O190</f>
        <v>6.60609131364577</v>
      </c>
      <c r="N190">
        <f>$E190/$F190^2*sim_annual_output!P190</f>
        <v>0</v>
      </c>
      <c r="O190">
        <f>$E190/$F190^2*sim_annual_output!Q190</f>
        <v>25.253436323703884</v>
      </c>
      <c r="P190">
        <f>$E190/$F190^2*sim_annual_output!R190</f>
        <v>38.121583131097935</v>
      </c>
      <c r="Q190">
        <f>$E190/$F190^2*sim_annual_output!S190</f>
        <v>0</v>
      </c>
      <c r="R190">
        <f t="array" ref="R190">INDEX(G$3:G$700,MATCH($B190&amp;$C190&amp;"baseline",$B$3:$B$700&amp;$C$3:$C$700&amp;$D$3:$D$700,0))</f>
        <v>0</v>
      </c>
      <c r="S190">
        <f t="array" ref="S190">INDEX(H$3:H$700,MATCH($B190&amp;$C190&amp;"baseline",$B$3:$B$700&amp;$C$3:$C$700&amp;$D$3:$D$700,0))</f>
        <v>704.08439471057113</v>
      </c>
      <c r="T190">
        <f t="array" ref="T190">INDEX(I$3:I$700,MATCH($B190&amp;$C190&amp;"baseline",$B$3:$B$700&amp;$C$3:$C$700&amp;$D$3:$D$700,0))</f>
        <v>0.72428593662630647</v>
      </c>
      <c r="U190">
        <f t="array" ref="U190">INDEX(J$3:J$700,MATCH($B190&amp;$C190&amp;"baseline",$B$3:$B$700&amp;$C$3:$C$700&amp;$D$3:$D$700,0))</f>
        <v>0</v>
      </c>
      <c r="V190">
        <f t="array" ref="V190">INDEX(K$3:K$700,MATCH($B190&amp;$C190&amp;"baseline",$B$3:$B$700&amp;$C$3:$C$700&amp;$D$3:$D$700,0))</f>
        <v>4.8406443431191484</v>
      </c>
      <c r="W190">
        <f t="array" ref="W190">INDEX(L$3:L$700,MATCH($B190&amp;$C190&amp;"baseline",$B$3:$B$700&amp;$C$3:$C$700&amp;$D$3:$D$700,0))</f>
        <v>55.142302641816137</v>
      </c>
      <c r="X190">
        <f t="array" ref="X190">INDEX(M$3:M$700,MATCH($B190&amp;$C190&amp;"baseline",$B$3:$B$700&amp;$C$3:$C$700&amp;$D$3:$D$700,0))</f>
        <v>6.60609131364577</v>
      </c>
      <c r="Y190">
        <f t="array" ref="Y190">INDEX(N$3:N$700,MATCH($B190&amp;$C190&amp;"baseline",$B$3:$B$700&amp;$C$3:$C$700&amp;$D$3:$D$700,0))</f>
        <v>0</v>
      </c>
      <c r="Z190">
        <f t="array" ref="Z190">INDEX(O$3:O$700,MATCH($B190&amp;$C190&amp;"baseline",$B$3:$B$700&amp;$C$3:$C$700&amp;$D$3:$D$700,0))</f>
        <v>25.211186310734021</v>
      </c>
      <c r="AA190">
        <f t="array" ref="AA190">INDEX(P$3:P$700,MATCH($B190&amp;$C190&amp;"baseline",$B$3:$B$700&amp;$C$3:$C$700&amp;$D$3:$D$700,0))</f>
        <v>38.052172395504577</v>
      </c>
      <c r="AB190">
        <f t="array" ref="AB190">INDEX(Q$3:Q$700,MATCH($B190&amp;$C190&amp;"baseline",$B$3:$B$700&amp;$C$3:$C$700&amp;$D$3:$D$700,0))</f>
        <v>0</v>
      </c>
      <c r="AC190">
        <f t="shared" si="20"/>
        <v>834.66107765201707</v>
      </c>
      <c r="AD190">
        <f t="shared" si="21"/>
        <v>6.4431269779048534</v>
      </c>
      <c r="AE190">
        <f t="shared" si="22"/>
        <v>-0.60960732999380696</v>
      </c>
      <c r="AF190">
        <f t="shared" si="23"/>
        <v>0.69890879113727278</v>
      </c>
      <c r="AG190">
        <f>(S190+V190+Y190)*constants!$O$2+(R190+T190+U190+W190+X190+Z190+AA190+AB190)*constants!$N$2</f>
        <v>25.692757994280711</v>
      </c>
      <c r="AH190">
        <f>((S190+V190+Y190)-(H190+K190+N190))*constants!$O$2</f>
        <v>0.10437865704205862</v>
      </c>
      <c r="AI190">
        <f>((R190+T190+U190+W190+X190+Z190+AA190+AB190)-(G190+I190+J190+L190+M190+O190+P190+Q190))*constants!$N$2</f>
        <v>-6.8885628289300185E-2</v>
      </c>
      <c r="AJ190">
        <f t="shared" si="24"/>
        <v>0.13814409788415588</v>
      </c>
      <c r="AK190">
        <f t="shared" si="25"/>
        <v>3.5493028752758435E-2</v>
      </c>
      <c r="AL190">
        <f>COUNTIFS($B:$B,$B190,$AK:$AK,"&lt;"&amp;$AK190)+COUNTIFS($B$2:$B190,$B190,$AK$2:$AK190,$AK190)</f>
        <v>23</v>
      </c>
      <c r="AM190" s="191">
        <f>IF(AK190=0, "NA",IF(((sim_annual_output!F190/E190)/AK190)&lt;0,100,((sim_annual_output!F190/E190)/AK190)))</f>
        <v>227.59532642907692</v>
      </c>
      <c r="AN190">
        <f>(S190+V190)*constants!$F$2+(T190+U190+W190+X190+Y190+Z190+AA190+AB190)*constants!$G$2</f>
        <v>236287.93557115487</v>
      </c>
      <c r="AO190">
        <f>(AD190*constants!$F$2+AE190*constants!$G$2)</f>
        <v>622.96135195035686</v>
      </c>
      <c r="AP190">
        <f t="shared" si="26"/>
        <v>0.26364501024757592</v>
      </c>
    </row>
    <row r="191" spans="1:42">
      <c r="A191">
        <f>sim_annual_output!B191</f>
        <v>11</v>
      </c>
      <c r="B191" t="str">
        <f>sim_annual_output!C191</f>
        <v>Maintenance Shop-Small</v>
      </c>
      <c r="C191" t="str">
        <f>sim_annual_output!D191</f>
        <v>1960-1979</v>
      </c>
      <c r="D191" t="str">
        <f>sim_annual_output!E191</f>
        <v>ecm_cold_deck_reset_control</v>
      </c>
      <c r="E191" s="45">
        <f t="array" ref="E191">IFERROR(INDEX(baseline!$J$3:$J$201,MATCH($B191&amp;$C191,baseline!$C$3:$C$201&amp;baseline!$D$3:$D$201,0)),"NA")</f>
        <v>927</v>
      </c>
      <c r="F191">
        <f>sim_annual_output!G191</f>
        <v>923.71795399999996</v>
      </c>
      <c r="G191">
        <f>$E191/$F191^2*sim_annual_output!I191</f>
        <v>0</v>
      </c>
      <c r="H191">
        <f>$E191/$F191^2*sim_annual_output!J191</f>
        <v>694.73507041195319</v>
      </c>
      <c r="I191">
        <f>$E191/$F191^2*sim_annual_output!K191</f>
        <v>4.3638227681734962</v>
      </c>
      <c r="J191">
        <f>$E191/$F191^2*sim_annual_output!L191</f>
        <v>0</v>
      </c>
      <c r="K191">
        <f>$E191/$F191^2*sim_annual_output!M191</f>
        <v>4.8406443431191484</v>
      </c>
      <c r="L191">
        <f>$E191/$F191^2*sim_annual_output!N191</f>
        <v>55.142302641816137</v>
      </c>
      <c r="M191">
        <f>$E191/$F191^2*sim_annual_output!O191</f>
        <v>6.60609131364577</v>
      </c>
      <c r="N191">
        <f>$E191/$F191^2*sim_annual_output!P191</f>
        <v>0</v>
      </c>
      <c r="O191">
        <f>$E191/$F191^2*sim_annual_output!Q191</f>
        <v>26.925329694082944</v>
      </c>
      <c r="P191">
        <f>$E191/$F191^2*sim_annual_output!R191</f>
        <v>37.620618691598075</v>
      </c>
      <c r="Q191">
        <f>$E191/$F191^2*sim_annual_output!S191</f>
        <v>0</v>
      </c>
      <c r="R191">
        <f t="array" ref="R191">INDEX(G$3:G$700,MATCH($B191&amp;$C191&amp;"baseline",$B$3:$B$700&amp;$C$3:$C$700&amp;$D$3:$D$700,0))</f>
        <v>0</v>
      </c>
      <c r="S191">
        <f t="array" ref="S191">INDEX(H$3:H$700,MATCH($B191&amp;$C191&amp;"baseline",$B$3:$B$700&amp;$C$3:$C$700&amp;$D$3:$D$700,0))</f>
        <v>704.08439471057113</v>
      </c>
      <c r="T191">
        <f t="array" ref="T191">INDEX(I$3:I$700,MATCH($B191&amp;$C191&amp;"baseline",$B$3:$B$700&amp;$C$3:$C$700&amp;$D$3:$D$700,0))</f>
        <v>0.72428593662630647</v>
      </c>
      <c r="U191">
        <f t="array" ref="U191">INDEX(J$3:J$700,MATCH($B191&amp;$C191&amp;"baseline",$B$3:$B$700&amp;$C$3:$C$700&amp;$D$3:$D$700,0))</f>
        <v>0</v>
      </c>
      <c r="V191">
        <f t="array" ref="V191">INDEX(K$3:K$700,MATCH($B191&amp;$C191&amp;"baseline",$B$3:$B$700&amp;$C$3:$C$700&amp;$D$3:$D$700,0))</f>
        <v>4.8406443431191484</v>
      </c>
      <c r="W191">
        <f t="array" ref="W191">INDEX(L$3:L$700,MATCH($B191&amp;$C191&amp;"baseline",$B$3:$B$700&amp;$C$3:$C$700&amp;$D$3:$D$700,0))</f>
        <v>55.142302641816137</v>
      </c>
      <c r="X191">
        <f t="array" ref="X191">INDEX(M$3:M$700,MATCH($B191&amp;$C191&amp;"baseline",$B$3:$B$700&amp;$C$3:$C$700&amp;$D$3:$D$700,0))</f>
        <v>6.60609131364577</v>
      </c>
      <c r="Y191">
        <f t="array" ref="Y191">INDEX(N$3:N$700,MATCH($B191&amp;$C191&amp;"baseline",$B$3:$B$700&amp;$C$3:$C$700&amp;$D$3:$D$700,0))</f>
        <v>0</v>
      </c>
      <c r="Z191">
        <f t="array" ref="Z191">INDEX(O$3:O$700,MATCH($B191&amp;$C191&amp;"baseline",$B$3:$B$700&amp;$C$3:$C$700&amp;$D$3:$D$700,0))</f>
        <v>25.211186310734021</v>
      </c>
      <c r="AA191">
        <f t="array" ref="AA191">INDEX(P$3:P$700,MATCH($B191&amp;$C191&amp;"baseline",$B$3:$B$700&amp;$C$3:$C$700&amp;$D$3:$D$700,0))</f>
        <v>38.052172395504577</v>
      </c>
      <c r="AB191">
        <f t="array" ref="AB191">INDEX(Q$3:Q$700,MATCH($B191&amp;$C191&amp;"baseline",$B$3:$B$700&amp;$C$3:$C$700&amp;$D$3:$D$700,0))</f>
        <v>0</v>
      </c>
      <c r="AC191">
        <f t="shared" si="20"/>
        <v>834.66107765201707</v>
      </c>
      <c r="AD191">
        <f t="shared" si="21"/>
        <v>9.3493242986179439</v>
      </c>
      <c r="AE191">
        <f t="shared" si="22"/>
        <v>-4.9221265109896137</v>
      </c>
      <c r="AF191">
        <f t="shared" si="23"/>
        <v>0.53041862214091362</v>
      </c>
      <c r="AG191">
        <f>(S191+V191+Y191)*constants!$O$2+(R191+T191+U191+W191+X191+Z191+AA191+AB191)*constants!$N$2</f>
        <v>25.692757994280711</v>
      </c>
      <c r="AH191">
        <f>((S191+V191+Y191)-(H191+K191+N191))*constants!$O$2</f>
        <v>0.1514590536376107</v>
      </c>
      <c r="AI191">
        <f>((R191+T191+U191+W191+X191+Z191+AA191+AB191)-(G191+I191+J191+L191+M191+O191+P191+Q191))*constants!$N$2</f>
        <v>-0.55620029574182639</v>
      </c>
      <c r="AJ191">
        <f t="shared" si="24"/>
        <v>-1.5753125538111261</v>
      </c>
      <c r="AK191">
        <f t="shared" si="25"/>
        <v>-0.40474124210421569</v>
      </c>
      <c r="AL191">
        <f>COUNTIFS($B:$B,$B191,$AK:$AK,"&lt;"&amp;$AK191)+COUNTIFS($B$2:$B191,$B191,$AK$2:$AK191,$AK191)</f>
        <v>5</v>
      </c>
      <c r="AM191" s="191">
        <f>IF(AK191=0, "NA",IF(((sim_annual_output!F191/E191)/AK191)&lt;0,100,((sim_annual_output!F191/E191)/AK191)))</f>
        <v>100</v>
      </c>
      <c r="AN191">
        <f>(S191+V191)*constants!$F$2+(T191+U191+W191+X191+Y191+Z191+AA191+AB191)*constants!$G$2</f>
        <v>236287.93557115487</v>
      </c>
      <c r="AO191">
        <f>(AD191*constants!$F$2+AE191*constants!$G$2)</f>
        <v>-2608.7210151083523</v>
      </c>
      <c r="AP191">
        <f t="shared" si="26"/>
        <v>-1.1040432550238146</v>
      </c>
    </row>
    <row r="192" spans="1:42">
      <c r="A192">
        <f>sim_annual_output!B192</f>
        <v>11</v>
      </c>
      <c r="B192" t="str">
        <f>sim_annual_output!C192</f>
        <v>Maintenance Shop-Small</v>
      </c>
      <c r="C192" t="str">
        <f>sim_annual_output!D192</f>
        <v>1960-1979</v>
      </c>
      <c r="D192" t="str">
        <f>sim_annual_output!E192</f>
        <v>economizers_enabled</v>
      </c>
      <c r="E192" s="45">
        <f t="array" ref="E192">IFERROR(INDEX(baseline!$J$3:$J$201,MATCH($B192&amp;$C192,baseline!$C$3:$C$201&amp;baseline!$D$3:$D$201,0)),"NA")</f>
        <v>927</v>
      </c>
      <c r="F192">
        <f>sim_annual_output!G192</f>
        <v>923.71795399999996</v>
      </c>
      <c r="G192">
        <f>$E192/$F192^2*sim_annual_output!I192</f>
        <v>0</v>
      </c>
      <c r="H192">
        <f>$E192/$F192^2*sim_annual_output!J192</f>
        <v>697.81932135875354</v>
      </c>
      <c r="I192">
        <f>$E192/$F192^2*sim_annual_output!K192</f>
        <v>1.1377324921171565</v>
      </c>
      <c r="J192">
        <f>$E192/$F192^2*sim_annual_output!L192</f>
        <v>0</v>
      </c>
      <c r="K192">
        <f>$E192/$F192^2*sim_annual_output!M192</f>
        <v>4.8406443431191484</v>
      </c>
      <c r="L192">
        <f>$E192/$F192^2*sim_annual_output!N192</f>
        <v>55.142302641816137</v>
      </c>
      <c r="M192">
        <f>$E192/$F192^2*sim_annual_output!O192</f>
        <v>6.60609131364577</v>
      </c>
      <c r="N192">
        <f>$E192/$F192^2*sim_annual_output!P192</f>
        <v>0</v>
      </c>
      <c r="O192">
        <f>$E192/$F192^2*sim_annual_output!Q192</f>
        <v>25.256454181773162</v>
      </c>
      <c r="P192">
        <f>$E192/$F192^2*sim_annual_output!R192</f>
        <v>37.9978509502576</v>
      </c>
      <c r="Q192">
        <f>$E192/$F192^2*sim_annual_output!S192</f>
        <v>0</v>
      </c>
      <c r="R192">
        <f t="array" ref="R192">INDEX(G$3:G$700,MATCH($B192&amp;$C192&amp;"baseline",$B$3:$B$700&amp;$C$3:$C$700&amp;$D$3:$D$700,0))</f>
        <v>0</v>
      </c>
      <c r="S192">
        <f t="array" ref="S192">INDEX(H$3:H$700,MATCH($B192&amp;$C192&amp;"baseline",$B$3:$B$700&amp;$C$3:$C$700&amp;$D$3:$D$700,0))</f>
        <v>704.08439471057113</v>
      </c>
      <c r="T192">
        <f t="array" ref="T192">INDEX(I$3:I$700,MATCH($B192&amp;$C192&amp;"baseline",$B$3:$B$700&amp;$C$3:$C$700&amp;$D$3:$D$700,0))</f>
        <v>0.72428593662630647</v>
      </c>
      <c r="U192">
        <f t="array" ref="U192">INDEX(J$3:J$700,MATCH($B192&amp;$C192&amp;"baseline",$B$3:$B$700&amp;$C$3:$C$700&amp;$D$3:$D$700,0))</f>
        <v>0</v>
      </c>
      <c r="V192">
        <f t="array" ref="V192">INDEX(K$3:K$700,MATCH($B192&amp;$C192&amp;"baseline",$B$3:$B$700&amp;$C$3:$C$700&amp;$D$3:$D$700,0))</f>
        <v>4.8406443431191484</v>
      </c>
      <c r="W192">
        <f t="array" ref="W192">INDEX(L$3:L$700,MATCH($B192&amp;$C192&amp;"baseline",$B$3:$B$700&amp;$C$3:$C$700&amp;$D$3:$D$700,0))</f>
        <v>55.142302641816137</v>
      </c>
      <c r="X192">
        <f t="array" ref="X192">INDEX(M$3:M$700,MATCH($B192&amp;$C192&amp;"baseline",$B$3:$B$700&amp;$C$3:$C$700&amp;$D$3:$D$700,0))</f>
        <v>6.60609131364577</v>
      </c>
      <c r="Y192">
        <f t="array" ref="Y192">INDEX(N$3:N$700,MATCH($B192&amp;$C192&amp;"baseline",$B$3:$B$700&amp;$C$3:$C$700&amp;$D$3:$D$700,0))</f>
        <v>0</v>
      </c>
      <c r="Z192">
        <f t="array" ref="Z192">INDEX(O$3:O$700,MATCH($B192&amp;$C192&amp;"baseline",$B$3:$B$700&amp;$C$3:$C$700&amp;$D$3:$D$700,0))</f>
        <v>25.211186310734021</v>
      </c>
      <c r="AA192">
        <f t="array" ref="AA192">INDEX(P$3:P$700,MATCH($B192&amp;$C192&amp;"baseline",$B$3:$B$700&amp;$C$3:$C$700&amp;$D$3:$D$700,0))</f>
        <v>38.052172395504577</v>
      </c>
      <c r="AB192">
        <f t="array" ref="AB192">INDEX(Q$3:Q$700,MATCH($B192&amp;$C192&amp;"baseline",$B$3:$B$700&amp;$C$3:$C$700&amp;$D$3:$D$700,0))</f>
        <v>0</v>
      </c>
      <c r="AC192">
        <f t="shared" si="20"/>
        <v>834.66107765201707</v>
      </c>
      <c r="AD192">
        <f t="shared" si="21"/>
        <v>6.2650733518175912</v>
      </c>
      <c r="AE192">
        <f t="shared" si="22"/>
        <v>-0.40439298128301004</v>
      </c>
      <c r="AF192">
        <f t="shared" si="23"/>
        <v>0.70216289311360325</v>
      </c>
      <c r="AG192">
        <f>(S192+V192+Y192)*constants!$O$2+(R192+T192+U192+W192+X192+Z192+AA192+AB192)*constants!$N$2</f>
        <v>25.692757994280711</v>
      </c>
      <c r="AH192">
        <f>((S192+V192+Y192)-(H192+K192+N192))*constants!$O$2</f>
        <v>0.10149418829944497</v>
      </c>
      <c r="AI192">
        <f>((R192+T192+U192+W192+X192+Z192+AA192+AB192)-(G192+I192+J192+L192+M192+O192+P192+Q192))*constants!$N$2</f>
        <v>-4.569640688498014E-2</v>
      </c>
      <c r="AJ192">
        <f t="shared" si="24"/>
        <v>0.21717318719495041</v>
      </c>
      <c r="AK192">
        <f t="shared" si="25"/>
        <v>5.5797781414464828E-2</v>
      </c>
      <c r="AL192">
        <f>COUNTIFS($B:$B,$B192,$AK:$AK,"&lt;"&amp;$AK192)+COUNTIFS($B$2:$B192,$B192,$AK$2:$AK192,$AK192)</f>
        <v>32</v>
      </c>
      <c r="AM192" s="191">
        <f>IF(AK192=0, "NA",IF(((sim_annual_output!F192/E192)/AK192)&lt;0,100,((sim_annual_output!F192/E192)/AK192)))</f>
        <v>26.559731811275572</v>
      </c>
      <c r="AN192">
        <f>(S192+V192)*constants!$F$2+(T192+U192+W192+X192+Y192+Z192+AA192+AB192)*constants!$G$2</f>
        <v>236287.93557115487</v>
      </c>
      <c r="AO192">
        <f>(AD192*constants!$F$2+AE192*constants!$G$2)</f>
        <v>769.62623625913011</v>
      </c>
      <c r="AP192">
        <f t="shared" si="26"/>
        <v>0.32571541767411466</v>
      </c>
    </row>
    <row r="193" spans="1:42">
      <c r="A193">
        <f>sim_annual_output!B193</f>
        <v>11</v>
      </c>
      <c r="B193" t="str">
        <f>sim_annual_output!C193</f>
        <v>Maintenance Shop-Small</v>
      </c>
      <c r="C193" t="str">
        <f>sim_annual_output!D193</f>
        <v>1960-1979</v>
      </c>
      <c r="D193" t="str">
        <f>sim_annual_output!E193</f>
        <v>elec_reduce</v>
      </c>
      <c r="E193" s="45">
        <f t="array" ref="E193">IFERROR(INDEX(baseline!$J$3:$J$201,MATCH($B193&amp;$C193,baseline!$C$3:$C$201&amp;baseline!$D$3:$D$201,0)),"NA")</f>
        <v>927</v>
      </c>
      <c r="F193">
        <f>sim_annual_output!G193</f>
        <v>923.71795399999996</v>
      </c>
      <c r="G193">
        <f>$E193/$F193^2*sim_annual_output!I193</f>
        <v>0</v>
      </c>
      <c r="H193">
        <f>$E193/$F193^2*sim_annual_output!J193</f>
        <v>720.3536675620395</v>
      </c>
      <c r="I193">
        <f>$E193/$F193^2*sim_annual_output!K193</f>
        <v>0.6880716397949912</v>
      </c>
      <c r="J193">
        <f>$E193/$F193^2*sim_annual_output!L193</f>
        <v>0</v>
      </c>
      <c r="K193">
        <f>$E193/$F193^2*sim_annual_output!M193</f>
        <v>4.8406443431191484</v>
      </c>
      <c r="L193">
        <f>$E193/$F193^2*sim_annual_output!N193</f>
        <v>38.601422564112866</v>
      </c>
      <c r="M193">
        <f>$E193/$F193^2*sim_annual_output!O193</f>
        <v>6.60609131364577</v>
      </c>
      <c r="N193">
        <f>$E193/$F193^2*sim_annual_output!P193</f>
        <v>0</v>
      </c>
      <c r="O193">
        <f>$E193/$F193^2*sim_annual_output!Q193</f>
        <v>25.546168556423684</v>
      </c>
      <c r="P193">
        <f>$E193/$F193^2*sim_annual_output!R193</f>
        <v>30.184616408901324</v>
      </c>
      <c r="Q193">
        <f>$E193/$F193^2*sim_annual_output!S193</f>
        <v>0</v>
      </c>
      <c r="R193">
        <f t="array" ref="R193">INDEX(G$3:G$700,MATCH($B193&amp;$C193&amp;"baseline",$B$3:$B$700&amp;$C$3:$C$700&amp;$D$3:$D$700,0))</f>
        <v>0</v>
      </c>
      <c r="S193">
        <f t="array" ref="S193">INDEX(H$3:H$700,MATCH($B193&amp;$C193&amp;"baseline",$B$3:$B$700&amp;$C$3:$C$700&amp;$D$3:$D$700,0))</f>
        <v>704.08439471057113</v>
      </c>
      <c r="T193">
        <f t="array" ref="T193">INDEX(I$3:I$700,MATCH($B193&amp;$C193&amp;"baseline",$B$3:$B$700&amp;$C$3:$C$700&amp;$D$3:$D$700,0))</f>
        <v>0.72428593662630647</v>
      </c>
      <c r="U193">
        <f t="array" ref="U193">INDEX(J$3:J$700,MATCH($B193&amp;$C193&amp;"baseline",$B$3:$B$700&amp;$C$3:$C$700&amp;$D$3:$D$700,0))</f>
        <v>0</v>
      </c>
      <c r="V193">
        <f t="array" ref="V193">INDEX(K$3:K$700,MATCH($B193&amp;$C193&amp;"baseline",$B$3:$B$700&amp;$C$3:$C$700&amp;$D$3:$D$700,0))</f>
        <v>4.8406443431191484</v>
      </c>
      <c r="W193">
        <f t="array" ref="W193">INDEX(L$3:L$700,MATCH($B193&amp;$C193&amp;"baseline",$B$3:$B$700&amp;$C$3:$C$700&amp;$D$3:$D$700,0))</f>
        <v>55.142302641816137</v>
      </c>
      <c r="X193">
        <f t="array" ref="X193">INDEX(M$3:M$700,MATCH($B193&amp;$C193&amp;"baseline",$B$3:$B$700&amp;$C$3:$C$700&amp;$D$3:$D$700,0))</f>
        <v>6.60609131364577</v>
      </c>
      <c r="Y193">
        <f t="array" ref="Y193">INDEX(N$3:N$700,MATCH($B193&amp;$C193&amp;"baseline",$B$3:$B$700&amp;$C$3:$C$700&amp;$D$3:$D$700,0))</f>
        <v>0</v>
      </c>
      <c r="Z193">
        <f t="array" ref="Z193">INDEX(O$3:O$700,MATCH($B193&amp;$C193&amp;"baseline",$B$3:$B$700&amp;$C$3:$C$700&amp;$D$3:$D$700,0))</f>
        <v>25.211186310734021</v>
      </c>
      <c r="AA193">
        <f t="array" ref="AA193">INDEX(P$3:P$700,MATCH($B193&amp;$C193&amp;"baseline",$B$3:$B$700&amp;$C$3:$C$700&amp;$D$3:$D$700,0))</f>
        <v>38.052172395504577</v>
      </c>
      <c r="AB193">
        <f t="array" ref="AB193">INDEX(Q$3:Q$700,MATCH($B193&amp;$C193&amp;"baseline",$B$3:$B$700&amp;$C$3:$C$700&amp;$D$3:$D$700,0))</f>
        <v>0</v>
      </c>
      <c r="AC193">
        <f t="shared" si="20"/>
        <v>834.66107765201707</v>
      </c>
      <c r="AD193">
        <f t="shared" si="21"/>
        <v>-16.269272851468372</v>
      </c>
      <c r="AE193">
        <f t="shared" si="22"/>
        <v>24.109668115448187</v>
      </c>
      <c r="AF193">
        <f t="shared" si="23"/>
        <v>0.93935077049904014</v>
      </c>
      <c r="AG193">
        <f>(S193+V193+Y193)*constants!$O$2+(R193+T193+U193+W193+X193+Z193+AA193+AB193)*constants!$N$2</f>
        <v>25.692757994280711</v>
      </c>
      <c r="AH193">
        <f>((S193+V193+Y193)-(H193+K193+N193))*constants!$O$2</f>
        <v>-0.26356222019378761</v>
      </c>
      <c r="AI193">
        <f>((R193+T193+U193+W193+X193+Z193+AA193+AB193)-(G193+I193+J193+L193+M193+O193+P193+Q193))*constants!$N$2</f>
        <v>2.724392497045645</v>
      </c>
      <c r="AJ193">
        <f t="shared" si="24"/>
        <v>9.5779140464392576</v>
      </c>
      <c r="AK193">
        <f t="shared" si="25"/>
        <v>2.4608302768518575</v>
      </c>
      <c r="AL193">
        <f>COUNTIFS($B:$B,$B193,$AK:$AK,"&lt;"&amp;$AK193)+COUNTIFS($B$2:$B193,$B193,$AK$2:$AK193,$AK193)</f>
        <v>53</v>
      </c>
      <c r="AM193" s="191">
        <f>IF(AK193=0, "NA",IF(((sim_annual_output!F193/E193)/AK193)&lt;0,100,((sim_annual_output!F193/E193)/AK193)))</f>
        <v>16.89886227511802</v>
      </c>
      <c r="AN193">
        <f>(S193+V193)*constants!$F$2+(T193+U193+W193+X193+Y193+Z193+AA193+AB193)*constants!$G$2</f>
        <v>236287.93557115487</v>
      </c>
      <c r="AO193">
        <f>(AD193*constants!$F$2+AE193*constants!$G$2)</f>
        <v>18063.211420027084</v>
      </c>
      <c r="AP193">
        <f t="shared" si="26"/>
        <v>7.6445762566610576</v>
      </c>
    </row>
    <row r="194" spans="1:42">
      <c r="A194">
        <f>sim_annual_output!B194</f>
        <v>11</v>
      </c>
      <c r="B194" t="str">
        <f>sim_annual_output!C194</f>
        <v>Maintenance Shop-Small</v>
      </c>
      <c r="C194" t="str">
        <f>sim_annual_output!D194</f>
        <v>1960-1979</v>
      </c>
      <c r="D194" t="str">
        <f>sim_annual_output!E194</f>
        <v>envelope_ecm_roof</v>
      </c>
      <c r="E194" s="45">
        <f t="array" ref="E194">IFERROR(INDEX(baseline!$J$3:$J$201,MATCH($B194&amp;$C194,baseline!$C$3:$C$201&amp;baseline!$D$3:$D$201,0)),"NA")</f>
        <v>927</v>
      </c>
      <c r="F194">
        <f>sim_annual_output!G194</f>
        <v>923.71795399999996</v>
      </c>
      <c r="G194">
        <f>$E194/$F194^2*sim_annual_output!I194</f>
        <v>0</v>
      </c>
      <c r="H194">
        <f>$E194/$F194^2*sim_annual_output!J194</f>
        <v>619.51797589331125</v>
      </c>
      <c r="I194">
        <f>$E194/$F194^2*sim_annual_output!K194</f>
        <v>0.9989110209304477</v>
      </c>
      <c r="J194">
        <f>$E194/$F194^2*sim_annual_output!L194</f>
        <v>0</v>
      </c>
      <c r="K194">
        <f>$E194/$F194^2*sim_annual_output!M194</f>
        <v>4.8406443431191484</v>
      </c>
      <c r="L194">
        <f>$E194/$F194^2*sim_annual_output!N194</f>
        <v>55.142302641816137</v>
      </c>
      <c r="M194">
        <f>$E194/$F194^2*sim_annual_output!O194</f>
        <v>6.60609131364577</v>
      </c>
      <c r="N194">
        <f>$E194/$F194^2*sim_annual_output!P194</f>
        <v>0</v>
      </c>
      <c r="O194">
        <f>$E194/$F194^2*sim_annual_output!Q194</f>
        <v>22.718435545511813</v>
      </c>
      <c r="P194">
        <f>$E194/$F194^2*sim_annual_output!R194</f>
        <v>34.017296156882196</v>
      </c>
      <c r="Q194">
        <f>$E194/$F194^2*sim_annual_output!S194</f>
        <v>0</v>
      </c>
      <c r="R194">
        <f t="array" ref="R194">INDEX(G$3:G$700,MATCH($B194&amp;$C194&amp;"baseline",$B$3:$B$700&amp;$C$3:$C$700&amp;$D$3:$D$700,0))</f>
        <v>0</v>
      </c>
      <c r="S194">
        <f t="array" ref="S194">INDEX(H$3:H$700,MATCH($B194&amp;$C194&amp;"baseline",$B$3:$B$700&amp;$C$3:$C$700&amp;$D$3:$D$700,0))</f>
        <v>704.08439471057113</v>
      </c>
      <c r="T194">
        <f t="array" ref="T194">INDEX(I$3:I$700,MATCH($B194&amp;$C194&amp;"baseline",$B$3:$B$700&amp;$C$3:$C$700&amp;$D$3:$D$700,0))</f>
        <v>0.72428593662630647</v>
      </c>
      <c r="U194">
        <f t="array" ref="U194">INDEX(J$3:J$700,MATCH($B194&amp;$C194&amp;"baseline",$B$3:$B$700&amp;$C$3:$C$700&amp;$D$3:$D$700,0))</f>
        <v>0</v>
      </c>
      <c r="V194">
        <f t="array" ref="V194">INDEX(K$3:K$700,MATCH($B194&amp;$C194&amp;"baseline",$B$3:$B$700&amp;$C$3:$C$700&amp;$D$3:$D$700,0))</f>
        <v>4.8406443431191484</v>
      </c>
      <c r="W194">
        <f t="array" ref="W194">INDEX(L$3:L$700,MATCH($B194&amp;$C194&amp;"baseline",$B$3:$B$700&amp;$C$3:$C$700&amp;$D$3:$D$700,0))</f>
        <v>55.142302641816137</v>
      </c>
      <c r="X194">
        <f t="array" ref="X194">INDEX(M$3:M$700,MATCH($B194&amp;$C194&amp;"baseline",$B$3:$B$700&amp;$C$3:$C$700&amp;$D$3:$D$700,0))</f>
        <v>6.60609131364577</v>
      </c>
      <c r="Y194">
        <f t="array" ref="Y194">INDEX(N$3:N$700,MATCH($B194&amp;$C194&amp;"baseline",$B$3:$B$700&amp;$C$3:$C$700&amp;$D$3:$D$700,0))</f>
        <v>0</v>
      </c>
      <c r="Z194">
        <f t="array" ref="Z194">INDEX(O$3:O$700,MATCH($B194&amp;$C194&amp;"baseline",$B$3:$B$700&amp;$C$3:$C$700&amp;$D$3:$D$700,0))</f>
        <v>25.211186310734021</v>
      </c>
      <c r="AA194">
        <f t="array" ref="AA194">INDEX(P$3:P$700,MATCH($B194&amp;$C194&amp;"baseline",$B$3:$B$700&amp;$C$3:$C$700&amp;$D$3:$D$700,0))</f>
        <v>38.052172395504577</v>
      </c>
      <c r="AB194">
        <f t="array" ref="AB194">INDEX(Q$3:Q$700,MATCH($B194&amp;$C194&amp;"baseline",$B$3:$B$700&amp;$C$3:$C$700&amp;$D$3:$D$700,0))</f>
        <v>0</v>
      </c>
      <c r="AC194">
        <f t="shared" si="20"/>
        <v>834.66107765201707</v>
      </c>
      <c r="AD194">
        <f t="shared" si="21"/>
        <v>84.566418817259887</v>
      </c>
      <c r="AE194">
        <f t="shared" si="22"/>
        <v>6.253001919540452</v>
      </c>
      <c r="AF194">
        <f t="shared" si="23"/>
        <v>10.880993875056953</v>
      </c>
      <c r="AG194">
        <f>(S194+V194+Y194)*constants!$O$2+(R194+T194+U194+W194+X194+Z194+AA194+AB194)*constants!$N$2</f>
        <v>25.692757994280711</v>
      </c>
      <c r="AH194">
        <f>((S194+V194+Y194)-(H194+K194+N194))*constants!$O$2</f>
        <v>1.36997598483961</v>
      </c>
      <c r="AI194">
        <f>((R194+T194+U194+W194+X194+Z194+AA194+AB194)-(G194+I194+J194+L194+M194+O194+P194+Q194))*constants!$N$2</f>
        <v>0.70658921690807108</v>
      </c>
      <c r="AJ194">
        <f t="shared" si="24"/>
        <v>8.0822977518020096</v>
      </c>
      <c r="AK194">
        <f t="shared" si="25"/>
        <v>2.0765652017476812</v>
      </c>
      <c r="AL194">
        <f>COUNTIFS($B:$B,$B194,$AK:$AK,"&lt;"&amp;$AK194)+COUNTIFS($B$2:$B194,$B194,$AK$2:$AK194,$AK194)</f>
        <v>51</v>
      </c>
      <c r="AM194" s="191">
        <f>IF(AK194=0, "NA",IF(((sim_annual_output!F194/E194)/AK194)&lt;0,100,((sim_annual_output!F194/E194)/AK194)))</f>
        <v>79.873398229926806</v>
      </c>
      <c r="AN194">
        <f>(S194+V194)*constants!$F$2+(T194+U194+W194+X194+Y194+Z194+AA194+AB194)*constants!$G$2</f>
        <v>236287.93557115487</v>
      </c>
      <c r="AO194">
        <f>(AD194*constants!$F$2+AE194*constants!$G$2)</f>
        <v>20577.500638289712</v>
      </c>
      <c r="AP194">
        <f t="shared" si="26"/>
        <v>8.708654798032665</v>
      </c>
    </row>
    <row r="195" spans="1:42">
      <c r="A195">
        <f>sim_annual_output!B195</f>
        <v>11</v>
      </c>
      <c r="B195" t="str">
        <f>sim_annual_output!C195</f>
        <v>Maintenance Shop-Small</v>
      </c>
      <c r="C195" t="str">
        <f>sim_annual_output!D195</f>
        <v>1960-1979</v>
      </c>
      <c r="D195" t="str">
        <f>sim_annual_output!E195</f>
        <v>envelope_ecm_wall</v>
      </c>
      <c r="E195" s="45">
        <f t="array" ref="E195">IFERROR(INDEX(baseline!$J$3:$J$201,MATCH($B195&amp;$C195,baseline!$C$3:$C$201&amp;baseline!$D$3:$D$201,0)),"NA")</f>
        <v>927</v>
      </c>
      <c r="F195">
        <f>sim_annual_output!G195</f>
        <v>923.71795399999996</v>
      </c>
      <c r="G195">
        <f>$E195/$F195^2*sim_annual_output!I195</f>
        <v>0</v>
      </c>
      <c r="H195">
        <f>$E195/$F195^2*sim_annual_output!J195</f>
        <v>657.20800532050259</v>
      </c>
      <c r="I195">
        <f>$E195/$F195^2*sim_annual_output!K195</f>
        <v>1.2554289568189312</v>
      </c>
      <c r="J195">
        <f>$E195/$F195^2*sim_annual_output!L195</f>
        <v>0</v>
      </c>
      <c r="K195">
        <f>$E195/$F195^2*sim_annual_output!M195</f>
        <v>4.8406443431191484</v>
      </c>
      <c r="L195">
        <f>$E195/$F195^2*sim_annual_output!N195</f>
        <v>55.142302641816137</v>
      </c>
      <c r="M195">
        <f>$E195/$F195^2*sim_annual_output!O195</f>
        <v>6.60609131364577</v>
      </c>
      <c r="N195">
        <f>$E195/$F195^2*sim_annual_output!P195</f>
        <v>0</v>
      </c>
      <c r="O195">
        <f>$E195/$F195^2*sim_annual_output!Q195</f>
        <v>23.865221611836798</v>
      </c>
      <c r="P195">
        <f>$E195/$F195^2*sim_annual_output!R195</f>
        <v>36.018136056812374</v>
      </c>
      <c r="Q195">
        <f>$E195/$F195^2*sim_annual_output!S195</f>
        <v>0</v>
      </c>
      <c r="R195">
        <f t="array" ref="R195">INDEX(G$3:G$700,MATCH($B195&amp;$C195&amp;"baseline",$B$3:$B$700&amp;$C$3:$C$700&amp;$D$3:$D$700,0))</f>
        <v>0</v>
      </c>
      <c r="S195">
        <f t="array" ref="S195">INDEX(H$3:H$700,MATCH($B195&amp;$C195&amp;"baseline",$B$3:$B$700&amp;$C$3:$C$700&amp;$D$3:$D$700,0))</f>
        <v>704.08439471057113</v>
      </c>
      <c r="T195">
        <f t="array" ref="T195">INDEX(I$3:I$700,MATCH($B195&amp;$C195&amp;"baseline",$B$3:$B$700&amp;$C$3:$C$700&amp;$D$3:$D$700,0))</f>
        <v>0.72428593662630647</v>
      </c>
      <c r="U195">
        <f t="array" ref="U195">INDEX(J$3:J$700,MATCH($B195&amp;$C195&amp;"baseline",$B$3:$B$700&amp;$C$3:$C$700&amp;$D$3:$D$700,0))</f>
        <v>0</v>
      </c>
      <c r="V195">
        <f t="array" ref="V195">INDEX(K$3:K$700,MATCH($B195&amp;$C195&amp;"baseline",$B$3:$B$700&amp;$C$3:$C$700&amp;$D$3:$D$700,0))</f>
        <v>4.8406443431191484</v>
      </c>
      <c r="W195">
        <f t="array" ref="W195">INDEX(L$3:L$700,MATCH($B195&amp;$C195&amp;"baseline",$B$3:$B$700&amp;$C$3:$C$700&amp;$D$3:$D$700,0))</f>
        <v>55.142302641816137</v>
      </c>
      <c r="X195">
        <f t="array" ref="X195">INDEX(M$3:M$700,MATCH($B195&amp;$C195&amp;"baseline",$B$3:$B$700&amp;$C$3:$C$700&amp;$D$3:$D$700,0))</f>
        <v>6.60609131364577</v>
      </c>
      <c r="Y195">
        <f t="array" ref="Y195">INDEX(N$3:N$700,MATCH($B195&amp;$C195&amp;"baseline",$B$3:$B$700&amp;$C$3:$C$700&amp;$D$3:$D$700,0))</f>
        <v>0</v>
      </c>
      <c r="Z195">
        <f t="array" ref="Z195">INDEX(O$3:O$700,MATCH($B195&amp;$C195&amp;"baseline",$B$3:$B$700&amp;$C$3:$C$700&amp;$D$3:$D$700,0))</f>
        <v>25.211186310734021</v>
      </c>
      <c r="AA195">
        <f t="array" ref="AA195">INDEX(P$3:P$700,MATCH($B195&amp;$C195&amp;"baseline",$B$3:$B$700&amp;$C$3:$C$700&amp;$D$3:$D$700,0))</f>
        <v>38.052172395504577</v>
      </c>
      <c r="AB195">
        <f t="array" ref="AB195">INDEX(Q$3:Q$700,MATCH($B195&amp;$C195&amp;"baseline",$B$3:$B$700&amp;$C$3:$C$700&amp;$D$3:$D$700,0))</f>
        <v>0</v>
      </c>
      <c r="AC195">
        <f t="shared" ref="AC195:AC258" si="27">SUM(R195:AB195)</f>
        <v>834.66107765201707</v>
      </c>
      <c r="AD195">
        <f t="shared" ref="AD195:AD258" si="28">(S195+V195+Y195)-(H195+K195+N195)</f>
        <v>46.876389390068539</v>
      </c>
      <c r="AE195">
        <f t="shared" ref="AE195:AE258" si="29">(R195+T195+U195+W195+X195+Z195+AA195+AB195)-(G195+I195+J195+L195+M195+O195+P195+Q195)</f>
        <v>2.8488580173967932</v>
      </c>
      <c r="AF195">
        <f t="shared" ref="AF195:AF258" si="30">(AD195+AE195)/AC195*100</f>
        <v>5.9575375848778398</v>
      </c>
      <c r="AG195">
        <f>(S195+V195+Y195)*constants!$O$2+(R195+T195+U195+W195+X195+Z195+AA195+AB195)*constants!$N$2</f>
        <v>25.692757994280711</v>
      </c>
      <c r="AH195">
        <f>((S195+V195+Y195)-(H195+K195+N195))*constants!$O$2</f>
        <v>0.75939750811911033</v>
      </c>
      <c r="AI195">
        <f>((R195+T195+U195+W195+X195+Z195+AA195+AB195)-(G195+I195+J195+L195+M195+O195+P195+Q195))*constants!$N$2</f>
        <v>0.32192095596583764</v>
      </c>
      <c r="AJ195">
        <f t="shared" ref="AJ195:AJ258" si="31">(AH195+AI195)/AG195*100</f>
        <v>4.2086507969508489</v>
      </c>
      <c r="AK195">
        <f t="shared" ref="AK195:AK258" si="32">AH195+AI195</f>
        <v>1.081318464084948</v>
      </c>
      <c r="AL195">
        <f>COUNTIFS($B:$B,$B195,$AK:$AK,"&lt;"&amp;$AK195)+COUNTIFS($B$2:$B195,$B195,$AK$2:$AK195,$AK195)</f>
        <v>43</v>
      </c>
      <c r="AM195" s="191">
        <f>IF(AK195=0, "NA",IF(((sim_annual_output!F195/E195)/AK195)&lt;0,100,((sim_annual_output!F195/E195)/AK195)))</f>
        <v>256.58196628156514</v>
      </c>
      <c r="AN195">
        <f>(S195+V195)*constants!$F$2+(T195+U195+W195+X195+Y195+Z195+AA195+AB195)*constants!$G$2</f>
        <v>236287.93557115487</v>
      </c>
      <c r="AO195">
        <f>(AD195*constants!$F$2+AE195*constants!$G$2)</f>
        <v>10869.380175957478</v>
      </c>
      <c r="AP195">
        <f t="shared" ref="AP195:AP258" si="33">AO195/AN195*100</f>
        <v>4.6000571927991274</v>
      </c>
    </row>
    <row r="196" spans="1:42">
      <c r="A196">
        <f>sim_annual_output!B196</f>
        <v>11</v>
      </c>
      <c r="B196" t="str">
        <f>sim_annual_output!C196</f>
        <v>Maintenance Shop-Small</v>
      </c>
      <c r="C196" t="str">
        <f>sim_annual_output!D196</f>
        <v>1960-1979</v>
      </c>
      <c r="D196" t="str">
        <f>sim_annual_output!E196</f>
        <v>envelope_ecm_windows</v>
      </c>
      <c r="E196" s="45">
        <f t="array" ref="E196">IFERROR(INDEX(baseline!$J$3:$J$201,MATCH($B196&amp;$C196,baseline!$C$3:$C$201&amp;baseline!$D$3:$D$201,0)),"NA")</f>
        <v>927</v>
      </c>
      <c r="F196">
        <f>sim_annual_output!G196</f>
        <v>923.71795399999996</v>
      </c>
      <c r="G196">
        <f>$E196/$F196^2*sim_annual_output!I196</f>
        <v>0</v>
      </c>
      <c r="H196">
        <f>$E196/$F196^2*sim_annual_output!J196</f>
        <v>696.39187449198585</v>
      </c>
      <c r="I196">
        <f>$E196/$F196^2*sim_annual_output!K196</f>
        <v>1.2222325180568923</v>
      </c>
      <c r="J196">
        <f>$E196/$F196^2*sim_annual_output!L196</f>
        <v>0</v>
      </c>
      <c r="K196">
        <f>$E196/$F196^2*sim_annual_output!M196</f>
        <v>4.8406443431191484</v>
      </c>
      <c r="L196">
        <f>$E196/$F196^2*sim_annual_output!N196</f>
        <v>55.142302641816137</v>
      </c>
      <c r="M196">
        <f>$E196/$F196^2*sim_annual_output!O196</f>
        <v>6.60609131364577</v>
      </c>
      <c r="N196">
        <f>$E196/$F196^2*sim_annual_output!P196</f>
        <v>0</v>
      </c>
      <c r="O196">
        <f>$E196/$F196^2*sim_annual_output!Q196</f>
        <v>25.238347033357506</v>
      </c>
      <c r="P196">
        <f>$E196/$F196^2*sim_annual_output!R196</f>
        <v>38.058208111643125</v>
      </c>
      <c r="Q196">
        <f>$E196/$F196^2*sim_annual_output!S196</f>
        <v>0</v>
      </c>
      <c r="R196">
        <f t="array" ref="R196">INDEX(G$3:G$700,MATCH($B196&amp;$C196&amp;"baseline",$B$3:$B$700&amp;$C$3:$C$700&amp;$D$3:$D$700,0))</f>
        <v>0</v>
      </c>
      <c r="S196">
        <f t="array" ref="S196">INDEX(H$3:H$700,MATCH($B196&amp;$C196&amp;"baseline",$B$3:$B$700&amp;$C$3:$C$700&amp;$D$3:$D$700,0))</f>
        <v>704.08439471057113</v>
      </c>
      <c r="T196">
        <f t="array" ref="T196">INDEX(I$3:I$700,MATCH($B196&amp;$C196&amp;"baseline",$B$3:$B$700&amp;$C$3:$C$700&amp;$D$3:$D$700,0))</f>
        <v>0.72428593662630647</v>
      </c>
      <c r="U196">
        <f t="array" ref="U196">INDEX(J$3:J$700,MATCH($B196&amp;$C196&amp;"baseline",$B$3:$B$700&amp;$C$3:$C$700&amp;$D$3:$D$700,0))</f>
        <v>0</v>
      </c>
      <c r="V196">
        <f t="array" ref="V196">INDEX(K$3:K$700,MATCH($B196&amp;$C196&amp;"baseline",$B$3:$B$700&amp;$C$3:$C$700&amp;$D$3:$D$700,0))</f>
        <v>4.8406443431191484</v>
      </c>
      <c r="W196">
        <f t="array" ref="W196">INDEX(L$3:L$700,MATCH($B196&amp;$C196&amp;"baseline",$B$3:$B$700&amp;$C$3:$C$700&amp;$D$3:$D$700,0))</f>
        <v>55.142302641816137</v>
      </c>
      <c r="X196">
        <f t="array" ref="X196">INDEX(M$3:M$700,MATCH($B196&amp;$C196&amp;"baseline",$B$3:$B$700&amp;$C$3:$C$700&amp;$D$3:$D$700,0))</f>
        <v>6.60609131364577</v>
      </c>
      <c r="Y196">
        <f t="array" ref="Y196">INDEX(N$3:N$700,MATCH($B196&amp;$C196&amp;"baseline",$B$3:$B$700&amp;$C$3:$C$700&amp;$D$3:$D$700,0))</f>
        <v>0</v>
      </c>
      <c r="Z196">
        <f t="array" ref="Z196">INDEX(O$3:O$700,MATCH($B196&amp;$C196&amp;"baseline",$B$3:$B$700&amp;$C$3:$C$700&amp;$D$3:$D$700,0))</f>
        <v>25.211186310734021</v>
      </c>
      <c r="AA196">
        <f t="array" ref="AA196">INDEX(P$3:P$700,MATCH($B196&amp;$C196&amp;"baseline",$B$3:$B$700&amp;$C$3:$C$700&amp;$D$3:$D$700,0))</f>
        <v>38.052172395504577</v>
      </c>
      <c r="AB196">
        <f t="array" ref="AB196">INDEX(Q$3:Q$700,MATCH($B196&amp;$C196&amp;"baseline",$B$3:$B$700&amp;$C$3:$C$700&amp;$D$3:$D$700,0))</f>
        <v>0</v>
      </c>
      <c r="AC196">
        <f t="shared" si="27"/>
        <v>834.66107765201707</v>
      </c>
      <c r="AD196">
        <f t="shared" si="28"/>
        <v>7.6925202185852868</v>
      </c>
      <c r="AE196">
        <f t="shared" si="29"/>
        <v>-0.53114302019261572</v>
      </c>
      <c r="AF196">
        <f t="shared" si="30"/>
        <v>0.85799822109092738</v>
      </c>
      <c r="AG196">
        <f>(S196+V196+Y196)*constants!$O$2+(R196+T196+U196+W196+X196+Z196+AA196+AB196)*constants!$N$2</f>
        <v>25.692757994280711</v>
      </c>
      <c r="AH196">
        <f>((S196+V196+Y196)-(H196+K196+N196))*constants!$O$2</f>
        <v>0.12461882754108164</v>
      </c>
      <c r="AI196">
        <f>((R196+T196+U196+W196+X196+Z196+AA196+AB196)-(G196+I196+J196+L196+M196+O196+P196+Q196))*constants!$N$2</f>
        <v>-6.0019161281765578E-2</v>
      </c>
      <c r="AJ196">
        <f t="shared" si="31"/>
        <v>0.2514314199888395</v>
      </c>
      <c r="AK196">
        <f t="shared" si="32"/>
        <v>6.4599666259316069E-2</v>
      </c>
      <c r="AL196">
        <f>COUNTIFS($B:$B,$B196,$AK:$AK,"&lt;"&amp;$AK196)+COUNTIFS($B$2:$B196,$B196,$AK$2:$AK196,$AK196)</f>
        <v>33</v>
      </c>
      <c r="AM196" s="191">
        <f>IF(AK196=0, "NA",IF(((sim_annual_output!F196/E196)/AK196)&lt;0,100,((sim_annual_output!F196/E196)/AK196)))</f>
        <v>111.65623894016771</v>
      </c>
      <c r="AN196">
        <f>(S196+V196)*constants!$F$2+(T196+U196+W196+X196+Y196+Z196+AA196+AB196)*constants!$G$2</f>
        <v>236287.93557115487</v>
      </c>
      <c r="AO196">
        <f>(AD196*constants!$F$2+AE196*constants!$G$2)</f>
        <v>914.86669155919071</v>
      </c>
      <c r="AP196">
        <f t="shared" si="33"/>
        <v>0.38718298898662606</v>
      </c>
    </row>
    <row r="197" spans="1:42">
      <c r="A197">
        <f>sim_annual_output!B197</f>
        <v>11</v>
      </c>
      <c r="B197" t="str">
        <f>sim_annual_output!C197</f>
        <v>Maintenance Shop-Small</v>
      </c>
      <c r="C197" t="str">
        <f>sim_annual_output!D197</f>
        <v>1960-1979</v>
      </c>
      <c r="D197" t="str">
        <f>sim_annual_output!E197</f>
        <v>exhaust_fans_occ_control</v>
      </c>
      <c r="E197" s="45">
        <f t="array" ref="E197">IFERROR(INDEX(baseline!$J$3:$J$201,MATCH($B197&amp;$C197,baseline!$C$3:$C$201&amp;baseline!$D$3:$D$201,0)),"NA")</f>
        <v>927</v>
      </c>
      <c r="F197">
        <f>sim_annual_output!G197</f>
        <v>923.71795399999996</v>
      </c>
      <c r="G197">
        <f>$E197/$F197^2*sim_annual_output!I197</f>
        <v>0</v>
      </c>
      <c r="H197">
        <f>$E197/$F197^2*sim_annual_output!J197</f>
        <v>697.64126773266628</v>
      </c>
      <c r="I197">
        <f>$E197/$F197^2*sim_annual_output!K197</f>
        <v>1.2222325180568923</v>
      </c>
      <c r="J197">
        <f>$E197/$F197^2*sim_annual_output!L197</f>
        <v>0</v>
      </c>
      <c r="K197">
        <f>$E197/$F197^2*sim_annual_output!M197</f>
        <v>4.8406443431191484</v>
      </c>
      <c r="L197">
        <f>$E197/$F197^2*sim_annual_output!N197</f>
        <v>55.142302641816137</v>
      </c>
      <c r="M197">
        <f>$E197/$F197^2*sim_annual_output!O197</f>
        <v>6.60609131364577</v>
      </c>
      <c r="N197">
        <f>$E197/$F197^2*sim_annual_output!P197</f>
        <v>0</v>
      </c>
      <c r="O197">
        <f>$E197/$F197^2*sim_annual_output!Q197</f>
        <v>25.253436323703884</v>
      </c>
      <c r="P197">
        <f>$E197/$F197^2*sim_annual_output!R197</f>
        <v>38.121583131097935</v>
      </c>
      <c r="Q197">
        <f>$E197/$F197^2*sim_annual_output!S197</f>
        <v>0</v>
      </c>
      <c r="R197">
        <f t="array" ref="R197">INDEX(G$3:G$700,MATCH($B197&amp;$C197&amp;"baseline",$B$3:$B$700&amp;$C$3:$C$700&amp;$D$3:$D$700,0))</f>
        <v>0</v>
      </c>
      <c r="S197">
        <f t="array" ref="S197">INDEX(H$3:H$700,MATCH($B197&amp;$C197&amp;"baseline",$B$3:$B$700&amp;$C$3:$C$700&amp;$D$3:$D$700,0))</f>
        <v>704.08439471057113</v>
      </c>
      <c r="T197">
        <f t="array" ref="T197">INDEX(I$3:I$700,MATCH($B197&amp;$C197&amp;"baseline",$B$3:$B$700&amp;$C$3:$C$700&amp;$D$3:$D$700,0))</f>
        <v>0.72428593662630647</v>
      </c>
      <c r="U197">
        <f t="array" ref="U197">INDEX(J$3:J$700,MATCH($B197&amp;$C197&amp;"baseline",$B$3:$B$700&amp;$C$3:$C$700&amp;$D$3:$D$700,0))</f>
        <v>0</v>
      </c>
      <c r="V197">
        <f t="array" ref="V197">INDEX(K$3:K$700,MATCH($B197&amp;$C197&amp;"baseline",$B$3:$B$700&amp;$C$3:$C$700&amp;$D$3:$D$700,0))</f>
        <v>4.8406443431191484</v>
      </c>
      <c r="W197">
        <f t="array" ref="W197">INDEX(L$3:L$700,MATCH($B197&amp;$C197&amp;"baseline",$B$3:$B$700&amp;$C$3:$C$700&amp;$D$3:$D$700,0))</f>
        <v>55.142302641816137</v>
      </c>
      <c r="X197">
        <f t="array" ref="X197">INDEX(M$3:M$700,MATCH($B197&amp;$C197&amp;"baseline",$B$3:$B$700&amp;$C$3:$C$700&amp;$D$3:$D$700,0))</f>
        <v>6.60609131364577</v>
      </c>
      <c r="Y197">
        <f t="array" ref="Y197">INDEX(N$3:N$700,MATCH($B197&amp;$C197&amp;"baseline",$B$3:$B$700&amp;$C$3:$C$700&amp;$D$3:$D$700,0))</f>
        <v>0</v>
      </c>
      <c r="Z197">
        <f t="array" ref="Z197">INDEX(O$3:O$700,MATCH($B197&amp;$C197&amp;"baseline",$B$3:$B$700&amp;$C$3:$C$700&amp;$D$3:$D$700,0))</f>
        <v>25.211186310734021</v>
      </c>
      <c r="AA197">
        <f t="array" ref="AA197">INDEX(P$3:P$700,MATCH($B197&amp;$C197&amp;"baseline",$B$3:$B$700&amp;$C$3:$C$700&amp;$D$3:$D$700,0))</f>
        <v>38.052172395504577</v>
      </c>
      <c r="AB197">
        <f t="array" ref="AB197">INDEX(Q$3:Q$700,MATCH($B197&amp;$C197&amp;"baseline",$B$3:$B$700&amp;$C$3:$C$700&amp;$D$3:$D$700,0))</f>
        <v>0</v>
      </c>
      <c r="AC197">
        <f t="shared" si="27"/>
        <v>834.66107765201707</v>
      </c>
      <c r="AD197">
        <f t="shared" si="28"/>
        <v>6.4431269779048534</v>
      </c>
      <c r="AE197">
        <f t="shared" si="29"/>
        <v>-0.60960732999380696</v>
      </c>
      <c r="AF197">
        <f t="shared" si="30"/>
        <v>0.69890879113727278</v>
      </c>
      <c r="AG197">
        <f>(S197+V197+Y197)*constants!$O$2+(R197+T197+U197+W197+X197+Z197+AA197+AB197)*constants!$N$2</f>
        <v>25.692757994280711</v>
      </c>
      <c r="AH197">
        <f>((S197+V197+Y197)-(H197+K197+N197))*constants!$O$2</f>
        <v>0.10437865704205862</v>
      </c>
      <c r="AI197">
        <f>((R197+T197+U197+W197+X197+Z197+AA197+AB197)-(G197+I197+J197+L197+M197+O197+P197+Q197))*constants!$N$2</f>
        <v>-6.8885628289300185E-2</v>
      </c>
      <c r="AJ197">
        <f t="shared" si="31"/>
        <v>0.13814409788415588</v>
      </c>
      <c r="AK197">
        <f t="shared" si="32"/>
        <v>3.5493028752758435E-2</v>
      </c>
      <c r="AL197">
        <f>COUNTIFS($B:$B,$B197,$AK:$AK,"&lt;"&amp;$AK197)+COUNTIFS($B$2:$B197,$B197,$AK$2:$AK197,$AK197)</f>
        <v>24</v>
      </c>
      <c r="AM197" s="191">
        <f>IF(AK197=0, "NA",IF(((sim_annual_output!F197/E197)/AK197)&lt;0,100,((sim_annual_output!F197/E197)/AK197)))</f>
        <v>22.249077935612178</v>
      </c>
      <c r="AN197">
        <f>(S197+V197)*constants!$F$2+(T197+U197+W197+X197+Y197+Z197+AA197+AB197)*constants!$G$2</f>
        <v>236287.93557115487</v>
      </c>
      <c r="AO197">
        <f>(AD197*constants!$F$2+AE197*constants!$G$2)</f>
        <v>622.96135195035686</v>
      </c>
      <c r="AP197">
        <f t="shared" si="33"/>
        <v>0.26364501024757592</v>
      </c>
    </row>
    <row r="198" spans="1:42">
      <c r="A198">
        <f>sim_annual_output!B198</f>
        <v>11</v>
      </c>
      <c r="B198" t="str">
        <f>sim_annual_output!C198</f>
        <v>Maintenance Shop-Small</v>
      </c>
      <c r="C198" t="str">
        <f>sim_annual_output!D198</f>
        <v>1960-1979</v>
      </c>
      <c r="D198" t="str">
        <f>sim_annual_output!E198</f>
        <v>fans_to_variable</v>
      </c>
      <c r="E198" s="45">
        <f t="array" ref="E198">IFERROR(INDEX(baseline!$J$3:$J$201,MATCH($B198&amp;$C198,baseline!$C$3:$C$201&amp;baseline!$D$3:$D$201,0)),"NA")</f>
        <v>927</v>
      </c>
      <c r="F198">
        <f>sim_annual_output!G198</f>
        <v>923.71795399999996</v>
      </c>
      <c r="G198">
        <f>$E198/$F198^2*sim_annual_output!I198</f>
        <v>0</v>
      </c>
      <c r="H198">
        <f>$E198/$F198^2*sim_annual_output!J198</f>
        <v>697.76198205543722</v>
      </c>
      <c r="I198">
        <f>$E198/$F198^2*sim_annual_output!K198</f>
        <v>1.2161968019183396</v>
      </c>
      <c r="J198">
        <f>$E198/$F198^2*sim_annual_output!L198</f>
        <v>0</v>
      </c>
      <c r="K198">
        <f>$E198/$F198^2*sim_annual_output!M198</f>
        <v>4.8406443431191484</v>
      </c>
      <c r="L198">
        <f>$E198/$F198^2*sim_annual_output!N198</f>
        <v>55.142302641816137</v>
      </c>
      <c r="M198">
        <f>$E198/$F198^2*sim_annual_output!O198</f>
        <v>6.60609131364577</v>
      </c>
      <c r="N198">
        <f>$E198/$F198^2*sim_annual_output!P198</f>
        <v>0</v>
      </c>
      <c r="O198">
        <f>$E198/$F198^2*sim_annual_output!Q198</f>
        <v>25.165918439694874</v>
      </c>
      <c r="P198">
        <f>$E198/$F198^2*sim_annual_output!R198</f>
        <v>38.124600989167206</v>
      </c>
      <c r="Q198">
        <f>$E198/$F198^2*sim_annual_output!S198</f>
        <v>0</v>
      </c>
      <c r="R198">
        <f t="array" ref="R198">INDEX(G$3:G$700,MATCH($B198&amp;$C198&amp;"baseline",$B$3:$B$700&amp;$C$3:$C$700&amp;$D$3:$D$700,0))</f>
        <v>0</v>
      </c>
      <c r="S198">
        <f t="array" ref="S198">INDEX(H$3:H$700,MATCH($B198&amp;$C198&amp;"baseline",$B$3:$B$700&amp;$C$3:$C$700&amp;$D$3:$D$700,0))</f>
        <v>704.08439471057113</v>
      </c>
      <c r="T198">
        <f t="array" ref="T198">INDEX(I$3:I$700,MATCH($B198&amp;$C198&amp;"baseline",$B$3:$B$700&amp;$C$3:$C$700&amp;$D$3:$D$700,0))</f>
        <v>0.72428593662630647</v>
      </c>
      <c r="U198">
        <f t="array" ref="U198">INDEX(J$3:J$700,MATCH($B198&amp;$C198&amp;"baseline",$B$3:$B$700&amp;$C$3:$C$700&amp;$D$3:$D$700,0))</f>
        <v>0</v>
      </c>
      <c r="V198">
        <f t="array" ref="V198">INDEX(K$3:K$700,MATCH($B198&amp;$C198&amp;"baseline",$B$3:$B$700&amp;$C$3:$C$700&amp;$D$3:$D$700,0))</f>
        <v>4.8406443431191484</v>
      </c>
      <c r="W198">
        <f t="array" ref="W198">INDEX(L$3:L$700,MATCH($B198&amp;$C198&amp;"baseline",$B$3:$B$700&amp;$C$3:$C$700&amp;$D$3:$D$700,0))</f>
        <v>55.142302641816137</v>
      </c>
      <c r="X198">
        <f t="array" ref="X198">INDEX(M$3:M$700,MATCH($B198&amp;$C198&amp;"baseline",$B$3:$B$700&amp;$C$3:$C$700&amp;$D$3:$D$700,0))</f>
        <v>6.60609131364577</v>
      </c>
      <c r="Y198">
        <f t="array" ref="Y198">INDEX(N$3:N$700,MATCH($B198&amp;$C198&amp;"baseline",$B$3:$B$700&amp;$C$3:$C$700&amp;$D$3:$D$700,0))</f>
        <v>0</v>
      </c>
      <c r="Z198">
        <f t="array" ref="Z198">INDEX(O$3:O$700,MATCH($B198&amp;$C198&amp;"baseline",$B$3:$B$700&amp;$C$3:$C$700&amp;$D$3:$D$700,0))</f>
        <v>25.211186310734021</v>
      </c>
      <c r="AA198">
        <f t="array" ref="AA198">INDEX(P$3:P$700,MATCH($B198&amp;$C198&amp;"baseline",$B$3:$B$700&amp;$C$3:$C$700&amp;$D$3:$D$700,0))</f>
        <v>38.052172395504577</v>
      </c>
      <c r="AB198">
        <f t="array" ref="AB198">INDEX(Q$3:Q$700,MATCH($B198&amp;$C198&amp;"baseline",$B$3:$B$700&amp;$C$3:$C$700&amp;$D$3:$D$700,0))</f>
        <v>0</v>
      </c>
      <c r="AC198">
        <f t="shared" si="27"/>
        <v>834.66107765201707</v>
      </c>
      <c r="AD198">
        <f t="shared" si="28"/>
        <v>6.3224126551339168</v>
      </c>
      <c r="AE198">
        <f t="shared" si="29"/>
        <v>-0.51907158791550501</v>
      </c>
      <c r="AF198">
        <f t="shared" si="30"/>
        <v>0.69529312227470519</v>
      </c>
      <c r="AG198">
        <f>(S198+V198+Y198)*constants!$O$2+(R198+T198+U198+W198+X198+Z198+AA198+AB198)*constants!$N$2</f>
        <v>25.692757994280711</v>
      </c>
      <c r="AH198">
        <f>((S198+V198+Y198)-(H198+K198+N198))*constants!$O$2</f>
        <v>0.10242308501316945</v>
      </c>
      <c r="AI198">
        <f>((R198+T198+U198+W198+X198+Z198+AA198+AB198)-(G198+I198+J198+L198+M198+O198+P198+Q198))*constants!$N$2</f>
        <v>-5.8655089434452065E-2</v>
      </c>
      <c r="AJ198">
        <f t="shared" si="31"/>
        <v>0.17035148810594908</v>
      </c>
      <c r="AK198">
        <f t="shared" si="32"/>
        <v>4.3767995578717384E-2</v>
      </c>
      <c r="AL198">
        <f>COUNTIFS($B:$B,$B198,$AK:$AK,"&lt;"&amp;$AK198)+COUNTIFS($B$2:$B198,$B198,$AK$2:$AK198,$AK198)</f>
        <v>29</v>
      </c>
      <c r="AM198" s="191">
        <f>IF(AK198=0, "NA",IF(((sim_annual_output!F198/E198)/AK198)&lt;0,100,((sim_annual_output!F198/E198)/AK198)))</f>
        <v>64.776191338164367</v>
      </c>
      <c r="AN198">
        <f>(S198+V198)*constants!$F$2+(T198+U198+W198+X198+Y198+Z198+AA198+AB198)*constants!$G$2</f>
        <v>236287.93557115487</v>
      </c>
      <c r="AO198">
        <f>(AD198*constants!$F$2+AE198*constants!$G$2)</f>
        <v>680.11958378248164</v>
      </c>
      <c r="AP198">
        <f t="shared" si="33"/>
        <v>0.28783508651785267</v>
      </c>
    </row>
    <row r="199" spans="1:42">
      <c r="A199">
        <f>sim_annual_output!B199</f>
        <v>11</v>
      </c>
      <c r="B199" t="str">
        <f>sim_annual_output!C199</f>
        <v>Maintenance Shop-Small</v>
      </c>
      <c r="C199" t="str">
        <f>sim_annual_output!D199</f>
        <v>1960-1979</v>
      </c>
      <c r="D199" t="str">
        <f>sim_annual_output!E199</f>
        <v>hrv_enabled</v>
      </c>
      <c r="E199" s="45">
        <f t="array" ref="E199">IFERROR(INDEX(baseline!$J$3:$J$201,MATCH($B199&amp;$C199,baseline!$C$3:$C$201&amp;baseline!$D$3:$D$201,0)),"NA")</f>
        <v>927</v>
      </c>
      <c r="F199">
        <f>sim_annual_output!G199</f>
        <v>923.71795399999996</v>
      </c>
      <c r="G199">
        <f>$E199/$F199^2*sim_annual_output!I199</f>
        <v>0</v>
      </c>
      <c r="H199">
        <f>$E199/$F199^2*sim_annual_output!J199</f>
        <v>684.15446002107058</v>
      </c>
      <c r="I199">
        <f>$E199/$F199^2*sim_annual_output!K199</f>
        <v>1.3338932666201144</v>
      </c>
      <c r="J199">
        <f>$E199/$F199^2*sim_annual_output!L199</f>
        <v>0</v>
      </c>
      <c r="K199">
        <f>$E199/$F199^2*sim_annual_output!M199</f>
        <v>4.8406443431191484</v>
      </c>
      <c r="L199">
        <f>$E199/$F199^2*sim_annual_output!N199</f>
        <v>55.142302641816137</v>
      </c>
      <c r="M199">
        <f>$E199/$F199^2*sim_annual_output!O199</f>
        <v>6.60609131364577</v>
      </c>
      <c r="N199">
        <f>$E199/$F199^2*sim_annual_output!P199</f>
        <v>0</v>
      </c>
      <c r="O199">
        <f>$E199/$F199^2*sim_annual_output!Q199</f>
        <v>25.211186310734021</v>
      </c>
      <c r="P199">
        <f>$E199/$F199^2*sim_annual_output!R199</f>
        <v>38.058208111643125</v>
      </c>
      <c r="Q199">
        <f>$E199/$F199^2*sim_annual_output!S199</f>
        <v>2.4022150231439166</v>
      </c>
      <c r="R199">
        <f t="array" ref="R199">INDEX(G$3:G$700,MATCH($B199&amp;$C199&amp;"baseline",$B$3:$B$700&amp;$C$3:$C$700&amp;$D$3:$D$700,0))</f>
        <v>0</v>
      </c>
      <c r="S199">
        <f t="array" ref="S199">INDEX(H$3:H$700,MATCH($B199&amp;$C199&amp;"baseline",$B$3:$B$700&amp;$C$3:$C$700&amp;$D$3:$D$700,0))</f>
        <v>704.08439471057113</v>
      </c>
      <c r="T199">
        <f t="array" ref="T199">INDEX(I$3:I$700,MATCH($B199&amp;$C199&amp;"baseline",$B$3:$B$700&amp;$C$3:$C$700&amp;$D$3:$D$700,0))</f>
        <v>0.72428593662630647</v>
      </c>
      <c r="U199">
        <f t="array" ref="U199">INDEX(J$3:J$700,MATCH($B199&amp;$C199&amp;"baseline",$B$3:$B$700&amp;$C$3:$C$700&amp;$D$3:$D$700,0))</f>
        <v>0</v>
      </c>
      <c r="V199">
        <f t="array" ref="V199">INDEX(K$3:K$700,MATCH($B199&amp;$C199&amp;"baseline",$B$3:$B$700&amp;$C$3:$C$700&amp;$D$3:$D$700,0))</f>
        <v>4.8406443431191484</v>
      </c>
      <c r="W199">
        <f t="array" ref="W199">INDEX(L$3:L$700,MATCH($B199&amp;$C199&amp;"baseline",$B$3:$B$700&amp;$C$3:$C$700&amp;$D$3:$D$700,0))</f>
        <v>55.142302641816137</v>
      </c>
      <c r="X199">
        <f t="array" ref="X199">INDEX(M$3:M$700,MATCH($B199&amp;$C199&amp;"baseline",$B$3:$B$700&amp;$C$3:$C$700&amp;$D$3:$D$700,0))</f>
        <v>6.60609131364577</v>
      </c>
      <c r="Y199">
        <f t="array" ref="Y199">INDEX(N$3:N$700,MATCH($B199&amp;$C199&amp;"baseline",$B$3:$B$700&amp;$C$3:$C$700&amp;$D$3:$D$700,0))</f>
        <v>0</v>
      </c>
      <c r="Z199">
        <f t="array" ref="Z199">INDEX(O$3:O$700,MATCH($B199&amp;$C199&amp;"baseline",$B$3:$B$700&amp;$C$3:$C$700&amp;$D$3:$D$700,0))</f>
        <v>25.211186310734021</v>
      </c>
      <c r="AA199">
        <f t="array" ref="AA199">INDEX(P$3:P$700,MATCH($B199&amp;$C199&amp;"baseline",$B$3:$B$700&amp;$C$3:$C$700&amp;$D$3:$D$700,0))</f>
        <v>38.052172395504577</v>
      </c>
      <c r="AB199">
        <f t="array" ref="AB199">INDEX(Q$3:Q$700,MATCH($B199&amp;$C199&amp;"baseline",$B$3:$B$700&amp;$C$3:$C$700&amp;$D$3:$D$700,0))</f>
        <v>0</v>
      </c>
      <c r="AC199">
        <f t="shared" si="27"/>
        <v>834.66107765201707</v>
      </c>
      <c r="AD199">
        <f t="shared" si="28"/>
        <v>19.929934689500556</v>
      </c>
      <c r="AE199">
        <f t="shared" si="29"/>
        <v>-3.0178580692762864</v>
      </c>
      <c r="AF199">
        <f t="shared" si="30"/>
        <v>2.0262208305914529</v>
      </c>
      <c r="AG199">
        <f>(S199+V199+Y199)*constants!$O$2+(R199+T199+U199+W199+X199+Z199+AA199+AB199)*constants!$N$2</f>
        <v>25.692757994280711</v>
      </c>
      <c r="AH199">
        <f>((S199+V199+Y199)-(H199+K199+N199))*constants!$O$2</f>
        <v>0.322864941969909</v>
      </c>
      <c r="AI199">
        <f>((R199+T199+U199+W199+X199+Z199+AA199+AB199)-(G199+I199+J199+L199+M199+O199+P199+Q199))*constants!$N$2</f>
        <v>-0.34101796182822036</v>
      </c>
      <c r="AJ199">
        <f t="shared" si="31"/>
        <v>-7.0654228177264106E-2</v>
      </c>
      <c r="AK199">
        <f t="shared" si="32"/>
        <v>-1.8153019858311359E-2</v>
      </c>
      <c r="AL199">
        <f>COUNTIFS($B:$B,$B199,$AK:$AK,"&lt;"&amp;$AK199)+COUNTIFS($B$2:$B199,$B199,$AK$2:$AK199,$AK199)</f>
        <v>15</v>
      </c>
      <c r="AM199" s="191">
        <f>IF(AK199=0, "NA",IF(((sim_annual_output!F199/E199)/AK199)&lt;0,100,((sim_annual_output!F199/E199)/AK199)))</f>
        <v>100</v>
      </c>
      <c r="AN199">
        <f>(S199+V199)*constants!$F$2+(T199+U199+W199+X199+Y199+Z199+AA199+AB199)*constants!$G$2</f>
        <v>236287.93557115487</v>
      </c>
      <c r="AO199">
        <f>(AD199*constants!$F$2+AE199*constants!$G$2)</f>
        <v>941.92178915023032</v>
      </c>
      <c r="AP199">
        <f t="shared" si="33"/>
        <v>0.39863304356755169</v>
      </c>
    </row>
    <row r="200" spans="1:42">
      <c r="A200">
        <f>sim_annual_output!B200</f>
        <v>11</v>
      </c>
      <c r="B200" t="str">
        <f>sim_annual_output!C200</f>
        <v>Maintenance Shop-Small</v>
      </c>
      <c r="C200" t="str">
        <f>sim_annual_output!D200</f>
        <v>1960-1979</v>
      </c>
      <c r="D200" t="str">
        <f>sim_annual_output!E200</f>
        <v>infil_reduce</v>
      </c>
      <c r="E200" s="45">
        <f t="array" ref="E200">IFERROR(INDEX(baseline!$J$3:$J$201,MATCH($B200&amp;$C200,baseline!$C$3:$C$201&amp;baseline!$D$3:$D$201,0)),"NA")</f>
        <v>927</v>
      </c>
      <c r="F200">
        <f>sim_annual_output!G200</f>
        <v>923.71795399999996</v>
      </c>
      <c r="G200">
        <f>$E200/$F200^2*sim_annual_output!I200</f>
        <v>0</v>
      </c>
      <c r="H200">
        <f>$E200/$F200^2*sim_annual_output!J200</f>
        <v>396.05162157954152</v>
      </c>
      <c r="I200">
        <f>$E200/$F200^2*sim_annual_output!K200</f>
        <v>1.5028933184995861</v>
      </c>
      <c r="J200">
        <f>$E200/$F200^2*sim_annual_output!L200</f>
        <v>0</v>
      </c>
      <c r="K200">
        <f>$E200/$F200^2*sim_annual_output!M200</f>
        <v>4.8406443431191484</v>
      </c>
      <c r="L200">
        <f>$E200/$F200^2*sim_annual_output!N200</f>
        <v>55.142302641816137</v>
      </c>
      <c r="M200">
        <f>$E200/$F200^2*sim_annual_output!O200</f>
        <v>6.60609131364577</v>
      </c>
      <c r="N200">
        <f>$E200/$F200^2*sim_annual_output!P200</f>
        <v>0</v>
      </c>
      <c r="O200">
        <f>$E200/$F200^2*sim_annual_output!Q200</f>
        <v>15.430308308209606</v>
      </c>
      <c r="P200">
        <f>$E200/$F200^2*sim_annual_output!R200</f>
        <v>22.646006951849184</v>
      </c>
      <c r="Q200">
        <f>$E200/$F200^2*sim_annual_output!S200</f>
        <v>0</v>
      </c>
      <c r="R200">
        <f t="array" ref="R200">INDEX(G$3:G$700,MATCH($B200&amp;$C200&amp;"baseline",$B$3:$B$700&amp;$C$3:$C$700&amp;$D$3:$D$700,0))</f>
        <v>0</v>
      </c>
      <c r="S200">
        <f t="array" ref="S200">INDEX(H$3:H$700,MATCH($B200&amp;$C200&amp;"baseline",$B$3:$B$700&amp;$C$3:$C$700&amp;$D$3:$D$700,0))</f>
        <v>704.08439471057113</v>
      </c>
      <c r="T200">
        <f t="array" ref="T200">INDEX(I$3:I$700,MATCH($B200&amp;$C200&amp;"baseline",$B$3:$B$700&amp;$C$3:$C$700&amp;$D$3:$D$700,0))</f>
        <v>0.72428593662630647</v>
      </c>
      <c r="U200">
        <f t="array" ref="U200">INDEX(J$3:J$700,MATCH($B200&amp;$C200&amp;"baseline",$B$3:$B$700&amp;$C$3:$C$700&amp;$D$3:$D$700,0))</f>
        <v>0</v>
      </c>
      <c r="V200">
        <f t="array" ref="V200">INDEX(K$3:K$700,MATCH($B200&amp;$C200&amp;"baseline",$B$3:$B$700&amp;$C$3:$C$700&amp;$D$3:$D$700,0))</f>
        <v>4.8406443431191484</v>
      </c>
      <c r="W200">
        <f t="array" ref="W200">INDEX(L$3:L$700,MATCH($B200&amp;$C200&amp;"baseline",$B$3:$B$700&amp;$C$3:$C$700&amp;$D$3:$D$700,0))</f>
        <v>55.142302641816137</v>
      </c>
      <c r="X200">
        <f t="array" ref="X200">INDEX(M$3:M$700,MATCH($B200&amp;$C200&amp;"baseline",$B$3:$B$700&amp;$C$3:$C$700&amp;$D$3:$D$700,0))</f>
        <v>6.60609131364577</v>
      </c>
      <c r="Y200">
        <f t="array" ref="Y200">INDEX(N$3:N$700,MATCH($B200&amp;$C200&amp;"baseline",$B$3:$B$700&amp;$C$3:$C$700&amp;$D$3:$D$700,0))</f>
        <v>0</v>
      </c>
      <c r="Z200">
        <f t="array" ref="Z200">INDEX(O$3:O$700,MATCH($B200&amp;$C200&amp;"baseline",$B$3:$B$700&amp;$C$3:$C$700&amp;$D$3:$D$700,0))</f>
        <v>25.211186310734021</v>
      </c>
      <c r="AA200">
        <f t="array" ref="AA200">INDEX(P$3:P$700,MATCH($B200&amp;$C200&amp;"baseline",$B$3:$B$700&amp;$C$3:$C$700&amp;$D$3:$D$700,0))</f>
        <v>38.052172395504577</v>
      </c>
      <c r="AB200">
        <f t="array" ref="AB200">INDEX(Q$3:Q$700,MATCH($B200&amp;$C200&amp;"baseline",$B$3:$B$700&amp;$C$3:$C$700&amp;$D$3:$D$700,0))</f>
        <v>0</v>
      </c>
      <c r="AC200">
        <f t="shared" si="27"/>
        <v>834.66107765201707</v>
      </c>
      <c r="AD200">
        <f t="shared" si="28"/>
        <v>308.03277313102961</v>
      </c>
      <c r="AE200">
        <f t="shared" si="29"/>
        <v>24.408436064306528</v>
      </c>
      <c r="AF200">
        <f t="shared" si="30"/>
        <v>39.829485056440589</v>
      </c>
      <c r="AG200">
        <f>(S200+V200+Y200)*constants!$O$2+(R200+T200+U200+W200+X200+Z200+AA200+AB200)*constants!$N$2</f>
        <v>25.692757994280711</v>
      </c>
      <c r="AH200">
        <f>((S200+V200+Y200)-(H200+K200+N200))*constants!$O$2</f>
        <v>4.9901309247226795</v>
      </c>
      <c r="AI200">
        <f>((R200+T200+U200+W200+X200+Z200+AA200+AB200)-(G200+I200+J200+L200+M200+O200+P200+Q200))*constants!$N$2</f>
        <v>2.7581532752666376</v>
      </c>
      <c r="AJ200">
        <f t="shared" si="31"/>
        <v>30.157463833637905</v>
      </c>
      <c r="AK200">
        <f t="shared" si="32"/>
        <v>7.7482841999893175</v>
      </c>
      <c r="AL200">
        <f>COUNTIFS($B:$B,$B200,$AK:$AK,"&lt;"&amp;$AK200)+COUNTIFS($B$2:$B200,$B200,$AK$2:$AK200,$AK200)</f>
        <v>62</v>
      </c>
      <c r="AM200" s="191">
        <f>IF(AK200=0, "NA",IF(((sim_annual_output!F200/E200)/AK200)&lt;0,100,((sim_annual_output!F200/E200)/AK200)))</f>
        <v>6.3672766747161198</v>
      </c>
      <c r="AN200">
        <f>(S200+V200)*constants!$F$2+(T200+U200+W200+X200+Y200+Z200+AA200+AB200)*constants!$G$2</f>
        <v>236287.93557115487</v>
      </c>
      <c r="AO200">
        <f>(AD200*constants!$F$2+AE200*constants!$G$2)</f>
        <v>76373.205766400977</v>
      </c>
      <c r="AP200">
        <f t="shared" si="33"/>
        <v>32.322092781331293</v>
      </c>
    </row>
    <row r="201" spans="1:42">
      <c r="A201">
        <f>sim_annual_output!B201</f>
        <v>11</v>
      </c>
      <c r="B201" t="str">
        <f>sim_annual_output!C201</f>
        <v>Maintenance Shop-Small</v>
      </c>
      <c r="C201" t="str">
        <f>sim_annual_output!D201</f>
        <v>1960-1979</v>
      </c>
      <c r="D201" t="str">
        <f>sim_annual_output!E201</f>
        <v>infil_reduce_plus_setback</v>
      </c>
      <c r="E201" s="45">
        <f t="array" ref="E201">IFERROR(INDEX(baseline!$J$3:$J$201,MATCH($B201&amp;$C201,baseline!$C$3:$C$201&amp;baseline!$D$3:$D$201,0)),"NA")</f>
        <v>927</v>
      </c>
      <c r="F201">
        <f>sim_annual_output!G201</f>
        <v>923.71795399999996</v>
      </c>
      <c r="G201">
        <f>$E201/$F201^2*sim_annual_output!I201</f>
        <v>0</v>
      </c>
      <c r="H201">
        <f>$E201/$F201^2*sim_annual_output!J201</f>
        <v>341.34087264163185</v>
      </c>
      <c r="I201">
        <f>$E201/$F201^2*sim_annual_output!K201</f>
        <v>1.4757325958760994</v>
      </c>
      <c r="J201">
        <f>$E201/$F201^2*sim_annual_output!L201</f>
        <v>0</v>
      </c>
      <c r="K201">
        <f>$E201/$F201^2*sim_annual_output!M201</f>
        <v>4.8406443431191484</v>
      </c>
      <c r="L201">
        <f>$E201/$F201^2*sim_annual_output!N201</f>
        <v>55.142302641816137</v>
      </c>
      <c r="M201">
        <f>$E201/$F201^2*sim_annual_output!O201</f>
        <v>6.60609131364577</v>
      </c>
      <c r="N201">
        <f>$E201/$F201^2*sim_annual_output!P201</f>
        <v>0</v>
      </c>
      <c r="O201">
        <f>$E201/$F201^2*sim_annual_output!Q201</f>
        <v>16.139504954489531</v>
      </c>
      <c r="P201">
        <f>$E201/$F201^2*sim_annual_output!R201</f>
        <v>22.495114048385371</v>
      </c>
      <c r="Q201">
        <f>$E201/$F201^2*sim_annual_output!S201</f>
        <v>0</v>
      </c>
      <c r="R201">
        <f t="array" ref="R201">INDEX(G$3:G$700,MATCH($B201&amp;$C201&amp;"baseline",$B$3:$B$700&amp;$C$3:$C$700&amp;$D$3:$D$700,0))</f>
        <v>0</v>
      </c>
      <c r="S201">
        <f t="array" ref="S201">INDEX(H$3:H$700,MATCH($B201&amp;$C201&amp;"baseline",$B$3:$B$700&amp;$C$3:$C$700&amp;$D$3:$D$700,0))</f>
        <v>704.08439471057113</v>
      </c>
      <c r="T201">
        <f t="array" ref="T201">INDEX(I$3:I$700,MATCH($B201&amp;$C201&amp;"baseline",$B$3:$B$700&amp;$C$3:$C$700&amp;$D$3:$D$700,0))</f>
        <v>0.72428593662630647</v>
      </c>
      <c r="U201">
        <f t="array" ref="U201">INDEX(J$3:J$700,MATCH($B201&amp;$C201&amp;"baseline",$B$3:$B$700&amp;$C$3:$C$700&amp;$D$3:$D$700,0))</f>
        <v>0</v>
      </c>
      <c r="V201">
        <f t="array" ref="V201">INDEX(K$3:K$700,MATCH($B201&amp;$C201&amp;"baseline",$B$3:$B$700&amp;$C$3:$C$700&amp;$D$3:$D$700,0))</f>
        <v>4.8406443431191484</v>
      </c>
      <c r="W201">
        <f t="array" ref="W201">INDEX(L$3:L$700,MATCH($B201&amp;$C201&amp;"baseline",$B$3:$B$700&amp;$C$3:$C$700&amp;$D$3:$D$700,0))</f>
        <v>55.142302641816137</v>
      </c>
      <c r="X201">
        <f t="array" ref="X201">INDEX(M$3:M$700,MATCH($B201&amp;$C201&amp;"baseline",$B$3:$B$700&amp;$C$3:$C$700&amp;$D$3:$D$700,0))</f>
        <v>6.60609131364577</v>
      </c>
      <c r="Y201">
        <f t="array" ref="Y201">INDEX(N$3:N$700,MATCH($B201&amp;$C201&amp;"baseline",$B$3:$B$700&amp;$C$3:$C$700&amp;$D$3:$D$700,0))</f>
        <v>0</v>
      </c>
      <c r="Z201">
        <f t="array" ref="Z201">INDEX(O$3:O$700,MATCH($B201&amp;$C201&amp;"baseline",$B$3:$B$700&amp;$C$3:$C$700&amp;$D$3:$D$700,0))</f>
        <v>25.211186310734021</v>
      </c>
      <c r="AA201">
        <f t="array" ref="AA201">INDEX(P$3:P$700,MATCH($B201&amp;$C201&amp;"baseline",$B$3:$B$700&amp;$C$3:$C$700&amp;$D$3:$D$700,0))</f>
        <v>38.052172395504577</v>
      </c>
      <c r="AB201">
        <f t="array" ref="AB201">INDEX(Q$3:Q$700,MATCH($B201&amp;$C201&amp;"baseline",$B$3:$B$700&amp;$C$3:$C$700&amp;$D$3:$D$700,0))</f>
        <v>0</v>
      </c>
      <c r="AC201">
        <f t="shared" si="27"/>
        <v>834.66107765201707</v>
      </c>
      <c r="AD201">
        <f t="shared" si="28"/>
        <v>362.74352206893928</v>
      </c>
      <c r="AE201">
        <f t="shared" si="29"/>
        <v>23.877293044113898</v>
      </c>
      <c r="AF201">
        <f t="shared" si="30"/>
        <v>46.320695365435661</v>
      </c>
      <c r="AG201">
        <f>(S201+V201+Y201)*constants!$O$2+(R201+T201+U201+W201+X201+Z201+AA201+AB201)*constants!$N$2</f>
        <v>25.692757994280711</v>
      </c>
      <c r="AH201">
        <f>((S201+V201+Y201)-(H201+K201+N201))*constants!$O$2</f>
        <v>5.8764450575168157</v>
      </c>
      <c r="AI201">
        <f>((R201+T201+U201+W201+X201+Z201+AA201+AB201)-(G201+I201+J201+L201+M201+O201+P201+Q201))*constants!$N$2</f>
        <v>2.6981341139848705</v>
      </c>
      <c r="AJ201">
        <f t="shared" si="31"/>
        <v>33.373525619205282</v>
      </c>
      <c r="AK201">
        <f t="shared" si="32"/>
        <v>8.5745791715016857</v>
      </c>
      <c r="AL201">
        <f>COUNTIFS($B:$B,$B201,$AK:$AK,"&lt;"&amp;$AK201)+COUNTIFS($B$2:$B201,$B201,$AK$2:$AK201,$AK201)</f>
        <v>63</v>
      </c>
      <c r="AM201" s="191">
        <f>IF(AK201=0, "NA",IF(((sim_annual_output!F201/E201)/AK201)&lt;0,100,((sim_annual_output!F201/E201)/AK201)))</f>
        <v>6.293197596792182</v>
      </c>
      <c r="AN201">
        <f>(S201+V201)*constants!$F$2+(T201+U201+W201+X201+Y201+Z201+AA201+AB201)*constants!$G$2</f>
        <v>236287.93557115487</v>
      </c>
      <c r="AO201">
        <f>(AD201*constants!$F$2+AE201*constants!$G$2)</f>
        <v>85704.335398719224</v>
      </c>
      <c r="AP201">
        <f t="shared" si="33"/>
        <v>36.271143167574266</v>
      </c>
    </row>
    <row r="202" spans="1:42">
      <c r="A202">
        <f>sim_annual_output!B202</f>
        <v>11</v>
      </c>
      <c r="B202" t="str">
        <f>sim_annual_output!C202</f>
        <v>Maintenance Shop-Small</v>
      </c>
      <c r="C202" t="str">
        <f>sim_annual_output!D202</f>
        <v>1960-1979</v>
      </c>
      <c r="D202" t="str">
        <f>sim_annual_output!E202</f>
        <v>lights_reduce_70p</v>
      </c>
      <c r="E202" s="45">
        <f t="array" ref="E202">IFERROR(INDEX(baseline!$J$3:$J$201,MATCH($B202&amp;$C202,baseline!$C$3:$C$201&amp;baseline!$D$3:$D$201,0)),"NA")</f>
        <v>927</v>
      </c>
      <c r="F202">
        <f>sim_annual_output!G202</f>
        <v>923.71795399999996</v>
      </c>
      <c r="G202">
        <f>$E202/$F202^2*sim_annual_output!I202</f>
        <v>0</v>
      </c>
      <c r="H202">
        <f>$E202/$F202^2*sim_annual_output!J202</f>
        <v>720.07904247773536</v>
      </c>
      <c r="I202">
        <f>$E202/$F202^2*sim_annual_output!K202</f>
        <v>0.70919664627992507</v>
      </c>
      <c r="J202">
        <f>$E202/$F202^2*sim_annual_output!L202</f>
        <v>0</v>
      </c>
      <c r="K202">
        <f>$E202/$F202^2*sim_annual_output!M202</f>
        <v>4.8406443431191484</v>
      </c>
      <c r="L202">
        <f>$E202/$F202^2*sim_annual_output!N202</f>
        <v>38.601422564112866</v>
      </c>
      <c r="M202">
        <f>$E202/$F202^2*sim_annual_output!O202</f>
        <v>6.60609131364577</v>
      </c>
      <c r="N202">
        <f>$E202/$F202^2*sim_annual_output!P202</f>
        <v>0</v>
      </c>
      <c r="O202">
        <f>$E202/$F202^2*sim_annual_output!Q202</f>
        <v>25.540132840285132</v>
      </c>
      <c r="P202">
        <f>$E202/$F202^2*sim_annual_output!R202</f>
        <v>38.592368989905026</v>
      </c>
      <c r="Q202">
        <f>$E202/$F202^2*sim_annual_output!S202</f>
        <v>0</v>
      </c>
      <c r="R202">
        <f t="array" ref="R202">INDEX(G$3:G$700,MATCH($B202&amp;$C202&amp;"baseline",$B$3:$B$700&amp;$C$3:$C$700&amp;$D$3:$D$700,0))</f>
        <v>0</v>
      </c>
      <c r="S202">
        <f t="array" ref="S202">INDEX(H$3:H$700,MATCH($B202&amp;$C202&amp;"baseline",$B$3:$B$700&amp;$C$3:$C$700&amp;$D$3:$D$700,0))</f>
        <v>704.08439471057113</v>
      </c>
      <c r="T202">
        <f t="array" ref="T202">INDEX(I$3:I$700,MATCH($B202&amp;$C202&amp;"baseline",$B$3:$B$700&amp;$C$3:$C$700&amp;$D$3:$D$700,0))</f>
        <v>0.72428593662630647</v>
      </c>
      <c r="U202">
        <f t="array" ref="U202">INDEX(J$3:J$700,MATCH($B202&amp;$C202&amp;"baseline",$B$3:$B$700&amp;$C$3:$C$700&amp;$D$3:$D$700,0))</f>
        <v>0</v>
      </c>
      <c r="V202">
        <f t="array" ref="V202">INDEX(K$3:K$700,MATCH($B202&amp;$C202&amp;"baseline",$B$3:$B$700&amp;$C$3:$C$700&amp;$D$3:$D$700,0))</f>
        <v>4.8406443431191484</v>
      </c>
      <c r="W202">
        <f t="array" ref="W202">INDEX(L$3:L$700,MATCH($B202&amp;$C202&amp;"baseline",$B$3:$B$700&amp;$C$3:$C$700&amp;$D$3:$D$700,0))</f>
        <v>55.142302641816137</v>
      </c>
      <c r="X202">
        <f t="array" ref="X202">INDEX(M$3:M$700,MATCH($B202&amp;$C202&amp;"baseline",$B$3:$B$700&amp;$C$3:$C$700&amp;$D$3:$D$700,0))</f>
        <v>6.60609131364577</v>
      </c>
      <c r="Y202">
        <f t="array" ref="Y202">INDEX(N$3:N$700,MATCH($B202&amp;$C202&amp;"baseline",$B$3:$B$700&amp;$C$3:$C$700&amp;$D$3:$D$700,0))</f>
        <v>0</v>
      </c>
      <c r="Z202">
        <f t="array" ref="Z202">INDEX(O$3:O$700,MATCH($B202&amp;$C202&amp;"baseline",$B$3:$B$700&amp;$C$3:$C$700&amp;$D$3:$D$700,0))</f>
        <v>25.211186310734021</v>
      </c>
      <c r="AA202">
        <f t="array" ref="AA202">INDEX(P$3:P$700,MATCH($B202&amp;$C202&amp;"baseline",$B$3:$B$700&amp;$C$3:$C$700&amp;$D$3:$D$700,0))</f>
        <v>38.052172395504577</v>
      </c>
      <c r="AB202">
        <f t="array" ref="AB202">INDEX(Q$3:Q$700,MATCH($B202&amp;$C202&amp;"baseline",$B$3:$B$700&amp;$C$3:$C$700&amp;$D$3:$D$700,0))</f>
        <v>0</v>
      </c>
      <c r="AC202">
        <f t="shared" si="27"/>
        <v>834.66107765201707</v>
      </c>
      <c r="AD202">
        <f t="shared" si="28"/>
        <v>-15.994647767164224</v>
      </c>
      <c r="AE202">
        <f t="shared" si="29"/>
        <v>15.686826244098086</v>
      </c>
      <c r="AF202">
        <f t="shared" si="30"/>
        <v>-3.6879822398340464E-2</v>
      </c>
      <c r="AG202">
        <f>(S202+V202+Y202)*constants!$O$2+(R202+T202+U202+W202+X202+Z202+AA202+AB202)*constants!$N$2</f>
        <v>25.692757994280711</v>
      </c>
      <c r="AH202">
        <f>((S202+V202+Y202)-(H202+K202+N202))*constants!$O$2</f>
        <v>-0.25911329382806042</v>
      </c>
      <c r="AI202">
        <f>((R202+T202+U202+W202+X202+Z202+AA202+AB202)-(G202+I202+J202+L202+M202+O202+P202+Q202))*constants!$N$2</f>
        <v>1.7726113655830837</v>
      </c>
      <c r="AJ202">
        <f t="shared" si="31"/>
        <v>5.8907575126498006</v>
      </c>
      <c r="AK202">
        <f t="shared" si="32"/>
        <v>1.5134980717550233</v>
      </c>
      <c r="AL202">
        <f>COUNTIFS($B:$B,$B202,$AK:$AK,"&lt;"&amp;$AK202)+COUNTIFS($B$2:$B202,$B202,$AK$2:$AK202,$AK202)</f>
        <v>49</v>
      </c>
      <c r="AM202" s="191">
        <f>IF(AK202=0, "NA",IF(((sim_annual_output!F202/E202)/AK202)&lt;0,100,((sim_annual_output!F202/E202)/AK202)))</f>
        <v>16.724759362946429</v>
      </c>
      <c r="AN202">
        <f>(S202+V202)*constants!$F$2+(T202+U202+W202+X202+Y202+Z202+AA202+AB202)*constants!$G$2</f>
        <v>236287.93557115487</v>
      </c>
      <c r="AO202">
        <f>(AD202*constants!$F$2+AE202*constants!$G$2)</f>
        <v>10784.496882042939</v>
      </c>
      <c r="AP202">
        <f t="shared" si="33"/>
        <v>4.5641335246231121</v>
      </c>
    </row>
    <row r="203" spans="1:42">
      <c r="A203">
        <f>sim_annual_output!B203</f>
        <v>11</v>
      </c>
      <c r="B203" t="str">
        <f>sim_annual_output!C203</f>
        <v>Maintenance Shop-Small</v>
      </c>
      <c r="C203" t="str">
        <f>sim_annual_output!D203</f>
        <v>1960-1979</v>
      </c>
      <c r="D203" t="str">
        <f>sim_annual_output!E203</f>
        <v>load_reduce</v>
      </c>
      <c r="E203" s="45">
        <f t="array" ref="E203">IFERROR(INDEX(baseline!$J$3:$J$201,MATCH($B203&amp;$C203,baseline!$C$3:$C$201&amp;baseline!$D$3:$D$201,0)),"NA")</f>
        <v>927</v>
      </c>
      <c r="F203">
        <f>sim_annual_output!G203</f>
        <v>923.71795399999996</v>
      </c>
      <c r="G203">
        <f>$E203/$F203^2*sim_annual_output!I203</f>
        <v>0</v>
      </c>
      <c r="H203">
        <f>$E203/$F203^2*sim_annual_output!J203</f>
        <v>210.28133240910171</v>
      </c>
      <c r="I203">
        <f>$E203/$F203^2*sim_annual_output!K203</f>
        <v>1.4757325958760994</v>
      </c>
      <c r="J203">
        <f>$E203/$F203^2*sim_annual_output!L203</f>
        <v>0</v>
      </c>
      <c r="K203">
        <f>$E203/$F203^2*sim_annual_output!M203</f>
        <v>4.8406443431191484</v>
      </c>
      <c r="L203">
        <f>$E203/$F203^2*sim_annual_output!N203</f>
        <v>55.142302641816137</v>
      </c>
      <c r="M203">
        <f>$E203/$F203^2*sim_annual_output!O203</f>
        <v>6.60609131364577</v>
      </c>
      <c r="N203">
        <f>$E203/$F203^2*sim_annual_output!P203</f>
        <v>0</v>
      </c>
      <c r="O203">
        <f>$E203/$F203^2*sim_annual_output!Q203</f>
        <v>16.139504954489531</v>
      </c>
      <c r="P203">
        <f>$E203/$F203^2*sim_annual_output!R203</f>
        <v>22.495114048385371</v>
      </c>
      <c r="Q203">
        <f>$E203/$F203^2*sim_annual_output!S203</f>
        <v>0</v>
      </c>
      <c r="R203">
        <f t="array" ref="R203">INDEX(G$3:G$700,MATCH($B203&amp;$C203&amp;"baseline",$B$3:$B$700&amp;$C$3:$C$700&amp;$D$3:$D$700,0))</f>
        <v>0</v>
      </c>
      <c r="S203">
        <f t="array" ref="S203">INDEX(H$3:H$700,MATCH($B203&amp;$C203&amp;"baseline",$B$3:$B$700&amp;$C$3:$C$700&amp;$D$3:$D$700,0))</f>
        <v>704.08439471057113</v>
      </c>
      <c r="T203">
        <f t="array" ref="T203">INDEX(I$3:I$700,MATCH($B203&amp;$C203&amp;"baseline",$B$3:$B$700&amp;$C$3:$C$700&amp;$D$3:$D$700,0))</f>
        <v>0.72428593662630647</v>
      </c>
      <c r="U203">
        <f t="array" ref="U203">INDEX(J$3:J$700,MATCH($B203&amp;$C203&amp;"baseline",$B$3:$B$700&amp;$C$3:$C$700&amp;$D$3:$D$700,0))</f>
        <v>0</v>
      </c>
      <c r="V203">
        <f t="array" ref="V203">INDEX(K$3:K$700,MATCH($B203&amp;$C203&amp;"baseline",$B$3:$B$700&amp;$C$3:$C$700&amp;$D$3:$D$700,0))</f>
        <v>4.8406443431191484</v>
      </c>
      <c r="W203">
        <f t="array" ref="W203">INDEX(L$3:L$700,MATCH($B203&amp;$C203&amp;"baseline",$B$3:$B$700&amp;$C$3:$C$700&amp;$D$3:$D$700,0))</f>
        <v>55.142302641816137</v>
      </c>
      <c r="X203">
        <f t="array" ref="X203">INDEX(M$3:M$700,MATCH($B203&amp;$C203&amp;"baseline",$B$3:$B$700&amp;$C$3:$C$700&amp;$D$3:$D$700,0))</f>
        <v>6.60609131364577</v>
      </c>
      <c r="Y203">
        <f t="array" ref="Y203">INDEX(N$3:N$700,MATCH($B203&amp;$C203&amp;"baseline",$B$3:$B$700&amp;$C$3:$C$700&amp;$D$3:$D$700,0))</f>
        <v>0</v>
      </c>
      <c r="Z203">
        <f t="array" ref="Z203">INDEX(O$3:O$700,MATCH($B203&amp;$C203&amp;"baseline",$B$3:$B$700&amp;$C$3:$C$700&amp;$D$3:$D$700,0))</f>
        <v>25.211186310734021</v>
      </c>
      <c r="AA203">
        <f t="array" ref="AA203">INDEX(P$3:P$700,MATCH($B203&amp;$C203&amp;"baseline",$B$3:$B$700&amp;$C$3:$C$700&amp;$D$3:$D$700,0))</f>
        <v>38.052172395504577</v>
      </c>
      <c r="AB203">
        <f t="array" ref="AB203">INDEX(Q$3:Q$700,MATCH($B203&amp;$C203&amp;"baseline",$B$3:$B$700&amp;$C$3:$C$700&amp;$D$3:$D$700,0))</f>
        <v>0</v>
      </c>
      <c r="AC203">
        <f t="shared" si="27"/>
        <v>834.66107765201707</v>
      </c>
      <c r="AD203">
        <f t="shared" si="28"/>
        <v>493.80306230146942</v>
      </c>
      <c r="AE203">
        <f t="shared" si="29"/>
        <v>23.877293044113898</v>
      </c>
      <c r="AF203">
        <f t="shared" si="30"/>
        <v>62.022822101860619</v>
      </c>
      <c r="AG203">
        <f>(S203+V203+Y203)*constants!$O$2+(R203+T203+U203+W203+X203+Z203+AA203+AB203)*constants!$N$2</f>
        <v>25.692757994280711</v>
      </c>
      <c r="AH203">
        <f>((S203+V203+Y203)-(H203+K203+N203))*constants!$O$2</f>
        <v>7.9996096092838043</v>
      </c>
      <c r="AI203">
        <f>((R203+T203+U203+W203+X203+Z203+AA203+AB203)-(G203+I203+J203+L203+M203+O203+P203+Q203))*constants!$N$2</f>
        <v>2.6981341139848705</v>
      </c>
      <c r="AJ203">
        <f t="shared" si="31"/>
        <v>41.637194907802524</v>
      </c>
      <c r="AK203">
        <f t="shared" si="32"/>
        <v>10.697743723268674</v>
      </c>
      <c r="AL203">
        <f>COUNTIFS($B:$B,$B203,$AK:$AK,"&lt;"&amp;$AK203)+COUNTIFS($B$2:$B203,$B203,$AK$2:$AK203,$AK203)</f>
        <v>66</v>
      </c>
      <c r="AM203" s="191">
        <f>IF(AK203=0, "NA",IF(((sim_annual_output!F203/E203)/AK203)&lt;0,100,((sim_annual_output!F203/E203)/AK203)))</f>
        <v>5.1378889036829962</v>
      </c>
      <c r="AN203">
        <f>(S203+V203)*constants!$F$2+(T203+U203+W203+X203+Y203+Z203+AA203+AB203)*constants!$G$2</f>
        <v>236287.93557115487</v>
      </c>
      <c r="AO203">
        <f>(AD203*constants!$F$2+AE203*constants!$G$2)</f>
        <v>109163.99310034211</v>
      </c>
      <c r="AP203">
        <f t="shared" si="33"/>
        <v>46.199562765010008</v>
      </c>
    </row>
    <row r="204" spans="1:42">
      <c r="A204">
        <f>sim_annual_output!B204</f>
        <v>11</v>
      </c>
      <c r="B204" t="str">
        <f>sim_annual_output!C204</f>
        <v>Maintenance Shop-Small</v>
      </c>
      <c r="C204" t="str">
        <f>sim_annual_output!D204</f>
        <v>1960-1979</v>
      </c>
      <c r="D204" t="str">
        <f>sim_annual_output!E204</f>
        <v>occupancy_setback</v>
      </c>
      <c r="E204" s="45">
        <f t="array" ref="E204">IFERROR(INDEX(baseline!$J$3:$J$201,MATCH($B204&amp;$C204,baseline!$C$3:$C$201&amp;baseline!$D$3:$D$201,0)),"NA")</f>
        <v>927</v>
      </c>
      <c r="F204">
        <f>sim_annual_output!G204</f>
        <v>923.71795399999996</v>
      </c>
      <c r="G204">
        <f>$E204/$F204^2*sim_annual_output!I204</f>
        <v>0</v>
      </c>
      <c r="H204">
        <f>$E204/$F204^2*sim_annual_output!J204</f>
        <v>609.36590134826588</v>
      </c>
      <c r="I204">
        <f>$E204/$F204^2*sim_annual_output!K204</f>
        <v>1.1256610598400514</v>
      </c>
      <c r="J204">
        <f>$E204/$F204^2*sim_annual_output!L204</f>
        <v>0</v>
      </c>
      <c r="K204">
        <f>$E204/$F204^2*sim_annual_output!M204</f>
        <v>4.8406443431191484</v>
      </c>
      <c r="L204">
        <f>$E204/$F204^2*sim_annual_output!N204</f>
        <v>55.142302641816137</v>
      </c>
      <c r="M204">
        <f>$E204/$F204^2*sim_annual_output!O204</f>
        <v>6.60609131364577</v>
      </c>
      <c r="N204">
        <f>$E204/$F204^2*sim_annual_output!P204</f>
        <v>0</v>
      </c>
      <c r="O204">
        <f>$E204/$F204^2*sim_annual_output!Q204</f>
        <v>27.118472610516626</v>
      </c>
      <c r="P204">
        <f>$E204/$F204^2*sim_annual_output!R204</f>
        <v>38.85492264193207</v>
      </c>
      <c r="Q204">
        <f>$E204/$F204^2*sim_annual_output!S204</f>
        <v>0</v>
      </c>
      <c r="R204">
        <f t="array" ref="R204">INDEX(G$3:G$700,MATCH($B204&amp;$C204&amp;"baseline",$B$3:$B$700&amp;$C$3:$C$700&amp;$D$3:$D$700,0))</f>
        <v>0</v>
      </c>
      <c r="S204">
        <f t="array" ref="S204">INDEX(H$3:H$700,MATCH($B204&amp;$C204&amp;"baseline",$B$3:$B$700&amp;$C$3:$C$700&amp;$D$3:$D$700,0))</f>
        <v>704.08439471057113</v>
      </c>
      <c r="T204">
        <f t="array" ref="T204">INDEX(I$3:I$700,MATCH($B204&amp;$C204&amp;"baseline",$B$3:$B$700&amp;$C$3:$C$700&amp;$D$3:$D$700,0))</f>
        <v>0.72428593662630647</v>
      </c>
      <c r="U204">
        <f t="array" ref="U204">INDEX(J$3:J$700,MATCH($B204&amp;$C204&amp;"baseline",$B$3:$B$700&amp;$C$3:$C$700&amp;$D$3:$D$700,0))</f>
        <v>0</v>
      </c>
      <c r="V204">
        <f t="array" ref="V204">INDEX(K$3:K$700,MATCH($B204&amp;$C204&amp;"baseline",$B$3:$B$700&amp;$C$3:$C$700&amp;$D$3:$D$700,0))</f>
        <v>4.8406443431191484</v>
      </c>
      <c r="W204">
        <f t="array" ref="W204">INDEX(L$3:L$700,MATCH($B204&amp;$C204&amp;"baseline",$B$3:$B$700&amp;$C$3:$C$700&amp;$D$3:$D$700,0))</f>
        <v>55.142302641816137</v>
      </c>
      <c r="X204">
        <f t="array" ref="X204">INDEX(M$3:M$700,MATCH($B204&amp;$C204&amp;"baseline",$B$3:$B$700&amp;$C$3:$C$700&amp;$D$3:$D$700,0))</f>
        <v>6.60609131364577</v>
      </c>
      <c r="Y204">
        <f t="array" ref="Y204">INDEX(N$3:N$700,MATCH($B204&amp;$C204&amp;"baseline",$B$3:$B$700&amp;$C$3:$C$700&amp;$D$3:$D$700,0))</f>
        <v>0</v>
      </c>
      <c r="Z204">
        <f t="array" ref="Z204">INDEX(O$3:O$700,MATCH($B204&amp;$C204&amp;"baseline",$B$3:$B$700&amp;$C$3:$C$700&amp;$D$3:$D$700,0))</f>
        <v>25.211186310734021</v>
      </c>
      <c r="AA204">
        <f t="array" ref="AA204">INDEX(P$3:P$700,MATCH($B204&amp;$C204&amp;"baseline",$B$3:$B$700&amp;$C$3:$C$700&amp;$D$3:$D$700,0))</f>
        <v>38.052172395504577</v>
      </c>
      <c r="AB204">
        <f t="array" ref="AB204">INDEX(Q$3:Q$700,MATCH($B204&amp;$C204&amp;"baseline",$B$3:$B$700&amp;$C$3:$C$700&amp;$D$3:$D$700,0))</f>
        <v>0</v>
      </c>
      <c r="AC204">
        <f t="shared" si="27"/>
        <v>834.66107765201707</v>
      </c>
      <c r="AD204">
        <f t="shared" si="28"/>
        <v>94.718493362305253</v>
      </c>
      <c r="AE204">
        <f t="shared" si="29"/>
        <v>-3.1114116694238305</v>
      </c>
      <c r="AF204">
        <f t="shared" si="30"/>
        <v>10.975362832370363</v>
      </c>
      <c r="AG204">
        <f>(S204+V204+Y204)*constants!$O$2+(R204+T204+U204+W204+X204+Z204+AA204+AB204)*constants!$N$2</f>
        <v>25.692757994280711</v>
      </c>
      <c r="AH204">
        <f>((S204+V204+Y204)-(H204+K204+N204))*constants!$O$2</f>
        <v>1.534439592469345</v>
      </c>
      <c r="AI204">
        <f>((R204+T204+U204+W204+X204+Z204+AA204+AB204)-(G204+I204+J204+L204+M204+O204+P204+Q204))*constants!$N$2</f>
        <v>-0.35158951864489285</v>
      </c>
      <c r="AJ204">
        <f t="shared" si="31"/>
        <v>4.6038267829703532</v>
      </c>
      <c r="AK204">
        <f t="shared" si="32"/>
        <v>1.1828500738244521</v>
      </c>
      <c r="AL204">
        <f>COUNTIFS($B:$B,$B204,$AK:$AK,"&lt;"&amp;$AK204)+COUNTIFS($B$2:$B204,$B204,$AK$2:$AK204,$AK204)</f>
        <v>45</v>
      </c>
      <c r="AM204" s="191">
        <f>IF(AK204=0, "NA",IF(((sim_annual_output!F204/E204)/AK204)&lt;0,100,((sim_annual_output!F204/E204)/AK204)))</f>
        <v>3.9109367132032937</v>
      </c>
      <c r="AN204">
        <f>(S204+V204)*constants!$F$2+(T204+U204+W204+X204+Y204+Z204+AA204+AB204)*constants!$G$2</f>
        <v>236287.93557115487</v>
      </c>
      <c r="AO204">
        <f>(AD204*constants!$F$2+AE204*constants!$G$2)</f>
        <v>14247.682159453909</v>
      </c>
      <c r="AP204">
        <f t="shared" si="33"/>
        <v>6.029796707569699</v>
      </c>
    </row>
    <row r="205" spans="1:42">
      <c r="A205">
        <f>sim_annual_output!B205</f>
        <v>11</v>
      </c>
      <c r="B205" t="str">
        <f>sim_annual_output!C205</f>
        <v>Maintenance Shop-Small</v>
      </c>
      <c r="C205" t="str">
        <f>sim_annual_output!D205</f>
        <v>1960-1979</v>
      </c>
      <c r="D205" t="str">
        <f>sim_annual_output!E205</f>
        <v>payback_less_than_20</v>
      </c>
      <c r="E205" s="45">
        <f t="array" ref="E205">IFERROR(INDEX(baseline!$J$3:$J$201,MATCH($B205&amp;$C205,baseline!$C$3:$C$201&amp;baseline!$D$3:$D$201,0)),"NA")</f>
        <v>927</v>
      </c>
      <c r="F205">
        <f>sim_annual_output!G205</f>
        <v>923.71795399999996</v>
      </c>
      <c r="G205">
        <f>$E205/$F205^2*sim_annual_output!I205</f>
        <v>0</v>
      </c>
      <c r="H205">
        <f>$E205/$F205^2*sim_annual_output!J205</f>
        <v>235.4593222810737</v>
      </c>
      <c r="I205">
        <f>$E205/$F205^2*sim_annual_output!K205</f>
        <v>5.0881087047998035</v>
      </c>
      <c r="J205">
        <f>$E205/$F205^2*sim_annual_output!L205</f>
        <v>0</v>
      </c>
      <c r="K205">
        <f>$E205/$F205^2*sim_annual_output!M205</f>
        <v>4.8406443431191484</v>
      </c>
      <c r="L205">
        <f>$E205/$F205^2*sim_annual_output!N205</f>
        <v>38.601422564112866</v>
      </c>
      <c r="M205">
        <f>$E205/$F205^2*sim_annual_output!O205</f>
        <v>6.60609131364577</v>
      </c>
      <c r="N205">
        <f>$E205/$F205^2*sim_annual_output!P205</f>
        <v>0</v>
      </c>
      <c r="O205">
        <f>$E205/$F205^2*sim_annual_output!Q205</f>
        <v>18.073951976895625</v>
      </c>
      <c r="P205">
        <f>$E205/$F205^2*sim_annual_output!R205</f>
        <v>17.572987537395761</v>
      </c>
      <c r="Q205">
        <f>$E205/$F205^2*sim_annual_output!S205</f>
        <v>0</v>
      </c>
      <c r="R205">
        <f t="array" ref="R205">INDEX(G$3:G$700,MATCH($B205&amp;$C205&amp;"baseline",$B$3:$B$700&amp;$C$3:$C$700&amp;$D$3:$D$700,0))</f>
        <v>0</v>
      </c>
      <c r="S205">
        <f t="array" ref="S205">INDEX(H$3:H$700,MATCH($B205&amp;$C205&amp;"baseline",$B$3:$B$700&amp;$C$3:$C$700&amp;$D$3:$D$700,0))</f>
        <v>704.08439471057113</v>
      </c>
      <c r="T205">
        <f t="array" ref="T205">INDEX(I$3:I$700,MATCH($B205&amp;$C205&amp;"baseline",$B$3:$B$700&amp;$C$3:$C$700&amp;$D$3:$D$700,0))</f>
        <v>0.72428593662630647</v>
      </c>
      <c r="U205">
        <f t="array" ref="U205">INDEX(J$3:J$700,MATCH($B205&amp;$C205&amp;"baseline",$B$3:$B$700&amp;$C$3:$C$700&amp;$D$3:$D$700,0))</f>
        <v>0</v>
      </c>
      <c r="V205">
        <f t="array" ref="V205">INDEX(K$3:K$700,MATCH($B205&amp;$C205&amp;"baseline",$B$3:$B$700&amp;$C$3:$C$700&amp;$D$3:$D$700,0))</f>
        <v>4.8406443431191484</v>
      </c>
      <c r="W205">
        <f t="array" ref="W205">INDEX(L$3:L$700,MATCH($B205&amp;$C205&amp;"baseline",$B$3:$B$700&amp;$C$3:$C$700&amp;$D$3:$D$700,0))</f>
        <v>55.142302641816137</v>
      </c>
      <c r="X205">
        <f t="array" ref="X205">INDEX(M$3:M$700,MATCH($B205&amp;$C205&amp;"baseline",$B$3:$B$700&amp;$C$3:$C$700&amp;$D$3:$D$700,0))</f>
        <v>6.60609131364577</v>
      </c>
      <c r="Y205">
        <f t="array" ref="Y205">INDEX(N$3:N$700,MATCH($B205&amp;$C205&amp;"baseline",$B$3:$B$700&amp;$C$3:$C$700&amp;$D$3:$D$700,0))</f>
        <v>0</v>
      </c>
      <c r="Z205">
        <f t="array" ref="Z205">INDEX(O$3:O$700,MATCH($B205&amp;$C205&amp;"baseline",$B$3:$B$700&amp;$C$3:$C$700&amp;$D$3:$D$700,0))</f>
        <v>25.211186310734021</v>
      </c>
      <c r="AA205">
        <f t="array" ref="AA205">INDEX(P$3:P$700,MATCH($B205&amp;$C205&amp;"baseline",$B$3:$B$700&amp;$C$3:$C$700&amp;$D$3:$D$700,0))</f>
        <v>38.052172395504577</v>
      </c>
      <c r="AB205">
        <f t="array" ref="AB205">INDEX(Q$3:Q$700,MATCH($B205&amp;$C205&amp;"baseline",$B$3:$B$700&amp;$C$3:$C$700&amp;$D$3:$D$700,0))</f>
        <v>0</v>
      </c>
      <c r="AC205">
        <f t="shared" si="27"/>
        <v>834.66107765201707</v>
      </c>
      <c r="AD205">
        <f t="shared" si="28"/>
        <v>468.62507242949744</v>
      </c>
      <c r="AE205">
        <f t="shared" si="29"/>
        <v>39.793476501476988</v>
      </c>
      <c r="AF205">
        <f t="shared" si="30"/>
        <v>60.913173327933947</v>
      </c>
      <c r="AG205">
        <f>(S205+V205+Y205)*constants!$O$2+(R205+T205+U205+W205+X205+Z205+AA205+AB205)*constants!$N$2</f>
        <v>25.692757994280711</v>
      </c>
      <c r="AH205">
        <f>((S205+V205+Y205)-(H205+K205+N205))*constants!$O$2</f>
        <v>7.5917261733578583</v>
      </c>
      <c r="AI205">
        <f>((R205+T205+U205+W205+X205+Z205+AA205+AB205)-(G205+I205+J205+L205+M205+O205+P205+Q205))*constants!$N$2</f>
        <v>4.4966628446668997</v>
      </c>
      <c r="AJ205">
        <f t="shared" si="31"/>
        <v>47.049791309736662</v>
      </c>
      <c r="AK205">
        <f t="shared" si="32"/>
        <v>12.088389018024758</v>
      </c>
      <c r="AL205">
        <f>COUNTIFS($B:$B,$B205,$AK:$AK,"&lt;"&amp;$AK205)+COUNTIFS($B$2:$B205,$B205,$AK$2:$AK205,$AK205)</f>
        <v>68</v>
      </c>
      <c r="AM205" s="191">
        <f>IF(AK205=0, "NA",IF(((sim_annual_output!F205/E205)/AK205)&lt;0,100,((sim_annual_output!F205/E205)/AK205)))</f>
        <v>8.8386748347120765</v>
      </c>
      <c r="AN205">
        <f>(S205+V205)*constants!$F$2+(T205+U205+W205+X205+Y205+Z205+AA205+AB205)*constants!$G$2</f>
        <v>236287.93557115487</v>
      </c>
      <c r="AO205">
        <f>(AD205*constants!$F$2+AE205*constants!$G$2)</f>
        <v>118504.21252116501</v>
      </c>
      <c r="AP205">
        <f t="shared" si="33"/>
        <v>50.152460063065341</v>
      </c>
    </row>
    <row r="206" spans="1:42">
      <c r="A206">
        <f>sim_annual_output!B206</f>
        <v>11</v>
      </c>
      <c r="B206" t="str">
        <f>sim_annual_output!C206</f>
        <v>Maintenance Shop-Small</v>
      </c>
      <c r="C206" t="str">
        <f>sim_annual_output!D206</f>
        <v>1960-1979</v>
      </c>
      <c r="D206" t="str">
        <f>sim_annual_output!E206</f>
        <v>plug_loads_90_percent</v>
      </c>
      <c r="E206" s="45">
        <f t="array" ref="E206">IFERROR(INDEX(baseline!$J$3:$J$201,MATCH($B206&amp;$C206,baseline!$C$3:$C$201&amp;baseline!$D$3:$D$201,0)),"NA")</f>
        <v>927</v>
      </c>
      <c r="F206">
        <f>sim_annual_output!G206</f>
        <v>923.71795399999996</v>
      </c>
      <c r="G206">
        <f>$E206/$F206^2*sim_annual_output!I206</f>
        <v>0</v>
      </c>
      <c r="H206">
        <f>$E206/$F206^2*sim_annual_output!J206</f>
        <v>697.86157137172336</v>
      </c>
      <c r="I206">
        <f>$E206/$F206^2*sim_annual_output!K206</f>
        <v>1.1890360792948531</v>
      </c>
      <c r="J206">
        <f>$E206/$F206^2*sim_annual_output!L206</f>
        <v>0</v>
      </c>
      <c r="K206">
        <f>$E206/$F206^2*sim_annual_output!M206</f>
        <v>4.8406443431191484</v>
      </c>
      <c r="L206">
        <f>$E206/$F206^2*sim_annual_output!N206</f>
        <v>55.142302641816137</v>
      </c>
      <c r="M206">
        <f>$E206/$F206^2*sim_annual_output!O206</f>
        <v>6.60609131364577</v>
      </c>
      <c r="N206">
        <f>$E206/$F206^2*sim_annual_output!P206</f>
        <v>0</v>
      </c>
      <c r="O206">
        <f>$E206/$F206^2*sim_annual_output!Q206</f>
        <v>25.256454181773162</v>
      </c>
      <c r="P206">
        <f>$E206/$F206^2*sim_annual_output!R206</f>
        <v>38.136672421444317</v>
      </c>
      <c r="Q206">
        <f>$E206/$F206^2*sim_annual_output!S206</f>
        <v>0</v>
      </c>
      <c r="R206">
        <f t="array" ref="R206">INDEX(G$3:G$700,MATCH($B206&amp;$C206&amp;"baseline",$B$3:$B$700&amp;$C$3:$C$700&amp;$D$3:$D$700,0))</f>
        <v>0</v>
      </c>
      <c r="S206">
        <f t="array" ref="S206">INDEX(H$3:H$700,MATCH($B206&amp;$C206&amp;"baseline",$B$3:$B$700&amp;$C$3:$C$700&amp;$D$3:$D$700,0))</f>
        <v>704.08439471057113</v>
      </c>
      <c r="T206">
        <f t="array" ref="T206">INDEX(I$3:I$700,MATCH($B206&amp;$C206&amp;"baseline",$B$3:$B$700&amp;$C$3:$C$700&amp;$D$3:$D$700,0))</f>
        <v>0.72428593662630647</v>
      </c>
      <c r="U206">
        <f t="array" ref="U206">INDEX(J$3:J$700,MATCH($B206&amp;$C206&amp;"baseline",$B$3:$B$700&amp;$C$3:$C$700&amp;$D$3:$D$700,0))</f>
        <v>0</v>
      </c>
      <c r="V206">
        <f t="array" ref="V206">INDEX(K$3:K$700,MATCH($B206&amp;$C206&amp;"baseline",$B$3:$B$700&amp;$C$3:$C$700&amp;$D$3:$D$700,0))</f>
        <v>4.8406443431191484</v>
      </c>
      <c r="W206">
        <f t="array" ref="W206">INDEX(L$3:L$700,MATCH($B206&amp;$C206&amp;"baseline",$B$3:$B$700&amp;$C$3:$C$700&amp;$D$3:$D$700,0))</f>
        <v>55.142302641816137</v>
      </c>
      <c r="X206">
        <f t="array" ref="X206">INDEX(M$3:M$700,MATCH($B206&amp;$C206&amp;"baseline",$B$3:$B$700&amp;$C$3:$C$700&amp;$D$3:$D$700,0))</f>
        <v>6.60609131364577</v>
      </c>
      <c r="Y206">
        <f t="array" ref="Y206">INDEX(N$3:N$700,MATCH($B206&amp;$C206&amp;"baseline",$B$3:$B$700&amp;$C$3:$C$700&amp;$D$3:$D$700,0))</f>
        <v>0</v>
      </c>
      <c r="Z206">
        <f t="array" ref="Z206">INDEX(O$3:O$700,MATCH($B206&amp;$C206&amp;"baseline",$B$3:$B$700&amp;$C$3:$C$700&amp;$D$3:$D$700,0))</f>
        <v>25.211186310734021</v>
      </c>
      <c r="AA206">
        <f t="array" ref="AA206">INDEX(P$3:P$700,MATCH($B206&amp;$C206&amp;"baseline",$B$3:$B$700&amp;$C$3:$C$700&amp;$D$3:$D$700,0))</f>
        <v>38.052172395504577</v>
      </c>
      <c r="AB206">
        <f t="array" ref="AB206">INDEX(Q$3:Q$700,MATCH($B206&amp;$C206&amp;"baseline",$B$3:$B$700&amp;$C$3:$C$700&amp;$D$3:$D$700,0))</f>
        <v>0</v>
      </c>
      <c r="AC206">
        <f t="shared" si="27"/>
        <v>834.66107765201707</v>
      </c>
      <c r="AD206">
        <f t="shared" si="28"/>
        <v>6.2228233388477747</v>
      </c>
      <c r="AE206">
        <f t="shared" si="29"/>
        <v>-0.59451803964742567</v>
      </c>
      <c r="AF206">
        <f t="shared" si="30"/>
        <v>0.67432224287171993</v>
      </c>
      <c r="AG206">
        <f>(S206+V206+Y206)*constants!$O$2+(R206+T206+U206+W206+X206+Z206+AA206+AB206)*constants!$N$2</f>
        <v>25.692757994280711</v>
      </c>
      <c r="AH206">
        <f>((S206+V206+Y206)-(H206+K206+N206))*constants!$O$2</f>
        <v>0.10080973808933394</v>
      </c>
      <c r="AI206">
        <f>((R206+T206+U206+W206+X206+Z206+AA206+AB206)-(G206+I206+J206+L206+M206+O206+P206+Q206))*constants!$N$2</f>
        <v>-6.7180538480159105E-2</v>
      </c>
      <c r="AJ206">
        <f t="shared" si="31"/>
        <v>0.13088980021786994</v>
      </c>
      <c r="AK206">
        <f t="shared" si="32"/>
        <v>3.3629199609174834E-2</v>
      </c>
      <c r="AL206">
        <f>COUNTIFS($B:$B,$B206,$AK:$AK,"&lt;"&amp;$AK206)+COUNTIFS($B$2:$B206,$B206,$AK$2:$AK206,$AK206)</f>
        <v>21</v>
      </c>
      <c r="AM206" s="191">
        <f>IF(AK206=0, "NA",IF(((sim_annual_output!F206/E206)/AK206)&lt;0,100,((sim_annual_output!F206/E206)/AK206)))</f>
        <v>79.540279726886553</v>
      </c>
      <c r="AN206">
        <f>(S206+V206)*constants!$F$2+(T206+U206+W206+X206+Y206+Z206+AA206+AB206)*constants!$G$2</f>
        <v>236287.93557115487</v>
      </c>
      <c r="AO206">
        <f>(AD206*constants!$F$2+AE206*constants!$G$2)</f>
        <v>596.65468316049135</v>
      </c>
      <c r="AP206">
        <f t="shared" si="33"/>
        <v>0.25251170006554013</v>
      </c>
    </row>
    <row r="207" spans="1:42">
      <c r="A207">
        <f>sim_annual_output!B207</f>
        <v>11</v>
      </c>
      <c r="B207" t="str">
        <f>sim_annual_output!C207</f>
        <v>Maintenance Shop-Small</v>
      </c>
      <c r="C207" t="str">
        <f>sim_annual_output!D207</f>
        <v>1960-1979</v>
      </c>
      <c r="D207" t="str">
        <f>sim_annual_output!E207</f>
        <v>pump_fan_eff_</v>
      </c>
      <c r="E207" s="45">
        <f t="array" ref="E207">IFERROR(INDEX(baseline!$J$3:$J$201,MATCH($B207&amp;$C207,baseline!$C$3:$C$201&amp;baseline!$D$3:$D$201,0)),"NA")</f>
        <v>927</v>
      </c>
      <c r="F207">
        <f>sim_annual_output!G207</f>
        <v>923.71795399999996</v>
      </c>
      <c r="G207">
        <f>$E207/$F207^2*sim_annual_output!I207</f>
        <v>0</v>
      </c>
      <c r="H207">
        <f>$E207/$F207^2*sim_annual_output!J207</f>
        <v>697.64126773266628</v>
      </c>
      <c r="I207">
        <f>$E207/$F207^2*sim_annual_output!K207</f>
        <v>1.2222325180568923</v>
      </c>
      <c r="J207">
        <f>$E207/$F207^2*sim_annual_output!L207</f>
        <v>0</v>
      </c>
      <c r="K207">
        <f>$E207/$F207^2*sim_annual_output!M207</f>
        <v>4.8406443431191484</v>
      </c>
      <c r="L207">
        <f>$E207/$F207^2*sim_annual_output!N207</f>
        <v>55.142302641816137</v>
      </c>
      <c r="M207">
        <f>$E207/$F207^2*sim_annual_output!O207</f>
        <v>6.60609131364577</v>
      </c>
      <c r="N207">
        <f>$E207/$F207^2*sim_annual_output!P207</f>
        <v>0</v>
      </c>
      <c r="O207">
        <f>$E207/$F207^2*sim_annual_output!Q207</f>
        <v>25.253436323703884</v>
      </c>
      <c r="P207">
        <f>$E207/$F207^2*sim_annual_output!R207</f>
        <v>29.813419866380343</v>
      </c>
      <c r="Q207">
        <f>$E207/$F207^2*sim_annual_output!S207</f>
        <v>0</v>
      </c>
      <c r="R207">
        <f t="array" ref="R207">INDEX(G$3:G$700,MATCH($B207&amp;$C207&amp;"baseline",$B$3:$B$700&amp;$C$3:$C$700&amp;$D$3:$D$700,0))</f>
        <v>0</v>
      </c>
      <c r="S207">
        <f t="array" ref="S207">INDEX(H$3:H$700,MATCH($B207&amp;$C207&amp;"baseline",$B$3:$B$700&amp;$C$3:$C$700&amp;$D$3:$D$700,0))</f>
        <v>704.08439471057113</v>
      </c>
      <c r="T207">
        <f t="array" ref="T207">INDEX(I$3:I$700,MATCH($B207&amp;$C207&amp;"baseline",$B$3:$B$700&amp;$C$3:$C$700&amp;$D$3:$D$700,0))</f>
        <v>0.72428593662630647</v>
      </c>
      <c r="U207">
        <f t="array" ref="U207">INDEX(J$3:J$700,MATCH($B207&amp;$C207&amp;"baseline",$B$3:$B$700&amp;$C$3:$C$700&amp;$D$3:$D$700,0))</f>
        <v>0</v>
      </c>
      <c r="V207">
        <f t="array" ref="V207">INDEX(K$3:K$700,MATCH($B207&amp;$C207&amp;"baseline",$B$3:$B$700&amp;$C$3:$C$700&amp;$D$3:$D$700,0))</f>
        <v>4.8406443431191484</v>
      </c>
      <c r="W207">
        <f t="array" ref="W207">INDEX(L$3:L$700,MATCH($B207&amp;$C207&amp;"baseline",$B$3:$B$700&amp;$C$3:$C$700&amp;$D$3:$D$700,0))</f>
        <v>55.142302641816137</v>
      </c>
      <c r="X207">
        <f t="array" ref="X207">INDEX(M$3:M$700,MATCH($B207&amp;$C207&amp;"baseline",$B$3:$B$700&amp;$C$3:$C$700&amp;$D$3:$D$700,0))</f>
        <v>6.60609131364577</v>
      </c>
      <c r="Y207">
        <f t="array" ref="Y207">INDEX(N$3:N$700,MATCH($B207&amp;$C207&amp;"baseline",$B$3:$B$700&amp;$C$3:$C$700&amp;$D$3:$D$700,0))</f>
        <v>0</v>
      </c>
      <c r="Z207">
        <f t="array" ref="Z207">INDEX(O$3:O$700,MATCH($B207&amp;$C207&amp;"baseline",$B$3:$B$700&amp;$C$3:$C$700&amp;$D$3:$D$700,0))</f>
        <v>25.211186310734021</v>
      </c>
      <c r="AA207">
        <f t="array" ref="AA207">INDEX(P$3:P$700,MATCH($B207&amp;$C207&amp;"baseline",$B$3:$B$700&amp;$C$3:$C$700&amp;$D$3:$D$700,0))</f>
        <v>38.052172395504577</v>
      </c>
      <c r="AB207">
        <f t="array" ref="AB207">INDEX(Q$3:Q$700,MATCH($B207&amp;$C207&amp;"baseline",$B$3:$B$700&amp;$C$3:$C$700&amp;$D$3:$D$700,0))</f>
        <v>0</v>
      </c>
      <c r="AC207">
        <f t="shared" si="27"/>
        <v>834.66107765201707</v>
      </c>
      <c r="AD207">
        <f t="shared" si="28"/>
        <v>6.4431269779048534</v>
      </c>
      <c r="AE207">
        <f t="shared" si="29"/>
        <v>7.6985559347237853</v>
      </c>
      <c r="AF207">
        <f t="shared" si="30"/>
        <v>1.6943024290063422</v>
      </c>
      <c r="AG207">
        <f>(S207+V207+Y207)*constants!$O$2+(R207+T207+U207+W207+X207+Z207+AA207+AB207)*constants!$N$2</f>
        <v>25.692757994280711</v>
      </c>
      <c r="AH207">
        <f>((S207+V207+Y207)-(H207+K207+N207))*constants!$O$2</f>
        <v>0.10437865704205862</v>
      </c>
      <c r="AI207">
        <f>((R207+T207+U207+W207+X207+Z207+AA207+AB207)-(G207+I207+J207+L207+M207+O207+P207+Q207))*constants!$N$2</f>
        <v>0.86993682062378774</v>
      </c>
      <c r="AJ207">
        <f t="shared" si="31"/>
        <v>3.792179406674566</v>
      </c>
      <c r="AK207">
        <f t="shared" si="32"/>
        <v>0.97431547766584636</v>
      </c>
      <c r="AL207">
        <f>COUNTIFS($B:$B,$B207,$AK:$AK,"&lt;"&amp;$AK207)+COUNTIFS($B$2:$B207,$B207,$AK$2:$AK207,$AK207)</f>
        <v>41</v>
      </c>
      <c r="AM207" s="191">
        <f>IF(AK207=0, "NA",IF(((sim_annual_output!F207/E207)/AK207)&lt;0,100,((sim_annual_output!F207/E207)/AK207)))</f>
        <v>4.8544246794216983</v>
      </c>
      <c r="AN207">
        <f>(S207+V207)*constants!$F$2+(T207+U207+W207+X207+Y207+Z207+AA207+AB207)*constants!$G$2</f>
        <v>236287.93557115487</v>
      </c>
      <c r="AO207">
        <f>(AD207*constants!$F$2+AE207*constants!$G$2)</f>
        <v>7851.0633922546622</v>
      </c>
      <c r="AP207">
        <f t="shared" si="33"/>
        <v>3.3226679023104091</v>
      </c>
    </row>
    <row r="208" spans="1:42">
      <c r="A208">
        <f>sim_annual_output!B208</f>
        <v>12</v>
      </c>
      <c r="B208" t="str">
        <f>sim_annual_output!C208</f>
        <v>Maintenance Shop-Small</v>
      </c>
      <c r="C208" t="str">
        <f>sim_annual_output!D208</f>
        <v>1980-2004</v>
      </c>
      <c r="D208" t="str">
        <f>sim_annual_output!E208</f>
        <v>air_temp_reset_enabled</v>
      </c>
      <c r="E208" s="45">
        <f t="array" ref="E208">IFERROR(INDEX(baseline!$J$3:$J$201,MATCH($B208&amp;$C208,baseline!$C$3:$C$201&amp;baseline!$D$3:$D$201,0)),"NA")</f>
        <v>927</v>
      </c>
      <c r="F208">
        <f>sim_annual_output!G208</f>
        <v>923.71795399999996</v>
      </c>
      <c r="G208">
        <f>$E208/$F208^2*sim_annual_output!I208</f>
        <v>0</v>
      </c>
      <c r="H208">
        <f>$E208/$F208^2*sim_annual_output!J208</f>
        <v>379.69784870213334</v>
      </c>
      <c r="I208">
        <f>$E208/$F208^2*sim_annual_output!K208</f>
        <v>3.7572332962489647</v>
      </c>
      <c r="J208">
        <f>$E208/$F208^2*sim_annual_output!L208</f>
        <v>0</v>
      </c>
      <c r="K208">
        <f>$E208/$F208^2*sim_annual_output!M208</f>
        <v>4.8406443431191484</v>
      </c>
      <c r="L208">
        <f>$E208/$F208^2*sim_annual_output!N208</f>
        <v>55.142302641816137</v>
      </c>
      <c r="M208">
        <f>$E208/$F208^2*sim_annual_output!O208</f>
        <v>6.60609131364577</v>
      </c>
      <c r="N208">
        <f>$E208/$F208^2*sim_annual_output!P208</f>
        <v>0</v>
      </c>
      <c r="O208">
        <f>$E208/$F208^2*sim_annual_output!Q208</f>
        <v>14.938397442917571</v>
      </c>
      <c r="P208">
        <f>$E208/$F208^2*sim_annual_output!R208</f>
        <v>21.622953066364524</v>
      </c>
      <c r="Q208">
        <f>$E208/$F208^2*sim_annual_output!S208</f>
        <v>0</v>
      </c>
      <c r="R208">
        <f t="array" ref="R208">INDEX(G$3:G$700,MATCH($B208&amp;$C208&amp;"baseline",$B$3:$B$700&amp;$C$3:$C$700&amp;$D$3:$D$700,0))</f>
        <v>0</v>
      </c>
      <c r="S208">
        <f t="array" ref="S208">INDEX(H$3:H$700,MATCH($B208&amp;$C208&amp;"baseline",$B$3:$B$700&amp;$C$3:$C$700&amp;$D$3:$D$700,0))</f>
        <v>374.98395439792381</v>
      </c>
      <c r="T208">
        <f t="array" ref="T208">INDEX(I$3:I$700,MATCH($B208&amp;$C208&amp;"baseline",$B$3:$B$700&amp;$C$3:$C$700&amp;$D$3:$D$700,0))</f>
        <v>0.56132160088538763</v>
      </c>
      <c r="U208">
        <f t="array" ref="U208">INDEX(J$3:J$700,MATCH($B208&amp;$C208&amp;"baseline",$B$3:$B$700&amp;$C$3:$C$700&amp;$D$3:$D$700,0))</f>
        <v>0</v>
      </c>
      <c r="V208">
        <f t="array" ref="V208">INDEX(K$3:K$700,MATCH($B208&amp;$C208&amp;"baseline",$B$3:$B$700&amp;$C$3:$C$700&amp;$D$3:$D$700,0))</f>
        <v>4.8406443431191484</v>
      </c>
      <c r="W208">
        <f t="array" ref="W208">INDEX(L$3:L$700,MATCH($B208&amp;$C208&amp;"baseline",$B$3:$B$700&amp;$C$3:$C$700&amp;$D$3:$D$700,0))</f>
        <v>55.142302641816137</v>
      </c>
      <c r="X208">
        <f t="array" ref="X208">INDEX(M$3:M$700,MATCH($B208&amp;$C208&amp;"baseline",$B$3:$B$700&amp;$C$3:$C$700&amp;$D$3:$D$700,0))</f>
        <v>6.60609131364577</v>
      </c>
      <c r="Y208">
        <f t="array" ref="Y208">INDEX(N$3:N$700,MATCH($B208&amp;$C208&amp;"baseline",$B$3:$B$700&amp;$C$3:$C$700&amp;$D$3:$D$700,0))</f>
        <v>0</v>
      </c>
      <c r="Z208">
        <f t="array" ref="Z208">INDEX(O$3:O$700,MATCH($B208&amp;$C208&amp;"baseline",$B$3:$B$700&amp;$C$3:$C$700&amp;$D$3:$D$700,0))</f>
        <v>14.552111610050208</v>
      </c>
      <c r="AA208">
        <f t="array" ref="AA208">INDEX(P$3:P$700,MATCH($B208&amp;$C208&amp;"baseline",$B$3:$B$700&amp;$C$3:$C$700&amp;$D$3:$D$700,0))</f>
        <v>21.324185117506175</v>
      </c>
      <c r="AB208">
        <f t="array" ref="AB208">INDEX(Q$3:Q$700,MATCH($B208&amp;$C208&amp;"baseline",$B$3:$B$700&amp;$C$3:$C$700&amp;$D$3:$D$700,0))</f>
        <v>0</v>
      </c>
      <c r="AC208">
        <f t="shared" si="27"/>
        <v>478.01061102494657</v>
      </c>
      <c r="AD208">
        <f t="shared" si="28"/>
        <v>-4.713894304209532</v>
      </c>
      <c r="AE208">
        <f t="shared" si="29"/>
        <v>-3.8809654770893047</v>
      </c>
      <c r="AF208">
        <f t="shared" si="30"/>
        <v>-1.7980479058550201</v>
      </c>
      <c r="AG208">
        <f>(S208+V208+Y208)*constants!$O$2+(R208+T208+U208+W208+X208+Z208+AA208+AB208)*constants!$N$2</f>
        <v>17.248177887686012</v>
      </c>
      <c r="AH208">
        <f>((S208+V208+Y208)-(H208+K208+N208))*constants!$O$2</f>
        <v>-7.636508772819442E-2</v>
      </c>
      <c r="AI208">
        <f>((R208+T208+U208+W208+X208+Z208+AA208+AB208)-(G208+I208+J208+L208+M208+O208+P208+Q208))*constants!$N$2</f>
        <v>-0.43854909891109145</v>
      </c>
      <c r="AJ208">
        <f t="shared" si="31"/>
        <v>-2.9853251166136134</v>
      </c>
      <c r="AK208">
        <f t="shared" si="32"/>
        <v>-0.5149141866392859</v>
      </c>
      <c r="AL208">
        <f>COUNTIFS($B:$B,$B208,$AK:$AK,"&lt;"&amp;$AK208)+COUNTIFS($B$2:$B208,$B208,$AK$2:$AK208,$AK208)</f>
        <v>3</v>
      </c>
      <c r="AM208" s="191">
        <f>IF(AK208=0, "NA",IF(((sim_annual_output!F208/E208)/AK208)&lt;0,100,((sim_annual_output!F208/E208)/AK208)))</f>
        <v>100</v>
      </c>
      <c r="AN208">
        <f>(S208+V208)*constants!$F$2+(T208+U208+W208+X208+Y208+Z208+AA208+AB208)*constants!$G$2</f>
        <v>153410.4338616429</v>
      </c>
      <c r="AO208">
        <f>(AD208*constants!$F$2+AE208*constants!$G$2)</f>
        <v>-4220.227045521201</v>
      </c>
      <c r="AP208">
        <f t="shared" si="33"/>
        <v>-2.7509387329725694</v>
      </c>
    </row>
    <row r="209" spans="1:42">
      <c r="A209">
        <f>sim_annual_output!B209</f>
        <v>12</v>
      </c>
      <c r="B209" t="str">
        <f>sim_annual_output!C209</f>
        <v>Maintenance Shop-Small</v>
      </c>
      <c r="C209" t="str">
        <f>sim_annual_output!D209</f>
        <v>1980-2004</v>
      </c>
      <c r="D209" t="str">
        <f>sim_annual_output!E209</f>
        <v>baseline</v>
      </c>
      <c r="E209" s="45">
        <f t="array" ref="E209">IFERROR(INDEX(baseline!$J$3:$J$201,MATCH($B209&amp;$C209,baseline!$C$3:$C$201&amp;baseline!$D$3:$D$201,0)),"NA")</f>
        <v>927</v>
      </c>
      <c r="F209">
        <f>sim_annual_output!G209</f>
        <v>923.71795399999996</v>
      </c>
      <c r="G209">
        <f>$E209/$F209^2*sim_annual_output!I209</f>
        <v>0</v>
      </c>
      <c r="H209">
        <f>$E209/$F209^2*sim_annual_output!J209</f>
        <v>374.98395439792381</v>
      </c>
      <c r="I209">
        <f>$E209/$F209^2*sim_annual_output!K209</f>
        <v>0.56132160088538763</v>
      </c>
      <c r="J209">
        <f>$E209/$F209^2*sim_annual_output!L209</f>
        <v>0</v>
      </c>
      <c r="K209">
        <f>$E209/$F209^2*sim_annual_output!M209</f>
        <v>4.8406443431191484</v>
      </c>
      <c r="L209">
        <f>$E209/$F209^2*sim_annual_output!N209</f>
        <v>55.142302641816137</v>
      </c>
      <c r="M209">
        <f>$E209/$F209^2*sim_annual_output!O209</f>
        <v>6.60609131364577</v>
      </c>
      <c r="N209">
        <f>$E209/$F209^2*sim_annual_output!P209</f>
        <v>0</v>
      </c>
      <c r="O209">
        <f>$E209/$F209^2*sim_annual_output!Q209</f>
        <v>14.552111610050208</v>
      </c>
      <c r="P209">
        <f>$E209/$F209^2*sim_annual_output!R209</f>
        <v>21.324185117506175</v>
      </c>
      <c r="Q209">
        <f>$E209/$F209^2*sim_annual_output!S209</f>
        <v>0</v>
      </c>
      <c r="R209">
        <f t="array" ref="R209">INDEX(G$3:G$700,MATCH($B209&amp;$C209&amp;"baseline",$B$3:$B$700&amp;$C$3:$C$700&amp;$D$3:$D$700,0))</f>
        <v>0</v>
      </c>
      <c r="S209">
        <f t="array" ref="S209">INDEX(H$3:H$700,MATCH($B209&amp;$C209&amp;"baseline",$B$3:$B$700&amp;$C$3:$C$700&amp;$D$3:$D$700,0))</f>
        <v>374.98395439792381</v>
      </c>
      <c r="T209">
        <f t="array" ref="T209">INDEX(I$3:I$700,MATCH($B209&amp;$C209&amp;"baseline",$B$3:$B$700&amp;$C$3:$C$700&amp;$D$3:$D$700,0))</f>
        <v>0.56132160088538763</v>
      </c>
      <c r="U209">
        <f t="array" ref="U209">INDEX(J$3:J$700,MATCH($B209&amp;$C209&amp;"baseline",$B$3:$B$700&amp;$C$3:$C$700&amp;$D$3:$D$700,0))</f>
        <v>0</v>
      </c>
      <c r="V209">
        <f t="array" ref="V209">INDEX(K$3:K$700,MATCH($B209&amp;$C209&amp;"baseline",$B$3:$B$700&amp;$C$3:$C$700&amp;$D$3:$D$700,0))</f>
        <v>4.8406443431191484</v>
      </c>
      <c r="W209">
        <f t="array" ref="W209">INDEX(L$3:L$700,MATCH($B209&amp;$C209&amp;"baseline",$B$3:$B$700&amp;$C$3:$C$700&amp;$D$3:$D$700,0))</f>
        <v>55.142302641816137</v>
      </c>
      <c r="X209">
        <f t="array" ref="X209">INDEX(M$3:M$700,MATCH($B209&amp;$C209&amp;"baseline",$B$3:$B$700&amp;$C$3:$C$700&amp;$D$3:$D$700,0))</f>
        <v>6.60609131364577</v>
      </c>
      <c r="Y209">
        <f t="array" ref="Y209">INDEX(N$3:N$700,MATCH($B209&amp;$C209&amp;"baseline",$B$3:$B$700&amp;$C$3:$C$700&amp;$D$3:$D$700,0))</f>
        <v>0</v>
      </c>
      <c r="Z209">
        <f t="array" ref="Z209">INDEX(O$3:O$700,MATCH($B209&amp;$C209&amp;"baseline",$B$3:$B$700&amp;$C$3:$C$700&amp;$D$3:$D$700,0))</f>
        <v>14.552111610050208</v>
      </c>
      <c r="AA209">
        <f t="array" ref="AA209">INDEX(P$3:P$700,MATCH($B209&amp;$C209&amp;"baseline",$B$3:$B$700&amp;$C$3:$C$700&amp;$D$3:$D$700,0))</f>
        <v>21.324185117506175</v>
      </c>
      <c r="AB209">
        <f t="array" ref="AB209">INDEX(Q$3:Q$700,MATCH($B209&amp;$C209&amp;"baseline",$B$3:$B$700&amp;$C$3:$C$700&amp;$D$3:$D$700,0))</f>
        <v>0</v>
      </c>
      <c r="AC209">
        <f t="shared" si="27"/>
        <v>478.01061102494657</v>
      </c>
      <c r="AD209">
        <f t="shared" si="28"/>
        <v>0</v>
      </c>
      <c r="AE209">
        <f t="shared" si="29"/>
        <v>0</v>
      </c>
      <c r="AF209">
        <f t="shared" si="30"/>
        <v>0</v>
      </c>
      <c r="AG209">
        <f>(S209+V209+Y209)*constants!$O$2+(R209+T209+U209+W209+X209+Z209+AA209+AB209)*constants!$N$2</f>
        <v>17.248177887686012</v>
      </c>
      <c r="AH209">
        <f>((S209+V209+Y209)-(H209+K209+N209))*constants!$O$2</f>
        <v>0</v>
      </c>
      <c r="AI209">
        <f>((R209+T209+U209+W209+X209+Z209+AA209+AB209)-(G209+I209+J209+L209+M209+O209+P209+Q209))*constants!$N$2</f>
        <v>0</v>
      </c>
      <c r="AJ209">
        <f t="shared" si="31"/>
        <v>0</v>
      </c>
      <c r="AK209">
        <f t="shared" si="32"/>
        <v>0</v>
      </c>
      <c r="AL209">
        <f>COUNTIFS($B:$B,$B209,$AK:$AK,"&lt;"&amp;$AK209)+COUNTIFS($B$2:$B209,$B209,$AK$2:$AK209,$AK209)</f>
        <v>19</v>
      </c>
      <c r="AM209" s="191" t="str">
        <f>IF(AK209=0, "NA",IF(((sim_annual_output!F209/E209)/AK209)&lt;0,100,((sim_annual_output!F209/E209)/AK209)))</f>
        <v>NA</v>
      </c>
      <c r="AN209">
        <f>(S209+V209)*constants!$F$2+(T209+U209+W209+X209+Y209+Z209+AA209+AB209)*constants!$G$2</f>
        <v>153410.4338616429</v>
      </c>
      <c r="AO209">
        <f>(AD209*constants!$F$2+AE209*constants!$G$2)</f>
        <v>0</v>
      </c>
      <c r="AP209">
        <f t="shared" si="33"/>
        <v>0</v>
      </c>
    </row>
    <row r="210" spans="1:42">
      <c r="A210">
        <f>sim_annual_output!B210</f>
        <v>12</v>
      </c>
      <c r="B210" t="str">
        <f>sim_annual_output!C210</f>
        <v>Maintenance Shop-Small</v>
      </c>
      <c r="C210" t="str">
        <f>sim_annual_output!D210</f>
        <v>1980-2004</v>
      </c>
      <c r="D210" t="str">
        <f>sim_annual_output!E210</f>
        <v>boiler_eff_upgrade</v>
      </c>
      <c r="E210" s="45">
        <f t="array" ref="E210">IFERROR(INDEX(baseline!$J$3:$J$201,MATCH($B210&amp;$C210,baseline!$C$3:$C$201&amp;baseline!$D$3:$D$201,0)),"NA")</f>
        <v>927</v>
      </c>
      <c r="F210">
        <f>sim_annual_output!G210</f>
        <v>923.71795399999996</v>
      </c>
      <c r="G210">
        <f>$E210/$F210^2*sim_annual_output!I210</f>
        <v>0</v>
      </c>
      <c r="H210">
        <f>$E210/$F210^2*sim_annual_output!J210</f>
        <v>372.45800719393952</v>
      </c>
      <c r="I210">
        <f>$E210/$F210^2*sim_annual_output!K210</f>
        <v>1.0743574726623546</v>
      </c>
      <c r="J210">
        <f>$E210/$F210^2*sim_annual_output!L210</f>
        <v>0</v>
      </c>
      <c r="K210">
        <f>$E210/$F210^2*sim_annual_output!M210</f>
        <v>4.8406443431191484</v>
      </c>
      <c r="L210">
        <f>$E210/$F210^2*sim_annual_output!N210</f>
        <v>55.142302641816137</v>
      </c>
      <c r="M210">
        <f>$E210/$F210^2*sim_annual_output!O210</f>
        <v>6.60609131364577</v>
      </c>
      <c r="N210">
        <f>$E210/$F210^2*sim_annual_output!P210</f>
        <v>0</v>
      </c>
      <c r="O210">
        <f>$E210/$F210^2*sim_annual_output!Q210</f>
        <v>14.690933081236915</v>
      </c>
      <c r="P210">
        <f>$E210/$F210^2*sim_annual_output!R210</f>
        <v>21.435845866069393</v>
      </c>
      <c r="Q210">
        <f>$E210/$F210^2*sim_annual_output!S210</f>
        <v>0</v>
      </c>
      <c r="R210">
        <f t="array" ref="R210">INDEX(G$3:G$700,MATCH($B210&amp;$C210&amp;"baseline",$B$3:$B$700&amp;$C$3:$C$700&amp;$D$3:$D$700,0))</f>
        <v>0</v>
      </c>
      <c r="S210">
        <f t="array" ref="S210">INDEX(H$3:H$700,MATCH($B210&amp;$C210&amp;"baseline",$B$3:$B$700&amp;$C$3:$C$700&amp;$D$3:$D$700,0))</f>
        <v>374.98395439792381</v>
      </c>
      <c r="T210">
        <f t="array" ref="T210">INDEX(I$3:I$700,MATCH($B210&amp;$C210&amp;"baseline",$B$3:$B$700&amp;$C$3:$C$700&amp;$D$3:$D$700,0))</f>
        <v>0.56132160088538763</v>
      </c>
      <c r="U210">
        <f t="array" ref="U210">INDEX(J$3:J$700,MATCH($B210&amp;$C210&amp;"baseline",$B$3:$B$700&amp;$C$3:$C$700&amp;$D$3:$D$700,0))</f>
        <v>0</v>
      </c>
      <c r="V210">
        <f t="array" ref="V210">INDEX(K$3:K$700,MATCH($B210&amp;$C210&amp;"baseline",$B$3:$B$700&amp;$C$3:$C$700&amp;$D$3:$D$700,0))</f>
        <v>4.8406443431191484</v>
      </c>
      <c r="W210">
        <f t="array" ref="W210">INDEX(L$3:L$700,MATCH($B210&amp;$C210&amp;"baseline",$B$3:$B$700&amp;$C$3:$C$700&amp;$D$3:$D$700,0))</f>
        <v>55.142302641816137</v>
      </c>
      <c r="X210">
        <f t="array" ref="X210">INDEX(M$3:M$700,MATCH($B210&amp;$C210&amp;"baseline",$B$3:$B$700&amp;$C$3:$C$700&amp;$D$3:$D$700,0))</f>
        <v>6.60609131364577</v>
      </c>
      <c r="Y210">
        <f t="array" ref="Y210">INDEX(N$3:N$700,MATCH($B210&amp;$C210&amp;"baseline",$B$3:$B$700&amp;$C$3:$C$700&amp;$D$3:$D$700,0))</f>
        <v>0</v>
      </c>
      <c r="Z210">
        <f t="array" ref="Z210">INDEX(O$3:O$700,MATCH($B210&amp;$C210&amp;"baseline",$B$3:$B$700&amp;$C$3:$C$700&amp;$D$3:$D$700,0))</f>
        <v>14.552111610050208</v>
      </c>
      <c r="AA210">
        <f t="array" ref="AA210">INDEX(P$3:P$700,MATCH($B210&amp;$C210&amp;"baseline",$B$3:$B$700&amp;$C$3:$C$700&amp;$D$3:$D$700,0))</f>
        <v>21.324185117506175</v>
      </c>
      <c r="AB210">
        <f t="array" ref="AB210">INDEX(Q$3:Q$700,MATCH($B210&amp;$C210&amp;"baseline",$B$3:$B$700&amp;$C$3:$C$700&amp;$D$3:$D$700,0))</f>
        <v>0</v>
      </c>
      <c r="AC210">
        <f t="shared" si="27"/>
        <v>478.01061102494657</v>
      </c>
      <c r="AD210">
        <f t="shared" si="28"/>
        <v>2.5259472039842876</v>
      </c>
      <c r="AE210">
        <f t="shared" si="29"/>
        <v>-0.76351809152690464</v>
      </c>
      <c r="AF210">
        <f t="shared" si="30"/>
        <v>0.36870083462758207</v>
      </c>
      <c r="AG210">
        <f>(S210+V210+Y210)*constants!$O$2+(R210+T210+U210+W210+X210+Z210+AA210+AB210)*constants!$N$2</f>
        <v>17.248177887686012</v>
      </c>
      <c r="AH210">
        <f>((S210+V210+Y210)-(H210+K210+N210))*constants!$O$2</f>
        <v>4.0920344704545454E-2</v>
      </c>
      <c r="AI210">
        <f>((R210+T210+U210+W210+X210+Z210+AA210+AB210)-(G210+I210+J210+L210+M210+O210+P210+Q210))*constants!$N$2</f>
        <v>-8.627754434254023E-2</v>
      </c>
      <c r="AJ210">
        <f t="shared" si="31"/>
        <v>-0.2629680649941385</v>
      </c>
      <c r="AK210">
        <f t="shared" si="32"/>
        <v>-4.5357199637994776E-2</v>
      </c>
      <c r="AL210">
        <f>COUNTIFS($B:$B,$B210,$AK:$AK,"&lt;"&amp;$AK210)+COUNTIFS($B$2:$B210,$B210,$AK$2:$AK210,$AK210)</f>
        <v>8</v>
      </c>
      <c r="AM210" s="191">
        <f>IF(AK210=0, "NA",IF(((sim_annual_output!F210/E210)/AK210)&lt;0,100,((sim_annual_output!F210/E210)/AK210)))</f>
        <v>100</v>
      </c>
      <c r="AN210">
        <f>(S210+V210)*constants!$F$2+(T210+U210+W210+X210+Y210+Z210+AA210+AB210)*constants!$G$2</f>
        <v>153410.4338616429</v>
      </c>
      <c r="AO210">
        <f>(AD210*constants!$F$2+AE210*constants!$G$2)</f>
        <v>-212.11619011521952</v>
      </c>
      <c r="AP210">
        <f t="shared" si="33"/>
        <v>-0.13826712093554333</v>
      </c>
    </row>
    <row r="211" spans="1:42">
      <c r="A211">
        <f>sim_annual_output!B211</f>
        <v>12</v>
      </c>
      <c r="B211" t="str">
        <f>sim_annual_output!C211</f>
        <v>Maintenance Shop-Small</v>
      </c>
      <c r="C211" t="str">
        <f>sim_annual_output!D211</f>
        <v>1980-2004</v>
      </c>
      <c r="D211" t="str">
        <f>sim_annual_output!E211</f>
        <v>boiler_reset</v>
      </c>
      <c r="E211" s="45">
        <f t="array" ref="E211">IFERROR(INDEX(baseline!$J$3:$J$201,MATCH($B211&amp;$C211,baseline!$C$3:$C$201&amp;baseline!$D$3:$D$201,0)),"NA")</f>
        <v>927</v>
      </c>
      <c r="F211">
        <f>sim_annual_output!G211</f>
        <v>923.71795399999996</v>
      </c>
      <c r="G211">
        <f>$E211/$F211^2*sim_annual_output!I211</f>
        <v>0</v>
      </c>
      <c r="H211">
        <f>$E211/$F211^2*sim_annual_output!J211</f>
        <v>230.79974942211112</v>
      </c>
      <c r="I211">
        <f>$E211/$F211^2*sim_annual_output!K211</f>
        <v>1.0743574726623546</v>
      </c>
      <c r="J211">
        <f>$E211/$F211^2*sim_annual_output!L211</f>
        <v>0</v>
      </c>
      <c r="K211">
        <f>$E211/$F211^2*sim_annual_output!M211</f>
        <v>4.8406443431191484</v>
      </c>
      <c r="L211">
        <f>$E211/$F211^2*sim_annual_output!N211</f>
        <v>55.142302641816137</v>
      </c>
      <c r="M211">
        <f>$E211/$F211^2*sim_annual_output!O211</f>
        <v>6.60609131364577</v>
      </c>
      <c r="N211">
        <f>$E211/$F211^2*sim_annual_output!P211</f>
        <v>0</v>
      </c>
      <c r="O211">
        <f>$E211/$F211^2*sim_annual_output!Q211</f>
        <v>14.690933081236915</v>
      </c>
      <c r="P211">
        <f>$E211/$F211^2*sim_annual_output!R211</f>
        <v>21.435845866069393</v>
      </c>
      <c r="Q211">
        <f>$E211/$F211^2*sim_annual_output!S211</f>
        <v>0</v>
      </c>
      <c r="R211">
        <f t="array" ref="R211">INDEX(G$3:G$700,MATCH($B211&amp;$C211&amp;"baseline",$B$3:$B$700&amp;$C$3:$C$700&amp;$D$3:$D$700,0))</f>
        <v>0</v>
      </c>
      <c r="S211">
        <f t="array" ref="S211">INDEX(H$3:H$700,MATCH($B211&amp;$C211&amp;"baseline",$B$3:$B$700&amp;$C$3:$C$700&amp;$D$3:$D$700,0))</f>
        <v>374.98395439792381</v>
      </c>
      <c r="T211">
        <f t="array" ref="T211">INDEX(I$3:I$700,MATCH($B211&amp;$C211&amp;"baseline",$B$3:$B$700&amp;$C$3:$C$700&amp;$D$3:$D$700,0))</f>
        <v>0.56132160088538763</v>
      </c>
      <c r="U211">
        <f t="array" ref="U211">INDEX(J$3:J$700,MATCH($B211&amp;$C211&amp;"baseline",$B$3:$B$700&amp;$C$3:$C$700&amp;$D$3:$D$700,0))</f>
        <v>0</v>
      </c>
      <c r="V211">
        <f t="array" ref="V211">INDEX(K$3:K$700,MATCH($B211&amp;$C211&amp;"baseline",$B$3:$B$700&amp;$C$3:$C$700&amp;$D$3:$D$700,0))</f>
        <v>4.8406443431191484</v>
      </c>
      <c r="W211">
        <f t="array" ref="W211">INDEX(L$3:L$700,MATCH($B211&amp;$C211&amp;"baseline",$B$3:$B$700&amp;$C$3:$C$700&amp;$D$3:$D$700,0))</f>
        <v>55.142302641816137</v>
      </c>
      <c r="X211">
        <f t="array" ref="X211">INDEX(M$3:M$700,MATCH($B211&amp;$C211&amp;"baseline",$B$3:$B$700&amp;$C$3:$C$700&amp;$D$3:$D$700,0))</f>
        <v>6.60609131364577</v>
      </c>
      <c r="Y211">
        <f t="array" ref="Y211">INDEX(N$3:N$700,MATCH($B211&amp;$C211&amp;"baseline",$B$3:$B$700&amp;$C$3:$C$700&amp;$D$3:$D$700,0))</f>
        <v>0</v>
      </c>
      <c r="Z211">
        <f t="array" ref="Z211">INDEX(O$3:O$700,MATCH($B211&amp;$C211&amp;"baseline",$B$3:$B$700&amp;$C$3:$C$700&amp;$D$3:$D$700,0))</f>
        <v>14.552111610050208</v>
      </c>
      <c r="AA211">
        <f t="array" ref="AA211">INDEX(P$3:P$700,MATCH($B211&amp;$C211&amp;"baseline",$B$3:$B$700&amp;$C$3:$C$700&amp;$D$3:$D$700,0))</f>
        <v>21.324185117506175</v>
      </c>
      <c r="AB211">
        <f t="array" ref="AB211">INDEX(Q$3:Q$700,MATCH($B211&amp;$C211&amp;"baseline",$B$3:$B$700&amp;$C$3:$C$700&amp;$D$3:$D$700,0))</f>
        <v>0</v>
      </c>
      <c r="AC211">
        <f t="shared" si="27"/>
        <v>478.01061102494657</v>
      </c>
      <c r="AD211">
        <f t="shared" si="28"/>
        <v>144.18420497581269</v>
      </c>
      <c r="AE211">
        <f t="shared" si="29"/>
        <v>-0.76351809152690464</v>
      </c>
      <c r="AF211">
        <f t="shared" si="30"/>
        <v>30.003661754864453</v>
      </c>
      <c r="AG211">
        <f>(S211+V211+Y211)*constants!$O$2+(R211+T211+U211+W211+X211+Z211+AA211+AB211)*constants!$N$2</f>
        <v>17.248177887686012</v>
      </c>
      <c r="AH211">
        <f>((S211+V211+Y211)-(H211+K211+N211))*constants!$O$2</f>
        <v>2.3357841206081655</v>
      </c>
      <c r="AI211">
        <f>((R211+T211+U211+W211+X211+Z211+AA211+AB211)-(G211+I211+J211+L211+M211+O211+P211+Q211))*constants!$N$2</f>
        <v>-8.627754434254023E-2</v>
      </c>
      <c r="AJ211">
        <f t="shared" si="31"/>
        <v>13.041995455482953</v>
      </c>
      <c r="AK211">
        <f t="shared" si="32"/>
        <v>2.2495065762656252</v>
      </c>
      <c r="AL211">
        <f>COUNTIFS($B:$B,$B211,$AK:$AK,"&lt;"&amp;$AK211)+COUNTIFS($B$2:$B211,$B211,$AK$2:$AK211,$AK211)</f>
        <v>52</v>
      </c>
      <c r="AM211" s="191">
        <f>IF(AK211=0, "NA",IF(((sim_annual_output!F211/E211)/AK211)&lt;0,100,((sim_annual_output!F211/E211)/AK211)))</f>
        <v>0.44556337163136117</v>
      </c>
      <c r="AN211">
        <f>(S211+V211)*constants!$F$2+(T211+U211+W211+X211+Y211+Z211+AA211+AB211)*constants!$G$2</f>
        <v>153410.4338616429</v>
      </c>
      <c r="AO211">
        <f>(AD211*constants!$F$2+AE211*constants!$G$2)</f>
        <v>25144.711951042063</v>
      </c>
      <c r="AP211">
        <f t="shared" si="33"/>
        <v>16.390483566273893</v>
      </c>
    </row>
    <row r="212" spans="1:42">
      <c r="A212">
        <f>sim_annual_output!B212</f>
        <v>12</v>
      </c>
      <c r="B212" t="str">
        <f>sim_annual_output!C212</f>
        <v>Maintenance Shop-Small</v>
      </c>
      <c r="C212" t="str">
        <f>sim_annual_output!D212</f>
        <v>1980-2004</v>
      </c>
      <c r="D212" t="str">
        <f>sim_annual_output!E212</f>
        <v>cooling_cop_3_0</v>
      </c>
      <c r="E212" s="45">
        <f t="array" ref="E212">IFERROR(INDEX(baseline!$J$3:$J$201,MATCH($B212&amp;$C212,baseline!$C$3:$C$201&amp;baseline!$D$3:$D$201,0)),"NA")</f>
        <v>927</v>
      </c>
      <c r="F212">
        <f>sim_annual_output!G212</f>
        <v>923.71795399999996</v>
      </c>
      <c r="G212">
        <f>$E212/$F212^2*sim_annual_output!I212</f>
        <v>0</v>
      </c>
      <c r="H212">
        <f>$E212/$F212^2*sim_annual_output!J212</f>
        <v>372.45800719393952</v>
      </c>
      <c r="I212">
        <f>$E212/$F212^2*sim_annual_output!K212</f>
        <v>0.92044671112926446</v>
      </c>
      <c r="J212">
        <f>$E212/$F212^2*sim_annual_output!L212</f>
        <v>0</v>
      </c>
      <c r="K212">
        <f>$E212/$F212^2*sim_annual_output!M212</f>
        <v>4.8406443431191484</v>
      </c>
      <c r="L212">
        <f>$E212/$F212^2*sim_annual_output!N212</f>
        <v>55.142302641816137</v>
      </c>
      <c r="M212">
        <f>$E212/$F212^2*sim_annual_output!O212</f>
        <v>6.60609131364577</v>
      </c>
      <c r="N212">
        <f>$E212/$F212^2*sim_annual_output!P212</f>
        <v>0</v>
      </c>
      <c r="O212">
        <f>$E212/$F212^2*sim_annual_output!Q212</f>
        <v>14.690933081236915</v>
      </c>
      <c r="P212">
        <f>$E212/$F212^2*sim_annual_output!R212</f>
        <v>21.435845866069393</v>
      </c>
      <c r="Q212">
        <f>$E212/$F212^2*sim_annual_output!S212</f>
        <v>0</v>
      </c>
      <c r="R212">
        <f t="array" ref="R212">INDEX(G$3:G$700,MATCH($B212&amp;$C212&amp;"baseline",$B$3:$B$700&amp;$C$3:$C$700&amp;$D$3:$D$700,0))</f>
        <v>0</v>
      </c>
      <c r="S212">
        <f t="array" ref="S212">INDEX(H$3:H$700,MATCH($B212&amp;$C212&amp;"baseline",$B$3:$B$700&amp;$C$3:$C$700&amp;$D$3:$D$700,0))</f>
        <v>374.98395439792381</v>
      </c>
      <c r="T212">
        <f t="array" ref="T212">INDEX(I$3:I$700,MATCH($B212&amp;$C212&amp;"baseline",$B$3:$B$700&amp;$C$3:$C$700&amp;$D$3:$D$700,0))</f>
        <v>0.56132160088538763</v>
      </c>
      <c r="U212">
        <f t="array" ref="U212">INDEX(J$3:J$700,MATCH($B212&amp;$C212&amp;"baseline",$B$3:$B$700&amp;$C$3:$C$700&amp;$D$3:$D$700,0))</f>
        <v>0</v>
      </c>
      <c r="V212">
        <f t="array" ref="V212">INDEX(K$3:K$700,MATCH($B212&amp;$C212&amp;"baseline",$B$3:$B$700&amp;$C$3:$C$700&amp;$D$3:$D$700,0))</f>
        <v>4.8406443431191484</v>
      </c>
      <c r="W212">
        <f t="array" ref="W212">INDEX(L$3:L$700,MATCH($B212&amp;$C212&amp;"baseline",$B$3:$B$700&amp;$C$3:$C$700&amp;$D$3:$D$700,0))</f>
        <v>55.142302641816137</v>
      </c>
      <c r="X212">
        <f t="array" ref="X212">INDEX(M$3:M$700,MATCH($B212&amp;$C212&amp;"baseline",$B$3:$B$700&amp;$C$3:$C$700&amp;$D$3:$D$700,0))</f>
        <v>6.60609131364577</v>
      </c>
      <c r="Y212">
        <f t="array" ref="Y212">INDEX(N$3:N$700,MATCH($B212&amp;$C212&amp;"baseline",$B$3:$B$700&amp;$C$3:$C$700&amp;$D$3:$D$700,0))</f>
        <v>0</v>
      </c>
      <c r="Z212">
        <f t="array" ref="Z212">INDEX(O$3:O$700,MATCH($B212&amp;$C212&amp;"baseline",$B$3:$B$700&amp;$C$3:$C$700&amp;$D$3:$D$700,0))</f>
        <v>14.552111610050208</v>
      </c>
      <c r="AA212">
        <f t="array" ref="AA212">INDEX(P$3:P$700,MATCH($B212&amp;$C212&amp;"baseline",$B$3:$B$700&amp;$C$3:$C$700&amp;$D$3:$D$700,0))</f>
        <v>21.324185117506175</v>
      </c>
      <c r="AB212">
        <f t="array" ref="AB212">INDEX(Q$3:Q$700,MATCH($B212&amp;$C212&amp;"baseline",$B$3:$B$700&amp;$C$3:$C$700&amp;$D$3:$D$700,0))</f>
        <v>0</v>
      </c>
      <c r="AC212">
        <f t="shared" si="27"/>
        <v>478.01061102494657</v>
      </c>
      <c r="AD212">
        <f t="shared" si="28"/>
        <v>2.5259472039842876</v>
      </c>
      <c r="AE212">
        <f t="shared" si="29"/>
        <v>-0.60960732999380696</v>
      </c>
      <c r="AF212">
        <f t="shared" si="30"/>
        <v>0.40089902395293692</v>
      </c>
      <c r="AG212">
        <f>(S212+V212+Y212)*constants!$O$2+(R212+T212+U212+W212+X212+Z212+AA212+AB212)*constants!$N$2</f>
        <v>17.248177887686012</v>
      </c>
      <c r="AH212">
        <f>((S212+V212+Y212)-(H212+K212+N212))*constants!$O$2</f>
        <v>4.0920344704545454E-2</v>
      </c>
      <c r="AI212">
        <f>((R212+T212+U212+W212+X212+Z212+AA212+AB212)-(G212+I212+J212+L212+M212+O212+P212+Q212))*constants!$N$2</f>
        <v>-6.8885628289300185E-2</v>
      </c>
      <c r="AJ212">
        <f t="shared" si="31"/>
        <v>-0.16213471223948808</v>
      </c>
      <c r="AK212">
        <f t="shared" si="32"/>
        <v>-2.7965283584754731E-2</v>
      </c>
      <c r="AL212">
        <f>COUNTIFS($B:$B,$B212,$AK:$AK,"&lt;"&amp;$AK212)+COUNTIFS($B$2:$B212,$B212,$AK$2:$AK212,$AK212)</f>
        <v>13</v>
      </c>
      <c r="AM212" s="191">
        <f>IF(AK212=0, "NA",IF(((sim_annual_output!F212/E212)/AK212)&lt;0,100,((sim_annual_output!F212/E212)/AK212)))</f>
        <v>100</v>
      </c>
      <c r="AN212">
        <f>(S212+V212)*constants!$F$2+(T212+U212+W212+X212+Y212+Z212+AA212+AB212)*constants!$G$2</f>
        <v>153410.4338616429</v>
      </c>
      <c r="AO212">
        <f>(AD212*constants!$F$2+AE212*constants!$G$2)</f>
        <v>-78.213827581424539</v>
      </c>
      <c r="AP212">
        <f t="shared" si="33"/>
        <v>-5.098338203773263E-2</v>
      </c>
    </row>
    <row r="213" spans="1:42">
      <c r="A213">
        <f>sim_annual_output!B213</f>
        <v>12</v>
      </c>
      <c r="B213" t="str">
        <f>sim_annual_output!C213</f>
        <v>Maintenance Shop-Small</v>
      </c>
      <c r="C213" t="str">
        <f>sim_annual_output!D213</f>
        <v>1980-2004</v>
      </c>
      <c r="D213" t="str">
        <f>sim_annual_output!E213</f>
        <v>dcv_enabled</v>
      </c>
      <c r="E213" s="45">
        <f t="array" ref="E213">IFERROR(INDEX(baseline!$J$3:$J$201,MATCH($B213&amp;$C213,baseline!$C$3:$C$201&amp;baseline!$D$3:$D$201,0)),"NA")</f>
        <v>927</v>
      </c>
      <c r="F213">
        <f>sim_annual_output!G213</f>
        <v>923.71795399999996</v>
      </c>
      <c r="G213">
        <f>$E213/$F213^2*sim_annual_output!I213</f>
        <v>0</v>
      </c>
      <c r="H213">
        <f>$E213/$F213^2*sim_annual_output!J213</f>
        <v>372.45800719393952</v>
      </c>
      <c r="I213">
        <f>$E213/$F213^2*sim_annual_output!K213</f>
        <v>1.0743574726623546</v>
      </c>
      <c r="J213">
        <f>$E213/$F213^2*sim_annual_output!L213</f>
        <v>0</v>
      </c>
      <c r="K213">
        <f>$E213/$F213^2*sim_annual_output!M213</f>
        <v>4.8406443431191484</v>
      </c>
      <c r="L213">
        <f>$E213/$F213^2*sim_annual_output!N213</f>
        <v>55.142302641816137</v>
      </c>
      <c r="M213">
        <f>$E213/$F213^2*sim_annual_output!O213</f>
        <v>6.60609131364577</v>
      </c>
      <c r="N213">
        <f>$E213/$F213^2*sim_annual_output!P213</f>
        <v>0</v>
      </c>
      <c r="O213">
        <f>$E213/$F213^2*sim_annual_output!Q213</f>
        <v>14.690933081236915</v>
      </c>
      <c r="P213">
        <f>$E213/$F213^2*sim_annual_output!R213</f>
        <v>21.435845866069393</v>
      </c>
      <c r="Q213">
        <f>$E213/$F213^2*sim_annual_output!S213</f>
        <v>0</v>
      </c>
      <c r="R213">
        <f t="array" ref="R213">INDEX(G$3:G$700,MATCH($B213&amp;$C213&amp;"baseline",$B$3:$B$700&amp;$C$3:$C$700&amp;$D$3:$D$700,0))</f>
        <v>0</v>
      </c>
      <c r="S213">
        <f t="array" ref="S213">INDEX(H$3:H$700,MATCH($B213&amp;$C213&amp;"baseline",$B$3:$B$700&amp;$C$3:$C$700&amp;$D$3:$D$700,0))</f>
        <v>374.98395439792381</v>
      </c>
      <c r="T213">
        <f t="array" ref="T213">INDEX(I$3:I$700,MATCH($B213&amp;$C213&amp;"baseline",$B$3:$B$700&amp;$C$3:$C$700&amp;$D$3:$D$700,0))</f>
        <v>0.56132160088538763</v>
      </c>
      <c r="U213">
        <f t="array" ref="U213">INDEX(J$3:J$700,MATCH($B213&amp;$C213&amp;"baseline",$B$3:$B$700&amp;$C$3:$C$700&amp;$D$3:$D$700,0))</f>
        <v>0</v>
      </c>
      <c r="V213">
        <f t="array" ref="V213">INDEX(K$3:K$700,MATCH($B213&amp;$C213&amp;"baseline",$B$3:$B$700&amp;$C$3:$C$700&amp;$D$3:$D$700,0))</f>
        <v>4.8406443431191484</v>
      </c>
      <c r="W213">
        <f t="array" ref="W213">INDEX(L$3:L$700,MATCH($B213&amp;$C213&amp;"baseline",$B$3:$B$700&amp;$C$3:$C$700&amp;$D$3:$D$700,0))</f>
        <v>55.142302641816137</v>
      </c>
      <c r="X213">
        <f t="array" ref="X213">INDEX(M$3:M$700,MATCH($B213&amp;$C213&amp;"baseline",$B$3:$B$700&amp;$C$3:$C$700&amp;$D$3:$D$700,0))</f>
        <v>6.60609131364577</v>
      </c>
      <c r="Y213">
        <f t="array" ref="Y213">INDEX(N$3:N$700,MATCH($B213&amp;$C213&amp;"baseline",$B$3:$B$700&amp;$C$3:$C$700&amp;$D$3:$D$700,0))</f>
        <v>0</v>
      </c>
      <c r="Z213">
        <f t="array" ref="Z213">INDEX(O$3:O$700,MATCH($B213&amp;$C213&amp;"baseline",$B$3:$B$700&amp;$C$3:$C$700&amp;$D$3:$D$700,0))</f>
        <v>14.552111610050208</v>
      </c>
      <c r="AA213">
        <f t="array" ref="AA213">INDEX(P$3:P$700,MATCH($B213&amp;$C213&amp;"baseline",$B$3:$B$700&amp;$C$3:$C$700&amp;$D$3:$D$700,0))</f>
        <v>21.324185117506175</v>
      </c>
      <c r="AB213">
        <f t="array" ref="AB213">INDEX(Q$3:Q$700,MATCH($B213&amp;$C213&amp;"baseline",$B$3:$B$700&amp;$C$3:$C$700&amp;$D$3:$D$700,0))</f>
        <v>0</v>
      </c>
      <c r="AC213">
        <f t="shared" si="27"/>
        <v>478.01061102494657</v>
      </c>
      <c r="AD213">
        <f t="shared" si="28"/>
        <v>2.5259472039842876</v>
      </c>
      <c r="AE213">
        <f t="shared" si="29"/>
        <v>-0.76351809152690464</v>
      </c>
      <c r="AF213">
        <f t="shared" si="30"/>
        <v>0.36870083462758207</v>
      </c>
      <c r="AG213">
        <f>(S213+V213+Y213)*constants!$O$2+(R213+T213+U213+W213+X213+Z213+AA213+AB213)*constants!$N$2</f>
        <v>17.248177887686012</v>
      </c>
      <c r="AH213">
        <f>((S213+V213+Y213)-(H213+K213+N213))*constants!$O$2</f>
        <v>4.0920344704545454E-2</v>
      </c>
      <c r="AI213">
        <f>((R213+T213+U213+W213+X213+Z213+AA213+AB213)-(G213+I213+J213+L213+M213+O213+P213+Q213))*constants!$N$2</f>
        <v>-8.627754434254023E-2</v>
      </c>
      <c r="AJ213">
        <f t="shared" si="31"/>
        <v>-0.2629680649941385</v>
      </c>
      <c r="AK213">
        <f t="shared" si="32"/>
        <v>-4.5357199637994776E-2</v>
      </c>
      <c r="AL213">
        <f>COUNTIFS($B:$B,$B213,$AK:$AK,"&lt;"&amp;$AK213)+COUNTIFS($B$2:$B213,$B213,$AK$2:$AK213,$AK213)</f>
        <v>9</v>
      </c>
      <c r="AM213" s="191">
        <f>IF(AK213=0, "NA",IF(((sim_annual_output!F213/E213)/AK213)&lt;0,100,((sim_annual_output!F213/E213)/AK213)))</f>
        <v>100</v>
      </c>
      <c r="AN213">
        <f>(S213+V213)*constants!$F$2+(T213+U213+W213+X213+Y213+Z213+AA213+AB213)*constants!$G$2</f>
        <v>153410.4338616429</v>
      </c>
      <c r="AO213">
        <f>(AD213*constants!$F$2+AE213*constants!$G$2)</f>
        <v>-212.11619011521952</v>
      </c>
      <c r="AP213">
        <f t="shared" si="33"/>
        <v>-0.13826712093554333</v>
      </c>
    </row>
    <row r="214" spans="1:42">
      <c r="A214">
        <f>sim_annual_output!B214</f>
        <v>12</v>
      </c>
      <c r="B214" t="str">
        <f>sim_annual_output!C214</f>
        <v>Maintenance Shop-Small</v>
      </c>
      <c r="C214" t="str">
        <f>sim_annual_output!D214</f>
        <v>1980-2004</v>
      </c>
      <c r="D214" t="str">
        <f>sim_annual_output!E214</f>
        <v>ecm_cold_deck_reset_control</v>
      </c>
      <c r="E214" s="45">
        <f t="array" ref="E214">IFERROR(INDEX(baseline!$J$3:$J$201,MATCH($B214&amp;$C214,baseline!$C$3:$C$201&amp;baseline!$D$3:$D$201,0)),"NA")</f>
        <v>927</v>
      </c>
      <c r="F214">
        <f>sim_annual_output!G214</f>
        <v>923.71795399999996</v>
      </c>
      <c r="G214">
        <f>$E214/$F214^2*sim_annual_output!I214</f>
        <v>0</v>
      </c>
      <c r="H214">
        <f>$E214/$F214^2*sim_annual_output!J214</f>
        <v>371.73372125731328</v>
      </c>
      <c r="I214">
        <f>$E214/$F214^2*sim_annual_output!K214</f>
        <v>2.7673758495263461</v>
      </c>
      <c r="J214">
        <f>$E214/$F214^2*sim_annual_output!L214</f>
        <v>0</v>
      </c>
      <c r="K214">
        <f>$E214/$F214^2*sim_annual_output!M214</f>
        <v>4.8406443431191484</v>
      </c>
      <c r="L214">
        <f>$E214/$F214^2*sim_annual_output!N214</f>
        <v>55.142302641816137</v>
      </c>
      <c r="M214">
        <f>$E214/$F214^2*sim_annual_output!O214</f>
        <v>6.60609131364577</v>
      </c>
      <c r="N214">
        <f>$E214/$F214^2*sim_annual_output!P214</f>
        <v>0</v>
      </c>
      <c r="O214">
        <f>$E214/$F214^2*sim_annual_output!Q214</f>
        <v>15.333736849992764</v>
      </c>
      <c r="P214">
        <f>$E214/$F214^2*sim_annual_output!R214</f>
        <v>20.986185013747232</v>
      </c>
      <c r="Q214">
        <f>$E214/$F214^2*sim_annual_output!S214</f>
        <v>0</v>
      </c>
      <c r="R214">
        <f t="array" ref="R214">INDEX(G$3:G$700,MATCH($B214&amp;$C214&amp;"baseline",$B$3:$B$700&amp;$C$3:$C$700&amp;$D$3:$D$700,0))</f>
        <v>0</v>
      </c>
      <c r="S214">
        <f t="array" ref="S214">INDEX(H$3:H$700,MATCH($B214&amp;$C214&amp;"baseline",$B$3:$B$700&amp;$C$3:$C$700&amp;$D$3:$D$700,0))</f>
        <v>374.98395439792381</v>
      </c>
      <c r="T214">
        <f t="array" ref="T214">INDEX(I$3:I$700,MATCH($B214&amp;$C214&amp;"baseline",$B$3:$B$700&amp;$C$3:$C$700&amp;$D$3:$D$700,0))</f>
        <v>0.56132160088538763</v>
      </c>
      <c r="U214">
        <f t="array" ref="U214">INDEX(J$3:J$700,MATCH($B214&amp;$C214&amp;"baseline",$B$3:$B$700&amp;$C$3:$C$700&amp;$D$3:$D$700,0))</f>
        <v>0</v>
      </c>
      <c r="V214">
        <f t="array" ref="V214">INDEX(K$3:K$700,MATCH($B214&amp;$C214&amp;"baseline",$B$3:$B$700&amp;$C$3:$C$700&amp;$D$3:$D$700,0))</f>
        <v>4.8406443431191484</v>
      </c>
      <c r="W214">
        <f t="array" ref="W214">INDEX(L$3:L$700,MATCH($B214&amp;$C214&amp;"baseline",$B$3:$B$700&amp;$C$3:$C$700&amp;$D$3:$D$700,0))</f>
        <v>55.142302641816137</v>
      </c>
      <c r="X214">
        <f t="array" ref="X214">INDEX(M$3:M$700,MATCH($B214&amp;$C214&amp;"baseline",$B$3:$B$700&amp;$C$3:$C$700&amp;$D$3:$D$700,0))</f>
        <v>6.60609131364577</v>
      </c>
      <c r="Y214">
        <f t="array" ref="Y214">INDEX(N$3:N$700,MATCH($B214&amp;$C214&amp;"baseline",$B$3:$B$700&amp;$C$3:$C$700&amp;$D$3:$D$700,0))</f>
        <v>0</v>
      </c>
      <c r="Z214">
        <f t="array" ref="Z214">INDEX(O$3:O$700,MATCH($B214&amp;$C214&amp;"baseline",$B$3:$B$700&amp;$C$3:$C$700&amp;$D$3:$D$700,0))</f>
        <v>14.552111610050208</v>
      </c>
      <c r="AA214">
        <f t="array" ref="AA214">INDEX(P$3:P$700,MATCH($B214&amp;$C214&amp;"baseline",$B$3:$B$700&amp;$C$3:$C$700&amp;$D$3:$D$700,0))</f>
        <v>21.324185117506175</v>
      </c>
      <c r="AB214">
        <f t="array" ref="AB214">INDEX(Q$3:Q$700,MATCH($B214&amp;$C214&amp;"baseline",$B$3:$B$700&amp;$C$3:$C$700&amp;$D$3:$D$700,0))</f>
        <v>0</v>
      </c>
      <c r="AC214">
        <f t="shared" si="27"/>
        <v>478.01061102494657</v>
      </c>
      <c r="AD214">
        <f t="shared" si="28"/>
        <v>3.2502331406105327</v>
      </c>
      <c r="AE214">
        <f t="shared" si="29"/>
        <v>-2.6496793848245659</v>
      </c>
      <c r="AF214">
        <f t="shared" si="30"/>
        <v>0.12563607207343458</v>
      </c>
      <c r="AG214">
        <f>(S214+V214+Y214)*constants!$O$2+(R214+T214+U214+W214+X214+Z214+AA214+AB214)*constants!$N$2</f>
        <v>17.248177887686012</v>
      </c>
      <c r="AH214">
        <f>((S214+V214+Y214)-(H214+K214+N214))*constants!$O$2</f>
        <v>5.2653776877890628E-2</v>
      </c>
      <c r="AI214">
        <f>((R214+T214+U214+W214+X214+Z214+AA214+AB214)-(G214+I214+J214+L214+M214+O214+P214+Q214))*constants!$N$2</f>
        <v>-0.29941377048517598</v>
      </c>
      <c r="AJ214">
        <f t="shared" si="31"/>
        <v>-1.430643835042162</v>
      </c>
      <c r="AK214">
        <f t="shared" si="32"/>
        <v>-0.24675999360728534</v>
      </c>
      <c r="AL214">
        <f>COUNTIFS($B:$B,$B214,$AK:$AK,"&lt;"&amp;$AK214)+COUNTIFS($B$2:$B214,$B214,$AK$2:$AK214,$AK214)</f>
        <v>6</v>
      </c>
      <c r="AM214" s="191">
        <f>IF(AK214=0, "NA",IF(((sim_annual_output!F214/E214)/AK214)&lt;0,100,((sim_annual_output!F214/E214)/AK214)))</f>
        <v>100</v>
      </c>
      <c r="AN214">
        <f>(S214+V214)*constants!$F$2+(T214+U214+W214+X214+Y214+Z214+AA214+AB214)*constants!$G$2</f>
        <v>153410.4338616429</v>
      </c>
      <c r="AO214">
        <f>(AD214*constants!$F$2+AE214*constants!$G$2)</f>
        <v>-1723.4293326280872</v>
      </c>
      <c r="AP214">
        <f t="shared" si="33"/>
        <v>-1.1234107676029428</v>
      </c>
    </row>
    <row r="215" spans="1:42">
      <c r="A215">
        <f>sim_annual_output!B215</f>
        <v>12</v>
      </c>
      <c r="B215" t="str">
        <f>sim_annual_output!C215</f>
        <v>Maintenance Shop-Small</v>
      </c>
      <c r="C215" t="str">
        <f>sim_annual_output!D215</f>
        <v>1980-2004</v>
      </c>
      <c r="D215" t="str">
        <f>sim_annual_output!E215</f>
        <v>economizers_enabled</v>
      </c>
      <c r="E215" s="45">
        <f t="array" ref="E215">IFERROR(INDEX(baseline!$J$3:$J$201,MATCH($B215&amp;$C215,baseline!$C$3:$C$201&amp;baseline!$D$3:$D$201,0)),"NA")</f>
        <v>927</v>
      </c>
      <c r="F215">
        <f>sim_annual_output!G215</f>
        <v>923.71795399999996</v>
      </c>
      <c r="G215">
        <f>$E215/$F215^2*sim_annual_output!I215</f>
        <v>0</v>
      </c>
      <c r="H215">
        <f>$E215/$F215^2*sim_annual_output!J215</f>
        <v>372.85032874294546</v>
      </c>
      <c r="I215">
        <f>$E215/$F215^2*sim_annual_output!K215</f>
        <v>0.93251814340636963</v>
      </c>
      <c r="J215">
        <f>$E215/$F215^2*sim_annual_output!L215</f>
        <v>0</v>
      </c>
      <c r="K215">
        <f>$E215/$F215^2*sim_annual_output!M215</f>
        <v>4.8406443431191484</v>
      </c>
      <c r="L215">
        <f>$E215/$F215^2*sim_annual_output!N215</f>
        <v>55.142302641816137</v>
      </c>
      <c r="M215">
        <f>$E215/$F215^2*sim_annual_output!O215</f>
        <v>6.60609131364577</v>
      </c>
      <c r="N215">
        <f>$E215/$F215^2*sim_annual_output!P215</f>
        <v>0</v>
      </c>
      <c r="O215">
        <f>$E215/$F215^2*sim_annual_output!Q215</f>
        <v>14.693950939306193</v>
      </c>
      <c r="P215">
        <f>$E215/$F215^2*sim_annual_output!R215</f>
        <v>21.106899336518282</v>
      </c>
      <c r="Q215">
        <f>$E215/$F215^2*sim_annual_output!S215</f>
        <v>0</v>
      </c>
      <c r="R215">
        <f t="array" ref="R215">INDEX(G$3:G$700,MATCH($B215&amp;$C215&amp;"baseline",$B$3:$B$700&amp;$C$3:$C$700&amp;$D$3:$D$700,0))</f>
        <v>0</v>
      </c>
      <c r="S215">
        <f t="array" ref="S215">INDEX(H$3:H$700,MATCH($B215&amp;$C215&amp;"baseline",$B$3:$B$700&amp;$C$3:$C$700&amp;$D$3:$D$700,0))</f>
        <v>374.98395439792381</v>
      </c>
      <c r="T215">
        <f t="array" ref="T215">INDEX(I$3:I$700,MATCH($B215&amp;$C215&amp;"baseline",$B$3:$B$700&amp;$C$3:$C$700&amp;$D$3:$D$700,0))</f>
        <v>0.56132160088538763</v>
      </c>
      <c r="U215">
        <f t="array" ref="U215">INDEX(J$3:J$700,MATCH($B215&amp;$C215&amp;"baseline",$B$3:$B$700&amp;$C$3:$C$700&amp;$D$3:$D$700,0))</f>
        <v>0</v>
      </c>
      <c r="V215">
        <f t="array" ref="V215">INDEX(K$3:K$700,MATCH($B215&amp;$C215&amp;"baseline",$B$3:$B$700&amp;$C$3:$C$700&amp;$D$3:$D$700,0))</f>
        <v>4.8406443431191484</v>
      </c>
      <c r="W215">
        <f t="array" ref="W215">INDEX(L$3:L$700,MATCH($B215&amp;$C215&amp;"baseline",$B$3:$B$700&amp;$C$3:$C$700&amp;$D$3:$D$700,0))</f>
        <v>55.142302641816137</v>
      </c>
      <c r="X215">
        <f t="array" ref="X215">INDEX(M$3:M$700,MATCH($B215&amp;$C215&amp;"baseline",$B$3:$B$700&amp;$C$3:$C$700&amp;$D$3:$D$700,0))</f>
        <v>6.60609131364577</v>
      </c>
      <c r="Y215">
        <f t="array" ref="Y215">INDEX(N$3:N$700,MATCH($B215&amp;$C215&amp;"baseline",$B$3:$B$700&amp;$C$3:$C$700&amp;$D$3:$D$700,0))</f>
        <v>0</v>
      </c>
      <c r="Z215">
        <f t="array" ref="Z215">INDEX(O$3:O$700,MATCH($B215&amp;$C215&amp;"baseline",$B$3:$B$700&amp;$C$3:$C$700&amp;$D$3:$D$700,0))</f>
        <v>14.552111610050208</v>
      </c>
      <c r="AA215">
        <f t="array" ref="AA215">INDEX(P$3:P$700,MATCH($B215&amp;$C215&amp;"baseline",$B$3:$B$700&amp;$C$3:$C$700&amp;$D$3:$D$700,0))</f>
        <v>21.324185117506175</v>
      </c>
      <c r="AB215">
        <f t="array" ref="AB215">INDEX(Q$3:Q$700,MATCH($B215&amp;$C215&amp;"baseline",$B$3:$B$700&amp;$C$3:$C$700&amp;$D$3:$D$700,0))</f>
        <v>0</v>
      </c>
      <c r="AC215">
        <f t="shared" si="27"/>
        <v>478.01061102494657</v>
      </c>
      <c r="AD215">
        <f t="shared" si="28"/>
        <v>2.1336256549783457</v>
      </c>
      <c r="AE215">
        <f t="shared" si="29"/>
        <v>-0.29575009078907044</v>
      </c>
      <c r="AF215">
        <f t="shared" si="30"/>
        <v>0.38448426076745806</v>
      </c>
      <c r="AG215">
        <f>(S215+V215+Y215)*constants!$O$2+(R215+T215+U215+W215+X215+Z215+AA215+AB215)*constants!$N$2</f>
        <v>17.248177887686012</v>
      </c>
      <c r="AH215">
        <f>((S215+V215+Y215)-(H215+K215+N215))*constants!$O$2</f>
        <v>3.4564735610649197E-2</v>
      </c>
      <c r="AI215">
        <f>((R215+T215+U215+W215+X215+Z215+AA215+AB215)-(G215+I215+J215+L215+M215+O215+P215+Q215))*constants!$N$2</f>
        <v>-3.341976025916496E-2</v>
      </c>
      <c r="AJ215">
        <f t="shared" si="31"/>
        <v>6.6382394647127863E-3</v>
      </c>
      <c r="AK215">
        <f t="shared" si="32"/>
        <v>1.144975351484237E-3</v>
      </c>
      <c r="AL215">
        <f>COUNTIFS($B:$B,$B215,$AK:$AK,"&lt;"&amp;$AK215)+COUNTIFS($B$2:$B215,$B215,$AK$2:$AK215,$AK215)</f>
        <v>20</v>
      </c>
      <c r="AM215" s="191">
        <f>IF(AK215=0, "NA",IF(((sim_annual_output!F215/E215)/AK215)&lt;0,100,((sim_annual_output!F215/E215)/AK215)))</f>
        <v>1294.3283959006387</v>
      </c>
      <c r="AN215">
        <f>(S215+V215)*constants!$F$2+(T215+U215+W215+X215+Y215+Z215+AA215+AB215)*constants!$G$2</f>
        <v>153410.4338616429</v>
      </c>
      <c r="AO215">
        <f>(AD215*constants!$F$2+AE215*constants!$G$2)</f>
        <v>124.61641325463256</v>
      </c>
      <c r="AP215">
        <f t="shared" si="33"/>
        <v>8.1230728652407727E-2</v>
      </c>
    </row>
    <row r="216" spans="1:42">
      <c r="A216">
        <f>sim_annual_output!B216</f>
        <v>12</v>
      </c>
      <c r="B216" t="str">
        <f>sim_annual_output!C216</f>
        <v>Maintenance Shop-Small</v>
      </c>
      <c r="C216" t="str">
        <f>sim_annual_output!D216</f>
        <v>1980-2004</v>
      </c>
      <c r="D216" t="str">
        <f>sim_annual_output!E216</f>
        <v>elec_reduce</v>
      </c>
      <c r="E216" s="45">
        <f t="array" ref="E216">IFERROR(INDEX(baseline!$J$3:$J$201,MATCH($B216&amp;$C216,baseline!$C$3:$C$201&amp;baseline!$D$3:$D$201,0)),"NA")</f>
        <v>927</v>
      </c>
      <c r="F216">
        <f>sim_annual_output!G216</f>
        <v>923.71795399999996</v>
      </c>
      <c r="G216">
        <f>$E216/$F216^2*sim_annual_output!I216</f>
        <v>0</v>
      </c>
      <c r="H216">
        <f>$E216/$F216^2*sim_annual_output!J216</f>
        <v>393.86669233738434</v>
      </c>
      <c r="I216">
        <f>$E216/$F216^2*sim_annual_output!K216</f>
        <v>0.46475014266854664</v>
      </c>
      <c r="J216">
        <f>$E216/$F216^2*sim_annual_output!L216</f>
        <v>0</v>
      </c>
      <c r="K216">
        <f>$E216/$F216^2*sim_annual_output!M216</f>
        <v>4.8406443431191484</v>
      </c>
      <c r="L216">
        <f>$E216/$F216^2*sim_annual_output!N216</f>
        <v>38.601422564112866</v>
      </c>
      <c r="M216">
        <f>$E216/$F216^2*sim_annual_output!O216</f>
        <v>6.60609131364577</v>
      </c>
      <c r="N216">
        <f>$E216/$F216^2*sim_annual_output!P216</f>
        <v>0</v>
      </c>
      <c r="O216">
        <f>$E216/$F216^2*sim_annual_output!Q216</f>
        <v>15.013843894649478</v>
      </c>
      <c r="P216">
        <f>$E216/$F216^2*sim_annual_output!R216</f>
        <v>17.286291020814517</v>
      </c>
      <c r="Q216">
        <f>$E216/$F216^2*sim_annual_output!S216</f>
        <v>0</v>
      </c>
      <c r="R216">
        <f t="array" ref="R216">INDEX(G$3:G$700,MATCH($B216&amp;$C216&amp;"baseline",$B$3:$B$700&amp;$C$3:$C$700&amp;$D$3:$D$700,0))</f>
        <v>0</v>
      </c>
      <c r="S216">
        <f t="array" ref="S216">INDEX(H$3:H$700,MATCH($B216&amp;$C216&amp;"baseline",$B$3:$B$700&amp;$C$3:$C$700&amp;$D$3:$D$700,0))</f>
        <v>374.98395439792381</v>
      </c>
      <c r="T216">
        <f t="array" ref="T216">INDEX(I$3:I$700,MATCH($B216&amp;$C216&amp;"baseline",$B$3:$B$700&amp;$C$3:$C$700&amp;$D$3:$D$700,0))</f>
        <v>0.56132160088538763</v>
      </c>
      <c r="U216">
        <f t="array" ref="U216">INDEX(J$3:J$700,MATCH($B216&amp;$C216&amp;"baseline",$B$3:$B$700&amp;$C$3:$C$700&amp;$D$3:$D$700,0))</f>
        <v>0</v>
      </c>
      <c r="V216">
        <f t="array" ref="V216">INDEX(K$3:K$700,MATCH($B216&amp;$C216&amp;"baseline",$B$3:$B$700&amp;$C$3:$C$700&amp;$D$3:$D$700,0))</f>
        <v>4.8406443431191484</v>
      </c>
      <c r="W216">
        <f t="array" ref="W216">INDEX(L$3:L$700,MATCH($B216&amp;$C216&amp;"baseline",$B$3:$B$700&amp;$C$3:$C$700&amp;$D$3:$D$700,0))</f>
        <v>55.142302641816137</v>
      </c>
      <c r="X216">
        <f t="array" ref="X216">INDEX(M$3:M$700,MATCH($B216&amp;$C216&amp;"baseline",$B$3:$B$700&amp;$C$3:$C$700&amp;$D$3:$D$700,0))</f>
        <v>6.60609131364577</v>
      </c>
      <c r="Y216">
        <f t="array" ref="Y216">INDEX(N$3:N$700,MATCH($B216&amp;$C216&amp;"baseline",$B$3:$B$700&amp;$C$3:$C$700&amp;$D$3:$D$700,0))</f>
        <v>0</v>
      </c>
      <c r="Z216">
        <f t="array" ref="Z216">INDEX(O$3:O$700,MATCH($B216&amp;$C216&amp;"baseline",$B$3:$B$700&amp;$C$3:$C$700&amp;$D$3:$D$700,0))</f>
        <v>14.552111610050208</v>
      </c>
      <c r="AA216">
        <f t="array" ref="AA216">INDEX(P$3:P$700,MATCH($B216&amp;$C216&amp;"baseline",$B$3:$B$700&amp;$C$3:$C$700&amp;$D$3:$D$700,0))</f>
        <v>21.324185117506175</v>
      </c>
      <c r="AB216">
        <f t="array" ref="AB216">INDEX(Q$3:Q$700,MATCH($B216&amp;$C216&amp;"baseline",$B$3:$B$700&amp;$C$3:$C$700&amp;$D$3:$D$700,0))</f>
        <v>0</v>
      </c>
      <c r="AC216">
        <f t="shared" si="27"/>
        <v>478.01061102494657</v>
      </c>
      <c r="AD216">
        <f t="shared" si="28"/>
        <v>-18.882737939460526</v>
      </c>
      <c r="AE216">
        <f t="shared" si="29"/>
        <v>20.213613348012501</v>
      </c>
      <c r="AF216">
        <f t="shared" si="30"/>
        <v>0.27841963710770407</v>
      </c>
      <c r="AG216">
        <f>(S216+V216+Y216)*constants!$O$2+(R216+T216+U216+W216+X216+Z216+AA216+AB216)*constants!$N$2</f>
        <v>17.248177887686012</v>
      </c>
      <c r="AH216">
        <f>((S216+V216+Y216)-(H216+K216+N216))*constants!$O$2</f>
        <v>-0.30590035461926052</v>
      </c>
      <c r="AI216">
        <f>((R216+T216+U216+W216+X216+Z216+AA216+AB216)-(G216+I216+J216+L216+M216+O216+P216+Q216))*constants!$N$2</f>
        <v>2.2841383083254128</v>
      </c>
      <c r="AJ216">
        <f t="shared" si="31"/>
        <v>11.469257602673935</v>
      </c>
      <c r="AK216">
        <f t="shared" si="32"/>
        <v>1.9782379537061523</v>
      </c>
      <c r="AL216">
        <f>COUNTIFS($B:$B,$B216,$AK:$AK,"&lt;"&amp;$AK216)+COUNTIFS($B$2:$B216,$B216,$AK$2:$AK216,$AK216)</f>
        <v>50</v>
      </c>
      <c r="AM216" s="191">
        <f>IF(AK216=0, "NA",IF(((sim_annual_output!F216/E216)/AK216)&lt;0,100,((sim_annual_output!F216/E216)/AK216)))</f>
        <v>21.021349758784968</v>
      </c>
      <c r="AN216">
        <f>(S216+V216)*constants!$F$2+(T216+U216+W216+X216+Y216+Z216+AA216+AB216)*constants!$G$2</f>
        <v>153410.4338616429</v>
      </c>
      <c r="AO216">
        <f>(AD216*constants!$F$2+AE216*constants!$G$2)</f>
        <v>14205.833521607443</v>
      </c>
      <c r="AP216">
        <f t="shared" si="33"/>
        <v>9.2600178253972842</v>
      </c>
    </row>
    <row r="217" spans="1:42">
      <c r="A217">
        <f>sim_annual_output!B217</f>
        <v>12</v>
      </c>
      <c r="B217" t="str">
        <f>sim_annual_output!C217</f>
        <v>Maintenance Shop-Small</v>
      </c>
      <c r="C217" t="str">
        <f>sim_annual_output!D217</f>
        <v>1980-2004</v>
      </c>
      <c r="D217" t="str">
        <f>sim_annual_output!E217</f>
        <v>envelope_ecm_roof</v>
      </c>
      <c r="E217" s="45">
        <f t="array" ref="E217">IFERROR(INDEX(baseline!$J$3:$J$201,MATCH($B217&amp;$C217,baseline!$C$3:$C$201&amp;baseline!$D$3:$D$201,0)),"NA")</f>
        <v>927</v>
      </c>
      <c r="F217">
        <f>sim_annual_output!G217</f>
        <v>923.71795399999996</v>
      </c>
      <c r="G217">
        <f>$E217/$F217^2*sim_annual_output!I217</f>
        <v>0</v>
      </c>
      <c r="H217">
        <f>$E217/$F217^2*sim_annual_output!J217</f>
        <v>354.62246600451675</v>
      </c>
      <c r="I217">
        <f>$E217/$F217^2*sim_annual_output!K217</f>
        <v>1.0290896016232105</v>
      </c>
      <c r="J217">
        <f>$E217/$F217^2*sim_annual_output!L217</f>
        <v>0</v>
      </c>
      <c r="K217">
        <f>$E217/$F217^2*sim_annual_output!M217</f>
        <v>4.8406443431191484</v>
      </c>
      <c r="L217">
        <f>$E217/$F217^2*sim_annual_output!N217</f>
        <v>55.142302641816137</v>
      </c>
      <c r="M217">
        <f>$E217/$F217^2*sim_annual_output!O217</f>
        <v>6.60609131364577</v>
      </c>
      <c r="N217">
        <f>$E217/$F217^2*sim_annual_output!P217</f>
        <v>0</v>
      </c>
      <c r="O217">
        <f>$E217/$F217^2*sim_annual_output!Q217</f>
        <v>14.099432899658767</v>
      </c>
      <c r="P217">
        <f>$E217/$F217^2*sim_annual_output!R217</f>
        <v>20.49125629038592</v>
      </c>
      <c r="Q217">
        <f>$E217/$F217^2*sim_annual_output!S217</f>
        <v>0</v>
      </c>
      <c r="R217">
        <f t="array" ref="R217">INDEX(G$3:G$700,MATCH($B217&amp;$C217&amp;"baseline",$B$3:$B$700&amp;$C$3:$C$700&amp;$D$3:$D$700,0))</f>
        <v>0</v>
      </c>
      <c r="S217">
        <f t="array" ref="S217">INDEX(H$3:H$700,MATCH($B217&amp;$C217&amp;"baseline",$B$3:$B$700&amp;$C$3:$C$700&amp;$D$3:$D$700,0))</f>
        <v>374.98395439792381</v>
      </c>
      <c r="T217">
        <f t="array" ref="T217">INDEX(I$3:I$700,MATCH($B217&amp;$C217&amp;"baseline",$B$3:$B$700&amp;$C$3:$C$700&amp;$D$3:$D$700,0))</f>
        <v>0.56132160088538763</v>
      </c>
      <c r="U217">
        <f t="array" ref="U217">INDEX(J$3:J$700,MATCH($B217&amp;$C217&amp;"baseline",$B$3:$B$700&amp;$C$3:$C$700&amp;$D$3:$D$700,0))</f>
        <v>0</v>
      </c>
      <c r="V217">
        <f t="array" ref="V217">INDEX(K$3:K$700,MATCH($B217&amp;$C217&amp;"baseline",$B$3:$B$700&amp;$C$3:$C$700&amp;$D$3:$D$700,0))</f>
        <v>4.8406443431191484</v>
      </c>
      <c r="W217">
        <f t="array" ref="W217">INDEX(L$3:L$700,MATCH($B217&amp;$C217&amp;"baseline",$B$3:$B$700&amp;$C$3:$C$700&amp;$D$3:$D$700,0))</f>
        <v>55.142302641816137</v>
      </c>
      <c r="X217">
        <f t="array" ref="X217">INDEX(M$3:M$700,MATCH($B217&amp;$C217&amp;"baseline",$B$3:$B$700&amp;$C$3:$C$700&amp;$D$3:$D$700,0))</f>
        <v>6.60609131364577</v>
      </c>
      <c r="Y217">
        <f t="array" ref="Y217">INDEX(N$3:N$700,MATCH($B217&amp;$C217&amp;"baseline",$B$3:$B$700&amp;$C$3:$C$700&amp;$D$3:$D$700,0))</f>
        <v>0</v>
      </c>
      <c r="Z217">
        <f t="array" ref="Z217">INDEX(O$3:O$700,MATCH($B217&amp;$C217&amp;"baseline",$B$3:$B$700&amp;$C$3:$C$700&amp;$D$3:$D$700,0))</f>
        <v>14.552111610050208</v>
      </c>
      <c r="AA217">
        <f t="array" ref="AA217">INDEX(P$3:P$700,MATCH($B217&amp;$C217&amp;"baseline",$B$3:$B$700&amp;$C$3:$C$700&amp;$D$3:$D$700,0))</f>
        <v>21.324185117506175</v>
      </c>
      <c r="AB217">
        <f t="array" ref="AB217">INDEX(Q$3:Q$700,MATCH($B217&amp;$C217&amp;"baseline",$B$3:$B$700&amp;$C$3:$C$700&amp;$D$3:$D$700,0))</f>
        <v>0</v>
      </c>
      <c r="AC217">
        <f t="shared" si="27"/>
        <v>478.01061102494657</v>
      </c>
      <c r="AD217">
        <f t="shared" si="28"/>
        <v>20.361488393407058</v>
      </c>
      <c r="AE217">
        <f t="shared" si="29"/>
        <v>0.81783953677387444</v>
      </c>
      <c r="AF217">
        <f t="shared" si="30"/>
        <v>4.4307233859868473</v>
      </c>
      <c r="AG217">
        <f>(S217+V217+Y217)*constants!$O$2+(R217+T217+U217+W217+X217+Z217+AA217+AB217)*constants!$N$2</f>
        <v>17.248177887686012</v>
      </c>
      <c r="AH217">
        <f>((S217+V217+Y217)-(H217+K217+N217))*constants!$O$2</f>
        <v>0.32985611197319431</v>
      </c>
      <c r="AI217">
        <f>((R217+T217+U217+W217+X217+Z217+AA217+AB217)-(G217+I217+J217+L217+M217+O217+P217+Q217))*constants!$N$2</f>
        <v>9.241586765544782E-2</v>
      </c>
      <c r="AJ217">
        <f t="shared" si="31"/>
        <v>2.4482121090026254</v>
      </c>
      <c r="AK217">
        <f t="shared" si="32"/>
        <v>0.42227197962864216</v>
      </c>
      <c r="AL217">
        <f>COUNTIFS($B:$B,$B217,$AK:$AK,"&lt;"&amp;$AK217)+COUNTIFS($B$2:$B217,$B217,$AK$2:$AK217,$AK217)</f>
        <v>38</v>
      </c>
      <c r="AM217" s="191">
        <f>IF(AK217=0, "NA",IF(((sim_annual_output!F217/E217)/AK217)&lt;0,100,((sim_annual_output!F217/E217)/AK217)))</f>
        <v>340.62889231710176</v>
      </c>
      <c r="AN217">
        <f>(S217+V217)*constants!$F$2+(T217+U217+W217+X217+Y217+Z217+AA217+AB217)*constants!$G$2</f>
        <v>153410.4338616429</v>
      </c>
      <c r="AO217">
        <f>(AD217*constants!$F$2+AE217*constants!$G$2)</f>
        <v>4356.2268194131339</v>
      </c>
      <c r="AP217">
        <f t="shared" si="33"/>
        <v>2.8395896613798168</v>
      </c>
    </row>
    <row r="218" spans="1:42">
      <c r="A218">
        <f>sim_annual_output!B218</f>
        <v>12</v>
      </c>
      <c r="B218" t="str">
        <f>sim_annual_output!C218</f>
        <v>Maintenance Shop-Small</v>
      </c>
      <c r="C218" t="str">
        <f>sim_annual_output!D218</f>
        <v>1980-2004</v>
      </c>
      <c r="D218" t="str">
        <f>sim_annual_output!E218</f>
        <v>envelope_ecm_wall</v>
      </c>
      <c r="E218" s="45">
        <f t="array" ref="E218">IFERROR(INDEX(baseline!$J$3:$J$201,MATCH($B218&amp;$C218,baseline!$C$3:$C$201&amp;baseline!$D$3:$D$201,0)),"NA")</f>
        <v>927</v>
      </c>
      <c r="F218">
        <f>sim_annual_output!G218</f>
        <v>923.71795399999996</v>
      </c>
      <c r="G218">
        <f>$E218/$F218^2*sim_annual_output!I218</f>
        <v>0</v>
      </c>
      <c r="H218">
        <f>$E218/$F218^2*sim_annual_output!J218</f>
        <v>361.1470751502921</v>
      </c>
      <c r="I218">
        <f>$E218/$F218^2*sim_annual_output!K218</f>
        <v>1.0985003372165649</v>
      </c>
      <c r="J218">
        <f>$E218/$F218^2*sim_annual_output!L218</f>
        <v>0</v>
      </c>
      <c r="K218">
        <f>$E218/$F218^2*sim_annual_output!M218</f>
        <v>4.8406443431191484</v>
      </c>
      <c r="L218">
        <f>$E218/$F218^2*sim_annual_output!N218</f>
        <v>55.142302641816137</v>
      </c>
      <c r="M218">
        <f>$E218/$F218^2*sim_annual_output!O218</f>
        <v>6.60609131364577</v>
      </c>
      <c r="N218">
        <f>$E218/$F218^2*sim_annual_output!P218</f>
        <v>0</v>
      </c>
      <c r="O218">
        <f>$E218/$F218^2*sim_annual_output!Q218</f>
        <v>14.298611532231</v>
      </c>
      <c r="P218">
        <f>$E218/$F218^2*sim_annual_output!R218</f>
        <v>20.80813138765993</v>
      </c>
      <c r="Q218">
        <f>$E218/$F218^2*sim_annual_output!S218</f>
        <v>0</v>
      </c>
      <c r="R218">
        <f t="array" ref="R218">INDEX(G$3:G$700,MATCH($B218&amp;$C218&amp;"baseline",$B$3:$B$700&amp;$C$3:$C$700&amp;$D$3:$D$700,0))</f>
        <v>0</v>
      </c>
      <c r="S218">
        <f t="array" ref="S218">INDEX(H$3:H$700,MATCH($B218&amp;$C218&amp;"baseline",$B$3:$B$700&amp;$C$3:$C$700&amp;$D$3:$D$700,0))</f>
        <v>374.98395439792381</v>
      </c>
      <c r="T218">
        <f t="array" ref="T218">INDEX(I$3:I$700,MATCH($B218&amp;$C218&amp;"baseline",$B$3:$B$700&amp;$C$3:$C$700&amp;$D$3:$D$700,0))</f>
        <v>0.56132160088538763</v>
      </c>
      <c r="U218">
        <f t="array" ref="U218">INDEX(J$3:J$700,MATCH($B218&amp;$C218&amp;"baseline",$B$3:$B$700&amp;$C$3:$C$700&amp;$D$3:$D$700,0))</f>
        <v>0</v>
      </c>
      <c r="V218">
        <f t="array" ref="V218">INDEX(K$3:K$700,MATCH($B218&amp;$C218&amp;"baseline",$B$3:$B$700&amp;$C$3:$C$700&amp;$D$3:$D$700,0))</f>
        <v>4.8406443431191484</v>
      </c>
      <c r="W218">
        <f t="array" ref="W218">INDEX(L$3:L$700,MATCH($B218&amp;$C218&amp;"baseline",$B$3:$B$700&amp;$C$3:$C$700&amp;$D$3:$D$700,0))</f>
        <v>55.142302641816137</v>
      </c>
      <c r="X218">
        <f t="array" ref="X218">INDEX(M$3:M$700,MATCH($B218&amp;$C218&amp;"baseline",$B$3:$B$700&amp;$C$3:$C$700&amp;$D$3:$D$700,0))</f>
        <v>6.60609131364577</v>
      </c>
      <c r="Y218">
        <f t="array" ref="Y218">INDEX(N$3:N$700,MATCH($B218&amp;$C218&amp;"baseline",$B$3:$B$700&amp;$C$3:$C$700&amp;$D$3:$D$700,0))</f>
        <v>0</v>
      </c>
      <c r="Z218">
        <f t="array" ref="Z218">INDEX(O$3:O$700,MATCH($B218&amp;$C218&amp;"baseline",$B$3:$B$700&amp;$C$3:$C$700&amp;$D$3:$D$700,0))</f>
        <v>14.552111610050208</v>
      </c>
      <c r="AA218">
        <f t="array" ref="AA218">INDEX(P$3:P$700,MATCH($B218&amp;$C218&amp;"baseline",$B$3:$B$700&amp;$C$3:$C$700&amp;$D$3:$D$700,0))</f>
        <v>21.324185117506175</v>
      </c>
      <c r="AB218">
        <f t="array" ref="AB218">INDEX(Q$3:Q$700,MATCH($B218&amp;$C218&amp;"baseline",$B$3:$B$700&amp;$C$3:$C$700&amp;$D$3:$D$700,0))</f>
        <v>0</v>
      </c>
      <c r="AC218">
        <f t="shared" si="27"/>
        <v>478.01061102494657</v>
      </c>
      <c r="AD218">
        <f t="shared" si="28"/>
        <v>13.836879247631714</v>
      </c>
      <c r="AE218">
        <f t="shared" si="29"/>
        <v>0.23237507133428892</v>
      </c>
      <c r="AF218">
        <f t="shared" si="30"/>
        <v>2.9432933065646427</v>
      </c>
      <c r="AG218">
        <f>(S218+V218+Y218)*constants!$O$2+(R218+T218+U218+W218+X218+Z218+AA218+AB218)*constants!$N$2</f>
        <v>17.248177887686012</v>
      </c>
      <c r="AH218">
        <f>((S218+V218+Y218)-(H218+K218+N218))*constants!$O$2</f>
        <v>0.22415744381163374</v>
      </c>
      <c r="AI218">
        <f>((R218+T218+U218+W218+X218+Z218+AA218+AB218)-(G218+I218+J218+L218+M218+O218+P218+Q218))*constants!$N$2</f>
        <v>2.6258383060774649E-2</v>
      </c>
      <c r="AJ218">
        <f t="shared" si="31"/>
        <v>1.4518393102333882</v>
      </c>
      <c r="AK218">
        <f t="shared" si="32"/>
        <v>0.25041582687240838</v>
      </c>
      <c r="AL218">
        <f>COUNTIFS($B:$B,$B218,$AK:$AK,"&lt;"&amp;$AK218)+COUNTIFS($B$2:$B218,$B218,$AK$2:$AK218,$AK218)</f>
        <v>37</v>
      </c>
      <c r="AM218" s="191">
        <f>IF(AK218=0, "NA",IF(((sim_annual_output!F218/E218)/AK218)&lt;0,100,((sim_annual_output!F218/E218)/AK218)))</f>
        <v>1107.9444185164955</v>
      </c>
      <c r="AN218">
        <f>(S218+V218)*constants!$F$2+(T218+U218+W218+X218+Y218+Z218+AA218+AB218)*constants!$G$2</f>
        <v>153410.4338616429</v>
      </c>
      <c r="AO218">
        <f>(AD218*constants!$F$2+AE218*constants!$G$2)</f>
        <v>2678.9676973869082</v>
      </c>
      <c r="AP218">
        <f t="shared" si="33"/>
        <v>1.7462747675969701</v>
      </c>
    </row>
    <row r="219" spans="1:42">
      <c r="A219">
        <f>sim_annual_output!B219</f>
        <v>12</v>
      </c>
      <c r="B219" t="str">
        <f>sim_annual_output!C219</f>
        <v>Maintenance Shop-Small</v>
      </c>
      <c r="C219" t="str">
        <f>sim_annual_output!D219</f>
        <v>1980-2004</v>
      </c>
      <c r="D219" t="str">
        <f>sim_annual_output!E219</f>
        <v>envelope_ecm_windows</v>
      </c>
      <c r="E219" s="45">
        <f t="array" ref="E219">IFERROR(INDEX(baseline!$J$3:$J$201,MATCH($B219&amp;$C219,baseline!$C$3:$C$201&amp;baseline!$D$3:$D$201,0)),"NA")</f>
        <v>927</v>
      </c>
      <c r="F219">
        <f>sim_annual_output!G219</f>
        <v>923.71795399999996</v>
      </c>
      <c r="G219">
        <f>$E219/$F219^2*sim_annual_output!I219</f>
        <v>0</v>
      </c>
      <c r="H219">
        <f>$E219/$F219^2*sim_annual_output!J219</f>
        <v>371.48625689563255</v>
      </c>
      <c r="I219">
        <f>$E219/$F219^2*sim_annual_output!K219</f>
        <v>1.0803931888009073</v>
      </c>
      <c r="J219">
        <f>$E219/$F219^2*sim_annual_output!L219</f>
        <v>0</v>
      </c>
      <c r="K219">
        <f>$E219/$F219^2*sim_annual_output!M219</f>
        <v>4.8406443431191484</v>
      </c>
      <c r="L219">
        <f>$E219/$F219^2*sim_annual_output!N219</f>
        <v>55.142302641816137</v>
      </c>
      <c r="M219">
        <f>$E219/$F219^2*sim_annual_output!O219</f>
        <v>6.60609131364577</v>
      </c>
      <c r="N219">
        <f>$E219/$F219^2*sim_annual_output!P219</f>
        <v>0</v>
      </c>
      <c r="O219">
        <f>$E219/$F219^2*sim_annual_output!Q219</f>
        <v>14.678861648959812</v>
      </c>
      <c r="P219">
        <f>$E219/$F219^2*sim_annual_output!R219</f>
        <v>21.387560136960975</v>
      </c>
      <c r="Q219">
        <f>$E219/$F219^2*sim_annual_output!S219</f>
        <v>0</v>
      </c>
      <c r="R219">
        <f t="array" ref="R219">INDEX(G$3:G$700,MATCH($B219&amp;$C219&amp;"baseline",$B$3:$B$700&amp;$C$3:$C$700&amp;$D$3:$D$700,0))</f>
        <v>0</v>
      </c>
      <c r="S219">
        <f t="array" ref="S219">INDEX(H$3:H$700,MATCH($B219&amp;$C219&amp;"baseline",$B$3:$B$700&amp;$C$3:$C$700&amp;$D$3:$D$700,0))</f>
        <v>374.98395439792381</v>
      </c>
      <c r="T219">
        <f t="array" ref="T219">INDEX(I$3:I$700,MATCH($B219&amp;$C219&amp;"baseline",$B$3:$B$700&amp;$C$3:$C$700&amp;$D$3:$D$700,0))</f>
        <v>0.56132160088538763</v>
      </c>
      <c r="U219">
        <f t="array" ref="U219">INDEX(J$3:J$700,MATCH($B219&amp;$C219&amp;"baseline",$B$3:$B$700&amp;$C$3:$C$700&amp;$D$3:$D$700,0))</f>
        <v>0</v>
      </c>
      <c r="V219">
        <f t="array" ref="V219">INDEX(K$3:K$700,MATCH($B219&amp;$C219&amp;"baseline",$B$3:$B$700&amp;$C$3:$C$700&amp;$D$3:$D$700,0))</f>
        <v>4.8406443431191484</v>
      </c>
      <c r="W219">
        <f t="array" ref="W219">INDEX(L$3:L$700,MATCH($B219&amp;$C219&amp;"baseline",$B$3:$B$700&amp;$C$3:$C$700&amp;$D$3:$D$700,0))</f>
        <v>55.142302641816137</v>
      </c>
      <c r="X219">
        <f t="array" ref="X219">INDEX(M$3:M$700,MATCH($B219&amp;$C219&amp;"baseline",$B$3:$B$700&amp;$C$3:$C$700&amp;$D$3:$D$700,0))</f>
        <v>6.60609131364577</v>
      </c>
      <c r="Y219">
        <f t="array" ref="Y219">INDEX(N$3:N$700,MATCH($B219&amp;$C219&amp;"baseline",$B$3:$B$700&amp;$C$3:$C$700&amp;$D$3:$D$700,0))</f>
        <v>0</v>
      </c>
      <c r="Z219">
        <f t="array" ref="Z219">INDEX(O$3:O$700,MATCH($B219&amp;$C219&amp;"baseline",$B$3:$B$700&amp;$C$3:$C$700&amp;$D$3:$D$700,0))</f>
        <v>14.552111610050208</v>
      </c>
      <c r="AA219">
        <f t="array" ref="AA219">INDEX(P$3:P$700,MATCH($B219&amp;$C219&amp;"baseline",$B$3:$B$700&amp;$C$3:$C$700&amp;$D$3:$D$700,0))</f>
        <v>21.324185117506175</v>
      </c>
      <c r="AB219">
        <f t="array" ref="AB219">INDEX(Q$3:Q$700,MATCH($B219&amp;$C219&amp;"baseline",$B$3:$B$700&amp;$C$3:$C$700&amp;$D$3:$D$700,0))</f>
        <v>0</v>
      </c>
      <c r="AC219">
        <f t="shared" si="27"/>
        <v>478.01061102494657</v>
      </c>
      <c r="AD219">
        <f t="shared" si="28"/>
        <v>3.4976975022912598</v>
      </c>
      <c r="AE219">
        <f t="shared" si="29"/>
        <v>-0.70919664627992063</v>
      </c>
      <c r="AF219">
        <f t="shared" si="30"/>
        <v>0.58335543012994162</v>
      </c>
      <c r="AG219">
        <f>(S219+V219+Y219)*constants!$O$2+(R219+T219+U219+W219+X219+Z219+AA219+AB219)*constants!$N$2</f>
        <v>17.248177887686012</v>
      </c>
      <c r="AH219">
        <f>((S219+V219+Y219)-(H219+K219+N219))*constants!$O$2</f>
        <v>5.6662699537118402E-2</v>
      </c>
      <c r="AI219">
        <f>((R219+T219+U219+W219+X219+Z219+AA219+AB219)-(G219+I219+J219+L219+M219+O219+P219+Q219))*constants!$N$2</f>
        <v>-8.013922102963103E-2</v>
      </c>
      <c r="AJ219">
        <f t="shared" si="31"/>
        <v>-0.13611015404284074</v>
      </c>
      <c r="AK219">
        <f t="shared" si="32"/>
        <v>-2.3476521492512628E-2</v>
      </c>
      <c r="AL219">
        <f>COUNTIFS($B:$B,$B219,$AK:$AK,"&lt;"&amp;$AK219)+COUNTIFS($B$2:$B219,$B219,$AK$2:$AK219,$AK219)</f>
        <v>14</v>
      </c>
      <c r="AM219" s="191">
        <f>IF(AK219=0, "NA",IF(((sim_annual_output!F219/E219)/AK219)&lt;0,100,((sim_annual_output!F219/E219)/AK219)))</f>
        <v>100</v>
      </c>
      <c r="AN219">
        <f>(S219+V219)*constants!$F$2+(T219+U219+W219+X219+Y219+Z219+AA219+AB219)*constants!$G$2</f>
        <v>153410.4338616429</v>
      </c>
      <c r="AO219">
        <f>(AD219*constants!$F$2+AE219*constants!$G$2)</f>
        <v>9.0867706466045775</v>
      </c>
      <c r="AP219">
        <f t="shared" si="33"/>
        <v>5.9231764214940641E-3</v>
      </c>
    </row>
    <row r="220" spans="1:42">
      <c r="A220">
        <f>sim_annual_output!B220</f>
        <v>12</v>
      </c>
      <c r="B220" t="str">
        <f>sim_annual_output!C220</f>
        <v>Maintenance Shop-Small</v>
      </c>
      <c r="C220" t="str">
        <f>sim_annual_output!D220</f>
        <v>1980-2004</v>
      </c>
      <c r="D220" t="str">
        <f>sim_annual_output!E220</f>
        <v>exhaust_fans_occ_control</v>
      </c>
      <c r="E220" s="45">
        <f t="array" ref="E220">IFERROR(INDEX(baseline!$J$3:$J$201,MATCH($B220&amp;$C220,baseline!$C$3:$C$201&amp;baseline!$D$3:$D$201,0)),"NA")</f>
        <v>927</v>
      </c>
      <c r="F220">
        <f>sim_annual_output!G220</f>
        <v>923.71795399999996</v>
      </c>
      <c r="G220">
        <f>$E220/$F220^2*sim_annual_output!I220</f>
        <v>0</v>
      </c>
      <c r="H220">
        <f>$E220/$F220^2*sim_annual_output!J220</f>
        <v>372.45800719393952</v>
      </c>
      <c r="I220">
        <f>$E220/$F220^2*sim_annual_output!K220</f>
        <v>1.0743574726623546</v>
      </c>
      <c r="J220">
        <f>$E220/$F220^2*sim_annual_output!L220</f>
        <v>0</v>
      </c>
      <c r="K220">
        <f>$E220/$F220^2*sim_annual_output!M220</f>
        <v>4.8406443431191484</v>
      </c>
      <c r="L220">
        <f>$E220/$F220^2*sim_annual_output!N220</f>
        <v>55.142302641816137</v>
      </c>
      <c r="M220">
        <f>$E220/$F220^2*sim_annual_output!O220</f>
        <v>6.60609131364577</v>
      </c>
      <c r="N220">
        <f>$E220/$F220^2*sim_annual_output!P220</f>
        <v>0</v>
      </c>
      <c r="O220">
        <f>$E220/$F220^2*sim_annual_output!Q220</f>
        <v>14.690933081236915</v>
      </c>
      <c r="P220">
        <f>$E220/$F220^2*sim_annual_output!R220</f>
        <v>21.435845866069393</v>
      </c>
      <c r="Q220">
        <f>$E220/$F220^2*sim_annual_output!S220</f>
        <v>0</v>
      </c>
      <c r="R220">
        <f t="array" ref="R220">INDEX(G$3:G$700,MATCH($B220&amp;$C220&amp;"baseline",$B$3:$B$700&amp;$C$3:$C$700&amp;$D$3:$D$700,0))</f>
        <v>0</v>
      </c>
      <c r="S220">
        <f t="array" ref="S220">INDEX(H$3:H$700,MATCH($B220&amp;$C220&amp;"baseline",$B$3:$B$700&amp;$C$3:$C$700&amp;$D$3:$D$700,0))</f>
        <v>374.98395439792381</v>
      </c>
      <c r="T220">
        <f t="array" ref="T220">INDEX(I$3:I$700,MATCH($B220&amp;$C220&amp;"baseline",$B$3:$B$700&amp;$C$3:$C$700&amp;$D$3:$D$700,0))</f>
        <v>0.56132160088538763</v>
      </c>
      <c r="U220">
        <f t="array" ref="U220">INDEX(J$3:J$700,MATCH($B220&amp;$C220&amp;"baseline",$B$3:$B$700&amp;$C$3:$C$700&amp;$D$3:$D$700,0))</f>
        <v>0</v>
      </c>
      <c r="V220">
        <f t="array" ref="V220">INDEX(K$3:K$700,MATCH($B220&amp;$C220&amp;"baseline",$B$3:$B$700&amp;$C$3:$C$700&amp;$D$3:$D$700,0))</f>
        <v>4.8406443431191484</v>
      </c>
      <c r="W220">
        <f t="array" ref="W220">INDEX(L$3:L$700,MATCH($B220&amp;$C220&amp;"baseline",$B$3:$B$700&amp;$C$3:$C$700&amp;$D$3:$D$700,0))</f>
        <v>55.142302641816137</v>
      </c>
      <c r="X220">
        <f t="array" ref="X220">INDEX(M$3:M$700,MATCH($B220&amp;$C220&amp;"baseline",$B$3:$B$700&amp;$C$3:$C$700&amp;$D$3:$D$700,0))</f>
        <v>6.60609131364577</v>
      </c>
      <c r="Y220">
        <f t="array" ref="Y220">INDEX(N$3:N$700,MATCH($B220&amp;$C220&amp;"baseline",$B$3:$B$700&amp;$C$3:$C$700&amp;$D$3:$D$700,0))</f>
        <v>0</v>
      </c>
      <c r="Z220">
        <f t="array" ref="Z220">INDEX(O$3:O$700,MATCH($B220&amp;$C220&amp;"baseline",$B$3:$B$700&amp;$C$3:$C$700&amp;$D$3:$D$700,0))</f>
        <v>14.552111610050208</v>
      </c>
      <c r="AA220">
        <f t="array" ref="AA220">INDEX(P$3:P$700,MATCH($B220&amp;$C220&amp;"baseline",$B$3:$B$700&amp;$C$3:$C$700&amp;$D$3:$D$700,0))</f>
        <v>21.324185117506175</v>
      </c>
      <c r="AB220">
        <f t="array" ref="AB220">INDEX(Q$3:Q$700,MATCH($B220&amp;$C220&amp;"baseline",$B$3:$B$700&amp;$C$3:$C$700&amp;$D$3:$D$700,0))</f>
        <v>0</v>
      </c>
      <c r="AC220">
        <f t="shared" si="27"/>
        <v>478.01061102494657</v>
      </c>
      <c r="AD220">
        <f t="shared" si="28"/>
        <v>2.5259472039842876</v>
      </c>
      <c r="AE220">
        <f t="shared" si="29"/>
        <v>-0.76351809152690464</v>
      </c>
      <c r="AF220">
        <f t="shared" si="30"/>
        <v>0.36870083462758207</v>
      </c>
      <c r="AG220">
        <f>(S220+V220+Y220)*constants!$O$2+(R220+T220+U220+W220+X220+Z220+AA220+AB220)*constants!$N$2</f>
        <v>17.248177887686012</v>
      </c>
      <c r="AH220">
        <f>((S220+V220+Y220)-(H220+K220+N220))*constants!$O$2</f>
        <v>4.0920344704545454E-2</v>
      </c>
      <c r="AI220">
        <f>((R220+T220+U220+W220+X220+Z220+AA220+AB220)-(G220+I220+J220+L220+M220+O220+P220+Q220))*constants!$N$2</f>
        <v>-8.627754434254023E-2</v>
      </c>
      <c r="AJ220">
        <f t="shared" si="31"/>
        <v>-0.2629680649941385</v>
      </c>
      <c r="AK220">
        <f t="shared" si="32"/>
        <v>-4.5357199637994776E-2</v>
      </c>
      <c r="AL220">
        <f>COUNTIFS($B:$B,$B220,$AK:$AK,"&lt;"&amp;$AK220)+COUNTIFS($B$2:$B220,$B220,$AK$2:$AK220,$AK220)</f>
        <v>10</v>
      </c>
      <c r="AM220" s="191">
        <f>IF(AK220=0, "NA",IF(((sim_annual_output!F220/E220)/AK220)&lt;0,100,((sim_annual_output!F220/E220)/AK220)))</f>
        <v>100</v>
      </c>
      <c r="AN220">
        <f>(S220+V220)*constants!$F$2+(T220+U220+W220+X220+Y220+Z220+AA220+AB220)*constants!$G$2</f>
        <v>153410.4338616429</v>
      </c>
      <c r="AO220">
        <f>(AD220*constants!$F$2+AE220*constants!$G$2)</f>
        <v>-212.11619011521952</v>
      </c>
      <c r="AP220">
        <f t="shared" si="33"/>
        <v>-0.13826712093554333</v>
      </c>
    </row>
    <row r="221" spans="1:42">
      <c r="A221">
        <f>sim_annual_output!B221</f>
        <v>12</v>
      </c>
      <c r="B221" t="str">
        <f>sim_annual_output!C221</f>
        <v>Maintenance Shop-Small</v>
      </c>
      <c r="C221" t="str">
        <f>sim_annual_output!D221</f>
        <v>1980-2004</v>
      </c>
      <c r="D221" t="str">
        <f>sim_annual_output!E221</f>
        <v>fans_to_variable</v>
      </c>
      <c r="E221" s="45">
        <f t="array" ref="E221">IFERROR(INDEX(baseline!$J$3:$J$201,MATCH($B221&amp;$C221,baseline!$C$3:$C$201&amp;baseline!$D$3:$D$201,0)),"NA")</f>
        <v>927</v>
      </c>
      <c r="F221">
        <f>sim_annual_output!G221</f>
        <v>923.71795399999996</v>
      </c>
      <c r="G221">
        <f>$E221/$F221^2*sim_annual_output!I221</f>
        <v>0</v>
      </c>
      <c r="H221">
        <f>$E221/$F221^2*sim_annual_output!J221</f>
        <v>372.52138221339436</v>
      </c>
      <c r="I221">
        <f>$E221/$F221^2*sim_annual_output!K221</f>
        <v>1.0713396145930782</v>
      </c>
      <c r="J221">
        <f>$E221/$F221^2*sim_annual_output!L221</f>
        <v>0</v>
      </c>
      <c r="K221">
        <f>$E221/$F221^2*sim_annual_output!M221</f>
        <v>4.8406443431191484</v>
      </c>
      <c r="L221">
        <f>$E221/$F221^2*sim_annual_output!N221</f>
        <v>55.142302641816137</v>
      </c>
      <c r="M221">
        <f>$E221/$F221^2*sim_annual_output!O221</f>
        <v>6.60609131364577</v>
      </c>
      <c r="N221">
        <f>$E221/$F221^2*sim_annual_output!P221</f>
        <v>0</v>
      </c>
      <c r="O221">
        <f>$E221/$F221^2*sim_annual_output!Q221</f>
        <v>14.642647352128497</v>
      </c>
      <c r="P221">
        <f>$E221/$F221^2*sim_annual_output!R221</f>
        <v>21.43886372413867</v>
      </c>
      <c r="Q221">
        <f>$E221/$F221^2*sim_annual_output!S221</f>
        <v>0</v>
      </c>
      <c r="R221">
        <f t="array" ref="R221">INDEX(G$3:G$700,MATCH($B221&amp;$C221&amp;"baseline",$B$3:$B$700&amp;$C$3:$C$700&amp;$D$3:$D$700,0))</f>
        <v>0</v>
      </c>
      <c r="S221">
        <f t="array" ref="S221">INDEX(H$3:H$700,MATCH($B221&amp;$C221&amp;"baseline",$B$3:$B$700&amp;$C$3:$C$700&amp;$D$3:$D$700,0))</f>
        <v>374.98395439792381</v>
      </c>
      <c r="T221">
        <f t="array" ref="T221">INDEX(I$3:I$700,MATCH($B221&amp;$C221&amp;"baseline",$B$3:$B$700&amp;$C$3:$C$700&amp;$D$3:$D$700,0))</f>
        <v>0.56132160088538763</v>
      </c>
      <c r="U221">
        <f t="array" ref="U221">INDEX(J$3:J$700,MATCH($B221&amp;$C221&amp;"baseline",$B$3:$B$700&amp;$C$3:$C$700&amp;$D$3:$D$700,0))</f>
        <v>0</v>
      </c>
      <c r="V221">
        <f t="array" ref="V221">INDEX(K$3:K$700,MATCH($B221&amp;$C221&amp;"baseline",$B$3:$B$700&amp;$C$3:$C$700&amp;$D$3:$D$700,0))</f>
        <v>4.8406443431191484</v>
      </c>
      <c r="W221">
        <f t="array" ref="W221">INDEX(L$3:L$700,MATCH($B221&amp;$C221&amp;"baseline",$B$3:$B$700&amp;$C$3:$C$700&amp;$D$3:$D$700,0))</f>
        <v>55.142302641816137</v>
      </c>
      <c r="X221">
        <f t="array" ref="X221">INDEX(M$3:M$700,MATCH($B221&amp;$C221&amp;"baseline",$B$3:$B$700&amp;$C$3:$C$700&amp;$D$3:$D$700,0))</f>
        <v>6.60609131364577</v>
      </c>
      <c r="Y221">
        <f t="array" ref="Y221">INDEX(N$3:N$700,MATCH($B221&amp;$C221&amp;"baseline",$B$3:$B$700&amp;$C$3:$C$700&amp;$D$3:$D$700,0))</f>
        <v>0</v>
      </c>
      <c r="Z221">
        <f t="array" ref="Z221">INDEX(O$3:O$700,MATCH($B221&amp;$C221&amp;"baseline",$B$3:$B$700&amp;$C$3:$C$700&amp;$D$3:$D$700,0))</f>
        <v>14.552111610050208</v>
      </c>
      <c r="AA221">
        <f t="array" ref="AA221">INDEX(P$3:P$700,MATCH($B221&amp;$C221&amp;"baseline",$B$3:$B$700&amp;$C$3:$C$700&amp;$D$3:$D$700,0))</f>
        <v>21.324185117506175</v>
      </c>
      <c r="AB221">
        <f t="array" ref="AB221">INDEX(Q$3:Q$700,MATCH($B221&amp;$C221&amp;"baseline",$B$3:$B$700&amp;$C$3:$C$700&amp;$D$3:$D$700,0))</f>
        <v>0</v>
      </c>
      <c r="AC221">
        <f t="shared" si="27"/>
        <v>478.01061102494657</v>
      </c>
      <c r="AD221">
        <f t="shared" si="28"/>
        <v>2.4625721845294493</v>
      </c>
      <c r="AE221">
        <f t="shared" si="29"/>
        <v>-0.71523236241847599</v>
      </c>
      <c r="AF221">
        <f t="shared" si="30"/>
        <v>0.36554414939960034</v>
      </c>
      <c r="AG221">
        <f>(S221+V221+Y221)*constants!$O$2+(R221+T221+U221+W221+X221+Z221+AA221+AB221)*constants!$N$2</f>
        <v>17.248177887686012</v>
      </c>
      <c r="AH221">
        <f>((S221+V221+Y221)-(H221+K221+N221))*constants!$O$2</f>
        <v>3.9893669389377079E-2</v>
      </c>
      <c r="AI221">
        <f>((R221+T221+U221+W221+X221+Z221+AA221+AB221)-(G221+I221+J221+L221+M221+O221+P221+Q221))*constants!$N$2</f>
        <v>-8.082125695328779E-2</v>
      </c>
      <c r="AJ221">
        <f t="shared" si="31"/>
        <v>-0.23728644167758808</v>
      </c>
      <c r="AK221">
        <f t="shared" si="32"/>
        <v>-4.0927587563910711E-2</v>
      </c>
      <c r="AL221">
        <f>COUNTIFS($B:$B,$B221,$AK:$AK,"&lt;"&amp;$AK221)+COUNTIFS($B$2:$B221,$B221,$AK$2:$AK221,$AK221)</f>
        <v>12</v>
      </c>
      <c r="AM221" s="191">
        <f>IF(AK221=0, "NA",IF(((sim_annual_output!F221/E221)/AK221)&lt;0,100,((sim_annual_output!F221/E221)/AK221)))</f>
        <v>100</v>
      </c>
      <c r="AN221">
        <f>(S221+V221)*constants!$F$2+(T221+U221+W221+X221+Y221+Z221+AA221+AB221)*constants!$G$2</f>
        <v>153410.4338616429</v>
      </c>
      <c r="AO221">
        <f>(AD221*constants!$F$2+AE221*constants!$G$2)</f>
        <v>-181.45173427330269</v>
      </c>
      <c r="AP221">
        <f t="shared" si="33"/>
        <v>-0.11827861358957473</v>
      </c>
    </row>
    <row r="222" spans="1:42">
      <c r="A222">
        <f>sim_annual_output!B222</f>
        <v>12</v>
      </c>
      <c r="B222" t="str">
        <f>sim_annual_output!C222</f>
        <v>Maintenance Shop-Small</v>
      </c>
      <c r="C222" t="str">
        <f>sim_annual_output!D222</f>
        <v>1980-2004</v>
      </c>
      <c r="D222" t="str">
        <f>sim_annual_output!E222</f>
        <v>hrv_enabled</v>
      </c>
      <c r="E222" s="45">
        <f t="array" ref="E222">IFERROR(INDEX(baseline!$J$3:$J$201,MATCH($B222&amp;$C222,baseline!$C$3:$C$201&amp;baseline!$D$3:$D$201,0)),"NA")</f>
        <v>927</v>
      </c>
      <c r="F222">
        <f>sim_annual_output!G222</f>
        <v>923.71795399999996</v>
      </c>
      <c r="G222">
        <f>$E222/$F222^2*sim_annual_output!I222</f>
        <v>0</v>
      </c>
      <c r="H222">
        <f>$E222/$F222^2*sim_annual_output!J222</f>
        <v>358.90178874675053</v>
      </c>
      <c r="I222">
        <f>$E222/$F222^2*sim_annual_output!K222</f>
        <v>1.2403396664725499</v>
      </c>
      <c r="J222">
        <f>$E222/$F222^2*sim_annual_output!L222</f>
        <v>0</v>
      </c>
      <c r="K222">
        <f>$E222/$F222^2*sim_annual_output!M222</f>
        <v>4.8406443431191484</v>
      </c>
      <c r="L222">
        <f>$E222/$F222^2*sim_annual_output!N222</f>
        <v>55.142302641816137</v>
      </c>
      <c r="M222">
        <f>$E222/$F222^2*sim_annual_output!O222</f>
        <v>6.60609131364577</v>
      </c>
      <c r="N222">
        <f>$E222/$F222^2*sim_annual_output!P222</f>
        <v>0</v>
      </c>
      <c r="O222">
        <f>$E222/$F222^2*sim_annual_output!Q222</f>
        <v>14.63057591985139</v>
      </c>
      <c r="P222">
        <f>$E222/$F222^2*sim_annual_output!R222</f>
        <v>21.32720297557545</v>
      </c>
      <c r="Q222">
        <f>$E222/$F222^2*sim_annual_output!S222</f>
        <v>2.4022150231439166</v>
      </c>
      <c r="R222">
        <f t="array" ref="R222">INDEX(G$3:G$700,MATCH($B222&amp;$C222&amp;"baseline",$B$3:$B$700&amp;$C$3:$C$700&amp;$D$3:$D$700,0))</f>
        <v>0</v>
      </c>
      <c r="S222">
        <f t="array" ref="S222">INDEX(H$3:H$700,MATCH($B222&amp;$C222&amp;"baseline",$B$3:$B$700&amp;$C$3:$C$700&amp;$D$3:$D$700,0))</f>
        <v>374.98395439792381</v>
      </c>
      <c r="T222">
        <f t="array" ref="T222">INDEX(I$3:I$700,MATCH($B222&amp;$C222&amp;"baseline",$B$3:$B$700&amp;$C$3:$C$700&amp;$D$3:$D$700,0))</f>
        <v>0.56132160088538763</v>
      </c>
      <c r="U222">
        <f t="array" ref="U222">INDEX(J$3:J$700,MATCH($B222&amp;$C222&amp;"baseline",$B$3:$B$700&amp;$C$3:$C$700&amp;$D$3:$D$700,0))</f>
        <v>0</v>
      </c>
      <c r="V222">
        <f t="array" ref="V222">INDEX(K$3:K$700,MATCH($B222&amp;$C222&amp;"baseline",$B$3:$B$700&amp;$C$3:$C$700&amp;$D$3:$D$700,0))</f>
        <v>4.8406443431191484</v>
      </c>
      <c r="W222">
        <f t="array" ref="W222">INDEX(L$3:L$700,MATCH($B222&amp;$C222&amp;"baseline",$B$3:$B$700&amp;$C$3:$C$700&amp;$D$3:$D$700,0))</f>
        <v>55.142302641816137</v>
      </c>
      <c r="X222">
        <f t="array" ref="X222">INDEX(M$3:M$700,MATCH($B222&amp;$C222&amp;"baseline",$B$3:$B$700&amp;$C$3:$C$700&amp;$D$3:$D$700,0))</f>
        <v>6.60609131364577</v>
      </c>
      <c r="Y222">
        <f t="array" ref="Y222">INDEX(N$3:N$700,MATCH($B222&amp;$C222&amp;"baseline",$B$3:$B$700&amp;$C$3:$C$700&amp;$D$3:$D$700,0))</f>
        <v>0</v>
      </c>
      <c r="Z222">
        <f t="array" ref="Z222">INDEX(O$3:O$700,MATCH($B222&amp;$C222&amp;"baseline",$B$3:$B$700&amp;$C$3:$C$700&amp;$D$3:$D$700,0))</f>
        <v>14.552111610050208</v>
      </c>
      <c r="AA222">
        <f t="array" ref="AA222">INDEX(P$3:P$700,MATCH($B222&amp;$C222&amp;"baseline",$B$3:$B$700&amp;$C$3:$C$700&amp;$D$3:$D$700,0))</f>
        <v>21.324185117506175</v>
      </c>
      <c r="AB222">
        <f t="array" ref="AB222">INDEX(Q$3:Q$700,MATCH($B222&amp;$C222&amp;"baseline",$B$3:$B$700&amp;$C$3:$C$700&amp;$D$3:$D$700,0))</f>
        <v>0</v>
      </c>
      <c r="AC222">
        <f t="shared" si="27"/>
        <v>478.01061102494657</v>
      </c>
      <c r="AD222">
        <f t="shared" si="28"/>
        <v>16.082165651173284</v>
      </c>
      <c r="AE222">
        <f t="shared" si="29"/>
        <v>-3.1627152566015297</v>
      </c>
      <c r="AF222">
        <f t="shared" si="30"/>
        <v>2.7027538921928893</v>
      </c>
      <c r="AG222">
        <f>(S222+V222+Y222)*constants!$O$2+(R222+T222+U222+W222+X222+Z222+AA222+AB222)*constants!$N$2</f>
        <v>17.248177887686012</v>
      </c>
      <c r="AH222">
        <f>((S222+V222+Y222)-(H222+K222+N222))*constants!$O$2</f>
        <v>0.26053108354900717</v>
      </c>
      <c r="AI222">
        <f>((R222+T222+U222+W222+X222+Z222+AA222+AB222)-(G222+I222+J222+L222+M222+O222+P222+Q222))*constants!$N$2</f>
        <v>-0.35738682399597288</v>
      </c>
      <c r="AJ222">
        <f t="shared" si="31"/>
        <v>-0.56154186881452517</v>
      </c>
      <c r="AK222">
        <f t="shared" si="32"/>
        <v>-9.685574044696571E-2</v>
      </c>
      <c r="AL222">
        <f>COUNTIFS($B:$B,$B222,$AK:$AK,"&lt;"&amp;$AK222)+COUNTIFS($B$2:$B222,$B222,$AK$2:$AK222,$AK222)</f>
        <v>7</v>
      </c>
      <c r="AM222" s="191">
        <f>IF(AK222=0, "NA",IF(((sim_annual_output!F222/E222)/AK222)&lt;0,100,((sim_annual_output!F222/E222)/AK222)))</f>
        <v>100</v>
      </c>
      <c r="AN222">
        <f>(S222+V222)*constants!$F$2+(T222+U222+W222+X222+Y222+Z222+AA222+AB222)*constants!$G$2</f>
        <v>153410.4338616429</v>
      </c>
      <c r="AO222">
        <f>(AD222*constants!$F$2+AE222*constants!$G$2)</f>
        <v>127.14537831668713</v>
      </c>
      <c r="AP222">
        <f t="shared" si="33"/>
        <v>8.2879224780340835E-2</v>
      </c>
    </row>
    <row r="223" spans="1:42">
      <c r="A223">
        <f>sim_annual_output!B223</f>
        <v>12</v>
      </c>
      <c r="B223" t="str">
        <f>sim_annual_output!C223</f>
        <v>Maintenance Shop-Small</v>
      </c>
      <c r="C223" t="str">
        <f>sim_annual_output!D223</f>
        <v>1980-2004</v>
      </c>
      <c r="D223" t="str">
        <f>sim_annual_output!E223</f>
        <v>infil_reduce</v>
      </c>
      <c r="E223" s="45">
        <f t="array" ref="E223">IFERROR(INDEX(baseline!$J$3:$J$201,MATCH($B223&amp;$C223,baseline!$C$3:$C$201&amp;baseline!$D$3:$D$201,0)),"NA")</f>
        <v>927</v>
      </c>
      <c r="F223">
        <f>sim_annual_output!G223</f>
        <v>923.71795399999996</v>
      </c>
      <c r="G223">
        <f>$E223/$F223^2*sim_annual_output!I223</f>
        <v>0</v>
      </c>
      <c r="H223">
        <f>$E223/$F223^2*sim_annual_output!J223</f>
        <v>272.73590515277425</v>
      </c>
      <c r="I223">
        <f>$E223/$F223^2*sim_annual_output!K223</f>
        <v>1.2976789697887992</v>
      </c>
      <c r="J223">
        <f>$E223/$F223^2*sim_annual_output!L223</f>
        <v>0</v>
      </c>
      <c r="K223">
        <f>$E223/$F223^2*sim_annual_output!M223</f>
        <v>4.8406443431191484</v>
      </c>
      <c r="L223">
        <f>$E223/$F223^2*sim_annual_output!N223</f>
        <v>55.142302641816137</v>
      </c>
      <c r="M223">
        <f>$E223/$F223^2*sim_annual_output!O223</f>
        <v>6.60609131364577</v>
      </c>
      <c r="N223">
        <f>$E223/$F223^2*sim_annual_output!P223</f>
        <v>0</v>
      </c>
      <c r="O223">
        <f>$E223/$F223^2*sim_annual_output!Q223</f>
        <v>11.395432069587221</v>
      </c>
      <c r="P223">
        <f>$E223/$F223^2*sim_annual_output!R223</f>
        <v>16.217969264290712</v>
      </c>
      <c r="Q223">
        <f>$E223/$F223^2*sim_annual_output!S223</f>
        <v>0</v>
      </c>
      <c r="R223">
        <f t="array" ref="R223">INDEX(G$3:G$700,MATCH($B223&amp;$C223&amp;"baseline",$B$3:$B$700&amp;$C$3:$C$700&amp;$D$3:$D$700,0))</f>
        <v>0</v>
      </c>
      <c r="S223">
        <f t="array" ref="S223">INDEX(H$3:H$700,MATCH($B223&amp;$C223&amp;"baseline",$B$3:$B$700&amp;$C$3:$C$700&amp;$D$3:$D$700,0))</f>
        <v>374.98395439792381</v>
      </c>
      <c r="T223">
        <f t="array" ref="T223">INDEX(I$3:I$700,MATCH($B223&amp;$C223&amp;"baseline",$B$3:$B$700&amp;$C$3:$C$700&amp;$D$3:$D$700,0))</f>
        <v>0.56132160088538763</v>
      </c>
      <c r="U223">
        <f t="array" ref="U223">INDEX(J$3:J$700,MATCH($B223&amp;$C223&amp;"baseline",$B$3:$B$700&amp;$C$3:$C$700&amp;$D$3:$D$700,0))</f>
        <v>0</v>
      </c>
      <c r="V223">
        <f t="array" ref="V223">INDEX(K$3:K$700,MATCH($B223&amp;$C223&amp;"baseline",$B$3:$B$700&amp;$C$3:$C$700&amp;$D$3:$D$700,0))</f>
        <v>4.8406443431191484</v>
      </c>
      <c r="W223">
        <f t="array" ref="W223">INDEX(L$3:L$700,MATCH($B223&amp;$C223&amp;"baseline",$B$3:$B$700&amp;$C$3:$C$700&amp;$D$3:$D$700,0))</f>
        <v>55.142302641816137</v>
      </c>
      <c r="X223">
        <f t="array" ref="X223">INDEX(M$3:M$700,MATCH($B223&amp;$C223&amp;"baseline",$B$3:$B$700&amp;$C$3:$C$700&amp;$D$3:$D$700,0))</f>
        <v>6.60609131364577</v>
      </c>
      <c r="Y223">
        <f t="array" ref="Y223">INDEX(N$3:N$700,MATCH($B223&amp;$C223&amp;"baseline",$B$3:$B$700&amp;$C$3:$C$700&amp;$D$3:$D$700,0))</f>
        <v>0</v>
      </c>
      <c r="Z223">
        <f t="array" ref="Z223">INDEX(O$3:O$700,MATCH($B223&amp;$C223&amp;"baseline",$B$3:$B$700&amp;$C$3:$C$700&amp;$D$3:$D$700,0))</f>
        <v>14.552111610050208</v>
      </c>
      <c r="AA223">
        <f t="array" ref="AA223">INDEX(P$3:P$700,MATCH($B223&amp;$C223&amp;"baseline",$B$3:$B$700&amp;$C$3:$C$700&amp;$D$3:$D$700,0))</f>
        <v>21.324185117506175</v>
      </c>
      <c r="AB223">
        <f t="array" ref="AB223">INDEX(Q$3:Q$700,MATCH($B223&amp;$C223&amp;"baseline",$B$3:$B$700&amp;$C$3:$C$700&amp;$D$3:$D$700,0))</f>
        <v>0</v>
      </c>
      <c r="AC223">
        <f t="shared" si="27"/>
        <v>478.01061102494657</v>
      </c>
      <c r="AD223">
        <f t="shared" si="28"/>
        <v>102.24804924514956</v>
      </c>
      <c r="AE223">
        <f t="shared" si="29"/>
        <v>7.5265380247750358</v>
      </c>
      <c r="AF223">
        <f t="shared" si="30"/>
        <v>22.964885033524006</v>
      </c>
      <c r="AG223">
        <f>(S223+V223+Y223)*constants!$O$2+(R223+T223+U223+W223+X223+Z223+AA223+AB223)*constants!$N$2</f>
        <v>17.248177887686012</v>
      </c>
      <c r="AH223">
        <f>((S223+V223+Y223)-(H223+K223+N223))*constants!$O$2</f>
        <v>1.6564183977714229</v>
      </c>
      <c r="AI223">
        <f>((R223+T223+U223+W223+X223+Z223+AA223+AB223)-(G223+I223+J223+L223+M223+O223+P223+Q223))*constants!$N$2</f>
        <v>0.85049879679957907</v>
      </c>
      <c r="AJ223">
        <f t="shared" si="31"/>
        <v>14.534388564955403</v>
      </c>
      <c r="AK223">
        <f t="shared" si="32"/>
        <v>2.506917194571002</v>
      </c>
      <c r="AL223">
        <f>COUNTIFS($B:$B,$B223,$AK:$AK,"&lt;"&amp;$AK223)+COUNTIFS($B$2:$B223,$B223,$AK$2:$AK223,$AK223)</f>
        <v>55</v>
      </c>
      <c r="AM223" s="191">
        <f>IF(AK223=0, "NA",IF(((sim_annual_output!F223/E223)/AK223)&lt;0,100,((sim_annual_output!F223/E223)/AK223)))</f>
        <v>18.047906151317733</v>
      </c>
      <c r="AN223">
        <f>(S223+V223)*constants!$F$2+(T223+U223+W223+X223+Y223+Z223+AA223+AB223)*constants!$G$2</f>
        <v>153410.4338616429</v>
      </c>
      <c r="AO223">
        <f>(AD223*constants!$F$2+AE223*constants!$G$2)</f>
        <v>24850.488896436051</v>
      </c>
      <c r="AP223">
        <f t="shared" si="33"/>
        <v>16.198695402196762</v>
      </c>
    </row>
    <row r="224" spans="1:42">
      <c r="A224">
        <f>sim_annual_output!B224</f>
        <v>12</v>
      </c>
      <c r="B224" t="str">
        <f>sim_annual_output!C224</f>
        <v>Maintenance Shop-Small</v>
      </c>
      <c r="C224" t="str">
        <f>sim_annual_output!D224</f>
        <v>1980-2004</v>
      </c>
      <c r="D224" t="str">
        <f>sim_annual_output!E224</f>
        <v>infil_reduce_plus_setback</v>
      </c>
      <c r="E224" s="45">
        <f t="array" ref="E224">IFERROR(INDEX(baseline!$J$3:$J$201,MATCH($B224&amp;$C224,baseline!$C$3:$C$201&amp;baseline!$D$3:$D$201,0)),"NA")</f>
        <v>927</v>
      </c>
      <c r="F224">
        <f>sim_annual_output!G224</f>
        <v>923.71795399999996</v>
      </c>
      <c r="G224">
        <f>$E224/$F224^2*sim_annual_output!I224</f>
        <v>0</v>
      </c>
      <c r="H224">
        <f>$E224/$F224^2*sim_annual_output!J224</f>
        <v>234.54792914415225</v>
      </c>
      <c r="I224">
        <f>$E224/$F224^2*sim_annual_output!K224</f>
        <v>1.2011075115719583</v>
      </c>
      <c r="J224">
        <f>$E224/$F224^2*sim_annual_output!L224</f>
        <v>0</v>
      </c>
      <c r="K224">
        <f>$E224/$F224^2*sim_annual_output!M224</f>
        <v>4.8406443431191484</v>
      </c>
      <c r="L224">
        <f>$E224/$F224^2*sim_annual_output!N224</f>
        <v>55.142302641816137</v>
      </c>
      <c r="M224">
        <f>$E224/$F224^2*sim_annual_output!O224</f>
        <v>6.60609131364577</v>
      </c>
      <c r="N224">
        <f>$E224/$F224^2*sim_annual_output!P224</f>
        <v>0</v>
      </c>
      <c r="O224">
        <f>$E224/$F224^2*sim_annual_output!Q224</f>
        <v>11.594610702159457</v>
      </c>
      <c r="P224">
        <f>$E224/$F224^2*sim_annual_output!R224</f>
        <v>15.834701289492626</v>
      </c>
      <c r="Q224">
        <f>$E224/$F224^2*sim_annual_output!S224</f>
        <v>0</v>
      </c>
      <c r="R224">
        <f t="array" ref="R224">INDEX(G$3:G$700,MATCH($B224&amp;$C224&amp;"baseline",$B$3:$B$700&amp;$C$3:$C$700&amp;$D$3:$D$700,0))</f>
        <v>0</v>
      </c>
      <c r="S224">
        <f t="array" ref="S224">INDEX(H$3:H$700,MATCH($B224&amp;$C224&amp;"baseline",$B$3:$B$700&amp;$C$3:$C$700&amp;$D$3:$D$700,0))</f>
        <v>374.98395439792381</v>
      </c>
      <c r="T224">
        <f t="array" ref="T224">INDEX(I$3:I$700,MATCH($B224&amp;$C224&amp;"baseline",$B$3:$B$700&amp;$C$3:$C$700&amp;$D$3:$D$700,0))</f>
        <v>0.56132160088538763</v>
      </c>
      <c r="U224">
        <f t="array" ref="U224">INDEX(J$3:J$700,MATCH($B224&amp;$C224&amp;"baseline",$B$3:$B$700&amp;$C$3:$C$700&amp;$D$3:$D$700,0))</f>
        <v>0</v>
      </c>
      <c r="V224">
        <f t="array" ref="V224">INDEX(K$3:K$700,MATCH($B224&amp;$C224&amp;"baseline",$B$3:$B$700&amp;$C$3:$C$700&amp;$D$3:$D$700,0))</f>
        <v>4.8406443431191484</v>
      </c>
      <c r="W224">
        <f t="array" ref="W224">INDEX(L$3:L$700,MATCH($B224&amp;$C224&amp;"baseline",$B$3:$B$700&amp;$C$3:$C$700&amp;$D$3:$D$700,0))</f>
        <v>55.142302641816137</v>
      </c>
      <c r="X224">
        <f t="array" ref="X224">INDEX(M$3:M$700,MATCH($B224&amp;$C224&amp;"baseline",$B$3:$B$700&amp;$C$3:$C$700&amp;$D$3:$D$700,0))</f>
        <v>6.60609131364577</v>
      </c>
      <c r="Y224">
        <f t="array" ref="Y224">INDEX(N$3:N$700,MATCH($B224&amp;$C224&amp;"baseline",$B$3:$B$700&amp;$C$3:$C$700&amp;$D$3:$D$700,0))</f>
        <v>0</v>
      </c>
      <c r="Z224">
        <f t="array" ref="Z224">INDEX(O$3:O$700,MATCH($B224&amp;$C224&amp;"baseline",$B$3:$B$700&amp;$C$3:$C$700&amp;$D$3:$D$700,0))</f>
        <v>14.552111610050208</v>
      </c>
      <c r="AA224">
        <f t="array" ref="AA224">INDEX(P$3:P$700,MATCH($B224&amp;$C224&amp;"baseline",$B$3:$B$700&amp;$C$3:$C$700&amp;$D$3:$D$700,0))</f>
        <v>21.324185117506175</v>
      </c>
      <c r="AB224">
        <f t="array" ref="AB224">INDEX(Q$3:Q$700,MATCH($B224&amp;$C224&amp;"baseline",$B$3:$B$700&amp;$C$3:$C$700&amp;$D$3:$D$700,0))</f>
        <v>0</v>
      </c>
      <c r="AC224">
        <f t="shared" si="27"/>
        <v>478.01061102494657</v>
      </c>
      <c r="AD224">
        <f t="shared" si="28"/>
        <v>140.43602525377156</v>
      </c>
      <c r="AE224">
        <f t="shared" si="29"/>
        <v>7.8071988252177391</v>
      </c>
      <c r="AF224">
        <f t="shared" si="30"/>
        <v>31.012538353725528</v>
      </c>
      <c r="AG224">
        <f>(S224+V224+Y224)*constants!$O$2+(R224+T224+U224+W224+X224+Z224+AA224+AB224)*constants!$N$2</f>
        <v>17.248177887686012</v>
      </c>
      <c r="AH224">
        <f>((S224+V224+Y224)-(H224+K224+N224))*constants!$O$2</f>
        <v>2.2750636091110992</v>
      </c>
      <c r="AI224">
        <f>((R224+T224+U224+W224+X224+Z224+AA224+AB224)-(G224+I224+J224+L224+M224+O224+P224+Q224))*constants!$N$2</f>
        <v>0.88221346724960459</v>
      </c>
      <c r="AJ224">
        <f t="shared" si="31"/>
        <v>18.304989065626334</v>
      </c>
      <c r="AK224">
        <f t="shared" si="32"/>
        <v>3.1572770763607036</v>
      </c>
      <c r="AL224">
        <f>COUNTIFS($B:$B,$B224,$AK:$AK,"&lt;"&amp;$AK224)+COUNTIFS($B$2:$B224,$B224,$AK$2:$AK224,$AK224)</f>
        <v>57</v>
      </c>
      <c r="AM224" s="191">
        <f>IF(AK224=0, "NA",IF(((sim_annual_output!F224/E224)/AK224)&lt;0,100,((sim_annual_output!F224/E224)/AK224)))</f>
        <v>15.795464519117161</v>
      </c>
      <c r="AN224">
        <f>(S224+V224)*constants!$F$2+(T224+U224+W224+X224+Y224+Z224+AA224+AB224)*constants!$G$2</f>
        <v>153410.4338616429</v>
      </c>
      <c r="AO224">
        <f>(AD224*constants!$F$2+AE224*constants!$G$2)</f>
        <v>31930.311498364543</v>
      </c>
      <c r="AP224">
        <f t="shared" si="33"/>
        <v>20.813650476447844</v>
      </c>
    </row>
    <row r="225" spans="1:42">
      <c r="A225">
        <f>sim_annual_output!B225</f>
        <v>12</v>
      </c>
      <c r="B225" t="str">
        <f>sim_annual_output!C225</f>
        <v>Maintenance Shop-Small</v>
      </c>
      <c r="C225" t="str">
        <f>sim_annual_output!D225</f>
        <v>1980-2004</v>
      </c>
      <c r="D225" t="str">
        <f>sim_annual_output!E225</f>
        <v>lights_reduce_70p</v>
      </c>
      <c r="E225" s="45">
        <f t="array" ref="E225">IFERROR(INDEX(baseline!$J$3:$J$201,MATCH($B225&amp;$C225,baseline!$C$3:$C$201&amp;baseline!$D$3:$D$201,0)),"NA")</f>
        <v>927</v>
      </c>
      <c r="F225">
        <f>sim_annual_output!G225</f>
        <v>923.71795399999996</v>
      </c>
      <c r="G225">
        <f>$E225/$F225^2*sim_annual_output!I225</f>
        <v>0</v>
      </c>
      <c r="H225">
        <f>$E225/$F225^2*sim_annual_output!J225</f>
        <v>393.80029945986138</v>
      </c>
      <c r="I225">
        <f>$E225/$F225^2*sim_annual_output!K225</f>
        <v>0.48587514915348062</v>
      </c>
      <c r="J225">
        <f>$E225/$F225^2*sim_annual_output!L225</f>
        <v>0</v>
      </c>
      <c r="K225">
        <f>$E225/$F225^2*sim_annual_output!M225</f>
        <v>4.8406443431191484</v>
      </c>
      <c r="L225">
        <f>$E225/$F225^2*sim_annual_output!N225</f>
        <v>38.601422564112866</v>
      </c>
      <c r="M225">
        <f>$E225/$F225^2*sim_annual_output!O225</f>
        <v>6.60609131364577</v>
      </c>
      <c r="N225">
        <f>$E225/$F225^2*sim_annual_output!P225</f>
        <v>0</v>
      </c>
      <c r="O225">
        <f>$E225/$F225^2*sim_annual_output!Q225</f>
        <v>15.010826036580202</v>
      </c>
      <c r="P225">
        <f>$E225/$F225^2*sim_annual_output!R225</f>
        <v>22.090721067102351</v>
      </c>
      <c r="Q225">
        <f>$E225/$F225^2*sim_annual_output!S225</f>
        <v>0</v>
      </c>
      <c r="R225">
        <f t="array" ref="R225">INDEX(G$3:G$700,MATCH($B225&amp;$C225&amp;"baseline",$B$3:$B$700&amp;$C$3:$C$700&amp;$D$3:$D$700,0))</f>
        <v>0</v>
      </c>
      <c r="S225">
        <f t="array" ref="S225">INDEX(H$3:H$700,MATCH($B225&amp;$C225&amp;"baseline",$B$3:$B$700&amp;$C$3:$C$700&amp;$D$3:$D$700,0))</f>
        <v>374.98395439792381</v>
      </c>
      <c r="T225">
        <f t="array" ref="T225">INDEX(I$3:I$700,MATCH($B225&amp;$C225&amp;"baseline",$B$3:$B$700&amp;$C$3:$C$700&amp;$D$3:$D$700,0))</f>
        <v>0.56132160088538763</v>
      </c>
      <c r="U225">
        <f t="array" ref="U225">INDEX(J$3:J$700,MATCH($B225&amp;$C225&amp;"baseline",$B$3:$B$700&amp;$C$3:$C$700&amp;$D$3:$D$700,0))</f>
        <v>0</v>
      </c>
      <c r="V225">
        <f t="array" ref="V225">INDEX(K$3:K$700,MATCH($B225&amp;$C225&amp;"baseline",$B$3:$B$700&amp;$C$3:$C$700&amp;$D$3:$D$700,0))</f>
        <v>4.8406443431191484</v>
      </c>
      <c r="W225">
        <f t="array" ref="W225">INDEX(L$3:L$700,MATCH($B225&amp;$C225&amp;"baseline",$B$3:$B$700&amp;$C$3:$C$700&amp;$D$3:$D$700,0))</f>
        <v>55.142302641816137</v>
      </c>
      <c r="X225">
        <f t="array" ref="X225">INDEX(M$3:M$700,MATCH($B225&amp;$C225&amp;"baseline",$B$3:$B$700&amp;$C$3:$C$700&amp;$D$3:$D$700,0))</f>
        <v>6.60609131364577</v>
      </c>
      <c r="Y225">
        <f t="array" ref="Y225">INDEX(N$3:N$700,MATCH($B225&amp;$C225&amp;"baseline",$B$3:$B$700&amp;$C$3:$C$700&amp;$D$3:$D$700,0))</f>
        <v>0</v>
      </c>
      <c r="Z225">
        <f t="array" ref="Z225">INDEX(O$3:O$700,MATCH($B225&amp;$C225&amp;"baseline",$B$3:$B$700&amp;$C$3:$C$700&amp;$D$3:$D$700,0))</f>
        <v>14.552111610050208</v>
      </c>
      <c r="AA225">
        <f t="array" ref="AA225">INDEX(P$3:P$700,MATCH($B225&amp;$C225&amp;"baseline",$B$3:$B$700&amp;$C$3:$C$700&amp;$D$3:$D$700,0))</f>
        <v>21.324185117506175</v>
      </c>
      <c r="AB225">
        <f t="array" ref="AB225">INDEX(Q$3:Q$700,MATCH($B225&amp;$C225&amp;"baseline",$B$3:$B$700&amp;$C$3:$C$700&amp;$D$3:$D$700,0))</f>
        <v>0</v>
      </c>
      <c r="AC225">
        <f t="shared" si="27"/>
        <v>478.01061102494657</v>
      </c>
      <c r="AD225">
        <f t="shared" si="28"/>
        <v>-18.816345061937568</v>
      </c>
      <c r="AE225">
        <f t="shared" si="29"/>
        <v>15.391076153309015</v>
      </c>
      <c r="AF225">
        <f t="shared" si="30"/>
        <v>-0.71656754675050383</v>
      </c>
      <c r="AG225">
        <f>(S225+V225+Y225)*constants!$O$2+(R225+T225+U225+W225+X225+Z225+AA225+AB225)*constants!$N$2</f>
        <v>17.248177887686012</v>
      </c>
      <c r="AH225">
        <f>((S225+V225+Y225)-(H225+K225+N225))*constants!$O$2</f>
        <v>-0.30482479000338858</v>
      </c>
      <c r="AI225">
        <f>((R225+T225+U225+W225+X225+Z225+AA225+AB225)-(G225+I225+J225+L225+M225+O225+P225+Q225))*constants!$N$2</f>
        <v>1.7391916053239187</v>
      </c>
      <c r="AJ225">
        <f t="shared" si="31"/>
        <v>8.3160483655758632</v>
      </c>
      <c r="AK225">
        <f t="shared" si="32"/>
        <v>1.43436681532053</v>
      </c>
      <c r="AL225">
        <f>COUNTIFS($B:$B,$B225,$AK:$AK,"&lt;"&amp;$AK225)+COUNTIFS($B$2:$B225,$B225,$AK$2:$AK225,$AK225)</f>
        <v>47</v>
      </c>
      <c r="AM225" s="191">
        <f>IF(AK225=0, "NA",IF(((sim_annual_output!F225/E225)/AK225)&lt;0,100,((sim_annual_output!F225/E225)/AK225)))</f>
        <v>17.647432146378581</v>
      </c>
      <c r="AN225">
        <f>(S225+V225)*constants!$F$2+(T225+U225+W225+X225+Y225+Z225+AA225+AB225)*constants!$G$2</f>
        <v>153410.4338616429</v>
      </c>
      <c r="AO225">
        <f>(AD225*constants!$F$2+AE225*constants!$G$2)</f>
        <v>10022.110487292019</v>
      </c>
      <c r="AP225">
        <f t="shared" si="33"/>
        <v>6.5328740914263452</v>
      </c>
    </row>
    <row r="226" spans="1:42">
      <c r="A226">
        <f>sim_annual_output!B226</f>
        <v>12</v>
      </c>
      <c r="B226" t="str">
        <f>sim_annual_output!C226</f>
        <v>Maintenance Shop-Small</v>
      </c>
      <c r="C226" t="str">
        <f>sim_annual_output!D226</f>
        <v>1980-2004</v>
      </c>
      <c r="D226" t="str">
        <f>sim_annual_output!E226</f>
        <v>load_reduce</v>
      </c>
      <c r="E226" s="45">
        <f t="array" ref="E226">IFERROR(INDEX(baseline!$J$3:$J$201,MATCH($B226&amp;$C226,baseline!$C$3:$C$201&amp;baseline!$D$3:$D$201,0)),"NA")</f>
        <v>927</v>
      </c>
      <c r="F226">
        <f>sim_annual_output!G226</f>
        <v>923.71795399999996</v>
      </c>
      <c r="G226">
        <f>$E226/$F226^2*sim_annual_output!I226</f>
        <v>0</v>
      </c>
      <c r="H226">
        <f>$E226/$F226^2*sim_annual_output!J226</f>
        <v>145.37927677124608</v>
      </c>
      <c r="I226">
        <f>$E226/$F226^2*sim_annual_output!K226</f>
        <v>1.2011075115719583</v>
      </c>
      <c r="J226">
        <f>$E226/$F226^2*sim_annual_output!L226</f>
        <v>0</v>
      </c>
      <c r="K226">
        <f>$E226/$F226^2*sim_annual_output!M226</f>
        <v>4.8406443431191484</v>
      </c>
      <c r="L226">
        <f>$E226/$F226^2*sim_annual_output!N226</f>
        <v>55.142302641816137</v>
      </c>
      <c r="M226">
        <f>$E226/$F226^2*sim_annual_output!O226</f>
        <v>6.60609131364577</v>
      </c>
      <c r="N226">
        <f>$E226/$F226^2*sim_annual_output!P226</f>
        <v>0</v>
      </c>
      <c r="O226">
        <f>$E226/$F226^2*sim_annual_output!Q226</f>
        <v>11.594610702159457</v>
      </c>
      <c r="P226">
        <f>$E226/$F226^2*sim_annual_output!R226</f>
        <v>15.834701289492626</v>
      </c>
      <c r="Q226">
        <f>$E226/$F226^2*sim_annual_output!S226</f>
        <v>0</v>
      </c>
      <c r="R226">
        <f t="array" ref="R226">INDEX(G$3:G$700,MATCH($B226&amp;$C226&amp;"baseline",$B$3:$B$700&amp;$C$3:$C$700&amp;$D$3:$D$700,0))</f>
        <v>0</v>
      </c>
      <c r="S226">
        <f t="array" ref="S226">INDEX(H$3:H$700,MATCH($B226&amp;$C226&amp;"baseline",$B$3:$B$700&amp;$C$3:$C$700&amp;$D$3:$D$700,0))</f>
        <v>374.98395439792381</v>
      </c>
      <c r="T226">
        <f t="array" ref="T226">INDEX(I$3:I$700,MATCH($B226&amp;$C226&amp;"baseline",$B$3:$B$700&amp;$C$3:$C$700&amp;$D$3:$D$700,0))</f>
        <v>0.56132160088538763</v>
      </c>
      <c r="U226">
        <f t="array" ref="U226">INDEX(J$3:J$700,MATCH($B226&amp;$C226&amp;"baseline",$B$3:$B$700&amp;$C$3:$C$700&amp;$D$3:$D$700,0))</f>
        <v>0</v>
      </c>
      <c r="V226">
        <f t="array" ref="V226">INDEX(K$3:K$700,MATCH($B226&amp;$C226&amp;"baseline",$B$3:$B$700&amp;$C$3:$C$700&amp;$D$3:$D$700,0))</f>
        <v>4.8406443431191484</v>
      </c>
      <c r="W226">
        <f t="array" ref="W226">INDEX(L$3:L$700,MATCH($B226&amp;$C226&amp;"baseline",$B$3:$B$700&amp;$C$3:$C$700&amp;$D$3:$D$700,0))</f>
        <v>55.142302641816137</v>
      </c>
      <c r="X226">
        <f t="array" ref="X226">INDEX(M$3:M$700,MATCH($B226&amp;$C226&amp;"baseline",$B$3:$B$700&amp;$C$3:$C$700&amp;$D$3:$D$700,0))</f>
        <v>6.60609131364577</v>
      </c>
      <c r="Y226">
        <f t="array" ref="Y226">INDEX(N$3:N$700,MATCH($B226&amp;$C226&amp;"baseline",$B$3:$B$700&amp;$C$3:$C$700&amp;$D$3:$D$700,0))</f>
        <v>0</v>
      </c>
      <c r="Z226">
        <f t="array" ref="Z226">INDEX(O$3:O$700,MATCH($B226&amp;$C226&amp;"baseline",$B$3:$B$700&amp;$C$3:$C$700&amp;$D$3:$D$700,0))</f>
        <v>14.552111610050208</v>
      </c>
      <c r="AA226">
        <f t="array" ref="AA226">INDEX(P$3:P$700,MATCH($B226&amp;$C226&amp;"baseline",$B$3:$B$700&amp;$C$3:$C$700&amp;$D$3:$D$700,0))</f>
        <v>21.324185117506175</v>
      </c>
      <c r="AB226">
        <f t="array" ref="AB226">INDEX(Q$3:Q$700,MATCH($B226&amp;$C226&amp;"baseline",$B$3:$B$700&amp;$C$3:$C$700&amp;$D$3:$D$700,0))</f>
        <v>0</v>
      </c>
      <c r="AC226">
        <f t="shared" si="27"/>
        <v>478.01061102494657</v>
      </c>
      <c r="AD226">
        <f t="shared" si="28"/>
        <v>229.60467762667773</v>
      </c>
      <c r="AE226">
        <f t="shared" si="29"/>
        <v>7.8071988252177391</v>
      </c>
      <c r="AF226">
        <f t="shared" si="30"/>
        <v>49.666654039925767</v>
      </c>
      <c r="AG226">
        <f>(S226+V226+Y226)*constants!$O$2+(R226+T226+U226+W226+X226+Z226+AA226+AB226)*constants!$N$2</f>
        <v>17.248177887686012</v>
      </c>
      <c r="AH226">
        <f>((S226+V226+Y226)-(H226+K226+N226))*constants!$O$2</f>
        <v>3.7195957775521791</v>
      </c>
      <c r="AI226">
        <f>((R226+T226+U226+W226+X226+Z226+AA226+AB226)-(G226+I226+J226+L226+M226+O226+P226+Q226))*constants!$N$2</f>
        <v>0.88221346724960459</v>
      </c>
      <c r="AJ226">
        <f t="shared" si="31"/>
        <v>26.679973239881484</v>
      </c>
      <c r="AK226">
        <f t="shared" si="32"/>
        <v>4.6018092448017835</v>
      </c>
      <c r="AL226">
        <f>COUNTIFS($B:$B,$B226,$AK:$AK,"&lt;"&amp;$AK226)+COUNTIFS($B$2:$B226,$B226,$AK$2:$AK226,$AK226)</f>
        <v>59</v>
      </c>
      <c r="AM226" s="191">
        <f>IF(AK226=0, "NA",IF(((sim_annual_output!F226/E226)/AK226)&lt;0,100,((sim_annual_output!F226/E226)/AK226)))</f>
        <v>11.054987783616843</v>
      </c>
      <c r="AN226">
        <f>(S226+V226)*constants!$F$2+(T226+U226+W226+X226+Y226+Z226+AA226+AB226)*constants!$G$2</f>
        <v>153410.4338616429</v>
      </c>
      <c r="AO226">
        <f>(AD226*constants!$F$2+AE226*constants!$G$2)</f>
        <v>47891.500273114747</v>
      </c>
      <c r="AP226">
        <f t="shared" si="33"/>
        <v>31.217889857678728</v>
      </c>
    </row>
    <row r="227" spans="1:42">
      <c r="A227">
        <f>sim_annual_output!B227</f>
        <v>12</v>
      </c>
      <c r="B227" t="str">
        <f>sim_annual_output!C227</f>
        <v>Maintenance Shop-Small</v>
      </c>
      <c r="C227" t="str">
        <f>sim_annual_output!D227</f>
        <v>1980-2004</v>
      </c>
      <c r="D227" t="str">
        <f>sim_annual_output!E227</f>
        <v>occupancy_setback</v>
      </c>
      <c r="E227" s="45">
        <f t="array" ref="E227">IFERROR(INDEX(baseline!$J$3:$J$201,MATCH($B227&amp;$C227,baseline!$C$3:$C$201&amp;baseline!$D$3:$D$201,0)),"NA")</f>
        <v>927</v>
      </c>
      <c r="F227">
        <f>sim_annual_output!G227</f>
        <v>923.71795399999996</v>
      </c>
      <c r="G227">
        <f>$E227/$F227^2*sim_annual_output!I227</f>
        <v>0</v>
      </c>
      <c r="H227">
        <f>$E227/$F227^2*sim_annual_output!J227</f>
        <v>322.44908112796236</v>
      </c>
      <c r="I227">
        <f>$E227/$F227^2*sim_annual_output!K227</f>
        <v>0.95666100796057973</v>
      </c>
      <c r="J227">
        <f>$E227/$F227^2*sim_annual_output!L227</f>
        <v>0</v>
      </c>
      <c r="K227">
        <f>$E227/$F227^2*sim_annual_output!M227</f>
        <v>4.8406443431191484</v>
      </c>
      <c r="L227">
        <f>$E227/$F227^2*sim_annual_output!N227</f>
        <v>55.142302641816137</v>
      </c>
      <c r="M227">
        <f>$E227/$F227^2*sim_annual_output!O227</f>
        <v>6.60609131364577</v>
      </c>
      <c r="N227">
        <f>$E227/$F227^2*sim_annual_output!P227</f>
        <v>0</v>
      </c>
      <c r="O227">
        <f>$E227/$F227^2*sim_annual_output!Q227</f>
        <v>15.200951094944607</v>
      </c>
      <c r="P227">
        <f>$E227/$F227^2*sim_annual_output!R227</f>
        <v>21.218560085081503</v>
      </c>
      <c r="Q227">
        <f>$E227/$F227^2*sim_annual_output!S227</f>
        <v>0</v>
      </c>
      <c r="R227">
        <f t="array" ref="R227">INDEX(G$3:G$700,MATCH($B227&amp;$C227&amp;"baseline",$B$3:$B$700&amp;$C$3:$C$700&amp;$D$3:$D$700,0))</f>
        <v>0</v>
      </c>
      <c r="S227">
        <f t="array" ref="S227">INDEX(H$3:H$700,MATCH($B227&amp;$C227&amp;"baseline",$B$3:$B$700&amp;$C$3:$C$700&amp;$D$3:$D$700,0))</f>
        <v>374.98395439792381</v>
      </c>
      <c r="T227">
        <f t="array" ref="T227">INDEX(I$3:I$700,MATCH($B227&amp;$C227&amp;"baseline",$B$3:$B$700&amp;$C$3:$C$700&amp;$D$3:$D$700,0))</f>
        <v>0.56132160088538763</v>
      </c>
      <c r="U227">
        <f t="array" ref="U227">INDEX(J$3:J$700,MATCH($B227&amp;$C227&amp;"baseline",$B$3:$B$700&amp;$C$3:$C$700&amp;$D$3:$D$700,0))</f>
        <v>0</v>
      </c>
      <c r="V227">
        <f t="array" ref="V227">INDEX(K$3:K$700,MATCH($B227&amp;$C227&amp;"baseline",$B$3:$B$700&amp;$C$3:$C$700&amp;$D$3:$D$700,0))</f>
        <v>4.8406443431191484</v>
      </c>
      <c r="W227">
        <f t="array" ref="W227">INDEX(L$3:L$700,MATCH($B227&amp;$C227&amp;"baseline",$B$3:$B$700&amp;$C$3:$C$700&amp;$D$3:$D$700,0))</f>
        <v>55.142302641816137</v>
      </c>
      <c r="X227">
        <f t="array" ref="X227">INDEX(M$3:M$700,MATCH($B227&amp;$C227&amp;"baseline",$B$3:$B$700&amp;$C$3:$C$700&amp;$D$3:$D$700,0))</f>
        <v>6.60609131364577</v>
      </c>
      <c r="Y227">
        <f t="array" ref="Y227">INDEX(N$3:N$700,MATCH($B227&amp;$C227&amp;"baseline",$B$3:$B$700&amp;$C$3:$C$700&amp;$D$3:$D$700,0))</f>
        <v>0</v>
      </c>
      <c r="Z227">
        <f t="array" ref="Z227">INDEX(O$3:O$700,MATCH($B227&amp;$C227&amp;"baseline",$B$3:$B$700&amp;$C$3:$C$700&amp;$D$3:$D$700,0))</f>
        <v>14.552111610050208</v>
      </c>
      <c r="AA227">
        <f t="array" ref="AA227">INDEX(P$3:P$700,MATCH($B227&amp;$C227&amp;"baseline",$B$3:$B$700&amp;$C$3:$C$700&amp;$D$3:$D$700,0))</f>
        <v>21.324185117506175</v>
      </c>
      <c r="AB227">
        <f t="array" ref="AB227">INDEX(Q$3:Q$700,MATCH($B227&amp;$C227&amp;"baseline",$B$3:$B$700&amp;$C$3:$C$700&amp;$D$3:$D$700,0))</f>
        <v>0</v>
      </c>
      <c r="AC227">
        <f t="shared" si="27"/>
        <v>478.01061102494657</v>
      </c>
      <c r="AD227">
        <f t="shared" si="28"/>
        <v>52.534873269961452</v>
      </c>
      <c r="AE227">
        <f t="shared" si="29"/>
        <v>-0.93855385954492476</v>
      </c>
      <c r="AF227">
        <f t="shared" si="30"/>
        <v>10.79396946854048</v>
      </c>
      <c r="AG227">
        <f>(S227+V227+Y227)*constants!$O$2+(R227+T227+U227+W227+X227+Z227+AA227+AB227)*constants!$N$2</f>
        <v>17.248177887686012</v>
      </c>
      <c r="AH227">
        <f>((S227+V227+Y227)-(H227+K227+N227))*constants!$O$2</f>
        <v>0.85106494697337542</v>
      </c>
      <c r="AI227">
        <f>((R227+T227+U227+W227+X227+Z227+AA227+AB227)-(G227+I227+J227+L227+M227+O227+P227+Q227))*constants!$N$2</f>
        <v>-0.1060565861285765</v>
      </c>
      <c r="AJ227">
        <f t="shared" si="31"/>
        <v>4.319345299521073</v>
      </c>
      <c r="AK227">
        <f t="shared" si="32"/>
        <v>0.74500836084479893</v>
      </c>
      <c r="AL227">
        <f>COUNTIFS($B:$B,$B227,$AK:$AK,"&lt;"&amp;$AK227)+COUNTIFS($B$2:$B227,$B227,$AK$2:$AK227,$AK227)</f>
        <v>40</v>
      </c>
      <c r="AM227" s="191">
        <f>IF(AK227=0, "NA",IF(((sim_annual_output!F227/E227)/AK227)&lt;0,100,((sim_annual_output!F227/E227)/AK227)))</f>
        <v>6.2093957907929846</v>
      </c>
      <c r="AN227">
        <f>(S227+V227)*constants!$F$2+(T227+U227+W227+X227+Y227+Z227+AA227+AB227)*constants!$G$2</f>
        <v>153410.4338616429</v>
      </c>
      <c r="AO227">
        <f>(AD227*constants!$F$2+AE227*constants!$G$2)</f>
        <v>8587.2004575190149</v>
      </c>
      <c r="AP227">
        <f t="shared" si="33"/>
        <v>5.5975335193065163</v>
      </c>
    </row>
    <row r="228" spans="1:42">
      <c r="A228">
        <f>sim_annual_output!B228</f>
        <v>12</v>
      </c>
      <c r="B228" t="str">
        <f>sim_annual_output!C228</f>
        <v>Maintenance Shop-Small</v>
      </c>
      <c r="C228" t="str">
        <f>sim_annual_output!D228</f>
        <v>1980-2004</v>
      </c>
      <c r="D228" t="str">
        <f>sim_annual_output!E228</f>
        <v>payback_less_than_20</v>
      </c>
      <c r="E228" s="45">
        <f t="array" ref="E228">IFERROR(INDEX(baseline!$J$3:$J$201,MATCH($B228&amp;$C228,baseline!$C$3:$C$201&amp;baseline!$D$3:$D$201,0)),"NA")</f>
        <v>927</v>
      </c>
      <c r="F228">
        <f>sim_annual_output!G228</f>
        <v>923.71795399999996</v>
      </c>
      <c r="G228">
        <f>$E228/$F228^2*sim_annual_output!I228</f>
        <v>0</v>
      </c>
      <c r="H228">
        <f>$E228/$F228^2*sim_annual_output!J228</f>
        <v>163.06996077334361</v>
      </c>
      <c r="I228">
        <f>$E228/$F228^2*sim_annual_output!K228</f>
        <v>2.8579115916046343</v>
      </c>
      <c r="J228">
        <f>$E228/$F228^2*sim_annual_output!L228</f>
        <v>0</v>
      </c>
      <c r="K228">
        <f>$E228/$F228^2*sim_annual_output!M228</f>
        <v>4.8406443431191484</v>
      </c>
      <c r="L228">
        <f>$E228/$F228^2*sim_annual_output!N228</f>
        <v>38.601422564112866</v>
      </c>
      <c r="M228">
        <f>$E228/$F228^2*sim_annual_output!O228</f>
        <v>6.60609131364577</v>
      </c>
      <c r="N228">
        <f>$E228/$F228^2*sim_annual_output!P228</f>
        <v>0</v>
      </c>
      <c r="O228">
        <f>$E228/$F228^2*sim_annual_output!Q228</f>
        <v>13.013003994719307</v>
      </c>
      <c r="P228">
        <f>$E228/$F228^2*sim_annual_output!R228</f>
        <v>12.355110935617079</v>
      </c>
      <c r="Q228">
        <f>$E228/$F228^2*sim_annual_output!S228</f>
        <v>0</v>
      </c>
      <c r="R228">
        <f t="array" ref="R228">INDEX(G$3:G$700,MATCH($B228&amp;$C228&amp;"baseline",$B$3:$B$700&amp;$C$3:$C$700&amp;$D$3:$D$700,0))</f>
        <v>0</v>
      </c>
      <c r="S228">
        <f t="array" ref="S228">INDEX(H$3:H$700,MATCH($B228&amp;$C228&amp;"baseline",$B$3:$B$700&amp;$C$3:$C$700&amp;$D$3:$D$700,0))</f>
        <v>374.98395439792381</v>
      </c>
      <c r="T228">
        <f t="array" ref="T228">INDEX(I$3:I$700,MATCH($B228&amp;$C228&amp;"baseline",$B$3:$B$700&amp;$C$3:$C$700&amp;$D$3:$D$700,0))</f>
        <v>0.56132160088538763</v>
      </c>
      <c r="U228">
        <f t="array" ref="U228">INDEX(J$3:J$700,MATCH($B228&amp;$C228&amp;"baseline",$B$3:$B$700&amp;$C$3:$C$700&amp;$D$3:$D$700,0))</f>
        <v>0</v>
      </c>
      <c r="V228">
        <f t="array" ref="V228">INDEX(K$3:K$700,MATCH($B228&amp;$C228&amp;"baseline",$B$3:$B$700&amp;$C$3:$C$700&amp;$D$3:$D$700,0))</f>
        <v>4.8406443431191484</v>
      </c>
      <c r="W228">
        <f t="array" ref="W228">INDEX(L$3:L$700,MATCH($B228&amp;$C228&amp;"baseline",$B$3:$B$700&amp;$C$3:$C$700&amp;$D$3:$D$700,0))</f>
        <v>55.142302641816137</v>
      </c>
      <c r="X228">
        <f t="array" ref="X228">INDEX(M$3:M$700,MATCH($B228&amp;$C228&amp;"baseline",$B$3:$B$700&amp;$C$3:$C$700&amp;$D$3:$D$700,0))</f>
        <v>6.60609131364577</v>
      </c>
      <c r="Y228">
        <f t="array" ref="Y228">INDEX(N$3:N$700,MATCH($B228&amp;$C228&amp;"baseline",$B$3:$B$700&amp;$C$3:$C$700&amp;$D$3:$D$700,0))</f>
        <v>0</v>
      </c>
      <c r="Z228">
        <f t="array" ref="Z228">INDEX(O$3:O$700,MATCH($B228&amp;$C228&amp;"baseline",$B$3:$B$700&amp;$C$3:$C$700&amp;$D$3:$D$700,0))</f>
        <v>14.552111610050208</v>
      </c>
      <c r="AA228">
        <f t="array" ref="AA228">INDEX(P$3:P$700,MATCH($B228&amp;$C228&amp;"baseline",$B$3:$B$700&amp;$C$3:$C$700&amp;$D$3:$D$700,0))</f>
        <v>21.324185117506175</v>
      </c>
      <c r="AB228">
        <f t="array" ref="AB228">INDEX(Q$3:Q$700,MATCH($B228&amp;$C228&amp;"baseline",$B$3:$B$700&amp;$C$3:$C$700&amp;$D$3:$D$700,0))</f>
        <v>0</v>
      </c>
      <c r="AC228">
        <f t="shared" si="27"/>
        <v>478.01061102494657</v>
      </c>
      <c r="AD228">
        <f t="shared" si="28"/>
        <v>211.9139936245802</v>
      </c>
      <c r="AE228">
        <f t="shared" si="29"/>
        <v>24.752471884204027</v>
      </c>
      <c r="AF228">
        <f t="shared" si="30"/>
        <v>49.510713789663761</v>
      </c>
      <c r="AG228">
        <f>(S228+V228+Y228)*constants!$O$2+(R228+T228+U228+W228+X228+Z228+AA228+AB228)*constants!$N$2</f>
        <v>17.248177887686012</v>
      </c>
      <c r="AH228">
        <f>((S228+V228+Y228)-(H228+K228+N228))*constants!$O$2</f>
        <v>3.4330066967181989</v>
      </c>
      <c r="AI228">
        <f>((R228+T228+U228+W228+X228+Z228+AA228+AB228)-(G228+I228+J228+L228+M228+O228+P228+Q228))*constants!$N$2</f>
        <v>2.7970293229150553</v>
      </c>
      <c r="AJ228">
        <f t="shared" si="31"/>
        <v>36.119966179622153</v>
      </c>
      <c r="AK228">
        <f t="shared" si="32"/>
        <v>6.2300360196332543</v>
      </c>
      <c r="AL228">
        <f>COUNTIFS($B:$B,$B228,$AK:$AK,"&lt;"&amp;$AK228)+COUNTIFS($B$2:$B228,$B228,$AK$2:$AK228,$AK228)</f>
        <v>61</v>
      </c>
      <c r="AM228" s="191">
        <f>IF(AK228=0, "NA",IF(((sim_annual_output!F228/E228)/AK228)&lt;0,100,((sim_annual_output!F228/E228)/AK228)))</f>
        <v>16.493400115679083</v>
      </c>
      <c r="AN228">
        <f>(S228+V228)*constants!$F$2+(T228+U228+W228+X228+Y228+Z228+AA228+AB228)*constants!$G$2</f>
        <v>153410.4338616429</v>
      </c>
      <c r="AO228">
        <f>(AD228*constants!$F$2+AE228*constants!$G$2)</f>
        <v>59467.255398057365</v>
      </c>
      <c r="AP228">
        <f t="shared" si="33"/>
        <v>38.763501217713404</v>
      </c>
    </row>
    <row r="229" spans="1:42">
      <c r="A229">
        <f>sim_annual_output!B229</f>
        <v>12</v>
      </c>
      <c r="B229" t="str">
        <f>sim_annual_output!C229</f>
        <v>Maintenance Shop-Small</v>
      </c>
      <c r="C229" t="str">
        <f>sim_annual_output!D229</f>
        <v>1980-2004</v>
      </c>
      <c r="D229" t="str">
        <f>sim_annual_output!E229</f>
        <v>plug_loads_90_percent</v>
      </c>
      <c r="E229" s="45">
        <f t="array" ref="E229">IFERROR(INDEX(baseline!$J$3:$J$201,MATCH($B229&amp;$C229,baseline!$C$3:$C$201&amp;baseline!$D$3:$D$201,0)),"NA")</f>
        <v>927</v>
      </c>
      <c r="F229">
        <f>sim_annual_output!G229</f>
        <v>923.71795399999996</v>
      </c>
      <c r="G229">
        <f>$E229/$F229^2*sim_annual_output!I229</f>
        <v>0</v>
      </c>
      <c r="H229">
        <f>$E229/$F229^2*sim_annual_output!J229</f>
        <v>372.49723934884014</v>
      </c>
      <c r="I229">
        <f>$E229/$F229^2*sim_annual_output!K229</f>
        <v>1.0441788919695918</v>
      </c>
      <c r="J229">
        <f>$E229/$F229^2*sim_annual_output!L229</f>
        <v>0</v>
      </c>
      <c r="K229">
        <f>$E229/$F229^2*sim_annual_output!M229</f>
        <v>4.8406443431191484</v>
      </c>
      <c r="L229">
        <f>$E229/$F229^2*sim_annual_output!N229</f>
        <v>55.142302641816137</v>
      </c>
      <c r="M229">
        <f>$E229/$F229^2*sim_annual_output!O229</f>
        <v>6.60609131364577</v>
      </c>
      <c r="N229">
        <f>$E229/$F229^2*sim_annual_output!P229</f>
        <v>0</v>
      </c>
      <c r="O229">
        <f>$E229/$F229^2*sim_annual_output!Q229</f>
        <v>14.690933081236915</v>
      </c>
      <c r="P229">
        <f>$E229/$F229^2*sim_annual_output!R229</f>
        <v>21.444899440277226</v>
      </c>
      <c r="Q229">
        <f>$E229/$F229^2*sim_annual_output!S229</f>
        <v>0</v>
      </c>
      <c r="R229">
        <f t="array" ref="R229">INDEX(G$3:G$700,MATCH($B229&amp;$C229&amp;"baseline",$B$3:$B$700&amp;$C$3:$C$700&amp;$D$3:$D$700,0))</f>
        <v>0</v>
      </c>
      <c r="S229">
        <f t="array" ref="S229">INDEX(H$3:H$700,MATCH($B229&amp;$C229&amp;"baseline",$B$3:$B$700&amp;$C$3:$C$700&amp;$D$3:$D$700,0))</f>
        <v>374.98395439792381</v>
      </c>
      <c r="T229">
        <f t="array" ref="T229">INDEX(I$3:I$700,MATCH($B229&amp;$C229&amp;"baseline",$B$3:$B$700&amp;$C$3:$C$700&amp;$D$3:$D$700,0))</f>
        <v>0.56132160088538763</v>
      </c>
      <c r="U229">
        <f t="array" ref="U229">INDEX(J$3:J$700,MATCH($B229&amp;$C229&amp;"baseline",$B$3:$B$700&amp;$C$3:$C$700&amp;$D$3:$D$700,0))</f>
        <v>0</v>
      </c>
      <c r="V229">
        <f t="array" ref="V229">INDEX(K$3:K$700,MATCH($B229&amp;$C229&amp;"baseline",$B$3:$B$700&amp;$C$3:$C$700&amp;$D$3:$D$700,0))</f>
        <v>4.8406443431191484</v>
      </c>
      <c r="W229">
        <f t="array" ref="W229">INDEX(L$3:L$700,MATCH($B229&amp;$C229&amp;"baseline",$B$3:$B$700&amp;$C$3:$C$700&amp;$D$3:$D$700,0))</f>
        <v>55.142302641816137</v>
      </c>
      <c r="X229">
        <f t="array" ref="X229">INDEX(M$3:M$700,MATCH($B229&amp;$C229&amp;"baseline",$B$3:$B$700&amp;$C$3:$C$700&amp;$D$3:$D$700,0))</f>
        <v>6.60609131364577</v>
      </c>
      <c r="Y229">
        <f t="array" ref="Y229">INDEX(N$3:N$700,MATCH($B229&amp;$C229&amp;"baseline",$B$3:$B$700&amp;$C$3:$C$700&amp;$D$3:$D$700,0))</f>
        <v>0</v>
      </c>
      <c r="Z229">
        <f t="array" ref="Z229">INDEX(O$3:O$700,MATCH($B229&amp;$C229&amp;"baseline",$B$3:$B$700&amp;$C$3:$C$700&amp;$D$3:$D$700,0))</f>
        <v>14.552111610050208</v>
      </c>
      <c r="AA229">
        <f t="array" ref="AA229">INDEX(P$3:P$700,MATCH($B229&amp;$C229&amp;"baseline",$B$3:$B$700&amp;$C$3:$C$700&amp;$D$3:$D$700,0))</f>
        <v>21.324185117506175</v>
      </c>
      <c r="AB229">
        <f t="array" ref="AB229">INDEX(Q$3:Q$700,MATCH($B229&amp;$C229&amp;"baseline",$B$3:$B$700&amp;$C$3:$C$700&amp;$D$3:$D$700,0))</f>
        <v>0</v>
      </c>
      <c r="AC229">
        <f t="shared" si="27"/>
        <v>478.01061102494657</v>
      </c>
      <c r="AD229">
        <f t="shared" si="28"/>
        <v>2.4867150490836707</v>
      </c>
      <c r="AE229">
        <f t="shared" si="29"/>
        <v>-0.74239308504196799</v>
      </c>
      <c r="AF229">
        <f t="shared" si="30"/>
        <v>0.36491281235400636</v>
      </c>
      <c r="AG229">
        <f>(S229+V229+Y229)*constants!$O$2+(R229+T229+U229+W229+X229+Z229+AA229+AB229)*constants!$N$2</f>
        <v>17.248177887686012</v>
      </c>
      <c r="AH229">
        <f>((S229+V229+Y229)-(H229+K229+N229))*constants!$O$2</f>
        <v>4.028478379515546E-2</v>
      </c>
      <c r="AI229">
        <f>((R229+T229+U229+W229+X229+Z229+AA229+AB229)-(G229+I229+J229+L229+M229+O229+P229+Q229))*constants!$N$2</f>
        <v>-8.389041860974239E-2</v>
      </c>
      <c r="AJ229">
        <f t="shared" si="31"/>
        <v>-0.2528129933406954</v>
      </c>
      <c r="AK229">
        <f t="shared" si="32"/>
        <v>-4.360563481458693E-2</v>
      </c>
      <c r="AL229">
        <f>COUNTIFS($B:$B,$B229,$AK:$AK,"&lt;"&amp;$AK229)+COUNTIFS($B$2:$B229,$B229,$AK$2:$AK229,$AK229)</f>
        <v>11</v>
      </c>
      <c r="AM229" s="191">
        <f>IF(AK229=0, "NA",IF(((sim_annual_output!F229/E229)/AK229)&lt;0,100,((sim_annual_output!F229/E229)/AK229)))</f>
        <v>100</v>
      </c>
      <c r="AN229">
        <f>(S229+V229)*constants!$F$2+(T229+U229+W229+X229+Y229+Z229+AA229+AB229)*constants!$G$2</f>
        <v>153410.4338616429</v>
      </c>
      <c r="AO229">
        <f>(AD229*constants!$F$2+AE229*constants!$G$2)</f>
        <v>-200.75999020053513</v>
      </c>
      <c r="AP229">
        <f t="shared" si="33"/>
        <v>-0.13086462579305111</v>
      </c>
    </row>
    <row r="230" spans="1:42">
      <c r="A230">
        <f>sim_annual_output!B230</f>
        <v>12</v>
      </c>
      <c r="B230" t="str">
        <f>sim_annual_output!C230</f>
        <v>Maintenance Shop-Small</v>
      </c>
      <c r="C230" t="str">
        <f>sim_annual_output!D230</f>
        <v>1980-2004</v>
      </c>
      <c r="D230" t="str">
        <f>sim_annual_output!E230</f>
        <v>pump_fan_eff_</v>
      </c>
      <c r="E230" s="45">
        <f t="array" ref="E230">IFERROR(INDEX(baseline!$J$3:$J$201,MATCH($B230&amp;$C230,baseline!$C$3:$C$201&amp;baseline!$D$3:$D$201,0)),"NA")</f>
        <v>927</v>
      </c>
      <c r="F230">
        <f>sim_annual_output!G230</f>
        <v>923.71795399999996</v>
      </c>
      <c r="G230">
        <f>$E230/$F230^2*sim_annual_output!I230</f>
        <v>0</v>
      </c>
      <c r="H230">
        <f>$E230/$F230^2*sim_annual_output!J230</f>
        <v>372.45800719393952</v>
      </c>
      <c r="I230">
        <f>$E230/$F230^2*sim_annual_output!K230</f>
        <v>1.0743574726623546</v>
      </c>
      <c r="J230">
        <f>$E230/$F230^2*sim_annual_output!L230</f>
        <v>0</v>
      </c>
      <c r="K230">
        <f>$E230/$F230^2*sim_annual_output!M230</f>
        <v>4.8406443431191484</v>
      </c>
      <c r="L230">
        <f>$E230/$F230^2*sim_annual_output!N230</f>
        <v>55.142302641816137</v>
      </c>
      <c r="M230">
        <f>$E230/$F230^2*sim_annual_output!O230</f>
        <v>6.60609131364577</v>
      </c>
      <c r="N230">
        <f>$E230/$F230^2*sim_annual_output!P230</f>
        <v>0</v>
      </c>
      <c r="O230">
        <f>$E230/$F230^2*sim_annual_output!Q230</f>
        <v>14.690933081236915</v>
      </c>
      <c r="P230">
        <f>$E230/$F230^2*sim_annual_output!R230</f>
        <v>16.76420157482972</v>
      </c>
      <c r="Q230">
        <f>$E230/$F230^2*sim_annual_output!S230</f>
        <v>0</v>
      </c>
      <c r="R230">
        <f t="array" ref="R230">INDEX(G$3:G$700,MATCH($B230&amp;$C230&amp;"baseline",$B$3:$B$700&amp;$C$3:$C$700&amp;$D$3:$D$700,0))</f>
        <v>0</v>
      </c>
      <c r="S230">
        <f t="array" ref="S230">INDEX(H$3:H$700,MATCH($B230&amp;$C230&amp;"baseline",$B$3:$B$700&amp;$C$3:$C$700&amp;$D$3:$D$700,0))</f>
        <v>374.98395439792381</v>
      </c>
      <c r="T230">
        <f t="array" ref="T230">INDEX(I$3:I$700,MATCH($B230&amp;$C230&amp;"baseline",$B$3:$B$700&amp;$C$3:$C$700&amp;$D$3:$D$700,0))</f>
        <v>0.56132160088538763</v>
      </c>
      <c r="U230">
        <f t="array" ref="U230">INDEX(J$3:J$700,MATCH($B230&amp;$C230&amp;"baseline",$B$3:$B$700&amp;$C$3:$C$700&amp;$D$3:$D$700,0))</f>
        <v>0</v>
      </c>
      <c r="V230">
        <f t="array" ref="V230">INDEX(K$3:K$700,MATCH($B230&amp;$C230&amp;"baseline",$B$3:$B$700&amp;$C$3:$C$700&amp;$D$3:$D$700,0))</f>
        <v>4.8406443431191484</v>
      </c>
      <c r="W230">
        <f t="array" ref="W230">INDEX(L$3:L$700,MATCH($B230&amp;$C230&amp;"baseline",$B$3:$B$700&amp;$C$3:$C$700&amp;$D$3:$D$700,0))</f>
        <v>55.142302641816137</v>
      </c>
      <c r="X230">
        <f t="array" ref="X230">INDEX(M$3:M$700,MATCH($B230&amp;$C230&amp;"baseline",$B$3:$B$700&amp;$C$3:$C$700&amp;$D$3:$D$700,0))</f>
        <v>6.60609131364577</v>
      </c>
      <c r="Y230">
        <f t="array" ref="Y230">INDEX(N$3:N$700,MATCH($B230&amp;$C230&amp;"baseline",$B$3:$B$700&amp;$C$3:$C$700&amp;$D$3:$D$700,0))</f>
        <v>0</v>
      </c>
      <c r="Z230">
        <f t="array" ref="Z230">INDEX(O$3:O$700,MATCH($B230&amp;$C230&amp;"baseline",$B$3:$B$700&amp;$C$3:$C$700&amp;$D$3:$D$700,0))</f>
        <v>14.552111610050208</v>
      </c>
      <c r="AA230">
        <f t="array" ref="AA230">INDEX(P$3:P$700,MATCH($B230&amp;$C230&amp;"baseline",$B$3:$B$700&amp;$C$3:$C$700&amp;$D$3:$D$700,0))</f>
        <v>21.324185117506175</v>
      </c>
      <c r="AB230">
        <f t="array" ref="AB230">INDEX(Q$3:Q$700,MATCH($B230&amp;$C230&amp;"baseline",$B$3:$B$700&amp;$C$3:$C$700&amp;$D$3:$D$700,0))</f>
        <v>0</v>
      </c>
      <c r="AC230">
        <f t="shared" si="27"/>
        <v>478.01061102494657</v>
      </c>
      <c r="AD230">
        <f t="shared" si="28"/>
        <v>2.5259472039842876</v>
      </c>
      <c r="AE230">
        <f t="shared" si="29"/>
        <v>3.9081261997127825</v>
      </c>
      <c r="AF230">
        <f t="shared" si="30"/>
        <v>1.3460105812088943</v>
      </c>
      <c r="AG230">
        <f>(S230+V230+Y230)*constants!$O$2+(R230+T230+U230+W230+X230+Z230+AA230+AB230)*constants!$N$2</f>
        <v>17.248177887686012</v>
      </c>
      <c r="AH230">
        <f>((S230+V230+Y230)-(H230+K230+N230))*constants!$O$2</f>
        <v>4.0920344704545454E-2</v>
      </c>
      <c r="AI230">
        <f>((R230+T230+U230+W230+X230+Z230+AA230+AB230)-(G230+I230+J230+L230+M230+O230+P230+Q230))*constants!$N$2</f>
        <v>0.44161826056754444</v>
      </c>
      <c r="AJ230">
        <f t="shared" si="31"/>
        <v>2.7976207597939293</v>
      </c>
      <c r="AK230">
        <f t="shared" si="32"/>
        <v>0.48253860527208992</v>
      </c>
      <c r="AL230">
        <f>COUNTIFS($B:$B,$B230,$AK:$AK,"&lt;"&amp;$AK230)+COUNTIFS($B$2:$B230,$B230,$AK$2:$AK230,$AK230)</f>
        <v>39</v>
      </c>
      <c r="AM230" s="191">
        <f>IF(AK230=0, "NA",IF(((sim_annual_output!F230/E230)/AK230)&lt;0,100,((sim_annual_output!F230/E230)/AK230)))</f>
        <v>9.8017879785113919</v>
      </c>
      <c r="AN230">
        <f>(S230+V230)*constants!$F$2+(T230+U230+W230+X230+Y230+Z230+AA230+AB230)*constants!$G$2</f>
        <v>153410.4338616429</v>
      </c>
      <c r="AO230">
        <f>(AD230*constants!$F$2+AE230*constants!$G$2)</f>
        <v>3852.2143432633084</v>
      </c>
      <c r="AP230">
        <f t="shared" si="33"/>
        <v>2.5110510714919991</v>
      </c>
    </row>
    <row r="231" spans="1:42">
      <c r="A231">
        <f>sim_annual_output!B231</f>
        <v>8</v>
      </c>
      <c r="B231" t="str">
        <f>sim_annual_output!C231</f>
        <v>Maintenance Shop</v>
      </c>
      <c r="C231" t="str">
        <f>sim_annual_output!D231</f>
        <v>1959-pre</v>
      </c>
      <c r="D231" t="str">
        <f>sim_annual_output!E231</f>
        <v>air_temp_reset_enabled</v>
      </c>
      <c r="E231" s="45">
        <f t="array" ref="E231">IFERROR(INDEX(baseline!$J$3:$J$201,MATCH($B231&amp;$C231,baseline!$C$3:$C$201&amp;baseline!$D$3:$D$201,0)),"NA")</f>
        <v>1927</v>
      </c>
      <c r="F231">
        <f>sim_annual_output!G231</f>
        <v>2388.5449741513999</v>
      </c>
      <c r="G231">
        <f>$E231/$F231^2*sim_annual_output!I231</f>
        <v>0</v>
      </c>
      <c r="H231">
        <f>$E231/$F231^2*sim_annual_output!J231</f>
        <v>555.67012914362806</v>
      </c>
      <c r="I231">
        <f>$E231/$F231^2*sim_annual_output!K231</f>
        <v>0.74871340104688267</v>
      </c>
      <c r="J231">
        <f>$E231/$F231^2*sim_annual_output!L231</f>
        <v>2.1701429782223558</v>
      </c>
      <c r="K231">
        <f>$E231/$F231^2*sim_annual_output!M231</f>
        <v>0</v>
      </c>
      <c r="L231">
        <f>$E231/$F231^2*sim_annual_output!N231</f>
        <v>28.425776831475446</v>
      </c>
      <c r="M231">
        <f>$E231/$F231^2*sim_annual_output!O231</f>
        <v>4.074764787903022</v>
      </c>
      <c r="N231">
        <f>$E231/$F231^2*sim_annual_output!P231</f>
        <v>0</v>
      </c>
      <c r="O231">
        <f>$E231/$F231^2*sim_annual_output!Q231</f>
        <v>34.079595070458545</v>
      </c>
      <c r="P231">
        <f>$E231/$F231^2*sim_annual_output!R231</f>
        <v>29.001854561102999</v>
      </c>
      <c r="Q231">
        <f>$E231/$F231^2*sim_annual_output!S231</f>
        <v>0</v>
      </c>
      <c r="R231">
        <f t="array" ref="R231">INDEX(G$3:G$700,MATCH($B231&amp;$C231&amp;"baseline",$B$3:$B$700&amp;$C$3:$C$700&amp;$D$3:$D$700,0))</f>
        <v>0</v>
      </c>
      <c r="S231">
        <f t="array" ref="S231">INDEX(H$3:H$700,MATCH($B231&amp;$C231&amp;"baseline",$B$3:$B$700&amp;$C$3:$C$700&amp;$D$3:$D$700,0))</f>
        <v>558.03636372688652</v>
      </c>
      <c r="T231">
        <f t="array" ref="T231">INDEX(I$3:I$700,MATCH($B231&amp;$C231&amp;"baseline",$B$3:$B$700&amp;$C$3:$C$700&amp;$D$3:$D$700,0))</f>
        <v>0.38186259928080357</v>
      </c>
      <c r="U231">
        <f t="array" ref="U231">INDEX(J$3:J$700,MATCH($B231&amp;$C231&amp;"baseline",$B$3:$B$700&amp;$C$3:$C$700&amp;$D$3:$D$700,0))</f>
        <v>2.1710812155670256</v>
      </c>
      <c r="V231">
        <f t="array" ref="V231">INDEX(K$3:K$700,MATCH($B231&amp;$C231&amp;"baseline",$B$3:$B$700&amp;$C$3:$C$700&amp;$D$3:$D$700,0))</f>
        <v>0</v>
      </c>
      <c r="W231">
        <f t="array" ref="W231">INDEX(L$3:L$700,MATCH($B231&amp;$C231&amp;"baseline",$B$3:$B$700&amp;$C$3:$C$700&amp;$D$3:$D$700,0))</f>
        <v>28.425776831475446</v>
      </c>
      <c r="X231">
        <f t="array" ref="X231">INDEX(M$3:M$700,MATCH($B231&amp;$C231&amp;"baseline",$B$3:$B$700&amp;$C$3:$C$700&amp;$D$3:$D$700,0))</f>
        <v>4.074764787903022</v>
      </c>
      <c r="Y231">
        <f t="array" ref="Y231">INDEX(N$3:N$700,MATCH($B231&amp;$C231&amp;"baseline",$B$3:$B$700&amp;$C$3:$C$700&amp;$D$3:$D$700,0))</f>
        <v>0</v>
      </c>
      <c r="Z231">
        <f t="array" ref="Z231">INDEX(O$3:O$700,MATCH($B231&amp;$C231&amp;"baseline",$B$3:$B$700&amp;$C$3:$C$700&amp;$D$3:$D$700,0))</f>
        <v>31.39529802735688</v>
      </c>
      <c r="AA231">
        <f t="array" ref="AA231">INDEX(P$3:P$700,MATCH($B231&amp;$C231&amp;"baseline",$B$3:$B$700&amp;$C$3:$C$700&amp;$D$3:$D$700,0))</f>
        <v>28.792627633241526</v>
      </c>
      <c r="AB231">
        <f t="array" ref="AB231">INDEX(Q$3:Q$700,MATCH($B231&amp;$C231&amp;"baseline",$B$3:$B$700&amp;$C$3:$C$700&amp;$D$3:$D$700,0))</f>
        <v>0</v>
      </c>
      <c r="AC231">
        <f t="shared" si="27"/>
        <v>653.2777748217112</v>
      </c>
      <c r="AD231">
        <f t="shared" si="28"/>
        <v>2.3662345832584606</v>
      </c>
      <c r="AE231">
        <f t="shared" si="29"/>
        <v>-3.259436535384566</v>
      </c>
      <c r="AF231">
        <f t="shared" si="30"/>
        <v>-0.13672621150625749</v>
      </c>
      <c r="AG231">
        <f>(S231+V231+Y231)*constants!$O$2+(R231+T231+U231+W231+X231+Z231+AA231+AB231)*constants!$N$2</f>
        <v>19.802468546090751</v>
      </c>
      <c r="AH231">
        <f>((S231+V231+Y231)-(H231+K231+N231))*constants!$O$2</f>
        <v>3.8333000248787059E-2</v>
      </c>
      <c r="AI231">
        <f>((R231+T231+U231+W231+X231+Z231+AA231+AB231)-(G231+I231+J231+L231+M231+O231+P231+Q231))*constants!$N$2</f>
        <v>-0.36831632849845597</v>
      </c>
      <c r="AJ231">
        <f t="shared" si="31"/>
        <v>-1.6663747122315802</v>
      </c>
      <c r="AK231">
        <f t="shared" si="32"/>
        <v>-0.32998332824966892</v>
      </c>
      <c r="AL231">
        <f>COUNTIFS($B:$B,$B231,$AK:$AK,"&lt;"&amp;$AK231)+COUNTIFS($B$2:$B231,$B231,$AK$2:$AK231,$AK231)</f>
        <v>1</v>
      </c>
      <c r="AM231" s="191">
        <f>IF(AK231=0, "NA",IF(((sim_annual_output!F231/E231)/AK231)&lt;0,100,((sim_annual_output!F231/E231)/AK231)))</f>
        <v>100</v>
      </c>
      <c r="AN231">
        <f>(S231+V231)*constants!$F$2+(T231+U231+W231+X231+Y231+Z231+AA231+AB231)*constants!$G$2</f>
        <v>182748.53675961017</v>
      </c>
      <c r="AO231">
        <f>(AD231*constants!$F$2+AE231*constants!$G$2)</f>
        <v>-2412.1537953813081</v>
      </c>
      <c r="AP231">
        <f t="shared" si="33"/>
        <v>-1.3199305658760414</v>
      </c>
    </row>
    <row r="232" spans="1:42">
      <c r="A232">
        <f>sim_annual_output!B232</f>
        <v>8</v>
      </c>
      <c r="B232" t="str">
        <f>sim_annual_output!C232</f>
        <v>Maintenance Shop</v>
      </c>
      <c r="C232" t="str">
        <f>sim_annual_output!D232</f>
        <v>1959-pre</v>
      </c>
      <c r="D232" t="str">
        <f>sim_annual_output!E232</f>
        <v>baseline</v>
      </c>
      <c r="E232" s="45">
        <f t="array" ref="E232">IFERROR(INDEX(baseline!$J$3:$J$201,MATCH($B232&amp;$C232,baseline!$C$3:$C$201&amp;baseline!$D$3:$D$201,0)),"NA")</f>
        <v>1927</v>
      </c>
      <c r="F232">
        <f>sim_annual_output!G232</f>
        <v>2388.5449741513999</v>
      </c>
      <c r="G232">
        <f>$E232/$F232^2*sim_annual_output!I232</f>
        <v>0</v>
      </c>
      <c r="H232">
        <f>$E232/$F232^2*sim_annual_output!J232</f>
        <v>558.03636372688652</v>
      </c>
      <c r="I232">
        <f>$E232/$F232^2*sim_annual_output!K232</f>
        <v>0.38186259928080357</v>
      </c>
      <c r="J232">
        <f>$E232/$F232^2*sim_annual_output!L232</f>
        <v>2.1710812155670256</v>
      </c>
      <c r="K232">
        <f>$E232/$F232^2*sim_annual_output!M232</f>
        <v>0</v>
      </c>
      <c r="L232">
        <f>$E232/$F232^2*sim_annual_output!N232</f>
        <v>28.425776831475446</v>
      </c>
      <c r="M232">
        <f>$E232/$F232^2*sim_annual_output!O232</f>
        <v>4.074764787903022</v>
      </c>
      <c r="N232">
        <f>$E232/$F232^2*sim_annual_output!P232</f>
        <v>0</v>
      </c>
      <c r="O232">
        <f>$E232/$F232^2*sim_annual_output!Q232</f>
        <v>31.39529802735688</v>
      </c>
      <c r="P232">
        <f>$E232/$F232^2*sim_annual_output!R232</f>
        <v>28.792627633241526</v>
      </c>
      <c r="Q232">
        <f>$E232/$F232^2*sim_annual_output!S232</f>
        <v>0</v>
      </c>
      <c r="R232">
        <f t="array" ref="R232">INDEX(G$3:G$700,MATCH($B232&amp;$C232&amp;"baseline",$B$3:$B$700&amp;$C$3:$C$700&amp;$D$3:$D$700,0))</f>
        <v>0</v>
      </c>
      <c r="S232">
        <f t="array" ref="S232">INDEX(H$3:H$700,MATCH($B232&amp;$C232&amp;"baseline",$B$3:$B$700&amp;$C$3:$C$700&amp;$D$3:$D$700,0))</f>
        <v>558.03636372688652</v>
      </c>
      <c r="T232">
        <f t="array" ref="T232">INDEX(I$3:I$700,MATCH($B232&amp;$C232&amp;"baseline",$B$3:$B$700&amp;$C$3:$C$700&amp;$D$3:$D$700,0))</f>
        <v>0.38186259928080357</v>
      </c>
      <c r="U232">
        <f t="array" ref="U232">INDEX(J$3:J$700,MATCH($B232&amp;$C232&amp;"baseline",$B$3:$B$700&amp;$C$3:$C$700&amp;$D$3:$D$700,0))</f>
        <v>2.1710812155670256</v>
      </c>
      <c r="V232">
        <f t="array" ref="V232">INDEX(K$3:K$700,MATCH($B232&amp;$C232&amp;"baseline",$B$3:$B$700&amp;$C$3:$C$700&amp;$D$3:$D$700,0))</f>
        <v>0</v>
      </c>
      <c r="W232">
        <f t="array" ref="W232">INDEX(L$3:L$700,MATCH($B232&amp;$C232&amp;"baseline",$B$3:$B$700&amp;$C$3:$C$700&amp;$D$3:$D$700,0))</f>
        <v>28.425776831475446</v>
      </c>
      <c r="X232">
        <f t="array" ref="X232">INDEX(M$3:M$700,MATCH($B232&amp;$C232&amp;"baseline",$B$3:$B$700&amp;$C$3:$C$700&amp;$D$3:$D$700,0))</f>
        <v>4.074764787903022</v>
      </c>
      <c r="Y232">
        <f t="array" ref="Y232">INDEX(N$3:N$700,MATCH($B232&amp;$C232&amp;"baseline",$B$3:$B$700&amp;$C$3:$C$700&amp;$D$3:$D$700,0))</f>
        <v>0</v>
      </c>
      <c r="Z232">
        <f t="array" ref="Z232">INDEX(O$3:O$700,MATCH($B232&amp;$C232&amp;"baseline",$B$3:$B$700&amp;$C$3:$C$700&amp;$D$3:$D$700,0))</f>
        <v>31.39529802735688</v>
      </c>
      <c r="AA232">
        <f t="array" ref="AA232">INDEX(P$3:P$700,MATCH($B232&amp;$C232&amp;"baseline",$B$3:$B$700&amp;$C$3:$C$700&amp;$D$3:$D$700,0))</f>
        <v>28.792627633241526</v>
      </c>
      <c r="AB232">
        <f t="array" ref="AB232">INDEX(Q$3:Q$700,MATCH($B232&amp;$C232&amp;"baseline",$B$3:$B$700&amp;$C$3:$C$700&amp;$D$3:$D$700,0))</f>
        <v>0</v>
      </c>
      <c r="AC232">
        <f t="shared" si="27"/>
        <v>653.2777748217112</v>
      </c>
      <c r="AD232">
        <f t="shared" si="28"/>
        <v>0</v>
      </c>
      <c r="AE232">
        <f t="shared" si="29"/>
        <v>0</v>
      </c>
      <c r="AF232">
        <f t="shared" si="30"/>
        <v>0</v>
      </c>
      <c r="AG232">
        <f>(S232+V232+Y232)*constants!$O$2+(R232+T232+U232+W232+X232+Z232+AA232+AB232)*constants!$N$2</f>
        <v>19.802468546090751</v>
      </c>
      <c r="AH232">
        <f>((S232+V232+Y232)-(H232+K232+N232))*constants!$O$2</f>
        <v>0</v>
      </c>
      <c r="AI232">
        <f>((R232+T232+U232+W232+X232+Z232+AA232+AB232)-(G232+I232+J232+L232+M232+O232+P232+Q232))*constants!$N$2</f>
        <v>0</v>
      </c>
      <c r="AJ232">
        <f t="shared" si="31"/>
        <v>0</v>
      </c>
      <c r="AK232">
        <f t="shared" si="32"/>
        <v>0</v>
      </c>
      <c r="AL232">
        <f>COUNTIFS($B:$B,$B232,$AK:$AK,"&lt;"&amp;$AK232)+COUNTIFS($B$2:$B232,$B232,$AK$2:$AK232,$AK232)</f>
        <v>13</v>
      </c>
      <c r="AM232" s="191" t="str">
        <f>IF(AK232=0, "NA",IF(((sim_annual_output!F232/E232)/AK232)&lt;0,100,((sim_annual_output!F232/E232)/AK232)))</f>
        <v>NA</v>
      </c>
      <c r="AN232">
        <f>(S232+V232)*constants!$F$2+(T232+U232+W232+X232+Y232+Z232+AA232+AB232)*constants!$G$2</f>
        <v>182748.53675961017</v>
      </c>
      <c r="AO232">
        <f>(AD232*constants!$F$2+AE232*constants!$G$2)</f>
        <v>0</v>
      </c>
      <c r="AP232">
        <f t="shared" si="33"/>
        <v>0</v>
      </c>
    </row>
    <row r="233" spans="1:42">
      <c r="A233">
        <f>sim_annual_output!B233</f>
        <v>8</v>
      </c>
      <c r="B233" t="str">
        <f>sim_annual_output!C233</f>
        <v>Maintenance Shop</v>
      </c>
      <c r="C233" t="str">
        <f>sim_annual_output!D233</f>
        <v>1959-pre</v>
      </c>
      <c r="D233" t="str">
        <f>sim_annual_output!E233</f>
        <v>boiler_eff_upgrade</v>
      </c>
      <c r="E233" s="45">
        <f t="array" ref="E233">IFERROR(INDEX(baseline!$J$3:$J$201,MATCH($B233&amp;$C233,baseline!$C$3:$C$201&amp;baseline!$D$3:$D$201,0)),"NA")</f>
        <v>1927</v>
      </c>
      <c r="F233">
        <f>sim_annual_output!G233</f>
        <v>2388.5449741513999</v>
      </c>
      <c r="G233">
        <f>$E233/$F233^2*sim_annual_output!I233</f>
        <v>0</v>
      </c>
      <c r="H233">
        <f>$E233/$F233^2*sim_annual_output!J233</f>
        <v>556.59804587750705</v>
      </c>
      <c r="I233">
        <f>$E233/$F233^2*sim_annual_output!K233</f>
        <v>0.42502151713563646</v>
      </c>
      <c r="J233">
        <f>$E233/$F233^2*sim_annual_output!L233</f>
        <v>2.1710812155670256</v>
      </c>
      <c r="K233">
        <f>$E233/$F233^2*sim_annual_output!M233</f>
        <v>0</v>
      </c>
      <c r="L233">
        <f>$E233/$F233^2*sim_annual_output!N233</f>
        <v>28.425776831475446</v>
      </c>
      <c r="M233">
        <f>$E233/$F233^2*sim_annual_output!O233</f>
        <v>4.074764787903022</v>
      </c>
      <c r="N233">
        <f>$E233/$F233^2*sim_annual_output!P233</f>
        <v>0</v>
      </c>
      <c r="O233">
        <f>$E233/$F233^2*sim_annual_output!Q233</f>
        <v>31.456283454760445</v>
      </c>
      <c r="P233">
        <f>$E233/$F233^2*sim_annual_output!R233</f>
        <v>29.001854561102999</v>
      </c>
      <c r="Q233">
        <f>$E233/$F233^2*sim_annual_output!S233</f>
        <v>0</v>
      </c>
      <c r="R233">
        <f t="array" ref="R233">INDEX(G$3:G$700,MATCH($B233&amp;$C233&amp;"baseline",$B$3:$B$700&amp;$C$3:$C$700&amp;$D$3:$D$700,0))</f>
        <v>0</v>
      </c>
      <c r="S233">
        <f t="array" ref="S233">INDEX(H$3:H$700,MATCH($B233&amp;$C233&amp;"baseline",$B$3:$B$700&amp;$C$3:$C$700&amp;$D$3:$D$700,0))</f>
        <v>558.03636372688652</v>
      </c>
      <c r="T233">
        <f t="array" ref="T233">INDEX(I$3:I$700,MATCH($B233&amp;$C233&amp;"baseline",$B$3:$B$700&amp;$C$3:$C$700&amp;$D$3:$D$700,0))</f>
        <v>0.38186259928080357</v>
      </c>
      <c r="U233">
        <f t="array" ref="U233">INDEX(J$3:J$700,MATCH($B233&amp;$C233&amp;"baseline",$B$3:$B$700&amp;$C$3:$C$700&amp;$D$3:$D$700,0))</f>
        <v>2.1710812155670256</v>
      </c>
      <c r="V233">
        <f t="array" ref="V233">INDEX(K$3:K$700,MATCH($B233&amp;$C233&amp;"baseline",$B$3:$B$700&amp;$C$3:$C$700&amp;$D$3:$D$700,0))</f>
        <v>0</v>
      </c>
      <c r="W233">
        <f t="array" ref="W233">INDEX(L$3:L$700,MATCH($B233&amp;$C233&amp;"baseline",$B$3:$B$700&amp;$C$3:$C$700&amp;$D$3:$D$700,0))</f>
        <v>28.425776831475446</v>
      </c>
      <c r="X233">
        <f t="array" ref="X233">INDEX(M$3:M$700,MATCH($B233&amp;$C233&amp;"baseline",$B$3:$B$700&amp;$C$3:$C$700&amp;$D$3:$D$700,0))</f>
        <v>4.074764787903022</v>
      </c>
      <c r="Y233">
        <f t="array" ref="Y233">INDEX(N$3:N$700,MATCH($B233&amp;$C233&amp;"baseline",$B$3:$B$700&amp;$C$3:$C$700&amp;$D$3:$D$700,0))</f>
        <v>0</v>
      </c>
      <c r="Z233">
        <f t="array" ref="Z233">INDEX(O$3:O$700,MATCH($B233&amp;$C233&amp;"baseline",$B$3:$B$700&amp;$C$3:$C$700&amp;$D$3:$D$700,0))</f>
        <v>31.39529802735688</v>
      </c>
      <c r="AA233">
        <f t="array" ref="AA233">INDEX(P$3:P$700,MATCH($B233&amp;$C233&amp;"baseline",$B$3:$B$700&amp;$C$3:$C$700&amp;$D$3:$D$700,0))</f>
        <v>28.792627633241526</v>
      </c>
      <c r="AB233">
        <f t="array" ref="AB233">INDEX(Q$3:Q$700,MATCH($B233&amp;$C233&amp;"baseline",$B$3:$B$700&amp;$C$3:$C$700&amp;$D$3:$D$700,0))</f>
        <v>0</v>
      </c>
      <c r="AC233">
        <f t="shared" si="27"/>
        <v>653.2777748217112</v>
      </c>
      <c r="AD233">
        <f t="shared" si="28"/>
        <v>1.438317849379473</v>
      </c>
      <c r="AE233">
        <f t="shared" si="29"/>
        <v>-0.31337127311988411</v>
      </c>
      <c r="AF233">
        <f t="shared" si="30"/>
        <v>0.17220034411343674</v>
      </c>
      <c r="AG233">
        <f>(S233+V233+Y233)*constants!$O$2+(R233+T233+U233+W233+X233+Z233+AA233+AB233)*constants!$N$2</f>
        <v>19.802468546090751</v>
      </c>
      <c r="AH233">
        <f>((S233+V233+Y233)-(H233+K233+N233))*constants!$O$2</f>
        <v>2.3300749159947461E-2</v>
      </c>
      <c r="AI233">
        <f>((R233+T233+U233+W233+X233+Z233+AA233+AB233)-(G233+I233+J233+L233+M233+O233+P233+Q233))*constants!$N$2</f>
        <v>-3.5410953862546904E-2</v>
      </c>
      <c r="AJ233">
        <f t="shared" si="31"/>
        <v>-6.1155025568719538E-2</v>
      </c>
      <c r="AK233">
        <f t="shared" si="32"/>
        <v>-1.2110204702599443E-2</v>
      </c>
      <c r="AL233">
        <f>COUNTIFS($B:$B,$B233,$AK:$AK,"&lt;"&amp;$AK233)+COUNTIFS($B$2:$B233,$B233,$AK$2:$AK233,$AK233)</f>
        <v>11</v>
      </c>
      <c r="AM233" s="191">
        <f>IF(AK233=0, "NA",IF(((sim_annual_output!F233/E233)/AK233)&lt;0,100,((sim_annual_output!F233/E233)/AK233)))</f>
        <v>100</v>
      </c>
      <c r="AN233">
        <f>(S233+V233)*constants!$F$2+(T233+U233+W233+X233+Y233+Z233+AA233+AB233)*constants!$G$2</f>
        <v>182748.53675961017</v>
      </c>
      <c r="AO233">
        <f>(AD233*constants!$F$2+AE233*constants!$G$2)</f>
        <v>-15.174112575373499</v>
      </c>
      <c r="AP233">
        <f t="shared" si="33"/>
        <v>-8.3032744581335426E-3</v>
      </c>
    </row>
    <row r="234" spans="1:42">
      <c r="A234">
        <f>sim_annual_output!B234</f>
        <v>8</v>
      </c>
      <c r="B234" t="str">
        <f>sim_annual_output!C234</f>
        <v>Maintenance Shop</v>
      </c>
      <c r="C234" t="str">
        <f>sim_annual_output!D234</f>
        <v>1959-pre</v>
      </c>
      <c r="D234" t="str">
        <f>sim_annual_output!E234</f>
        <v>boiler_reset</v>
      </c>
      <c r="E234" s="45">
        <f t="array" ref="E234">IFERROR(INDEX(baseline!$J$3:$J$201,MATCH($B234&amp;$C234,baseline!$C$3:$C$201&amp;baseline!$D$3:$D$201,0)),"NA")</f>
        <v>1927</v>
      </c>
      <c r="F234">
        <f>sim_annual_output!G234</f>
        <v>2388.5449741513999</v>
      </c>
      <c r="G234">
        <f>$E234/$F234^2*sim_annual_output!I234</f>
        <v>0</v>
      </c>
      <c r="H234">
        <f>$E234/$F234^2*sim_annual_output!J234</f>
        <v>351.00866420132144</v>
      </c>
      <c r="I234">
        <f>$E234/$F234^2*sim_annual_output!K234</f>
        <v>0.42502151713563646</v>
      </c>
      <c r="J234">
        <f>$E234/$F234^2*sim_annual_output!L234</f>
        <v>2.1710812155670256</v>
      </c>
      <c r="K234">
        <f>$E234/$F234^2*sim_annual_output!M234</f>
        <v>0</v>
      </c>
      <c r="L234">
        <f>$E234/$F234^2*sim_annual_output!N234</f>
        <v>28.425776831475446</v>
      </c>
      <c r="M234">
        <f>$E234/$F234^2*sim_annual_output!O234</f>
        <v>4.074764787903022</v>
      </c>
      <c r="N234">
        <f>$E234/$F234^2*sim_annual_output!P234</f>
        <v>0</v>
      </c>
      <c r="O234">
        <f>$E234/$F234^2*sim_annual_output!Q234</f>
        <v>31.456283454760445</v>
      </c>
      <c r="P234">
        <f>$E234/$F234^2*sim_annual_output!R234</f>
        <v>29.001854561102999</v>
      </c>
      <c r="Q234">
        <f>$E234/$F234^2*sim_annual_output!S234</f>
        <v>0</v>
      </c>
      <c r="R234">
        <f t="array" ref="R234">INDEX(G$3:G$700,MATCH($B234&amp;$C234&amp;"baseline",$B$3:$B$700&amp;$C$3:$C$700&amp;$D$3:$D$700,0))</f>
        <v>0</v>
      </c>
      <c r="S234">
        <f t="array" ref="S234">INDEX(H$3:H$700,MATCH($B234&amp;$C234&amp;"baseline",$B$3:$B$700&amp;$C$3:$C$700&amp;$D$3:$D$700,0))</f>
        <v>558.03636372688652</v>
      </c>
      <c r="T234">
        <f t="array" ref="T234">INDEX(I$3:I$700,MATCH($B234&amp;$C234&amp;"baseline",$B$3:$B$700&amp;$C$3:$C$700&amp;$D$3:$D$700,0))</f>
        <v>0.38186259928080357</v>
      </c>
      <c r="U234">
        <f t="array" ref="U234">INDEX(J$3:J$700,MATCH($B234&amp;$C234&amp;"baseline",$B$3:$B$700&amp;$C$3:$C$700&amp;$D$3:$D$700,0))</f>
        <v>2.1710812155670256</v>
      </c>
      <c r="V234">
        <f t="array" ref="V234">INDEX(K$3:K$700,MATCH($B234&amp;$C234&amp;"baseline",$B$3:$B$700&amp;$C$3:$C$700&amp;$D$3:$D$700,0))</f>
        <v>0</v>
      </c>
      <c r="W234">
        <f t="array" ref="W234">INDEX(L$3:L$700,MATCH($B234&amp;$C234&amp;"baseline",$B$3:$B$700&amp;$C$3:$C$700&amp;$D$3:$D$700,0))</f>
        <v>28.425776831475446</v>
      </c>
      <c r="X234">
        <f t="array" ref="X234">INDEX(M$3:M$700,MATCH($B234&amp;$C234&amp;"baseline",$B$3:$B$700&amp;$C$3:$C$700&amp;$D$3:$D$700,0))</f>
        <v>4.074764787903022</v>
      </c>
      <c r="Y234">
        <f t="array" ref="Y234">INDEX(N$3:N$700,MATCH($B234&amp;$C234&amp;"baseline",$B$3:$B$700&amp;$C$3:$C$700&amp;$D$3:$D$700,0))</f>
        <v>0</v>
      </c>
      <c r="Z234">
        <f t="array" ref="Z234">INDEX(O$3:O$700,MATCH($B234&amp;$C234&amp;"baseline",$B$3:$B$700&amp;$C$3:$C$700&amp;$D$3:$D$700,0))</f>
        <v>31.39529802735688</v>
      </c>
      <c r="AA234">
        <f t="array" ref="AA234">INDEX(P$3:P$700,MATCH($B234&amp;$C234&amp;"baseline",$B$3:$B$700&amp;$C$3:$C$700&amp;$D$3:$D$700,0))</f>
        <v>28.792627633241526</v>
      </c>
      <c r="AB234">
        <f t="array" ref="AB234">INDEX(Q$3:Q$700,MATCH($B234&amp;$C234&amp;"baseline",$B$3:$B$700&amp;$C$3:$C$700&amp;$D$3:$D$700,0))</f>
        <v>0</v>
      </c>
      <c r="AC234">
        <f t="shared" si="27"/>
        <v>653.2777748217112</v>
      </c>
      <c r="AD234">
        <f t="shared" si="28"/>
        <v>207.02769952556508</v>
      </c>
      <c r="AE234">
        <f t="shared" si="29"/>
        <v>-0.31337127311988411</v>
      </c>
      <c r="AF234">
        <f t="shared" si="30"/>
        <v>31.64263904567402</v>
      </c>
      <c r="AG234">
        <f>(S234+V234+Y234)*constants!$O$2+(R234+T234+U234+W234+X234+Z234+AA234+AB234)*constants!$N$2</f>
        <v>19.802468546090751</v>
      </c>
      <c r="AH234">
        <f>((S234+V234+Y234)-(H234+K234+N234))*constants!$O$2</f>
        <v>3.3538487323141544</v>
      </c>
      <c r="AI234">
        <f>((R234+T234+U234+W234+X234+Z234+AA234+AB234)-(G234+I234+J234+L234+M234+O234+P234+Q234))*constants!$N$2</f>
        <v>-3.5410953862546904E-2</v>
      </c>
      <c r="AJ234">
        <f t="shared" si="31"/>
        <v>16.757697509923368</v>
      </c>
      <c r="AK234">
        <f t="shared" si="32"/>
        <v>3.3184377784516075</v>
      </c>
      <c r="AL234">
        <f>COUNTIFS($B:$B,$B234,$AK:$AK,"&lt;"&amp;$AK234)+COUNTIFS($B$2:$B234,$B234,$AK$2:$AK234,$AK234)</f>
        <v>40</v>
      </c>
      <c r="AM234" s="191">
        <f>IF(AK234=0, "NA",IF(((sim_annual_output!F234/E234)/AK234)&lt;0,100,((sim_annual_output!F234/E234)/AK234)))</f>
        <v>0.14529848611313154</v>
      </c>
      <c r="AN234">
        <f>(S234+V234)*constants!$F$2+(T234+U234+W234+X234+Y234+Z234+AA234+AB234)*constants!$G$2</f>
        <v>182748.53675961017</v>
      </c>
      <c r="AO234">
        <f>(AD234*constants!$F$2+AE234*constants!$G$2)</f>
        <v>36785.32520746185</v>
      </c>
      <c r="AP234">
        <f t="shared" si="33"/>
        <v>20.128930091434739</v>
      </c>
    </row>
    <row r="235" spans="1:42">
      <c r="A235">
        <f>sim_annual_output!B235</f>
        <v>8</v>
      </c>
      <c r="B235" t="str">
        <f>sim_annual_output!C235</f>
        <v>Maintenance Shop</v>
      </c>
      <c r="C235" t="str">
        <f>sim_annual_output!D235</f>
        <v>1959-pre</v>
      </c>
      <c r="D235" t="str">
        <f>sim_annual_output!E235</f>
        <v>cooling_cop_3_0</v>
      </c>
      <c r="E235" s="45">
        <f t="array" ref="E235">IFERROR(INDEX(baseline!$J$3:$J$201,MATCH($B235&amp;$C235,baseline!$C$3:$C$201&amp;baseline!$D$3:$D$201,0)),"NA")</f>
        <v>1927</v>
      </c>
      <c r="F235">
        <f>sim_annual_output!G235</f>
        <v>2388.5449741513999</v>
      </c>
      <c r="G235">
        <f>$E235/$F235^2*sim_annual_output!I235</f>
        <v>0</v>
      </c>
      <c r="H235">
        <f>$E235/$F235^2*sim_annual_output!J235</f>
        <v>556.59804587750705</v>
      </c>
      <c r="I235">
        <f>$E235/$F235^2*sim_annual_output!K235</f>
        <v>0.30305066232850014</v>
      </c>
      <c r="J235">
        <f>$E235/$F235^2*sim_annual_output!L235</f>
        <v>2.1710812155670256</v>
      </c>
      <c r="K235">
        <f>$E235/$F235^2*sim_annual_output!M235</f>
        <v>0</v>
      </c>
      <c r="L235">
        <f>$E235/$F235^2*sim_annual_output!N235</f>
        <v>28.425776831475446</v>
      </c>
      <c r="M235">
        <f>$E235/$F235^2*sim_annual_output!O235</f>
        <v>4.074764787903022</v>
      </c>
      <c r="N235">
        <f>$E235/$F235^2*sim_annual_output!P235</f>
        <v>0</v>
      </c>
      <c r="O235">
        <f>$E235/$F235^2*sim_annual_output!Q235</f>
        <v>31.456283454760445</v>
      </c>
      <c r="P235">
        <f>$E235/$F235^2*sim_annual_output!R235</f>
        <v>29.001854561102999</v>
      </c>
      <c r="Q235">
        <f>$E235/$F235^2*sim_annual_output!S235</f>
        <v>0</v>
      </c>
      <c r="R235">
        <f t="array" ref="R235">INDEX(G$3:G$700,MATCH($B235&amp;$C235&amp;"baseline",$B$3:$B$700&amp;$C$3:$C$700&amp;$D$3:$D$700,0))</f>
        <v>0</v>
      </c>
      <c r="S235">
        <f t="array" ref="S235">INDEX(H$3:H$700,MATCH($B235&amp;$C235&amp;"baseline",$B$3:$B$700&amp;$C$3:$C$700&amp;$D$3:$D$700,0))</f>
        <v>558.03636372688652</v>
      </c>
      <c r="T235">
        <f t="array" ref="T235">INDEX(I$3:I$700,MATCH($B235&amp;$C235&amp;"baseline",$B$3:$B$700&amp;$C$3:$C$700&amp;$D$3:$D$700,0))</f>
        <v>0.38186259928080357</v>
      </c>
      <c r="U235">
        <f t="array" ref="U235">INDEX(J$3:J$700,MATCH($B235&amp;$C235&amp;"baseline",$B$3:$B$700&amp;$C$3:$C$700&amp;$D$3:$D$700,0))</f>
        <v>2.1710812155670256</v>
      </c>
      <c r="V235">
        <f t="array" ref="V235">INDEX(K$3:K$700,MATCH($B235&amp;$C235&amp;"baseline",$B$3:$B$700&amp;$C$3:$C$700&amp;$D$3:$D$700,0))</f>
        <v>0</v>
      </c>
      <c r="W235">
        <f t="array" ref="W235">INDEX(L$3:L$700,MATCH($B235&amp;$C235&amp;"baseline",$B$3:$B$700&amp;$C$3:$C$700&amp;$D$3:$D$700,0))</f>
        <v>28.425776831475446</v>
      </c>
      <c r="X235">
        <f t="array" ref="X235">INDEX(M$3:M$700,MATCH($B235&amp;$C235&amp;"baseline",$B$3:$B$700&amp;$C$3:$C$700&amp;$D$3:$D$700,0))</f>
        <v>4.074764787903022</v>
      </c>
      <c r="Y235">
        <f t="array" ref="Y235">INDEX(N$3:N$700,MATCH($B235&amp;$C235&amp;"baseline",$B$3:$B$700&amp;$C$3:$C$700&amp;$D$3:$D$700,0))</f>
        <v>0</v>
      </c>
      <c r="Z235">
        <f t="array" ref="Z235">INDEX(O$3:O$700,MATCH($B235&amp;$C235&amp;"baseline",$B$3:$B$700&amp;$C$3:$C$700&amp;$D$3:$D$700,0))</f>
        <v>31.39529802735688</v>
      </c>
      <c r="AA235">
        <f t="array" ref="AA235">INDEX(P$3:P$700,MATCH($B235&amp;$C235&amp;"baseline",$B$3:$B$700&amp;$C$3:$C$700&amp;$D$3:$D$700,0))</f>
        <v>28.792627633241526</v>
      </c>
      <c r="AB235">
        <f t="array" ref="AB235">INDEX(Q$3:Q$700,MATCH($B235&amp;$C235&amp;"baseline",$B$3:$B$700&amp;$C$3:$C$700&amp;$D$3:$D$700,0))</f>
        <v>0</v>
      </c>
      <c r="AC235">
        <f t="shared" si="27"/>
        <v>653.2777748217112</v>
      </c>
      <c r="AD235">
        <f t="shared" si="28"/>
        <v>1.438317849379473</v>
      </c>
      <c r="AE235">
        <f t="shared" si="29"/>
        <v>-0.19140041831275312</v>
      </c>
      <c r="AF235">
        <f t="shared" si="30"/>
        <v>0.19087094022248369</v>
      </c>
      <c r="AG235">
        <f>(S235+V235+Y235)*constants!$O$2+(R235+T235+U235+W235+X235+Z235+AA235+AB235)*constants!$N$2</f>
        <v>19.802468546090751</v>
      </c>
      <c r="AH235">
        <f>((S235+V235+Y235)-(H235+K235+N235))*constants!$O$2</f>
        <v>2.3300749159947461E-2</v>
      </c>
      <c r="AI235">
        <f>((R235+T235+U235+W235+X235+Z235+AA235+AB235)-(G235+I235+J235+L235+M235+O235+P235+Q235))*constants!$N$2</f>
        <v>-2.1628247269341101E-2</v>
      </c>
      <c r="AJ235">
        <f t="shared" si="31"/>
        <v>8.4459262576964504E-3</v>
      </c>
      <c r="AK235">
        <f t="shared" si="32"/>
        <v>1.6725018906063593E-3</v>
      </c>
      <c r="AL235">
        <f>COUNTIFS($B:$B,$B235,$AK:$AK,"&lt;"&amp;$AK235)+COUNTIFS($B$2:$B235,$B235,$AK$2:$AK235,$AK235)</f>
        <v>15</v>
      </c>
      <c r="AM235" s="191">
        <f>IF(AK235=0, "NA",IF(((sim_annual_output!F235/E235)/AK235)&lt;0,100,((sim_annual_output!F235/E235)/AK235)))</f>
        <v>1532.7167832178197</v>
      </c>
      <c r="AN235">
        <f>(S235+V235)*constants!$F$2+(T235+U235+W235+X235+Y235+Z235+AA235+AB235)*constants!$G$2</f>
        <v>182748.53675961017</v>
      </c>
      <c r="AO235">
        <f>(AD235*constants!$F$2+AE235*constants!$G$2)</f>
        <v>90.940531106830463</v>
      </c>
      <c r="AP235">
        <f t="shared" si="33"/>
        <v>4.9762658962602166E-2</v>
      </c>
    </row>
    <row r="236" spans="1:42">
      <c r="A236">
        <f>sim_annual_output!B236</f>
        <v>8</v>
      </c>
      <c r="B236" t="str">
        <f>sim_annual_output!C236</f>
        <v>Maintenance Shop</v>
      </c>
      <c r="C236" t="str">
        <f>sim_annual_output!D236</f>
        <v>1959-pre</v>
      </c>
      <c r="D236" t="str">
        <f>sim_annual_output!E236</f>
        <v>dcv_enabled</v>
      </c>
      <c r="E236" s="45">
        <f t="array" ref="E236">IFERROR(INDEX(baseline!$J$3:$J$201,MATCH($B236&amp;$C236,baseline!$C$3:$C$201&amp;baseline!$D$3:$D$201,0)),"NA")</f>
        <v>1927</v>
      </c>
      <c r="F236">
        <f>sim_annual_output!G236</f>
        <v>2388.5449741513999</v>
      </c>
      <c r="G236">
        <f>$E236/$F236^2*sim_annual_output!I236</f>
        <v>0</v>
      </c>
      <c r="H236">
        <f>$E236/$F236^2*sim_annual_output!J236</f>
        <v>427.25827496533037</v>
      </c>
      <c r="I236">
        <f>$E236/$F236^2*sim_annual_output!K236</f>
        <v>0.46255101092244755</v>
      </c>
      <c r="J236">
        <f>$E236/$F236^2*sim_annual_output!L236</f>
        <v>2.1701429782223558</v>
      </c>
      <c r="K236">
        <f>$E236/$F236^2*sim_annual_output!M236</f>
        <v>0</v>
      </c>
      <c r="L236">
        <f>$E236/$F236^2*sim_annual_output!N236</f>
        <v>28.425776831475446</v>
      </c>
      <c r="M236">
        <f>$E236/$F236^2*sim_annual_output!O236</f>
        <v>4.074764787903022</v>
      </c>
      <c r="N236">
        <f>$E236/$F236^2*sim_annual_output!P236</f>
        <v>0</v>
      </c>
      <c r="O236">
        <f>$E236/$F236^2*sim_annual_output!Q236</f>
        <v>31.26582127379238</v>
      </c>
      <c r="P236">
        <f>$E236/$F236^2*sim_annual_output!R236</f>
        <v>29.000916323758325</v>
      </c>
      <c r="Q236">
        <f>$E236/$F236^2*sim_annual_output!S236</f>
        <v>0</v>
      </c>
      <c r="R236">
        <f t="array" ref="R236">INDEX(G$3:G$700,MATCH($B236&amp;$C236&amp;"baseline",$B$3:$B$700&amp;$C$3:$C$700&amp;$D$3:$D$700,0))</f>
        <v>0</v>
      </c>
      <c r="S236">
        <f t="array" ref="S236">INDEX(H$3:H$700,MATCH($B236&amp;$C236&amp;"baseline",$B$3:$B$700&amp;$C$3:$C$700&amp;$D$3:$D$700,0))</f>
        <v>558.03636372688652</v>
      </c>
      <c r="T236">
        <f t="array" ref="T236">INDEX(I$3:I$700,MATCH($B236&amp;$C236&amp;"baseline",$B$3:$B$700&amp;$C$3:$C$700&amp;$D$3:$D$700,0))</f>
        <v>0.38186259928080357</v>
      </c>
      <c r="U236">
        <f t="array" ref="U236">INDEX(J$3:J$700,MATCH($B236&amp;$C236&amp;"baseline",$B$3:$B$700&amp;$C$3:$C$700&amp;$D$3:$D$700,0))</f>
        <v>2.1710812155670256</v>
      </c>
      <c r="V236">
        <f t="array" ref="V236">INDEX(K$3:K$700,MATCH($B236&amp;$C236&amp;"baseline",$B$3:$B$700&amp;$C$3:$C$700&amp;$D$3:$D$700,0))</f>
        <v>0</v>
      </c>
      <c r="W236">
        <f t="array" ref="W236">INDEX(L$3:L$700,MATCH($B236&amp;$C236&amp;"baseline",$B$3:$B$700&amp;$C$3:$C$700&amp;$D$3:$D$700,0))</f>
        <v>28.425776831475446</v>
      </c>
      <c r="X236">
        <f t="array" ref="X236">INDEX(M$3:M$700,MATCH($B236&amp;$C236&amp;"baseline",$B$3:$B$700&amp;$C$3:$C$700&amp;$D$3:$D$700,0))</f>
        <v>4.074764787903022</v>
      </c>
      <c r="Y236">
        <f t="array" ref="Y236">INDEX(N$3:N$700,MATCH($B236&amp;$C236&amp;"baseline",$B$3:$B$700&amp;$C$3:$C$700&amp;$D$3:$D$700,0))</f>
        <v>0</v>
      </c>
      <c r="Z236">
        <f t="array" ref="Z236">INDEX(O$3:O$700,MATCH($B236&amp;$C236&amp;"baseline",$B$3:$B$700&amp;$C$3:$C$700&amp;$D$3:$D$700,0))</f>
        <v>31.39529802735688</v>
      </c>
      <c r="AA236">
        <f t="array" ref="AA236">INDEX(P$3:P$700,MATCH($B236&amp;$C236&amp;"baseline",$B$3:$B$700&amp;$C$3:$C$700&amp;$D$3:$D$700,0))</f>
        <v>28.792627633241526</v>
      </c>
      <c r="AB236">
        <f t="array" ref="AB236">INDEX(Q$3:Q$700,MATCH($B236&amp;$C236&amp;"baseline",$B$3:$B$700&amp;$C$3:$C$700&amp;$D$3:$D$700,0))</f>
        <v>0</v>
      </c>
      <c r="AC236">
        <f t="shared" si="27"/>
        <v>653.2777748217112</v>
      </c>
      <c r="AD236">
        <f t="shared" si="28"/>
        <v>130.77808876155615</v>
      </c>
      <c r="AE236">
        <f t="shared" si="29"/>
        <v>-0.15856211124928166</v>
      </c>
      <c r="AF236">
        <f t="shared" si="30"/>
        <v>19.994484993149321</v>
      </c>
      <c r="AG236">
        <f>(S236+V236+Y236)*constants!$O$2+(R236+T236+U236+W236+X236+Z236+AA236+AB236)*constants!$N$2</f>
        <v>19.802468546090751</v>
      </c>
      <c r="AH236">
        <f>((S236+V236+Y236)-(H236+K236+N236))*constants!$O$2</f>
        <v>2.1186050379372094</v>
      </c>
      <c r="AI236">
        <f>((R236+T236+U236+W236+X236+Z236+AA236+AB236)-(G236+I236+J236+L236+M236+O236+P236+Q236))*constants!$N$2</f>
        <v>-1.7917518571168828E-2</v>
      </c>
      <c r="AJ236">
        <f t="shared" si="31"/>
        <v>10.608210357595755</v>
      </c>
      <c r="AK236">
        <f t="shared" si="32"/>
        <v>2.1006875193660406</v>
      </c>
      <c r="AL236">
        <f>COUNTIFS($B:$B,$B236,$AK:$AK,"&lt;"&amp;$AK236)+COUNTIFS($B$2:$B236,$B236,$AK$2:$AK236,$AK236)</f>
        <v>37</v>
      </c>
      <c r="AM236" s="191">
        <f>IF(AK236=0, "NA",IF(((sim_annual_output!F236/E236)/AK236)&lt;0,100,((sim_annual_output!F236/E236)/AK236)))</f>
        <v>2.2609619109454533</v>
      </c>
      <c r="AN236">
        <f>(S236+V236)*constants!$F$2+(T236+U236+W236+X236+Y236+Z236+AA236+AB236)*constants!$G$2</f>
        <v>182748.53675961017</v>
      </c>
      <c r="AO236">
        <f>(AD236*constants!$F$2+AE236*constants!$G$2)</f>
        <v>23271.328851531674</v>
      </c>
      <c r="AP236">
        <f t="shared" si="33"/>
        <v>12.734071234804514</v>
      </c>
    </row>
    <row r="237" spans="1:42">
      <c r="A237">
        <f>sim_annual_output!B237</f>
        <v>8</v>
      </c>
      <c r="B237" t="str">
        <f>sim_annual_output!C237</f>
        <v>Maintenance Shop</v>
      </c>
      <c r="C237" t="str">
        <f>sim_annual_output!D237</f>
        <v>1959-pre</v>
      </c>
      <c r="D237" t="str">
        <f>sim_annual_output!E237</f>
        <v>ecm_cold_deck_reset_control</v>
      </c>
      <c r="E237" s="45">
        <f t="array" ref="E237">IFERROR(INDEX(baseline!$J$3:$J$201,MATCH($B237&amp;$C237,baseline!$C$3:$C$201&amp;baseline!$D$3:$D$201,0)),"NA")</f>
        <v>1927</v>
      </c>
      <c r="F237">
        <f>sim_annual_output!G237</f>
        <v>2388.5449741513999</v>
      </c>
      <c r="G237">
        <f>$E237/$F237^2*sim_annual_output!I237</f>
        <v>0</v>
      </c>
      <c r="H237">
        <f>$E237/$F237^2*sim_annual_output!J237</f>
        <v>556.9874143755452</v>
      </c>
      <c r="I237">
        <f>$E237/$F237^2*sim_annual_output!K237</f>
        <v>0.65113671720117372</v>
      </c>
      <c r="J237">
        <f>$E237/$F237^2*sim_annual_output!L237</f>
        <v>2.1710812155670256</v>
      </c>
      <c r="K237">
        <f>$E237/$F237^2*sim_annual_output!M237</f>
        <v>0</v>
      </c>
      <c r="L237">
        <f>$E237/$F237^2*sim_annual_output!N237</f>
        <v>28.425776831475446</v>
      </c>
      <c r="M237">
        <f>$E237/$F237^2*sim_annual_output!O237</f>
        <v>4.074764787903022</v>
      </c>
      <c r="N237">
        <f>$E237/$F237^2*sim_annual_output!P237</f>
        <v>0</v>
      </c>
      <c r="O237">
        <f>$E237/$F237^2*sim_annual_output!Q237</f>
        <v>31.437518707867042</v>
      </c>
      <c r="P237">
        <f>$E237/$F237^2*sim_annual_output!R237</f>
        <v>29.001854561102999</v>
      </c>
      <c r="Q237">
        <f>$E237/$F237^2*sim_annual_output!S237</f>
        <v>0</v>
      </c>
      <c r="R237">
        <f t="array" ref="R237">INDEX(G$3:G$700,MATCH($B237&amp;$C237&amp;"baseline",$B$3:$B$700&amp;$C$3:$C$700&amp;$D$3:$D$700,0))</f>
        <v>0</v>
      </c>
      <c r="S237">
        <f t="array" ref="S237">INDEX(H$3:H$700,MATCH($B237&amp;$C237&amp;"baseline",$B$3:$B$700&amp;$C$3:$C$700&amp;$D$3:$D$700,0))</f>
        <v>558.03636372688652</v>
      </c>
      <c r="T237">
        <f t="array" ref="T237">INDEX(I$3:I$700,MATCH($B237&amp;$C237&amp;"baseline",$B$3:$B$700&amp;$C$3:$C$700&amp;$D$3:$D$700,0))</f>
        <v>0.38186259928080357</v>
      </c>
      <c r="U237">
        <f t="array" ref="U237">INDEX(J$3:J$700,MATCH($B237&amp;$C237&amp;"baseline",$B$3:$B$700&amp;$C$3:$C$700&amp;$D$3:$D$700,0))</f>
        <v>2.1710812155670256</v>
      </c>
      <c r="V237">
        <f t="array" ref="V237">INDEX(K$3:K$700,MATCH($B237&amp;$C237&amp;"baseline",$B$3:$B$700&amp;$C$3:$C$700&amp;$D$3:$D$700,0))</f>
        <v>0</v>
      </c>
      <c r="W237">
        <f t="array" ref="W237">INDEX(L$3:L$700,MATCH($B237&amp;$C237&amp;"baseline",$B$3:$B$700&amp;$C$3:$C$700&amp;$D$3:$D$700,0))</f>
        <v>28.425776831475446</v>
      </c>
      <c r="X237">
        <f t="array" ref="X237">INDEX(M$3:M$700,MATCH($B237&amp;$C237&amp;"baseline",$B$3:$B$700&amp;$C$3:$C$700&amp;$D$3:$D$700,0))</f>
        <v>4.074764787903022</v>
      </c>
      <c r="Y237">
        <f t="array" ref="Y237">INDEX(N$3:N$700,MATCH($B237&amp;$C237&amp;"baseline",$B$3:$B$700&amp;$C$3:$C$700&amp;$D$3:$D$700,0))</f>
        <v>0</v>
      </c>
      <c r="Z237">
        <f t="array" ref="Z237">INDEX(O$3:O$700,MATCH($B237&amp;$C237&amp;"baseline",$B$3:$B$700&amp;$C$3:$C$700&amp;$D$3:$D$700,0))</f>
        <v>31.39529802735688</v>
      </c>
      <c r="AA237">
        <f t="array" ref="AA237">INDEX(P$3:P$700,MATCH($B237&amp;$C237&amp;"baseline",$B$3:$B$700&amp;$C$3:$C$700&amp;$D$3:$D$700,0))</f>
        <v>28.792627633241526</v>
      </c>
      <c r="AB237">
        <f t="array" ref="AB237">INDEX(Q$3:Q$700,MATCH($B237&amp;$C237&amp;"baseline",$B$3:$B$700&amp;$C$3:$C$700&amp;$D$3:$D$700,0))</f>
        <v>0</v>
      </c>
      <c r="AC237">
        <f t="shared" si="27"/>
        <v>653.2777748217112</v>
      </c>
      <c r="AD237">
        <f t="shared" si="28"/>
        <v>1.0489493513413208</v>
      </c>
      <c r="AE237">
        <f t="shared" si="29"/>
        <v>-0.52072172629200963</v>
      </c>
      <c r="AF237">
        <f t="shared" si="30"/>
        <v>8.0858043149175246E-2</v>
      </c>
      <c r="AG237">
        <f>(S237+V237+Y237)*constants!$O$2+(R237+T237+U237+W237+X237+Z237+AA237+AB237)*constants!$N$2</f>
        <v>19.802468546090751</v>
      </c>
      <c r="AH237">
        <f>((S237+V237+Y237)-(H237+K237+N237))*constants!$O$2</f>
        <v>1.6992979491729395E-2</v>
      </c>
      <c r="AI237">
        <f>((R237+T237+U237+W237+X237+Z237+AA237+AB237)-(G237+I237+J237+L237+M237+O237+P237+Q237))*constants!$N$2</f>
        <v>-5.8841555070997087E-2</v>
      </c>
      <c r="AJ237">
        <f t="shared" si="31"/>
        <v>-0.21133009494176982</v>
      </c>
      <c r="AK237">
        <f t="shared" si="32"/>
        <v>-4.1848575579267688E-2</v>
      </c>
      <c r="AL237">
        <f>COUNTIFS($B:$B,$B237,$AK:$AK,"&lt;"&amp;$AK237)+COUNTIFS($B$2:$B237,$B237,$AK$2:$AK237,$AK237)</f>
        <v>7</v>
      </c>
      <c r="AM237" s="191">
        <f>IF(AK237=0, "NA",IF(((sim_annual_output!F237/E237)/AK237)&lt;0,100,((sim_annual_output!F237/E237)/AK237)))</f>
        <v>100</v>
      </c>
      <c r="AN237">
        <f>(S237+V237)*constants!$F$2+(T237+U237+W237+X237+Y237+Z237+AA237+AB237)*constants!$G$2</f>
        <v>182748.53675961017</v>
      </c>
      <c r="AO237">
        <f>(AD237*constants!$F$2+AE237*constants!$G$2)</f>
        <v>-265.26596798395195</v>
      </c>
      <c r="AP237">
        <f t="shared" si="33"/>
        <v>-0.14515353867532538</v>
      </c>
    </row>
    <row r="238" spans="1:42">
      <c r="A238">
        <f>sim_annual_output!B238</f>
        <v>8</v>
      </c>
      <c r="B238" t="str">
        <f>sim_annual_output!C238</f>
        <v>Maintenance Shop</v>
      </c>
      <c r="C238" t="str">
        <f>sim_annual_output!D238</f>
        <v>1959-pre</v>
      </c>
      <c r="D238" t="str">
        <f>sim_annual_output!E238</f>
        <v>economizers_enabled</v>
      </c>
      <c r="E238" s="45">
        <f t="array" ref="E238">IFERROR(INDEX(baseline!$J$3:$J$201,MATCH($B238&amp;$C238,baseline!$C$3:$C$201&amp;baseline!$D$3:$D$201,0)),"NA")</f>
        <v>1927</v>
      </c>
      <c r="F238">
        <f>sim_annual_output!G238</f>
        <v>2388.5449741513999</v>
      </c>
      <c r="G238">
        <f>$E238/$F238^2*sim_annual_output!I238</f>
        <v>0</v>
      </c>
      <c r="H238">
        <f>$E238/$F238^2*sim_annual_output!J238</f>
        <v>556.69468432400811</v>
      </c>
      <c r="I238">
        <f>$E238/$F238^2*sim_annual_output!K238</f>
        <v>0.32087717187723547</v>
      </c>
      <c r="J238">
        <f>$E238/$F238^2*sim_annual_output!L238</f>
        <v>2.1710812155670256</v>
      </c>
      <c r="K238">
        <f>$E238/$F238^2*sim_annual_output!M238</f>
        <v>0</v>
      </c>
      <c r="L238">
        <f>$E238/$F238^2*sim_annual_output!N238</f>
        <v>28.425776831475446</v>
      </c>
      <c r="M238">
        <f>$E238/$F238^2*sim_annual_output!O238</f>
        <v>4.074764787903022</v>
      </c>
      <c r="N238">
        <f>$E238/$F238^2*sim_annual_output!P238</f>
        <v>0</v>
      </c>
      <c r="O238">
        <f>$E238/$F238^2*sim_annual_output!Q238</f>
        <v>31.458159929449788</v>
      </c>
      <c r="P238">
        <f>$E238/$F238^2*sim_annual_output!R238</f>
        <v>29.001854561102999</v>
      </c>
      <c r="Q238">
        <f>$E238/$F238^2*sim_annual_output!S238</f>
        <v>0</v>
      </c>
      <c r="R238">
        <f t="array" ref="R238">INDEX(G$3:G$700,MATCH($B238&amp;$C238&amp;"baseline",$B$3:$B$700&amp;$C$3:$C$700&amp;$D$3:$D$700,0))</f>
        <v>0</v>
      </c>
      <c r="S238">
        <f t="array" ref="S238">INDEX(H$3:H$700,MATCH($B238&amp;$C238&amp;"baseline",$B$3:$B$700&amp;$C$3:$C$700&amp;$D$3:$D$700,0))</f>
        <v>558.03636372688652</v>
      </c>
      <c r="T238">
        <f t="array" ref="T238">INDEX(I$3:I$700,MATCH($B238&amp;$C238&amp;"baseline",$B$3:$B$700&amp;$C$3:$C$700&amp;$D$3:$D$700,0))</f>
        <v>0.38186259928080357</v>
      </c>
      <c r="U238">
        <f t="array" ref="U238">INDEX(J$3:J$700,MATCH($B238&amp;$C238&amp;"baseline",$B$3:$B$700&amp;$C$3:$C$700&amp;$D$3:$D$700,0))</f>
        <v>2.1710812155670256</v>
      </c>
      <c r="V238">
        <f t="array" ref="V238">INDEX(K$3:K$700,MATCH($B238&amp;$C238&amp;"baseline",$B$3:$B$700&amp;$C$3:$C$700&amp;$D$3:$D$700,0))</f>
        <v>0</v>
      </c>
      <c r="W238">
        <f t="array" ref="W238">INDEX(L$3:L$700,MATCH($B238&amp;$C238&amp;"baseline",$B$3:$B$700&amp;$C$3:$C$700&amp;$D$3:$D$700,0))</f>
        <v>28.425776831475446</v>
      </c>
      <c r="X238">
        <f t="array" ref="X238">INDEX(M$3:M$700,MATCH($B238&amp;$C238&amp;"baseline",$B$3:$B$700&amp;$C$3:$C$700&amp;$D$3:$D$700,0))</f>
        <v>4.074764787903022</v>
      </c>
      <c r="Y238">
        <f t="array" ref="Y238">INDEX(N$3:N$700,MATCH($B238&amp;$C238&amp;"baseline",$B$3:$B$700&amp;$C$3:$C$700&amp;$D$3:$D$700,0))</f>
        <v>0</v>
      </c>
      <c r="Z238">
        <f t="array" ref="Z238">INDEX(O$3:O$700,MATCH($B238&amp;$C238&amp;"baseline",$B$3:$B$700&amp;$C$3:$C$700&amp;$D$3:$D$700,0))</f>
        <v>31.39529802735688</v>
      </c>
      <c r="AA238">
        <f t="array" ref="AA238">INDEX(P$3:P$700,MATCH($B238&amp;$C238&amp;"baseline",$B$3:$B$700&amp;$C$3:$C$700&amp;$D$3:$D$700,0))</f>
        <v>28.792627633241526</v>
      </c>
      <c r="AB238">
        <f t="array" ref="AB238">INDEX(Q$3:Q$700,MATCH($B238&amp;$C238&amp;"baseline",$B$3:$B$700&amp;$C$3:$C$700&amp;$D$3:$D$700,0))</f>
        <v>0</v>
      </c>
      <c r="AC238">
        <f t="shared" si="27"/>
        <v>653.2777748217112</v>
      </c>
      <c r="AD238">
        <f t="shared" si="28"/>
        <v>1.3416794028784125</v>
      </c>
      <c r="AE238">
        <f t="shared" si="29"/>
        <v>-0.21110340255081894</v>
      </c>
      <c r="AF238">
        <f t="shared" si="30"/>
        <v>0.17306206393385171</v>
      </c>
      <c r="AG238">
        <f>(S238+V238+Y238)*constants!$O$2+(R238+T238+U238+W238+X238+Z238+AA238+AB238)*constants!$N$2</f>
        <v>19.802468546090751</v>
      </c>
      <c r="AH238">
        <f>((S238+V238+Y238)-(H238+K238+N238))*constants!$O$2</f>
        <v>2.1735206326630282E-2</v>
      </c>
      <c r="AI238">
        <f>((R238+T238+U238+W238+X238+Z238+AA238+AB238)-(G238+I238+J238+L238+M238+O238+P238+Q238))*constants!$N$2</f>
        <v>-2.3854684488242541E-2</v>
      </c>
      <c r="AJ238">
        <f t="shared" si="31"/>
        <v>-1.070310076079212E-2</v>
      </c>
      <c r="AK238">
        <f t="shared" si="32"/>
        <v>-2.1194781616122593E-3</v>
      </c>
      <c r="AL238">
        <f>COUNTIFS($B:$B,$B238,$AK:$AK,"&lt;"&amp;$AK238)+COUNTIFS($B$2:$B238,$B238,$AK$2:$AK238,$AK238)</f>
        <v>12</v>
      </c>
      <c r="AM238" s="191">
        <f>IF(AK238=0, "NA",IF(((sim_annual_output!F238/E238)/AK238)&lt;0,100,((sim_annual_output!F238/E238)/AK238)))</f>
        <v>100</v>
      </c>
      <c r="AN238">
        <f>(S238+V238)*constants!$F$2+(T238+U238+W238+X238+Y238+Z238+AA238+AB238)*constants!$G$2</f>
        <v>182748.53675961017</v>
      </c>
      <c r="AO238">
        <f>(AD238*constants!$F$2+AE238*constants!$G$2)</f>
        <v>56.500652896023354</v>
      </c>
      <c r="AP238">
        <f t="shared" si="33"/>
        <v>3.0917157476530198E-2</v>
      </c>
    </row>
    <row r="239" spans="1:42">
      <c r="A239">
        <f>sim_annual_output!B239</f>
        <v>8</v>
      </c>
      <c r="B239" t="str">
        <f>sim_annual_output!C239</f>
        <v>Maintenance Shop</v>
      </c>
      <c r="C239" t="str">
        <f>sim_annual_output!D239</f>
        <v>1959-pre</v>
      </c>
      <c r="D239" t="str">
        <f>sim_annual_output!E239</f>
        <v>elec_reduce</v>
      </c>
      <c r="E239" s="45">
        <f t="array" ref="E239">IFERROR(INDEX(baseline!$J$3:$J$201,MATCH($B239&amp;$C239,baseline!$C$3:$C$201&amp;baseline!$D$3:$D$201,0)),"NA")</f>
        <v>1927</v>
      </c>
      <c r="F239">
        <f>sim_annual_output!G239</f>
        <v>2388.5449741513999</v>
      </c>
      <c r="G239">
        <f>$E239/$F239^2*sim_annual_output!I239</f>
        <v>0</v>
      </c>
      <c r="H239">
        <f>$E239/$F239^2*sim_annual_output!J239</f>
        <v>437.8575422480705</v>
      </c>
      <c r="I239">
        <f>$E239/$F239^2*sim_annual_output!K239</f>
        <v>0.39312144741684696</v>
      </c>
      <c r="J239">
        <f>$E239/$F239^2*sim_annual_output!L239</f>
        <v>2.1701429782223558</v>
      </c>
      <c r="K239">
        <f>$E239/$F239^2*sim_annual_output!M239</f>
        <v>0</v>
      </c>
      <c r="L239">
        <f>$E239/$F239^2*sim_annual_output!N239</f>
        <v>19.898137605767278</v>
      </c>
      <c r="M239">
        <f>$E239/$F239^2*sim_annual_output!O239</f>
        <v>4.074764787903022</v>
      </c>
      <c r="N239">
        <f>$E239/$F239^2*sim_annual_output!P239</f>
        <v>0</v>
      </c>
      <c r="O239">
        <f>$E239/$F239^2*sim_annual_output!Q239</f>
        <v>30.006706757244864</v>
      </c>
      <c r="P239">
        <f>$E239/$F239^2*sim_annual_output!R239</f>
        <v>22.610581769209055</v>
      </c>
      <c r="Q239">
        <f>$E239/$F239^2*sim_annual_output!S239</f>
        <v>0</v>
      </c>
      <c r="R239">
        <f t="array" ref="R239">INDEX(G$3:G$700,MATCH($B239&amp;$C239&amp;"baseline",$B$3:$B$700&amp;$C$3:$C$700&amp;$D$3:$D$700,0))</f>
        <v>0</v>
      </c>
      <c r="S239">
        <f t="array" ref="S239">INDEX(H$3:H$700,MATCH($B239&amp;$C239&amp;"baseline",$B$3:$B$700&amp;$C$3:$C$700&amp;$D$3:$D$700,0))</f>
        <v>558.03636372688652</v>
      </c>
      <c r="T239">
        <f t="array" ref="T239">INDEX(I$3:I$700,MATCH($B239&amp;$C239&amp;"baseline",$B$3:$B$700&amp;$C$3:$C$700&amp;$D$3:$D$700,0))</f>
        <v>0.38186259928080357</v>
      </c>
      <c r="U239">
        <f t="array" ref="U239">INDEX(J$3:J$700,MATCH($B239&amp;$C239&amp;"baseline",$B$3:$B$700&amp;$C$3:$C$700&amp;$D$3:$D$700,0))</f>
        <v>2.1710812155670256</v>
      </c>
      <c r="V239">
        <f t="array" ref="V239">INDEX(K$3:K$700,MATCH($B239&amp;$C239&amp;"baseline",$B$3:$B$700&amp;$C$3:$C$700&amp;$D$3:$D$700,0))</f>
        <v>0</v>
      </c>
      <c r="W239">
        <f t="array" ref="W239">INDEX(L$3:L$700,MATCH($B239&amp;$C239&amp;"baseline",$B$3:$B$700&amp;$C$3:$C$700&amp;$D$3:$D$700,0))</f>
        <v>28.425776831475446</v>
      </c>
      <c r="X239">
        <f t="array" ref="X239">INDEX(M$3:M$700,MATCH($B239&amp;$C239&amp;"baseline",$B$3:$B$700&amp;$C$3:$C$700&amp;$D$3:$D$700,0))</f>
        <v>4.074764787903022</v>
      </c>
      <c r="Y239">
        <f t="array" ref="Y239">INDEX(N$3:N$700,MATCH($B239&amp;$C239&amp;"baseline",$B$3:$B$700&amp;$C$3:$C$700&amp;$D$3:$D$700,0))</f>
        <v>0</v>
      </c>
      <c r="Z239">
        <f t="array" ref="Z239">INDEX(O$3:O$700,MATCH($B239&amp;$C239&amp;"baseline",$B$3:$B$700&amp;$C$3:$C$700&amp;$D$3:$D$700,0))</f>
        <v>31.39529802735688</v>
      </c>
      <c r="AA239">
        <f t="array" ref="AA239">INDEX(P$3:P$700,MATCH($B239&amp;$C239&amp;"baseline",$B$3:$B$700&amp;$C$3:$C$700&amp;$D$3:$D$700,0))</f>
        <v>28.792627633241526</v>
      </c>
      <c r="AB239">
        <f t="array" ref="AB239">INDEX(Q$3:Q$700,MATCH($B239&amp;$C239&amp;"baseline",$B$3:$B$700&amp;$C$3:$C$700&amp;$D$3:$D$700,0))</f>
        <v>0</v>
      </c>
      <c r="AC239">
        <f t="shared" si="27"/>
        <v>653.2777748217112</v>
      </c>
      <c r="AD239">
        <f t="shared" si="28"/>
        <v>120.17882147881602</v>
      </c>
      <c r="AE239">
        <f t="shared" si="29"/>
        <v>16.087955749061265</v>
      </c>
      <c r="AF239">
        <f t="shared" si="30"/>
        <v>20.858933592998238</v>
      </c>
      <c r="AG239">
        <f>(S239+V239+Y239)*constants!$O$2+(R239+T239+U239+W239+X239+Z239+AA239+AB239)*constants!$N$2</f>
        <v>19.802468546090751</v>
      </c>
      <c r="AH239">
        <f>((S239+V239+Y239)-(H239+K239+N239))*constants!$O$2</f>
        <v>1.9468969079568195</v>
      </c>
      <c r="AI239">
        <f>((R239+T239+U239+W239+X239+Z239+AA239+AB239)-(G239+I239+J239+L239+M239+O239+P239+Q239))*constants!$N$2</f>
        <v>1.817938999643923</v>
      </c>
      <c r="AJ239">
        <f t="shared" si="31"/>
        <v>19.011952468642942</v>
      </c>
      <c r="AK239">
        <f t="shared" si="32"/>
        <v>3.7648359076007427</v>
      </c>
      <c r="AL239">
        <f>COUNTIFS($B:$B,$B239,$AK:$AK,"&lt;"&amp;$AK239)+COUNTIFS($B$2:$B239,$B239,$AK$2:$AK239,$AK239)</f>
        <v>41</v>
      </c>
      <c r="AM239" s="191">
        <f>IF(AK239=0, "NA",IF(((sim_annual_output!F239/E239)/AK239)&lt;0,100,((sim_annual_output!F239/E239)/AK239)))</f>
        <v>8.7863689063893649</v>
      </c>
      <c r="AN239">
        <f>(S239+V239)*constants!$F$2+(T239+U239+W239+X239+Y239+Z239+AA239+AB239)*constants!$G$2</f>
        <v>182748.53675961017</v>
      </c>
      <c r="AO239">
        <f>(AD239*constants!$F$2+AE239*constants!$G$2)</f>
        <v>35508.530546391368</v>
      </c>
      <c r="AP239">
        <f t="shared" si="33"/>
        <v>19.43026804811015</v>
      </c>
    </row>
    <row r="240" spans="1:42">
      <c r="A240">
        <f>sim_annual_output!B240</f>
        <v>8</v>
      </c>
      <c r="B240" t="str">
        <f>sim_annual_output!C240</f>
        <v>Maintenance Shop</v>
      </c>
      <c r="C240" t="str">
        <f>sim_annual_output!D240</f>
        <v>1959-pre</v>
      </c>
      <c r="D240" t="str">
        <f>sim_annual_output!E240</f>
        <v>envelope_ecm_roof</v>
      </c>
      <c r="E240" s="45">
        <f t="array" ref="E240">IFERROR(INDEX(baseline!$J$3:$J$201,MATCH($B240&amp;$C240,baseline!$C$3:$C$201&amp;baseline!$D$3:$D$201,0)),"NA")</f>
        <v>1927</v>
      </c>
      <c r="F240">
        <f>sim_annual_output!G240</f>
        <v>2388.5449741513999</v>
      </c>
      <c r="G240">
        <f>$E240/$F240^2*sim_annual_output!I240</f>
        <v>0</v>
      </c>
      <c r="H240">
        <f>$E240/$F240^2*sim_annual_output!J240</f>
        <v>526.31362086623972</v>
      </c>
      <c r="I240">
        <f>$E240/$F240^2*sim_annual_output!K240</f>
        <v>0.42126856775695537</v>
      </c>
      <c r="J240">
        <f>$E240/$F240^2*sim_annual_output!L240</f>
        <v>2.1710812155670256</v>
      </c>
      <c r="K240">
        <f>$E240/$F240^2*sim_annual_output!M240</f>
        <v>0</v>
      </c>
      <c r="L240">
        <f>$E240/$F240^2*sim_annual_output!N240</f>
        <v>28.425776831475446</v>
      </c>
      <c r="M240">
        <f>$E240/$F240^2*sim_annual_output!O240</f>
        <v>4.074764787903022</v>
      </c>
      <c r="N240">
        <f>$E240/$F240^2*sim_annual_output!P240</f>
        <v>0</v>
      </c>
      <c r="O240">
        <f>$E240/$F240^2*sim_annual_output!Q240</f>
        <v>29.572302866662525</v>
      </c>
      <c r="P240">
        <f>$E240/$F240^2*sim_annual_output!R240</f>
        <v>27.206068283404083</v>
      </c>
      <c r="Q240">
        <f>$E240/$F240^2*sim_annual_output!S240</f>
        <v>0</v>
      </c>
      <c r="R240">
        <f t="array" ref="R240">INDEX(G$3:G$700,MATCH($B240&amp;$C240&amp;"baseline",$B$3:$B$700&amp;$C$3:$C$700&amp;$D$3:$D$700,0))</f>
        <v>0</v>
      </c>
      <c r="S240">
        <f t="array" ref="S240">INDEX(H$3:H$700,MATCH($B240&amp;$C240&amp;"baseline",$B$3:$B$700&amp;$C$3:$C$700&amp;$D$3:$D$700,0))</f>
        <v>558.03636372688652</v>
      </c>
      <c r="T240">
        <f t="array" ref="T240">INDEX(I$3:I$700,MATCH($B240&amp;$C240&amp;"baseline",$B$3:$B$700&amp;$C$3:$C$700&amp;$D$3:$D$700,0))</f>
        <v>0.38186259928080357</v>
      </c>
      <c r="U240">
        <f t="array" ref="U240">INDEX(J$3:J$700,MATCH($B240&amp;$C240&amp;"baseline",$B$3:$B$700&amp;$C$3:$C$700&amp;$D$3:$D$700,0))</f>
        <v>2.1710812155670256</v>
      </c>
      <c r="V240">
        <f t="array" ref="V240">INDEX(K$3:K$700,MATCH($B240&amp;$C240&amp;"baseline",$B$3:$B$700&amp;$C$3:$C$700&amp;$D$3:$D$700,0))</f>
        <v>0</v>
      </c>
      <c r="W240">
        <f t="array" ref="W240">INDEX(L$3:L$700,MATCH($B240&amp;$C240&amp;"baseline",$B$3:$B$700&amp;$C$3:$C$700&amp;$D$3:$D$700,0))</f>
        <v>28.425776831475446</v>
      </c>
      <c r="X240">
        <f t="array" ref="X240">INDEX(M$3:M$700,MATCH($B240&amp;$C240&amp;"baseline",$B$3:$B$700&amp;$C$3:$C$700&amp;$D$3:$D$700,0))</f>
        <v>4.074764787903022</v>
      </c>
      <c r="Y240">
        <f t="array" ref="Y240">INDEX(N$3:N$700,MATCH($B240&amp;$C240&amp;"baseline",$B$3:$B$700&amp;$C$3:$C$700&amp;$D$3:$D$700,0))</f>
        <v>0</v>
      </c>
      <c r="Z240">
        <f t="array" ref="Z240">INDEX(O$3:O$700,MATCH($B240&amp;$C240&amp;"baseline",$B$3:$B$700&amp;$C$3:$C$700&amp;$D$3:$D$700,0))</f>
        <v>31.39529802735688</v>
      </c>
      <c r="AA240">
        <f t="array" ref="AA240">INDEX(P$3:P$700,MATCH($B240&amp;$C240&amp;"baseline",$B$3:$B$700&amp;$C$3:$C$700&amp;$D$3:$D$700,0))</f>
        <v>28.792627633241526</v>
      </c>
      <c r="AB240">
        <f t="array" ref="AB240">INDEX(Q$3:Q$700,MATCH($B240&amp;$C240&amp;"baseline",$B$3:$B$700&amp;$C$3:$C$700&amp;$D$3:$D$700,0))</f>
        <v>0</v>
      </c>
      <c r="AC240">
        <f t="shared" si="27"/>
        <v>653.2777748217112</v>
      </c>
      <c r="AD240">
        <f t="shared" si="28"/>
        <v>31.722742860646804</v>
      </c>
      <c r="AE240">
        <f t="shared" si="29"/>
        <v>3.3701485420556452</v>
      </c>
      <c r="AF240">
        <f t="shared" si="30"/>
        <v>5.3718177405131833</v>
      </c>
      <c r="AG240">
        <f>(S240+V240+Y240)*constants!$O$2+(R240+T240+U240+W240+X240+Z240+AA240+AB240)*constants!$N$2</f>
        <v>19.802468546090751</v>
      </c>
      <c r="AH240">
        <f>((S240+V240+Y240)-(H240+K240+N240))*constants!$O$2</f>
        <v>0.51390843434247824</v>
      </c>
      <c r="AI240">
        <f>((R240+T240+U240+W240+X240+Z240+AA240+AB240)-(G240+I240+J240+L240+M240+O240+P240+Q240))*constants!$N$2</f>
        <v>0.38082678525228791</v>
      </c>
      <c r="AJ240">
        <f t="shared" si="31"/>
        <v>4.5183014305122979</v>
      </c>
      <c r="AK240">
        <f t="shared" si="32"/>
        <v>0.89473521959476621</v>
      </c>
      <c r="AL240">
        <f>COUNTIFS($B:$B,$B240,$AK:$AK,"&lt;"&amp;$AK240)+COUNTIFS($B$2:$B240,$B240,$AK$2:$AK240,$AK240)</f>
        <v>31</v>
      </c>
      <c r="AM240" s="191">
        <f>IF(AK240=0, "NA",IF(((sim_annual_output!F240/E240)/AK240)&lt;0,100,((sim_annual_output!F240/E240)/AK240)))</f>
        <v>149.62333704847126</v>
      </c>
      <c r="AN240">
        <f>(S240+V240)*constants!$F$2+(T240+U240+W240+X240+Y240+Z240+AA240+AB240)*constants!$G$2</f>
        <v>182748.53675961017</v>
      </c>
      <c r="AO240">
        <f>(AD240*constants!$F$2+AE240*constants!$G$2)</f>
        <v>8610.4002036441889</v>
      </c>
      <c r="AP240">
        <f t="shared" si="33"/>
        <v>4.7116110237152942</v>
      </c>
    </row>
    <row r="241" spans="1:42">
      <c r="A241">
        <f>sim_annual_output!B241</f>
        <v>8</v>
      </c>
      <c r="B241" t="str">
        <f>sim_annual_output!C241</f>
        <v>Maintenance Shop</v>
      </c>
      <c r="C241" t="str">
        <f>sim_annual_output!D241</f>
        <v>1959-pre</v>
      </c>
      <c r="D241" t="str">
        <f>sim_annual_output!E241</f>
        <v>envelope_ecm_wall</v>
      </c>
      <c r="E241" s="45">
        <f t="array" ref="E241">IFERROR(INDEX(baseline!$J$3:$J$201,MATCH($B241&amp;$C241,baseline!$C$3:$C$201&amp;baseline!$D$3:$D$201,0)),"NA")</f>
        <v>1927</v>
      </c>
      <c r="F241">
        <f>sim_annual_output!G241</f>
        <v>2388.5449741513999</v>
      </c>
      <c r="G241">
        <f>$E241/$F241^2*sim_annual_output!I241</f>
        <v>0</v>
      </c>
      <c r="H241">
        <f>$E241/$F241^2*sim_annual_output!J241</f>
        <v>494.35068924535739</v>
      </c>
      <c r="I241">
        <f>$E241/$F241^2*sim_annual_output!K241</f>
        <v>0.4287744665143175</v>
      </c>
      <c r="J241">
        <f>$E241/$F241^2*sim_annual_output!L241</f>
        <v>2.1710812155670256</v>
      </c>
      <c r="K241">
        <f>$E241/$F241^2*sim_annual_output!M241</f>
        <v>0</v>
      </c>
      <c r="L241">
        <f>$E241/$F241^2*sim_annual_output!N241</f>
        <v>28.425776831475446</v>
      </c>
      <c r="M241">
        <f>$E241/$F241^2*sim_annual_output!O241</f>
        <v>4.074764787903022</v>
      </c>
      <c r="N241">
        <f>$E241/$F241^2*sim_annual_output!P241</f>
        <v>0</v>
      </c>
      <c r="O241">
        <f>$E241/$F241^2*sim_annual_output!Q241</f>
        <v>27.896610969081411</v>
      </c>
      <c r="P241">
        <f>$E241/$F241^2*sim_annual_output!R241</f>
        <v>25.437490888700605</v>
      </c>
      <c r="Q241">
        <f>$E241/$F241^2*sim_annual_output!S241</f>
        <v>0</v>
      </c>
      <c r="R241">
        <f t="array" ref="R241">INDEX(G$3:G$700,MATCH($B241&amp;$C241&amp;"baseline",$B$3:$B$700&amp;$C$3:$C$700&amp;$D$3:$D$700,0))</f>
        <v>0</v>
      </c>
      <c r="S241">
        <f t="array" ref="S241">INDEX(H$3:H$700,MATCH($B241&amp;$C241&amp;"baseline",$B$3:$B$700&amp;$C$3:$C$700&amp;$D$3:$D$700,0))</f>
        <v>558.03636372688652</v>
      </c>
      <c r="T241">
        <f t="array" ref="T241">INDEX(I$3:I$700,MATCH($B241&amp;$C241&amp;"baseline",$B$3:$B$700&amp;$C$3:$C$700&amp;$D$3:$D$700,0))</f>
        <v>0.38186259928080357</v>
      </c>
      <c r="U241">
        <f t="array" ref="U241">INDEX(J$3:J$700,MATCH($B241&amp;$C241&amp;"baseline",$B$3:$B$700&amp;$C$3:$C$700&amp;$D$3:$D$700,0))</f>
        <v>2.1710812155670256</v>
      </c>
      <c r="V241">
        <f t="array" ref="V241">INDEX(K$3:K$700,MATCH($B241&amp;$C241&amp;"baseline",$B$3:$B$700&amp;$C$3:$C$700&amp;$D$3:$D$700,0))</f>
        <v>0</v>
      </c>
      <c r="W241">
        <f t="array" ref="W241">INDEX(L$3:L$700,MATCH($B241&amp;$C241&amp;"baseline",$B$3:$B$700&amp;$C$3:$C$700&amp;$D$3:$D$700,0))</f>
        <v>28.425776831475446</v>
      </c>
      <c r="X241">
        <f t="array" ref="X241">INDEX(M$3:M$700,MATCH($B241&amp;$C241&amp;"baseline",$B$3:$B$700&amp;$C$3:$C$700&amp;$D$3:$D$700,0))</f>
        <v>4.074764787903022</v>
      </c>
      <c r="Y241">
        <f t="array" ref="Y241">INDEX(N$3:N$700,MATCH($B241&amp;$C241&amp;"baseline",$B$3:$B$700&amp;$C$3:$C$700&amp;$D$3:$D$700,0))</f>
        <v>0</v>
      </c>
      <c r="Z241">
        <f t="array" ref="Z241">INDEX(O$3:O$700,MATCH($B241&amp;$C241&amp;"baseline",$B$3:$B$700&amp;$C$3:$C$700&amp;$D$3:$D$700,0))</f>
        <v>31.39529802735688</v>
      </c>
      <c r="AA241">
        <f t="array" ref="AA241">INDEX(P$3:P$700,MATCH($B241&amp;$C241&amp;"baseline",$B$3:$B$700&amp;$C$3:$C$700&amp;$D$3:$D$700,0))</f>
        <v>28.792627633241526</v>
      </c>
      <c r="AB241">
        <f t="array" ref="AB241">INDEX(Q$3:Q$700,MATCH($B241&amp;$C241&amp;"baseline",$B$3:$B$700&amp;$C$3:$C$700&amp;$D$3:$D$700,0))</f>
        <v>0</v>
      </c>
      <c r="AC241">
        <f t="shared" si="27"/>
        <v>653.2777748217112</v>
      </c>
      <c r="AD241">
        <f t="shared" si="28"/>
        <v>63.685674481529134</v>
      </c>
      <c r="AE241">
        <f t="shared" si="29"/>
        <v>6.8069119355828605</v>
      </c>
      <c r="AF241">
        <f t="shared" si="30"/>
        <v>10.790599211239114</v>
      </c>
      <c r="AG241">
        <f>(S241+V241+Y241)*constants!$O$2+(R241+T241+U241+W241+X241+Z241+AA241+AB241)*constants!$N$2</f>
        <v>19.802468546090751</v>
      </c>
      <c r="AH241">
        <f>((S241+V241+Y241)-(H241+K241+N241))*constants!$O$2</f>
        <v>1.0317079266007718</v>
      </c>
      <c r="AI241">
        <f>((R241+T241+U241+W241+X241+Z241+AA241+AB241)-(G241+I241+J241+L241+M241+O241+P241+Q241))*constants!$N$2</f>
        <v>0.76918104872086324</v>
      </c>
      <c r="AJ241">
        <f t="shared" si="31"/>
        <v>9.0942650464512536</v>
      </c>
      <c r="AK241">
        <f t="shared" si="32"/>
        <v>1.8008889753216351</v>
      </c>
      <c r="AL241">
        <f>COUNTIFS($B:$B,$B241,$AK:$AK,"&lt;"&amp;$AK241)+COUNTIFS($B$2:$B241,$B241,$AK$2:$AK241,$AK241)</f>
        <v>34</v>
      </c>
      <c r="AM241" s="191">
        <f>IF(AK241=0, "NA",IF(((sim_annual_output!F241/E241)/AK241)&lt;0,100,((sim_annual_output!F241/E241)/AK241)))</f>
        <v>144.32289594571074</v>
      </c>
      <c r="AN241">
        <f>(S241+V241)*constants!$F$2+(T241+U241+W241+X241+Y241+Z241+AA241+AB241)*constants!$G$2</f>
        <v>182748.53675961017</v>
      </c>
      <c r="AO241">
        <f>(AD241*constants!$F$2+AE241*constants!$G$2)</f>
        <v>17321.749116150804</v>
      </c>
      <c r="AP241">
        <f t="shared" si="33"/>
        <v>9.4784611812985737</v>
      </c>
    </row>
    <row r="242" spans="1:42">
      <c r="A242">
        <f>sim_annual_output!B242</f>
        <v>8</v>
      </c>
      <c r="B242" t="str">
        <f>sim_annual_output!C242</f>
        <v>Maintenance Shop</v>
      </c>
      <c r="C242" t="str">
        <f>sim_annual_output!D242</f>
        <v>1959-pre</v>
      </c>
      <c r="D242" t="str">
        <f>sim_annual_output!E242</f>
        <v>envelope_ecm_windows</v>
      </c>
      <c r="E242" s="45">
        <f t="array" ref="E242">IFERROR(INDEX(baseline!$J$3:$J$201,MATCH($B242&amp;$C242,baseline!$C$3:$C$201&amp;baseline!$D$3:$D$201,0)),"NA")</f>
        <v>1927</v>
      </c>
      <c r="F242">
        <f>sim_annual_output!G242</f>
        <v>2388.5449741513999</v>
      </c>
      <c r="G242">
        <f>$E242/$F242^2*sim_annual_output!I242</f>
        <v>0</v>
      </c>
      <c r="H242">
        <f>$E242/$F242^2*sim_annual_output!J242</f>
        <v>552.59740183983297</v>
      </c>
      <c r="I242">
        <f>$E242/$F242^2*sim_annual_output!K242</f>
        <v>0.45035392544173397</v>
      </c>
      <c r="J242">
        <f>$E242/$F242^2*sim_annual_output!L242</f>
        <v>2.1710812155670256</v>
      </c>
      <c r="K242">
        <f>$E242/$F242^2*sim_annual_output!M242</f>
        <v>0</v>
      </c>
      <c r="L242">
        <f>$E242/$F242^2*sim_annual_output!N242</f>
        <v>28.425776831475446</v>
      </c>
      <c r="M242">
        <f>$E242/$F242^2*sim_annual_output!O242</f>
        <v>4.074764787903022</v>
      </c>
      <c r="N242">
        <f>$E242/$F242^2*sim_annual_output!P242</f>
        <v>0</v>
      </c>
      <c r="O242">
        <f>$E242/$F242^2*sim_annual_output!Q242</f>
        <v>31.386853891254816</v>
      </c>
      <c r="P242">
        <f>$E242/$F242^2*sim_annual_output!R242</f>
        <v>28.882698418329873</v>
      </c>
      <c r="Q242">
        <f>$E242/$F242^2*sim_annual_output!S242</f>
        <v>0</v>
      </c>
      <c r="R242">
        <f t="array" ref="R242">INDEX(G$3:G$700,MATCH($B242&amp;$C242&amp;"baseline",$B$3:$B$700&amp;$C$3:$C$700&amp;$D$3:$D$700,0))</f>
        <v>0</v>
      </c>
      <c r="S242">
        <f t="array" ref="S242">INDEX(H$3:H$700,MATCH($B242&amp;$C242&amp;"baseline",$B$3:$B$700&amp;$C$3:$C$700&amp;$D$3:$D$700,0))</f>
        <v>558.03636372688652</v>
      </c>
      <c r="T242">
        <f t="array" ref="T242">INDEX(I$3:I$700,MATCH($B242&amp;$C242&amp;"baseline",$B$3:$B$700&amp;$C$3:$C$700&amp;$D$3:$D$700,0))</f>
        <v>0.38186259928080357</v>
      </c>
      <c r="U242">
        <f t="array" ref="U242">INDEX(J$3:J$700,MATCH($B242&amp;$C242&amp;"baseline",$B$3:$B$700&amp;$C$3:$C$700&amp;$D$3:$D$700,0))</f>
        <v>2.1710812155670256</v>
      </c>
      <c r="V242">
        <f t="array" ref="V242">INDEX(K$3:K$700,MATCH($B242&amp;$C242&amp;"baseline",$B$3:$B$700&amp;$C$3:$C$700&amp;$D$3:$D$700,0))</f>
        <v>0</v>
      </c>
      <c r="W242">
        <f t="array" ref="W242">INDEX(L$3:L$700,MATCH($B242&amp;$C242&amp;"baseline",$B$3:$B$700&amp;$C$3:$C$700&amp;$D$3:$D$700,0))</f>
        <v>28.425776831475446</v>
      </c>
      <c r="X242">
        <f t="array" ref="X242">INDEX(M$3:M$700,MATCH($B242&amp;$C242&amp;"baseline",$B$3:$B$700&amp;$C$3:$C$700&amp;$D$3:$D$700,0))</f>
        <v>4.074764787903022</v>
      </c>
      <c r="Y242">
        <f t="array" ref="Y242">INDEX(N$3:N$700,MATCH($B242&amp;$C242&amp;"baseline",$B$3:$B$700&amp;$C$3:$C$700&amp;$D$3:$D$700,0))</f>
        <v>0</v>
      </c>
      <c r="Z242">
        <f t="array" ref="Z242">INDEX(O$3:O$700,MATCH($B242&amp;$C242&amp;"baseline",$B$3:$B$700&amp;$C$3:$C$700&amp;$D$3:$D$700,0))</f>
        <v>31.39529802735688</v>
      </c>
      <c r="AA242">
        <f t="array" ref="AA242">INDEX(P$3:P$700,MATCH($B242&amp;$C242&amp;"baseline",$B$3:$B$700&amp;$C$3:$C$700&amp;$D$3:$D$700,0))</f>
        <v>28.792627633241526</v>
      </c>
      <c r="AB242">
        <f t="array" ref="AB242">INDEX(Q$3:Q$700,MATCH($B242&amp;$C242&amp;"baseline",$B$3:$B$700&amp;$C$3:$C$700&amp;$D$3:$D$700,0))</f>
        <v>0</v>
      </c>
      <c r="AC242">
        <f t="shared" si="27"/>
        <v>653.2777748217112</v>
      </c>
      <c r="AD242">
        <f t="shared" si="28"/>
        <v>5.4389618870535514</v>
      </c>
      <c r="AE242">
        <f t="shared" si="29"/>
        <v>-0.15011797514721081</v>
      </c>
      <c r="AF242">
        <f t="shared" si="30"/>
        <v>0.8095857712823219</v>
      </c>
      <c r="AG242">
        <f>(S242+V242+Y242)*constants!$O$2+(R242+T242+U242+W242+X242+Z242+AA242+AB242)*constants!$N$2</f>
        <v>19.802468546090751</v>
      </c>
      <c r="AH242">
        <f>((S242+V242+Y242)-(H242+K242+N242))*constants!$O$2</f>
        <v>8.8111182570267524E-2</v>
      </c>
      <c r="AI242">
        <f>((R242+T242+U242+W242+X242+Z242+AA242+AB242)-(G242+I242+J242+L242+M242+O242+P242+Q242))*constants!$N$2</f>
        <v>-1.6963331191634821E-2</v>
      </c>
      <c r="AJ242">
        <f t="shared" si="31"/>
        <v>0.35928778885841561</v>
      </c>
      <c r="AK242">
        <f t="shared" si="32"/>
        <v>7.1147851378632707E-2</v>
      </c>
      <c r="AL242">
        <f>COUNTIFS($B:$B,$B242,$AK:$AK,"&lt;"&amp;$AK242)+COUNTIFS($B$2:$B242,$B242,$AK$2:$AK242,$AK242)</f>
        <v>18</v>
      </c>
      <c r="AM242" s="191">
        <f>IF(AK242=0, "NA",IF(((sim_annual_output!F242/E242)/AK242)&lt;0,100,((sim_annual_output!F242/E242)/AK242)))</f>
        <v>530.28371529324602</v>
      </c>
      <c r="AN242">
        <f>(S242+V242)*constants!$F$2+(T242+U242+W242+X242+Y242+Z242+AA242+AB242)*constants!$G$2</f>
        <v>182748.53675961017</v>
      </c>
      <c r="AO242">
        <f>(AD242*constants!$F$2+AE242*constants!$G$2)</f>
        <v>842.97153940451233</v>
      </c>
      <c r="AP242">
        <f t="shared" si="33"/>
        <v>0.46127402952252805</v>
      </c>
    </row>
    <row r="243" spans="1:42">
      <c r="A243">
        <f>sim_annual_output!B243</f>
        <v>8</v>
      </c>
      <c r="B243" t="str">
        <f>sim_annual_output!C243</f>
        <v>Maintenance Shop</v>
      </c>
      <c r="C243" t="str">
        <f>sim_annual_output!D243</f>
        <v>1959-pre</v>
      </c>
      <c r="D243" t="str">
        <f>sim_annual_output!E243</f>
        <v>exhaust_fans_occ_control</v>
      </c>
      <c r="E243" s="45">
        <f t="array" ref="E243">IFERROR(INDEX(baseline!$J$3:$J$201,MATCH($B243&amp;$C243,baseline!$C$3:$C$201&amp;baseline!$D$3:$D$201,0)),"NA")</f>
        <v>1927</v>
      </c>
      <c r="F243">
        <f>sim_annual_output!G243</f>
        <v>2388.5449741513999</v>
      </c>
      <c r="G243">
        <f>$E243/$F243^2*sim_annual_output!I243</f>
        <v>0</v>
      </c>
      <c r="H243">
        <f>$E243/$F243^2*sim_annual_output!J243</f>
        <v>555.94315621092721</v>
      </c>
      <c r="I243">
        <f>$E243/$F243^2*sim_annual_output!K243</f>
        <v>0.42502151713563646</v>
      </c>
      <c r="J243">
        <f>$E243/$F243^2*sim_annual_output!L243</f>
        <v>2.1710812155670256</v>
      </c>
      <c r="K243">
        <f>$E243/$F243^2*sim_annual_output!M243</f>
        <v>0</v>
      </c>
      <c r="L243">
        <f>$E243/$F243^2*sim_annual_output!N243</f>
        <v>28.425776831475446</v>
      </c>
      <c r="M243">
        <f>$E243/$F243^2*sim_annual_output!O243</f>
        <v>4.074764787903022</v>
      </c>
      <c r="N243">
        <f>$E243/$F243^2*sim_annual_output!P243</f>
        <v>0</v>
      </c>
      <c r="O243">
        <f>$E243/$F243^2*sim_annual_output!Q243</f>
        <v>30.591228622974452</v>
      </c>
      <c r="P243">
        <f>$E243/$F243^2*sim_annual_output!R243</f>
        <v>29.001854561102999</v>
      </c>
      <c r="Q243">
        <f>$E243/$F243^2*sim_annual_output!S243</f>
        <v>0</v>
      </c>
      <c r="R243">
        <f t="array" ref="R243">INDEX(G$3:G$700,MATCH($B243&amp;$C243&amp;"baseline",$B$3:$B$700&amp;$C$3:$C$700&amp;$D$3:$D$700,0))</f>
        <v>0</v>
      </c>
      <c r="S243">
        <f t="array" ref="S243">INDEX(H$3:H$700,MATCH($B243&amp;$C243&amp;"baseline",$B$3:$B$700&amp;$C$3:$C$700&amp;$D$3:$D$700,0))</f>
        <v>558.03636372688652</v>
      </c>
      <c r="T243">
        <f t="array" ref="T243">INDEX(I$3:I$700,MATCH($B243&amp;$C243&amp;"baseline",$B$3:$B$700&amp;$C$3:$C$700&amp;$D$3:$D$700,0))</f>
        <v>0.38186259928080357</v>
      </c>
      <c r="U243">
        <f t="array" ref="U243">INDEX(J$3:J$700,MATCH($B243&amp;$C243&amp;"baseline",$B$3:$B$700&amp;$C$3:$C$700&amp;$D$3:$D$700,0))</f>
        <v>2.1710812155670256</v>
      </c>
      <c r="V243">
        <f t="array" ref="V243">INDEX(K$3:K$700,MATCH($B243&amp;$C243&amp;"baseline",$B$3:$B$700&amp;$C$3:$C$700&amp;$D$3:$D$700,0))</f>
        <v>0</v>
      </c>
      <c r="W243">
        <f t="array" ref="W243">INDEX(L$3:L$700,MATCH($B243&amp;$C243&amp;"baseline",$B$3:$B$700&amp;$C$3:$C$700&amp;$D$3:$D$700,0))</f>
        <v>28.425776831475446</v>
      </c>
      <c r="X243">
        <f t="array" ref="X243">INDEX(M$3:M$700,MATCH($B243&amp;$C243&amp;"baseline",$B$3:$B$700&amp;$C$3:$C$700&amp;$D$3:$D$700,0))</f>
        <v>4.074764787903022</v>
      </c>
      <c r="Y243">
        <f t="array" ref="Y243">INDEX(N$3:N$700,MATCH($B243&amp;$C243&amp;"baseline",$B$3:$B$700&amp;$C$3:$C$700&amp;$D$3:$D$700,0))</f>
        <v>0</v>
      </c>
      <c r="Z243">
        <f t="array" ref="Z243">INDEX(O$3:O$700,MATCH($B243&amp;$C243&amp;"baseline",$B$3:$B$700&amp;$C$3:$C$700&amp;$D$3:$D$700,0))</f>
        <v>31.39529802735688</v>
      </c>
      <c r="AA243">
        <f t="array" ref="AA243">INDEX(P$3:P$700,MATCH($B243&amp;$C243&amp;"baseline",$B$3:$B$700&amp;$C$3:$C$700&amp;$D$3:$D$700,0))</f>
        <v>28.792627633241526</v>
      </c>
      <c r="AB243">
        <f t="array" ref="AB243">INDEX(Q$3:Q$700,MATCH($B243&amp;$C243&amp;"baseline",$B$3:$B$700&amp;$C$3:$C$700&amp;$D$3:$D$700,0))</f>
        <v>0</v>
      </c>
      <c r="AC243">
        <f t="shared" si="27"/>
        <v>653.2777748217112</v>
      </c>
      <c r="AD243">
        <f t="shared" si="28"/>
        <v>2.0932075159593069</v>
      </c>
      <c r="AE243">
        <f t="shared" si="29"/>
        <v>0.55168355866611307</v>
      </c>
      <c r="AF243">
        <f t="shared" si="30"/>
        <v>0.4048646956261826</v>
      </c>
      <c r="AG243">
        <f>(S243+V243+Y243)*constants!$O$2+(R243+T243+U243+W243+X243+Z243+AA243+AB243)*constants!$N$2</f>
        <v>19.802468546090751</v>
      </c>
      <c r="AH243">
        <f>((S243+V243+Y243)-(H243+K243+N243))*constants!$O$2</f>
        <v>3.3909961758540767E-2</v>
      </c>
      <c r="AI243">
        <f>((R243+T243+U243+W243+X243+Z243+AA243+AB243)-(G243+I243+J243+L243+M243+O243+P243+Q243))*constants!$N$2</f>
        <v>6.2340242129270779E-2</v>
      </c>
      <c r="AJ243">
        <f t="shared" si="31"/>
        <v>0.48605154283561547</v>
      </c>
      <c r="AK243">
        <f t="shared" si="32"/>
        <v>9.6250203887811553E-2</v>
      </c>
      <c r="AL243">
        <f>COUNTIFS($B:$B,$B243,$AK:$AK,"&lt;"&amp;$AK243)+COUNTIFS($B$2:$B243,$B243,$AK$2:$AK243,$AK243)</f>
        <v>20</v>
      </c>
      <c r="AM243" s="191">
        <f>IF(AK243=0, "NA",IF(((sim_annual_output!F243/E243)/AK243)&lt;0,100,((sim_annual_output!F243/E243)/AK243)))</f>
        <v>11.835342467550488</v>
      </c>
      <c r="AN243">
        <f>(S243+V243)*constants!$F$2+(T243+U243+W243+X243+Y243+Z243+AA243+AB243)*constants!$G$2</f>
        <v>182748.53675961017</v>
      </c>
      <c r="AO243">
        <f>(AD243*constants!$F$2+AE243*constants!$G$2)</f>
        <v>854.64884139623427</v>
      </c>
      <c r="AP243">
        <f t="shared" si="33"/>
        <v>0.4676638492161776</v>
      </c>
    </row>
    <row r="244" spans="1:42">
      <c r="A244">
        <f>sim_annual_output!B244</f>
        <v>8</v>
      </c>
      <c r="B244" t="str">
        <f>sim_annual_output!C244</f>
        <v>Maintenance Shop</v>
      </c>
      <c r="C244" t="str">
        <f>sim_annual_output!D244</f>
        <v>1959-pre</v>
      </c>
      <c r="D244" t="str">
        <f>sim_annual_output!E244</f>
        <v>fans_to_variable</v>
      </c>
      <c r="E244" s="45">
        <f t="array" ref="E244">IFERROR(INDEX(baseline!$J$3:$J$201,MATCH($B244&amp;$C244,baseline!$C$3:$C$201&amp;baseline!$D$3:$D$201,0)),"NA")</f>
        <v>1927</v>
      </c>
      <c r="F244">
        <f>sim_annual_output!G244</f>
        <v>2388.5449741513999</v>
      </c>
      <c r="G244">
        <f>$E244/$F244^2*sim_annual_output!I244</f>
        <v>0</v>
      </c>
      <c r="H244">
        <f>$E244/$F244^2*sim_annual_output!J244</f>
        <v>557.00242617305992</v>
      </c>
      <c r="I244">
        <f>$E244/$F244^2*sim_annual_output!K244</f>
        <v>0.42408327979096616</v>
      </c>
      <c r="J244">
        <f>$E244/$F244^2*sim_annual_output!L244</f>
        <v>2.1710812155670256</v>
      </c>
      <c r="K244">
        <f>$E244/$F244^2*sim_annual_output!M244</f>
        <v>0</v>
      </c>
      <c r="L244">
        <f>$E244/$F244^2*sim_annual_output!N244</f>
        <v>28.425776831475446</v>
      </c>
      <c r="M244">
        <f>$E244/$F244^2*sim_annual_output!O244</f>
        <v>4.074764787903022</v>
      </c>
      <c r="N244">
        <f>$E244/$F244^2*sim_annual_output!P244</f>
        <v>0</v>
      </c>
      <c r="O244">
        <f>$E244/$F244^2*sim_annual_output!Q244</f>
        <v>31.212341745146176</v>
      </c>
      <c r="P244">
        <f>$E244/$F244^2*sim_annual_output!R244</f>
        <v>29.001854561102999</v>
      </c>
      <c r="Q244">
        <f>$E244/$F244^2*sim_annual_output!S244</f>
        <v>0</v>
      </c>
      <c r="R244">
        <f t="array" ref="R244">INDEX(G$3:G$700,MATCH($B244&amp;$C244&amp;"baseline",$B$3:$B$700&amp;$C$3:$C$700&amp;$D$3:$D$700,0))</f>
        <v>0</v>
      </c>
      <c r="S244">
        <f t="array" ref="S244">INDEX(H$3:H$700,MATCH($B244&amp;$C244&amp;"baseline",$B$3:$B$700&amp;$C$3:$C$700&amp;$D$3:$D$700,0))</f>
        <v>558.03636372688652</v>
      </c>
      <c r="T244">
        <f t="array" ref="T244">INDEX(I$3:I$700,MATCH($B244&amp;$C244&amp;"baseline",$B$3:$B$700&amp;$C$3:$C$700&amp;$D$3:$D$700,0))</f>
        <v>0.38186259928080357</v>
      </c>
      <c r="U244">
        <f t="array" ref="U244">INDEX(J$3:J$700,MATCH($B244&amp;$C244&amp;"baseline",$B$3:$B$700&amp;$C$3:$C$700&amp;$D$3:$D$700,0))</f>
        <v>2.1710812155670256</v>
      </c>
      <c r="V244">
        <f t="array" ref="V244">INDEX(K$3:K$700,MATCH($B244&amp;$C244&amp;"baseline",$B$3:$B$700&amp;$C$3:$C$700&amp;$D$3:$D$700,0))</f>
        <v>0</v>
      </c>
      <c r="W244">
        <f t="array" ref="W244">INDEX(L$3:L$700,MATCH($B244&amp;$C244&amp;"baseline",$B$3:$B$700&amp;$C$3:$C$700&amp;$D$3:$D$700,0))</f>
        <v>28.425776831475446</v>
      </c>
      <c r="X244">
        <f t="array" ref="X244">INDEX(M$3:M$700,MATCH($B244&amp;$C244&amp;"baseline",$B$3:$B$700&amp;$C$3:$C$700&amp;$D$3:$D$700,0))</f>
        <v>4.074764787903022</v>
      </c>
      <c r="Y244">
        <f t="array" ref="Y244">INDEX(N$3:N$700,MATCH($B244&amp;$C244&amp;"baseline",$B$3:$B$700&amp;$C$3:$C$700&amp;$D$3:$D$700,0))</f>
        <v>0</v>
      </c>
      <c r="Z244">
        <f t="array" ref="Z244">INDEX(O$3:O$700,MATCH($B244&amp;$C244&amp;"baseline",$B$3:$B$700&amp;$C$3:$C$700&amp;$D$3:$D$700,0))</f>
        <v>31.39529802735688</v>
      </c>
      <c r="AA244">
        <f t="array" ref="AA244">INDEX(P$3:P$700,MATCH($B244&amp;$C244&amp;"baseline",$B$3:$B$700&amp;$C$3:$C$700&amp;$D$3:$D$700,0))</f>
        <v>28.792627633241526</v>
      </c>
      <c r="AB244">
        <f t="array" ref="AB244">INDEX(Q$3:Q$700,MATCH($B244&amp;$C244&amp;"baseline",$B$3:$B$700&amp;$C$3:$C$700&amp;$D$3:$D$700,0))</f>
        <v>0</v>
      </c>
      <c r="AC244">
        <f t="shared" si="27"/>
        <v>653.2777748217112</v>
      </c>
      <c r="AD244">
        <f t="shared" si="28"/>
        <v>1.033937553826604</v>
      </c>
      <c r="AE244">
        <f t="shared" si="29"/>
        <v>-6.8491326160938115E-2</v>
      </c>
      <c r="AF244">
        <f t="shared" si="30"/>
        <v>0.14778494920160873</v>
      </c>
      <c r="AG244">
        <f>(S244+V244+Y244)*constants!$O$2+(R244+T244+U244+W244+X244+Z244+AA244+AB244)*constants!$N$2</f>
        <v>19.802468546090751</v>
      </c>
      <c r="AH244">
        <f>((S244+V244+Y244)-(H244+K244+N244))*constants!$O$2</f>
        <v>1.6749788371990985E-2</v>
      </c>
      <c r="AI244">
        <f>((R244+T244+U244+W244+X244+Z244+AA244+AB244)-(G244+I244+J244+L244+M244+O244+P244+Q244))*constants!$N$2</f>
        <v>-7.7395198561860069E-3</v>
      </c>
      <c r="AJ244">
        <f t="shared" si="31"/>
        <v>4.5500733884936348E-2</v>
      </c>
      <c r="AK244">
        <f t="shared" si="32"/>
        <v>9.010268515804977E-3</v>
      </c>
      <c r="AL244">
        <f>COUNTIFS($B:$B,$B244,$AK:$AK,"&lt;"&amp;$AK244)+COUNTIFS($B$2:$B244,$B244,$AK$2:$AK244,$AK244)</f>
        <v>16</v>
      </c>
      <c r="AM244" s="191">
        <f>IF(AK244=0, "NA",IF(((sim_annual_output!F244/E244)/AK244)&lt;0,100,((sim_annual_output!F244/E244)/AK244)))</f>
        <v>67.938976086570463</v>
      </c>
      <c r="AN244">
        <f>(S244+V244)*constants!$F$2+(T244+U244+W244+X244+Y244+Z244+AA244+AB244)*constants!$G$2</f>
        <v>182748.53675961017</v>
      </c>
      <c r="AO244">
        <f>(AD244*constants!$F$2+AE244*constants!$G$2)</f>
        <v>125.48736837494596</v>
      </c>
      <c r="AP244">
        <f t="shared" si="33"/>
        <v>6.8666688445234283E-2</v>
      </c>
    </row>
    <row r="245" spans="1:42">
      <c r="A245">
        <f>sim_annual_output!B245</f>
        <v>8</v>
      </c>
      <c r="B245" t="str">
        <f>sim_annual_output!C245</f>
        <v>Maintenance Shop</v>
      </c>
      <c r="C245" t="str">
        <f>sim_annual_output!D245</f>
        <v>1959-pre</v>
      </c>
      <c r="D245" t="str">
        <f>sim_annual_output!E245</f>
        <v>hrv_enabled</v>
      </c>
      <c r="E245" s="45">
        <f t="array" ref="E245">IFERROR(INDEX(baseline!$J$3:$J$201,MATCH($B245&amp;$C245,baseline!$C$3:$C$201&amp;baseline!$D$3:$D$201,0)),"NA")</f>
        <v>1927</v>
      </c>
      <c r="F245">
        <f>sim_annual_output!G245</f>
        <v>2388.5449741513999</v>
      </c>
      <c r="G245">
        <f>$E245/$F245^2*sim_annual_output!I245</f>
        <v>0</v>
      </c>
      <c r="H245">
        <f>$E245/$F245^2*sim_annual_output!J245</f>
        <v>481.16282512867195</v>
      </c>
      <c r="I245">
        <f>$E245/$F245^2*sim_annual_output!K245</f>
        <v>0.51509230222398328</v>
      </c>
      <c r="J245">
        <f>$E245/$F245^2*sim_annual_output!L245</f>
        <v>2.1710812155670256</v>
      </c>
      <c r="K245">
        <f>$E245/$F245^2*sim_annual_output!M245</f>
        <v>0</v>
      </c>
      <c r="L245">
        <f>$E245/$F245^2*sim_annual_output!N245</f>
        <v>28.425776831475446</v>
      </c>
      <c r="M245">
        <f>$E245/$F245^2*sim_annual_output!O245</f>
        <v>4.074764787903022</v>
      </c>
      <c r="N245">
        <f>$E245/$F245^2*sim_annual_output!P245</f>
        <v>0</v>
      </c>
      <c r="O245">
        <f>$E245/$F245^2*sim_annual_output!Q245</f>
        <v>31.256438900345678</v>
      </c>
      <c r="P245">
        <f>$E245/$F245^2*sim_annual_output!R245</f>
        <v>29.001854561102999</v>
      </c>
      <c r="Q245">
        <f>$E245/$F245^2*sim_annual_output!S245</f>
        <v>8.8766635179255111</v>
      </c>
      <c r="R245">
        <f t="array" ref="R245">INDEX(G$3:G$700,MATCH($B245&amp;$C245&amp;"baseline",$B$3:$B$700&amp;$C$3:$C$700&amp;$D$3:$D$700,0))</f>
        <v>0</v>
      </c>
      <c r="S245">
        <f t="array" ref="S245">INDEX(H$3:H$700,MATCH($B245&amp;$C245&amp;"baseline",$B$3:$B$700&amp;$C$3:$C$700&amp;$D$3:$D$700,0))</f>
        <v>558.03636372688652</v>
      </c>
      <c r="T245">
        <f t="array" ref="T245">INDEX(I$3:I$700,MATCH($B245&amp;$C245&amp;"baseline",$B$3:$B$700&amp;$C$3:$C$700&amp;$D$3:$D$700,0))</f>
        <v>0.38186259928080357</v>
      </c>
      <c r="U245">
        <f t="array" ref="U245">INDEX(J$3:J$700,MATCH($B245&amp;$C245&amp;"baseline",$B$3:$B$700&amp;$C$3:$C$700&amp;$D$3:$D$700,0))</f>
        <v>2.1710812155670256</v>
      </c>
      <c r="V245">
        <f t="array" ref="V245">INDEX(K$3:K$700,MATCH($B245&amp;$C245&amp;"baseline",$B$3:$B$700&amp;$C$3:$C$700&amp;$D$3:$D$700,0))</f>
        <v>0</v>
      </c>
      <c r="W245">
        <f t="array" ref="W245">INDEX(L$3:L$700,MATCH($B245&amp;$C245&amp;"baseline",$B$3:$B$700&amp;$C$3:$C$700&amp;$D$3:$D$700,0))</f>
        <v>28.425776831475446</v>
      </c>
      <c r="X245">
        <f t="array" ref="X245">INDEX(M$3:M$700,MATCH($B245&amp;$C245&amp;"baseline",$B$3:$B$700&amp;$C$3:$C$700&amp;$D$3:$D$700,0))</f>
        <v>4.074764787903022</v>
      </c>
      <c r="Y245">
        <f t="array" ref="Y245">INDEX(N$3:N$700,MATCH($B245&amp;$C245&amp;"baseline",$B$3:$B$700&amp;$C$3:$C$700&amp;$D$3:$D$700,0))</f>
        <v>0</v>
      </c>
      <c r="Z245">
        <f t="array" ref="Z245">INDEX(O$3:O$700,MATCH($B245&amp;$C245&amp;"baseline",$B$3:$B$700&amp;$C$3:$C$700&amp;$D$3:$D$700,0))</f>
        <v>31.39529802735688</v>
      </c>
      <c r="AA245">
        <f t="array" ref="AA245">INDEX(P$3:P$700,MATCH($B245&amp;$C245&amp;"baseline",$B$3:$B$700&amp;$C$3:$C$700&amp;$D$3:$D$700,0))</f>
        <v>28.792627633241526</v>
      </c>
      <c r="AB245">
        <f t="array" ref="AB245">INDEX(Q$3:Q$700,MATCH($B245&amp;$C245&amp;"baseline",$B$3:$B$700&amp;$C$3:$C$700&amp;$D$3:$D$700,0))</f>
        <v>0</v>
      </c>
      <c r="AC245">
        <f t="shared" si="27"/>
        <v>653.2777748217112</v>
      </c>
      <c r="AD245">
        <f t="shared" si="28"/>
        <v>76.873538598214566</v>
      </c>
      <c r="AE245">
        <f t="shared" si="29"/>
        <v>-9.0802610217189681</v>
      </c>
      <c r="AF245">
        <f t="shared" si="30"/>
        <v>10.377404557348878</v>
      </c>
      <c r="AG245">
        <f>(S245+V245+Y245)*constants!$O$2+(R245+T245+U245+W245+X245+Z245+AA245+AB245)*constants!$N$2</f>
        <v>19.802468546090751</v>
      </c>
      <c r="AH245">
        <f>((S245+V245+Y245)-(H245+K245+N245))*constants!$O$2</f>
        <v>1.245351325291076</v>
      </c>
      <c r="AI245">
        <f>((R245+T245+U245+W245+X245+Z245+AA245+AB245)-(G245+I245+J245+L245+M245+O245+P245+Q245))*constants!$N$2</f>
        <v>-1.0260694954542435</v>
      </c>
      <c r="AJ245">
        <f t="shared" si="31"/>
        <v>1.1073459317783962</v>
      </c>
      <c r="AK245">
        <f t="shared" si="32"/>
        <v>0.21928182983683242</v>
      </c>
      <c r="AL245">
        <f>COUNTIFS($B:$B,$B245,$AK:$AK,"&lt;"&amp;$AK245)+COUNTIFS($B$2:$B245,$B245,$AK$2:$AK245,$AK245)</f>
        <v>21</v>
      </c>
      <c r="AM245" s="191">
        <f>IF(AK245=0, "NA",IF(((sim_annual_output!F245/E245)/AK245)&lt;0,100,((sim_annual_output!F245/E245)/AK245)))</f>
        <v>317.55192840755728</v>
      </c>
      <c r="AN245">
        <f>(S245+V245)*constants!$F$2+(T245+U245+W245+X245+Y245+Z245+AA245+AB245)*constants!$G$2</f>
        <v>182748.53675961017</v>
      </c>
      <c r="AO245">
        <f>(AD245*constants!$F$2+AE245*constants!$G$2)</f>
        <v>5860.5363201849059</v>
      </c>
      <c r="AP245">
        <f t="shared" si="33"/>
        <v>3.206885496376878</v>
      </c>
    </row>
    <row r="246" spans="1:42">
      <c r="A246">
        <f>sim_annual_output!B246</f>
        <v>8</v>
      </c>
      <c r="B246" t="str">
        <f>sim_annual_output!C246</f>
        <v>Maintenance Shop</v>
      </c>
      <c r="C246" t="str">
        <f>sim_annual_output!D246</f>
        <v>1959-pre</v>
      </c>
      <c r="D246" t="str">
        <f>sim_annual_output!E246</f>
        <v>infil_reduce</v>
      </c>
      <c r="E246" s="45">
        <f t="array" ref="E246">IFERROR(INDEX(baseline!$J$3:$J$201,MATCH($B246&amp;$C246,baseline!$C$3:$C$201&amp;baseline!$D$3:$D$201,0)),"NA")</f>
        <v>1927</v>
      </c>
      <c r="F246">
        <f>sim_annual_output!G246</f>
        <v>2388.5449741513999</v>
      </c>
      <c r="G246">
        <f>$E246/$F246^2*sim_annual_output!I246</f>
        <v>0</v>
      </c>
      <c r="H246">
        <f>$E246/$F246^2*sim_annual_output!J246</f>
        <v>357.55474615508604</v>
      </c>
      <c r="I246">
        <f>$E246/$F246^2*sim_annual_output!K246</f>
        <v>0.48413046984986402</v>
      </c>
      <c r="J246">
        <f>$E246/$F246^2*sim_annual_output!L246</f>
        <v>2.1701429782223558</v>
      </c>
      <c r="K246">
        <f>$E246/$F246^2*sim_annual_output!M246</f>
        <v>0</v>
      </c>
      <c r="L246">
        <f>$E246/$F246^2*sim_annual_output!N246</f>
        <v>28.425776831475446</v>
      </c>
      <c r="M246">
        <f>$E246/$F246^2*sim_annual_output!O246</f>
        <v>4.074764787903022</v>
      </c>
      <c r="N246">
        <f>$E246/$F246^2*sim_annual_output!P246</f>
        <v>0</v>
      </c>
      <c r="O246">
        <f>$E246/$F246^2*sim_annual_output!Q246</f>
        <v>20.33441797103896</v>
      </c>
      <c r="P246">
        <f>$E246/$F246^2*sim_annual_output!R246</f>
        <v>18.52174342113598</v>
      </c>
      <c r="Q246">
        <f>$E246/$F246^2*sim_annual_output!S246</f>
        <v>0</v>
      </c>
      <c r="R246">
        <f t="array" ref="R246">INDEX(G$3:G$700,MATCH($B246&amp;$C246&amp;"baseline",$B$3:$B$700&amp;$C$3:$C$700&amp;$D$3:$D$700,0))</f>
        <v>0</v>
      </c>
      <c r="S246">
        <f t="array" ref="S246">INDEX(H$3:H$700,MATCH($B246&amp;$C246&amp;"baseline",$B$3:$B$700&amp;$C$3:$C$700&amp;$D$3:$D$700,0))</f>
        <v>558.03636372688652</v>
      </c>
      <c r="T246">
        <f t="array" ref="T246">INDEX(I$3:I$700,MATCH($B246&amp;$C246&amp;"baseline",$B$3:$B$700&amp;$C$3:$C$700&amp;$D$3:$D$700,0))</f>
        <v>0.38186259928080357</v>
      </c>
      <c r="U246">
        <f t="array" ref="U246">INDEX(J$3:J$700,MATCH($B246&amp;$C246&amp;"baseline",$B$3:$B$700&amp;$C$3:$C$700&amp;$D$3:$D$700,0))</f>
        <v>2.1710812155670256</v>
      </c>
      <c r="V246">
        <f t="array" ref="V246">INDEX(K$3:K$700,MATCH($B246&amp;$C246&amp;"baseline",$B$3:$B$700&amp;$C$3:$C$700&amp;$D$3:$D$700,0))</f>
        <v>0</v>
      </c>
      <c r="W246">
        <f t="array" ref="W246">INDEX(L$3:L$700,MATCH($B246&amp;$C246&amp;"baseline",$B$3:$B$700&amp;$C$3:$C$700&amp;$D$3:$D$700,0))</f>
        <v>28.425776831475446</v>
      </c>
      <c r="X246">
        <f t="array" ref="X246">INDEX(M$3:M$700,MATCH($B246&amp;$C246&amp;"baseline",$B$3:$B$700&amp;$C$3:$C$700&amp;$D$3:$D$700,0))</f>
        <v>4.074764787903022</v>
      </c>
      <c r="Y246">
        <f t="array" ref="Y246">INDEX(N$3:N$700,MATCH($B246&amp;$C246&amp;"baseline",$B$3:$B$700&amp;$C$3:$C$700&amp;$D$3:$D$700,0))</f>
        <v>0</v>
      </c>
      <c r="Z246">
        <f t="array" ref="Z246">INDEX(O$3:O$700,MATCH($B246&amp;$C246&amp;"baseline",$B$3:$B$700&amp;$C$3:$C$700&amp;$D$3:$D$700,0))</f>
        <v>31.39529802735688</v>
      </c>
      <c r="AA246">
        <f t="array" ref="AA246">INDEX(P$3:P$700,MATCH($B246&amp;$C246&amp;"baseline",$B$3:$B$700&amp;$C$3:$C$700&amp;$D$3:$D$700,0))</f>
        <v>28.792627633241526</v>
      </c>
      <c r="AB246">
        <f t="array" ref="AB246">INDEX(Q$3:Q$700,MATCH($B246&amp;$C246&amp;"baseline",$B$3:$B$700&amp;$C$3:$C$700&amp;$D$3:$D$700,0))</f>
        <v>0</v>
      </c>
      <c r="AC246">
        <f t="shared" si="27"/>
        <v>653.2777748217112</v>
      </c>
      <c r="AD246">
        <f t="shared" si="28"/>
        <v>200.48161757180048</v>
      </c>
      <c r="AE246">
        <f t="shared" si="29"/>
        <v>21.230434635199074</v>
      </c>
      <c r="AF246">
        <f t="shared" si="30"/>
        <v>33.938404267236535</v>
      </c>
      <c r="AG246">
        <f>(S246+V246+Y246)*constants!$O$2+(R246+T246+U246+W246+X246+Z246+AA246+AB246)*constants!$N$2</f>
        <v>19.802468546090751</v>
      </c>
      <c r="AH246">
        <f>((S246+V246+Y246)-(H246+K246+N246))*constants!$O$2</f>
        <v>3.2478022046631678</v>
      </c>
      <c r="AI246">
        <f>((R246+T246+U246+W246+X246+Z246+AA246+AB246)-(G246+I246+J246+L246+M246+O246+P246+Q246))*constants!$N$2</f>
        <v>2.3990391137774956</v>
      </c>
      <c r="AJ246">
        <f t="shared" si="31"/>
        <v>28.515845412391371</v>
      </c>
      <c r="AK246">
        <f t="shared" si="32"/>
        <v>5.6468413184406634</v>
      </c>
      <c r="AL246">
        <f>COUNTIFS($B:$B,$B246,$AK:$AK,"&lt;"&amp;$AK246)+COUNTIFS($B$2:$B246,$B246,$AK$2:$AK246,$AK246)</f>
        <v>43</v>
      </c>
      <c r="AM246" s="191">
        <f>IF(AK246=0, "NA",IF(((sim_annual_output!F246/E246)/AK246)&lt;0,100,((sim_annual_output!F246/E246)/AK246)))</f>
        <v>6.6041770801303414</v>
      </c>
      <c r="AN246">
        <f>(S246+V246)*constants!$F$2+(T246+U246+W246+X246+Y246+Z246+AA246+AB246)*constants!$G$2</f>
        <v>182748.53675961017</v>
      </c>
      <c r="AO246">
        <f>(AD246*constants!$F$2+AE246*constants!$G$2)</f>
        <v>54356.687677975482</v>
      </c>
      <c r="AP246">
        <f t="shared" si="33"/>
        <v>29.743979701176475</v>
      </c>
    </row>
    <row r="247" spans="1:42">
      <c r="A247">
        <f>sim_annual_output!B247</f>
        <v>8</v>
      </c>
      <c r="B247" t="str">
        <f>sim_annual_output!C247</f>
        <v>Maintenance Shop</v>
      </c>
      <c r="C247" t="str">
        <f>sim_annual_output!D247</f>
        <v>1959-pre</v>
      </c>
      <c r="D247" t="str">
        <f>sim_annual_output!E247</f>
        <v>infil_reduce_plus_setback</v>
      </c>
      <c r="E247" s="45">
        <f t="array" ref="E247">IFERROR(INDEX(baseline!$J$3:$J$201,MATCH($B247&amp;$C247,baseline!$C$3:$C$201&amp;baseline!$D$3:$D$201,0)),"NA")</f>
        <v>1927</v>
      </c>
      <c r="F247">
        <f>sim_annual_output!G247</f>
        <v>2388.5449741513999</v>
      </c>
      <c r="G247">
        <f>$E247/$F247^2*sim_annual_output!I247</f>
        <v>0</v>
      </c>
      <c r="H247">
        <f>$E247/$F247^2*sim_annual_output!J247</f>
        <v>312.44335638599432</v>
      </c>
      <c r="I247">
        <f>$E247/$F247^2*sim_annual_output!K247</f>
        <v>0.27865649136707288</v>
      </c>
      <c r="J247">
        <f>$E247/$F247^2*sim_annual_output!L247</f>
        <v>2.1701429782223558</v>
      </c>
      <c r="K247">
        <f>$E247/$F247^2*sim_annual_output!M247</f>
        <v>0</v>
      </c>
      <c r="L247">
        <f>$E247/$F247^2*sim_annual_output!N247</f>
        <v>28.425776831475446</v>
      </c>
      <c r="M247">
        <f>$E247/$F247^2*sim_annual_output!O247</f>
        <v>4.074764787903022</v>
      </c>
      <c r="N247">
        <f>$E247/$F247^2*sim_annual_output!P247</f>
        <v>0</v>
      </c>
      <c r="O247">
        <f>$E247/$F247^2*sim_annual_output!Q247</f>
        <v>22.653740687063888</v>
      </c>
      <c r="P247">
        <f>$E247/$F247^2*sim_annual_output!R247</f>
        <v>20.661862804328884</v>
      </c>
      <c r="Q247">
        <f>$E247/$F247^2*sim_annual_output!S247</f>
        <v>0</v>
      </c>
      <c r="R247">
        <f t="array" ref="R247">INDEX(G$3:G$700,MATCH($B247&amp;$C247&amp;"baseline",$B$3:$B$700&amp;$C$3:$C$700&amp;$D$3:$D$700,0))</f>
        <v>0</v>
      </c>
      <c r="S247">
        <f t="array" ref="S247">INDEX(H$3:H$700,MATCH($B247&amp;$C247&amp;"baseline",$B$3:$B$700&amp;$C$3:$C$700&amp;$D$3:$D$700,0))</f>
        <v>558.03636372688652</v>
      </c>
      <c r="T247">
        <f t="array" ref="T247">INDEX(I$3:I$700,MATCH($B247&amp;$C247&amp;"baseline",$B$3:$B$700&amp;$C$3:$C$700&amp;$D$3:$D$700,0))</f>
        <v>0.38186259928080357</v>
      </c>
      <c r="U247">
        <f t="array" ref="U247">INDEX(J$3:J$700,MATCH($B247&amp;$C247&amp;"baseline",$B$3:$B$700&amp;$C$3:$C$700&amp;$D$3:$D$700,0))</f>
        <v>2.1710812155670256</v>
      </c>
      <c r="V247">
        <f t="array" ref="V247">INDEX(K$3:K$700,MATCH($B247&amp;$C247&amp;"baseline",$B$3:$B$700&amp;$C$3:$C$700&amp;$D$3:$D$700,0))</f>
        <v>0</v>
      </c>
      <c r="W247">
        <f t="array" ref="W247">INDEX(L$3:L$700,MATCH($B247&amp;$C247&amp;"baseline",$B$3:$B$700&amp;$C$3:$C$700&amp;$D$3:$D$700,0))</f>
        <v>28.425776831475446</v>
      </c>
      <c r="X247">
        <f t="array" ref="X247">INDEX(M$3:M$700,MATCH($B247&amp;$C247&amp;"baseline",$B$3:$B$700&amp;$C$3:$C$700&amp;$D$3:$D$700,0))</f>
        <v>4.074764787903022</v>
      </c>
      <c r="Y247">
        <f t="array" ref="Y247">INDEX(N$3:N$700,MATCH($B247&amp;$C247&amp;"baseline",$B$3:$B$700&amp;$C$3:$C$700&amp;$D$3:$D$700,0))</f>
        <v>0</v>
      </c>
      <c r="Z247">
        <f t="array" ref="Z247">INDEX(O$3:O$700,MATCH($B247&amp;$C247&amp;"baseline",$B$3:$B$700&amp;$C$3:$C$700&amp;$D$3:$D$700,0))</f>
        <v>31.39529802735688</v>
      </c>
      <c r="AA247">
        <f t="array" ref="AA247">INDEX(P$3:P$700,MATCH($B247&amp;$C247&amp;"baseline",$B$3:$B$700&amp;$C$3:$C$700&amp;$D$3:$D$700,0))</f>
        <v>28.792627633241526</v>
      </c>
      <c r="AB247">
        <f t="array" ref="AB247">INDEX(Q$3:Q$700,MATCH($B247&amp;$C247&amp;"baseline",$B$3:$B$700&amp;$C$3:$C$700&amp;$D$3:$D$700,0))</f>
        <v>0</v>
      </c>
      <c r="AC247">
        <f t="shared" si="27"/>
        <v>653.2777748217112</v>
      </c>
      <c r="AD247">
        <f t="shared" si="28"/>
        <v>245.5930073408922</v>
      </c>
      <c r="AE247">
        <f t="shared" si="29"/>
        <v>16.976466514464036</v>
      </c>
      <c r="AF247">
        <f t="shared" si="30"/>
        <v>40.192623103857343</v>
      </c>
      <c r="AG247">
        <f>(S247+V247+Y247)*constants!$O$2+(R247+T247+U247+W247+X247+Z247+AA247+AB247)*constants!$N$2</f>
        <v>19.802468546090751</v>
      </c>
      <c r="AH247">
        <f>((S247+V247+Y247)-(H247+K247+N247))*constants!$O$2</f>
        <v>3.9786067189224532</v>
      </c>
      <c r="AI247">
        <f>((R247+T247+U247+W247+X247+Z247+AA247+AB247)-(G247+I247+J247+L247+M247+O247+P247+Q247))*constants!$N$2</f>
        <v>1.9183407161344361</v>
      </c>
      <c r="AJ247">
        <f t="shared" si="31"/>
        <v>29.778850153613895</v>
      </c>
      <c r="AK247">
        <f t="shared" si="32"/>
        <v>5.8969474350568891</v>
      </c>
      <c r="AL247">
        <f>COUNTIFS($B:$B,$B247,$AK:$AK,"&lt;"&amp;$AK247)+COUNTIFS($B$2:$B247,$B247,$AK$2:$AK247,$AK247)</f>
        <v>44</v>
      </c>
      <c r="AM247" s="191">
        <f>IF(AK247=0, "NA",IF(((sim_annual_output!F247/E247)/AK247)&lt;0,100,((sim_annual_output!F247/E247)/AK247)))</f>
        <v>6.7852720005264677</v>
      </c>
      <c r="AN247">
        <f>(S247+V247)*constants!$F$2+(T247+U247+W247+X247+Y247+Z247+AA247+AB247)*constants!$G$2</f>
        <v>182748.53675961017</v>
      </c>
      <c r="AO247">
        <f>(AD247*constants!$F$2+AE247*constants!$G$2)</f>
        <v>58730.674181603412</v>
      </c>
      <c r="AP247">
        <f t="shared" si="33"/>
        <v>32.137425132360164</v>
      </c>
    </row>
    <row r="248" spans="1:42">
      <c r="A248">
        <f>sim_annual_output!B248</f>
        <v>8</v>
      </c>
      <c r="B248" t="str">
        <f>sim_annual_output!C248</f>
        <v>Maintenance Shop</v>
      </c>
      <c r="C248" t="str">
        <f>sim_annual_output!D248</f>
        <v>1959-pre</v>
      </c>
      <c r="D248" t="str">
        <f>sim_annual_output!E248</f>
        <v>lights_reduce_70p</v>
      </c>
      <c r="E248" s="45">
        <f t="array" ref="E248">IFERROR(INDEX(baseline!$J$3:$J$201,MATCH($B248&amp;$C248,baseline!$C$3:$C$201&amp;baseline!$D$3:$D$201,0)),"NA")</f>
        <v>1927</v>
      </c>
      <c r="F248">
        <f>sim_annual_output!G248</f>
        <v>2388.5449741513999</v>
      </c>
      <c r="G248">
        <f>$E248/$F248^2*sim_annual_output!I248</f>
        <v>0</v>
      </c>
      <c r="H248">
        <f>$E248/$F248^2*sim_annual_output!J248</f>
        <v>568.13930345429617</v>
      </c>
      <c r="I248">
        <f>$E248/$F248^2*sim_annual_output!K248</f>
        <v>0.36497432707673855</v>
      </c>
      <c r="J248">
        <f>$E248/$F248^2*sim_annual_output!L248</f>
        <v>2.1710812155670256</v>
      </c>
      <c r="K248">
        <f>$E248/$F248^2*sim_annual_output!M248</f>
        <v>0</v>
      </c>
      <c r="L248">
        <f>$E248/$F248^2*sim_annual_output!N248</f>
        <v>19.898137605767278</v>
      </c>
      <c r="M248">
        <f>$E248/$F248^2*sim_annual_output!O248</f>
        <v>4.074764787903022</v>
      </c>
      <c r="N248">
        <f>$E248/$F248^2*sim_annual_output!P248</f>
        <v>0</v>
      </c>
      <c r="O248">
        <f>$E248/$F248^2*sim_annual_output!Q248</f>
        <v>31.238612390796945</v>
      </c>
      <c r="P248">
        <f>$E248/$F248^2*sim_annual_output!R248</f>
        <v>28.908969063980638</v>
      </c>
      <c r="Q248">
        <f>$E248/$F248^2*sim_annual_output!S248</f>
        <v>0</v>
      </c>
      <c r="R248">
        <f t="array" ref="R248">INDEX(G$3:G$700,MATCH($B248&amp;$C248&amp;"baseline",$B$3:$B$700&amp;$C$3:$C$700&amp;$D$3:$D$700,0))</f>
        <v>0</v>
      </c>
      <c r="S248">
        <f t="array" ref="S248">INDEX(H$3:H$700,MATCH($B248&amp;$C248&amp;"baseline",$B$3:$B$700&amp;$C$3:$C$700&amp;$D$3:$D$700,0))</f>
        <v>558.03636372688652</v>
      </c>
      <c r="T248">
        <f t="array" ref="T248">INDEX(I$3:I$700,MATCH($B248&amp;$C248&amp;"baseline",$B$3:$B$700&amp;$C$3:$C$700&amp;$D$3:$D$700,0))</f>
        <v>0.38186259928080357</v>
      </c>
      <c r="U248">
        <f t="array" ref="U248">INDEX(J$3:J$700,MATCH($B248&amp;$C248&amp;"baseline",$B$3:$B$700&amp;$C$3:$C$700&amp;$D$3:$D$700,0))</f>
        <v>2.1710812155670256</v>
      </c>
      <c r="V248">
        <f t="array" ref="V248">INDEX(K$3:K$700,MATCH($B248&amp;$C248&amp;"baseline",$B$3:$B$700&amp;$C$3:$C$700&amp;$D$3:$D$700,0))</f>
        <v>0</v>
      </c>
      <c r="W248">
        <f t="array" ref="W248">INDEX(L$3:L$700,MATCH($B248&amp;$C248&amp;"baseline",$B$3:$B$700&amp;$C$3:$C$700&amp;$D$3:$D$700,0))</f>
        <v>28.425776831475446</v>
      </c>
      <c r="X248">
        <f t="array" ref="X248">INDEX(M$3:M$700,MATCH($B248&amp;$C248&amp;"baseline",$B$3:$B$700&amp;$C$3:$C$700&amp;$D$3:$D$700,0))</f>
        <v>4.074764787903022</v>
      </c>
      <c r="Y248">
        <f t="array" ref="Y248">INDEX(N$3:N$700,MATCH($B248&amp;$C248&amp;"baseline",$B$3:$B$700&amp;$C$3:$C$700&amp;$D$3:$D$700,0))</f>
        <v>0</v>
      </c>
      <c r="Z248">
        <f t="array" ref="Z248">INDEX(O$3:O$700,MATCH($B248&amp;$C248&amp;"baseline",$B$3:$B$700&amp;$C$3:$C$700&amp;$D$3:$D$700,0))</f>
        <v>31.39529802735688</v>
      </c>
      <c r="AA248">
        <f t="array" ref="AA248">INDEX(P$3:P$700,MATCH($B248&amp;$C248&amp;"baseline",$B$3:$B$700&amp;$C$3:$C$700&amp;$D$3:$D$700,0))</f>
        <v>28.792627633241526</v>
      </c>
      <c r="AB248">
        <f t="array" ref="AB248">INDEX(Q$3:Q$700,MATCH($B248&amp;$C248&amp;"baseline",$B$3:$B$700&amp;$C$3:$C$700&amp;$D$3:$D$700,0))</f>
        <v>0</v>
      </c>
      <c r="AC248">
        <f t="shared" si="27"/>
        <v>653.2777748217112</v>
      </c>
      <c r="AD248">
        <f t="shared" si="28"/>
        <v>-10.102939727409648</v>
      </c>
      <c r="AE248">
        <f t="shared" si="29"/>
        <v>8.5848717037330573</v>
      </c>
      <c r="AF248">
        <f t="shared" si="30"/>
        <v>-0.23237711157262211</v>
      </c>
      <c r="AG248">
        <f>(S248+V248+Y248)*constants!$O$2+(R248+T248+U248+W248+X248+Z248+AA248+AB248)*constants!$N$2</f>
        <v>19.802468546090751</v>
      </c>
      <c r="AH248">
        <f>((S248+V248+Y248)-(H248+K248+N248))*constants!$O$2</f>
        <v>-0.1636676235840363</v>
      </c>
      <c r="AI248">
        <f>((R248+T248+U248+W248+X248+Z248+AA248+AB248)-(G248+I248+J248+L248+M248+O248+P248+Q248))*constants!$N$2</f>
        <v>0.97009050252183548</v>
      </c>
      <c r="AJ248">
        <f t="shared" si="31"/>
        <v>4.0723351084276658</v>
      </c>
      <c r="AK248">
        <f t="shared" si="32"/>
        <v>0.80642287893779918</v>
      </c>
      <c r="AL248">
        <f>COUNTIFS($B:$B,$B248,$AK:$AK,"&lt;"&amp;$AK248)+COUNTIFS($B$2:$B248,$B248,$AK$2:$AK248,$AK248)</f>
        <v>30</v>
      </c>
      <c r="AM248" s="191">
        <f>IF(AK248=0, "NA",IF(((sim_annual_output!F248/E248)/AK248)&lt;0,100,((sim_annual_output!F248/E248)/AK248)))</f>
        <v>28.477514916662702</v>
      </c>
      <c r="AN248">
        <f>(S248+V248)*constants!$F$2+(T248+U248+W248+X248+Y248+Z248+AA248+AB248)*constants!$G$2</f>
        <v>182748.53675961017</v>
      </c>
      <c r="AO248">
        <f>(AD248*constants!$F$2+AE248*constants!$G$2)</f>
        <v>5660.4121710414329</v>
      </c>
      <c r="AP248">
        <f t="shared" si="33"/>
        <v>3.0973775612152856</v>
      </c>
    </row>
    <row r="249" spans="1:42">
      <c r="A249">
        <f>sim_annual_output!B249</f>
        <v>8</v>
      </c>
      <c r="B249" t="str">
        <f>sim_annual_output!C249</f>
        <v>Maintenance Shop</v>
      </c>
      <c r="C249" t="str">
        <f>sim_annual_output!D249</f>
        <v>1959-pre</v>
      </c>
      <c r="D249" t="str">
        <f>sim_annual_output!E249</f>
        <v>load_reduce</v>
      </c>
      <c r="E249" s="45">
        <f t="array" ref="E249">IFERROR(INDEX(baseline!$J$3:$J$201,MATCH($B249&amp;$C249,baseline!$C$3:$C$201&amp;baseline!$D$3:$D$201,0)),"NA")</f>
        <v>1927</v>
      </c>
      <c r="F249">
        <f>sim_annual_output!G249</f>
        <v>2388.5449741513999</v>
      </c>
      <c r="G249">
        <f>$E249/$F249^2*sim_annual_output!I249</f>
        <v>0</v>
      </c>
      <c r="H249">
        <f>$E249/$F249^2*sim_annual_output!J249</f>
        <v>195.49582432222272</v>
      </c>
      <c r="I249">
        <f>$E249/$F249^2*sim_annual_output!K249</f>
        <v>0.27865649136707288</v>
      </c>
      <c r="J249">
        <f>$E249/$F249^2*sim_annual_output!L249</f>
        <v>2.1701429782223558</v>
      </c>
      <c r="K249">
        <f>$E249/$F249^2*sim_annual_output!M249</f>
        <v>0</v>
      </c>
      <c r="L249">
        <f>$E249/$F249^2*sim_annual_output!N249</f>
        <v>28.425776831475446</v>
      </c>
      <c r="M249">
        <f>$E249/$F249^2*sim_annual_output!O249</f>
        <v>4.074764787903022</v>
      </c>
      <c r="N249">
        <f>$E249/$F249^2*sim_annual_output!P249</f>
        <v>0</v>
      </c>
      <c r="O249">
        <f>$E249/$F249^2*sim_annual_output!Q249</f>
        <v>22.653740687063888</v>
      </c>
      <c r="P249">
        <f>$E249/$F249^2*sim_annual_output!R249</f>
        <v>20.661862804328884</v>
      </c>
      <c r="Q249">
        <f>$E249/$F249^2*sim_annual_output!S249</f>
        <v>0</v>
      </c>
      <c r="R249">
        <f t="array" ref="R249">INDEX(G$3:G$700,MATCH($B249&amp;$C249&amp;"baseline",$B$3:$B$700&amp;$C$3:$C$700&amp;$D$3:$D$700,0))</f>
        <v>0</v>
      </c>
      <c r="S249">
        <f t="array" ref="S249">INDEX(H$3:H$700,MATCH($B249&amp;$C249&amp;"baseline",$B$3:$B$700&amp;$C$3:$C$700&amp;$D$3:$D$700,0))</f>
        <v>558.03636372688652</v>
      </c>
      <c r="T249">
        <f t="array" ref="T249">INDEX(I$3:I$700,MATCH($B249&amp;$C249&amp;"baseline",$B$3:$B$700&amp;$C$3:$C$700&amp;$D$3:$D$700,0))</f>
        <v>0.38186259928080357</v>
      </c>
      <c r="U249">
        <f t="array" ref="U249">INDEX(J$3:J$700,MATCH($B249&amp;$C249&amp;"baseline",$B$3:$B$700&amp;$C$3:$C$700&amp;$D$3:$D$700,0))</f>
        <v>2.1710812155670256</v>
      </c>
      <c r="V249">
        <f t="array" ref="V249">INDEX(K$3:K$700,MATCH($B249&amp;$C249&amp;"baseline",$B$3:$B$700&amp;$C$3:$C$700&amp;$D$3:$D$700,0))</f>
        <v>0</v>
      </c>
      <c r="W249">
        <f t="array" ref="W249">INDEX(L$3:L$700,MATCH($B249&amp;$C249&amp;"baseline",$B$3:$B$700&amp;$C$3:$C$700&amp;$D$3:$D$700,0))</f>
        <v>28.425776831475446</v>
      </c>
      <c r="X249">
        <f t="array" ref="X249">INDEX(M$3:M$700,MATCH($B249&amp;$C249&amp;"baseline",$B$3:$B$700&amp;$C$3:$C$700&amp;$D$3:$D$700,0))</f>
        <v>4.074764787903022</v>
      </c>
      <c r="Y249">
        <f t="array" ref="Y249">INDEX(N$3:N$700,MATCH($B249&amp;$C249&amp;"baseline",$B$3:$B$700&amp;$C$3:$C$700&amp;$D$3:$D$700,0))</f>
        <v>0</v>
      </c>
      <c r="Z249">
        <f t="array" ref="Z249">INDEX(O$3:O$700,MATCH($B249&amp;$C249&amp;"baseline",$B$3:$B$700&amp;$C$3:$C$700&amp;$D$3:$D$700,0))</f>
        <v>31.39529802735688</v>
      </c>
      <c r="AA249">
        <f t="array" ref="AA249">INDEX(P$3:P$700,MATCH($B249&amp;$C249&amp;"baseline",$B$3:$B$700&amp;$C$3:$C$700&amp;$D$3:$D$700,0))</f>
        <v>28.792627633241526</v>
      </c>
      <c r="AB249">
        <f t="array" ref="AB249">INDEX(Q$3:Q$700,MATCH($B249&amp;$C249&amp;"baseline",$B$3:$B$700&amp;$C$3:$C$700&amp;$D$3:$D$700,0))</f>
        <v>0</v>
      </c>
      <c r="AC249">
        <f t="shared" si="27"/>
        <v>653.2777748217112</v>
      </c>
      <c r="AD249">
        <f t="shared" si="28"/>
        <v>362.54053940466383</v>
      </c>
      <c r="AE249">
        <f t="shared" si="29"/>
        <v>16.976466514464036</v>
      </c>
      <c r="AF249">
        <f t="shared" si="30"/>
        <v>58.094277893152494</v>
      </c>
      <c r="AG249">
        <f>(S249+V249+Y249)*constants!$O$2+(R249+T249+U249+W249+X249+Z249+AA249+AB249)*constants!$N$2</f>
        <v>19.802468546090751</v>
      </c>
      <c r="AH249">
        <f>((S249+V249+Y249)-(H249+K249+N249))*constants!$O$2</f>
        <v>5.8731567383555534</v>
      </c>
      <c r="AI249">
        <f>((R249+T249+U249+W249+X249+Z249+AA249+AB249)-(G249+I249+J249+L249+M249+O249+P249+Q249))*constants!$N$2</f>
        <v>1.9183407161344361</v>
      </c>
      <c r="AJ249">
        <f t="shared" si="31"/>
        <v>39.346091808478725</v>
      </c>
      <c r="AK249">
        <f t="shared" si="32"/>
        <v>7.7914974544899893</v>
      </c>
      <c r="AL249">
        <f>COUNTIFS($B:$B,$B249,$AK:$AK,"&lt;"&amp;$AK249)+COUNTIFS($B$2:$B249,$B249,$AK$2:$AK249,$AK249)</f>
        <v>45</v>
      </c>
      <c r="AM249" s="191">
        <f>IF(AK249=0, "NA",IF(((sim_annual_output!F249/E249)/AK249)&lt;0,100,((sim_annual_output!F249/E249)/AK249)))</f>
        <v>5.1972751761346982</v>
      </c>
      <c r="AN249">
        <f>(S249+V249)*constants!$F$2+(T249+U249+W249+X249+Y249+Z249+AA249+AB249)*constants!$G$2</f>
        <v>182748.53675961017</v>
      </c>
      <c r="AO249">
        <f>(AD249*constants!$F$2+AE249*constants!$G$2)</f>
        <v>79664.282421018535</v>
      </c>
      <c r="AP249">
        <f t="shared" si="33"/>
        <v>43.592295639450171</v>
      </c>
    </row>
    <row r="250" spans="1:42">
      <c r="A250">
        <f>sim_annual_output!B250</f>
        <v>8</v>
      </c>
      <c r="B250" t="str">
        <f>sim_annual_output!C250</f>
        <v>Maintenance Shop</v>
      </c>
      <c r="C250" t="str">
        <f>sim_annual_output!D250</f>
        <v>1959-pre</v>
      </c>
      <c r="D250" t="str">
        <f>sim_annual_output!E250</f>
        <v>occupancy_setback</v>
      </c>
      <c r="E250" s="45">
        <f t="array" ref="E250">IFERROR(INDEX(baseline!$J$3:$J$201,MATCH($B250&amp;$C250,baseline!$C$3:$C$201&amp;baseline!$D$3:$D$201,0)),"NA")</f>
        <v>1927</v>
      </c>
      <c r="F250">
        <f>sim_annual_output!G250</f>
        <v>2388.5449741513999</v>
      </c>
      <c r="G250">
        <f>$E250/$F250^2*sim_annual_output!I250</f>
        <v>0</v>
      </c>
      <c r="H250">
        <f>$E250/$F250^2*sim_annual_output!J250</f>
        <v>487.51093900271104</v>
      </c>
      <c r="I250">
        <f>$E250/$F250^2*sim_annual_output!K250</f>
        <v>0.24018876023559144</v>
      </c>
      <c r="J250">
        <f>$E250/$F250^2*sim_annual_output!L250</f>
        <v>2.1710812155670256</v>
      </c>
      <c r="K250">
        <f>$E250/$F250^2*sim_annual_output!M250</f>
        <v>0</v>
      </c>
      <c r="L250">
        <f>$E250/$F250^2*sim_annual_output!N250</f>
        <v>28.425776831475446</v>
      </c>
      <c r="M250">
        <f>$E250/$F250^2*sim_annual_output!O250</f>
        <v>4.074764787903022</v>
      </c>
      <c r="N250">
        <f>$E250/$F250^2*sim_annual_output!P250</f>
        <v>0</v>
      </c>
      <c r="O250">
        <f>$E250/$F250^2*sim_annual_output!Q250</f>
        <v>35.620180790407147</v>
      </c>
      <c r="P250">
        <f>$E250/$F250^2*sim_annual_output!R250</f>
        <v>32.44706209073226</v>
      </c>
      <c r="Q250">
        <f>$E250/$F250^2*sim_annual_output!S250</f>
        <v>0</v>
      </c>
      <c r="R250">
        <f t="array" ref="R250">INDEX(G$3:G$700,MATCH($B250&amp;$C250&amp;"baseline",$B$3:$B$700&amp;$C$3:$C$700&amp;$D$3:$D$700,0))</f>
        <v>0</v>
      </c>
      <c r="S250">
        <f t="array" ref="S250">INDEX(H$3:H$700,MATCH($B250&amp;$C250&amp;"baseline",$B$3:$B$700&amp;$C$3:$C$700&amp;$D$3:$D$700,0))</f>
        <v>558.03636372688652</v>
      </c>
      <c r="T250">
        <f t="array" ref="T250">INDEX(I$3:I$700,MATCH($B250&amp;$C250&amp;"baseline",$B$3:$B$700&amp;$C$3:$C$700&amp;$D$3:$D$700,0))</f>
        <v>0.38186259928080357</v>
      </c>
      <c r="U250">
        <f t="array" ref="U250">INDEX(J$3:J$700,MATCH($B250&amp;$C250&amp;"baseline",$B$3:$B$700&amp;$C$3:$C$700&amp;$D$3:$D$700,0))</f>
        <v>2.1710812155670256</v>
      </c>
      <c r="V250">
        <f t="array" ref="V250">INDEX(K$3:K$700,MATCH($B250&amp;$C250&amp;"baseline",$B$3:$B$700&amp;$C$3:$C$700&amp;$D$3:$D$700,0))</f>
        <v>0</v>
      </c>
      <c r="W250">
        <f t="array" ref="W250">INDEX(L$3:L$700,MATCH($B250&amp;$C250&amp;"baseline",$B$3:$B$700&amp;$C$3:$C$700&amp;$D$3:$D$700,0))</f>
        <v>28.425776831475446</v>
      </c>
      <c r="X250">
        <f t="array" ref="X250">INDEX(M$3:M$700,MATCH($B250&amp;$C250&amp;"baseline",$B$3:$B$700&amp;$C$3:$C$700&amp;$D$3:$D$700,0))</f>
        <v>4.074764787903022</v>
      </c>
      <c r="Y250">
        <f t="array" ref="Y250">INDEX(N$3:N$700,MATCH($B250&amp;$C250&amp;"baseline",$B$3:$B$700&amp;$C$3:$C$700&amp;$D$3:$D$700,0))</f>
        <v>0</v>
      </c>
      <c r="Z250">
        <f t="array" ref="Z250">INDEX(O$3:O$700,MATCH($B250&amp;$C250&amp;"baseline",$B$3:$B$700&amp;$C$3:$C$700&amp;$D$3:$D$700,0))</f>
        <v>31.39529802735688</v>
      </c>
      <c r="AA250">
        <f t="array" ref="AA250">INDEX(P$3:P$700,MATCH($B250&amp;$C250&amp;"baseline",$B$3:$B$700&amp;$C$3:$C$700&amp;$D$3:$D$700,0))</f>
        <v>28.792627633241526</v>
      </c>
      <c r="AB250">
        <f t="array" ref="AB250">INDEX(Q$3:Q$700,MATCH($B250&amp;$C250&amp;"baseline",$B$3:$B$700&amp;$C$3:$C$700&amp;$D$3:$D$700,0))</f>
        <v>0</v>
      </c>
      <c r="AC250">
        <f t="shared" si="27"/>
        <v>653.2777748217112</v>
      </c>
      <c r="AD250">
        <f t="shared" si="28"/>
        <v>70.52542472417548</v>
      </c>
      <c r="AE250">
        <f t="shared" si="29"/>
        <v>-7.7376433814958006</v>
      </c>
      <c r="AF250">
        <f t="shared" si="30"/>
        <v>9.6111920170275749</v>
      </c>
      <c r="AG250">
        <f>(S250+V250+Y250)*constants!$O$2+(R250+T250+U250+W250+X250+Z250+AA250+AB250)*constants!$N$2</f>
        <v>19.802468546090751</v>
      </c>
      <c r="AH250">
        <f>((S250+V250+Y250)-(H250+K250+N250))*constants!$O$2</f>
        <v>1.1425118805316428</v>
      </c>
      <c r="AI250">
        <f>((R250+T250+U250+W250+X250+Z250+AA250+AB250)-(G250+I250+J250+L250+M250+O250+P250+Q250))*constants!$N$2</f>
        <v>-0.87435370210902552</v>
      </c>
      <c r="AJ250">
        <f t="shared" si="31"/>
        <v>1.3541654051790171</v>
      </c>
      <c r="AK250">
        <f t="shared" si="32"/>
        <v>0.26815817842261724</v>
      </c>
      <c r="AL250">
        <f>COUNTIFS($B:$B,$B250,$AK:$AK,"&lt;"&amp;$AK250)+COUNTIFS($B$2:$B250,$B250,$AK$2:$AK250,$AK250)</f>
        <v>24</v>
      </c>
      <c r="AM250" s="191">
        <f>IF(AK250=0, "NA",IF(((sim_annual_output!F250/E250)/AK250)&lt;0,100,((sim_annual_output!F250/E250)/AK250)))</f>
        <v>10.14198975656997</v>
      </c>
      <c r="AN250">
        <f>(S250+V250)*constants!$F$2+(T250+U250+W250+X250+Y250+Z250+AA250+AB250)*constants!$G$2</f>
        <v>182748.53675961017</v>
      </c>
      <c r="AO250">
        <f>(AD250*constants!$F$2+AE250*constants!$G$2)</f>
        <v>5892.301283726064</v>
      </c>
      <c r="AP250">
        <f t="shared" si="33"/>
        <v>3.224267284545689</v>
      </c>
    </row>
    <row r="251" spans="1:42">
      <c r="A251">
        <f>sim_annual_output!B251</f>
        <v>8</v>
      </c>
      <c r="B251" t="str">
        <f>sim_annual_output!C251</f>
        <v>Maintenance Shop</v>
      </c>
      <c r="C251" t="str">
        <f>sim_annual_output!D251</f>
        <v>1959-pre</v>
      </c>
      <c r="D251" t="str">
        <f>sim_annual_output!E251</f>
        <v>payback_less_than_20</v>
      </c>
      <c r="E251" s="45">
        <f t="array" ref="E251">IFERROR(INDEX(baseline!$J$3:$J$201,MATCH($B251&amp;$C251,baseline!$C$3:$C$201&amp;baseline!$D$3:$D$201,0)),"NA")</f>
        <v>1927</v>
      </c>
      <c r="F251">
        <f>sim_annual_output!G251</f>
        <v>2388.5449741513999</v>
      </c>
      <c r="G251">
        <f>$E251/$F251^2*sim_annual_output!I251</f>
        <v>0</v>
      </c>
      <c r="H251">
        <f>$E251/$F251^2*sim_annual_output!J251</f>
        <v>136.20391532578441</v>
      </c>
      <c r="I251">
        <f>$E251/$F251^2*sim_annual_output!K251</f>
        <v>0.71399861929408248</v>
      </c>
      <c r="J251">
        <f>$E251/$F251^2*sim_annual_output!L251</f>
        <v>2.1701429782223558</v>
      </c>
      <c r="K251">
        <f>$E251/$F251^2*sim_annual_output!M251</f>
        <v>0</v>
      </c>
      <c r="L251">
        <f>$E251/$F251^2*sim_annual_output!N251</f>
        <v>19.898137605767278</v>
      </c>
      <c r="M251">
        <f>$E251/$F251^2*sim_annual_output!O251</f>
        <v>4.074764787903022</v>
      </c>
      <c r="N251">
        <f>$E251/$F251^2*sim_annual_output!P251</f>
        <v>0</v>
      </c>
      <c r="O251">
        <f>$E251/$F251^2*sim_annual_output!Q251</f>
        <v>20.9771105521381</v>
      </c>
      <c r="P251">
        <f>$E251/$F251^2*sim_annual_output!R251</f>
        <v>15.66199599458097</v>
      </c>
      <c r="Q251">
        <f>$E251/$F251^2*sim_annual_output!S251</f>
        <v>0</v>
      </c>
      <c r="R251">
        <f t="array" ref="R251">INDEX(G$3:G$700,MATCH($B251&amp;$C251&amp;"baseline",$B$3:$B$700&amp;$C$3:$C$700&amp;$D$3:$D$700,0))</f>
        <v>0</v>
      </c>
      <c r="S251">
        <f t="array" ref="S251">INDEX(H$3:H$700,MATCH($B251&amp;$C251&amp;"baseline",$B$3:$B$700&amp;$C$3:$C$700&amp;$D$3:$D$700,0))</f>
        <v>558.03636372688652</v>
      </c>
      <c r="T251">
        <f t="array" ref="T251">INDEX(I$3:I$700,MATCH($B251&amp;$C251&amp;"baseline",$B$3:$B$700&amp;$C$3:$C$700&amp;$D$3:$D$700,0))</f>
        <v>0.38186259928080357</v>
      </c>
      <c r="U251">
        <f t="array" ref="U251">INDEX(J$3:J$700,MATCH($B251&amp;$C251&amp;"baseline",$B$3:$B$700&amp;$C$3:$C$700&amp;$D$3:$D$700,0))</f>
        <v>2.1710812155670256</v>
      </c>
      <c r="V251">
        <f t="array" ref="V251">INDEX(K$3:K$700,MATCH($B251&amp;$C251&amp;"baseline",$B$3:$B$700&amp;$C$3:$C$700&amp;$D$3:$D$700,0))</f>
        <v>0</v>
      </c>
      <c r="W251">
        <f t="array" ref="W251">INDEX(L$3:L$700,MATCH($B251&amp;$C251&amp;"baseline",$B$3:$B$700&amp;$C$3:$C$700&amp;$D$3:$D$700,0))</f>
        <v>28.425776831475446</v>
      </c>
      <c r="X251">
        <f t="array" ref="X251">INDEX(M$3:M$700,MATCH($B251&amp;$C251&amp;"baseline",$B$3:$B$700&amp;$C$3:$C$700&amp;$D$3:$D$700,0))</f>
        <v>4.074764787903022</v>
      </c>
      <c r="Y251">
        <f t="array" ref="Y251">INDEX(N$3:N$700,MATCH($B251&amp;$C251&amp;"baseline",$B$3:$B$700&amp;$C$3:$C$700&amp;$D$3:$D$700,0))</f>
        <v>0</v>
      </c>
      <c r="Z251">
        <f t="array" ref="Z251">INDEX(O$3:O$700,MATCH($B251&amp;$C251&amp;"baseline",$B$3:$B$700&amp;$C$3:$C$700&amp;$D$3:$D$700,0))</f>
        <v>31.39529802735688</v>
      </c>
      <c r="AA251">
        <f t="array" ref="AA251">INDEX(P$3:P$700,MATCH($B251&amp;$C251&amp;"baseline",$B$3:$B$700&amp;$C$3:$C$700&amp;$D$3:$D$700,0))</f>
        <v>28.792627633241526</v>
      </c>
      <c r="AB251">
        <f t="array" ref="AB251">INDEX(Q$3:Q$700,MATCH($B251&amp;$C251&amp;"baseline",$B$3:$B$700&amp;$C$3:$C$700&amp;$D$3:$D$700,0))</f>
        <v>0</v>
      </c>
      <c r="AC251">
        <f t="shared" si="27"/>
        <v>653.2777748217112</v>
      </c>
      <c r="AD251">
        <f t="shared" si="28"/>
        <v>421.83244840110211</v>
      </c>
      <c r="AE251">
        <f t="shared" si="29"/>
        <v>31.745260556918886</v>
      </c>
      <c r="AF251">
        <f t="shared" si="30"/>
        <v>69.431063850566289</v>
      </c>
      <c r="AG251">
        <f>(S251+V251+Y251)*constants!$O$2+(R251+T251+U251+W251+X251+Z251+AA251+AB251)*constants!$N$2</f>
        <v>19.802468546090751</v>
      </c>
      <c r="AH251">
        <f>((S251+V251+Y251)-(H251+K251+N251))*constants!$O$2</f>
        <v>6.8336856640978541</v>
      </c>
      <c r="AI251">
        <f>((R251+T251+U251+W251+X251+Z251+AA251+AB251)-(G251+I251+J251+L251+M251+O251+P251+Q251))*constants!$N$2</f>
        <v>3.5872144429318342</v>
      </c>
      <c r="AJ251">
        <f t="shared" si="31"/>
        <v>52.624247743531448</v>
      </c>
      <c r="AK251">
        <f t="shared" si="32"/>
        <v>10.420900107029688</v>
      </c>
      <c r="AL251">
        <f>COUNTIFS($B:$B,$B251,$AK:$AK,"&lt;"&amp;$AK251)+COUNTIFS($B$2:$B251,$B251,$AK$2:$AK251,$AK251)</f>
        <v>46</v>
      </c>
      <c r="AM251" s="191">
        <f>IF(AK251=0, "NA",IF(((sim_annual_output!F251/E251)/AK251)&lt;0,100,((sim_annual_output!F251/E251)/AK251)))</f>
        <v>7.7482024157424005</v>
      </c>
      <c r="AN251">
        <f>(S251+V251)*constants!$F$2+(T251+U251+W251+X251+Y251+Z251+AA251+AB251)*constants!$G$2</f>
        <v>182748.53675961017</v>
      </c>
      <c r="AO251">
        <f>(AD251*constants!$F$2+AE251*constants!$G$2)</f>
        <v>103126.38494831671</v>
      </c>
      <c r="AP251">
        <f t="shared" si="33"/>
        <v>56.43075823034934</v>
      </c>
    </row>
    <row r="252" spans="1:42">
      <c r="A252">
        <f>sim_annual_output!B252</f>
        <v>8</v>
      </c>
      <c r="B252" t="str">
        <f>sim_annual_output!C252</f>
        <v>Maintenance Shop</v>
      </c>
      <c r="C252" t="str">
        <f>sim_annual_output!D252</f>
        <v>1959-pre</v>
      </c>
      <c r="D252" t="str">
        <f>sim_annual_output!E252</f>
        <v>plug_loads_90_percent</v>
      </c>
      <c r="E252" s="45">
        <f t="array" ref="E252">IFERROR(INDEX(baseline!$J$3:$J$201,MATCH($B252&amp;$C252,baseline!$C$3:$C$201&amp;baseline!$D$3:$D$201,0)),"NA")</f>
        <v>1927</v>
      </c>
      <c r="F252">
        <f>sim_annual_output!G252</f>
        <v>2388.5449741513999</v>
      </c>
      <c r="G252">
        <f>$E252/$F252^2*sim_annual_output!I252</f>
        <v>0</v>
      </c>
      <c r="H252">
        <f>$E252/$F252^2*sim_annual_output!J252</f>
        <v>556.99304379961325</v>
      </c>
      <c r="I252">
        <f>$E252/$F252^2*sim_annual_output!K252</f>
        <v>0.41845385572294447</v>
      </c>
      <c r="J252">
        <f>$E252/$F252^2*sim_annual_output!L252</f>
        <v>2.1710812155670256</v>
      </c>
      <c r="K252">
        <f>$E252/$F252^2*sim_annual_output!M252</f>
        <v>0</v>
      </c>
      <c r="L252">
        <f>$E252/$F252^2*sim_annual_output!N252</f>
        <v>28.425776831475446</v>
      </c>
      <c r="M252">
        <f>$E252/$F252^2*sim_annual_output!O252</f>
        <v>4.074764787903022</v>
      </c>
      <c r="N252">
        <f>$E252/$F252^2*sim_annual_output!P252</f>
        <v>0</v>
      </c>
      <c r="O252">
        <f>$E252/$F252^2*sim_annual_output!Q252</f>
        <v>31.427198097075671</v>
      </c>
      <c r="P252">
        <f>$E252/$F252^2*sim_annual_output!R252</f>
        <v>29.004669273137008</v>
      </c>
      <c r="Q252">
        <f>$E252/$F252^2*sim_annual_output!S252</f>
        <v>0</v>
      </c>
      <c r="R252">
        <f t="array" ref="R252">INDEX(G$3:G$700,MATCH($B252&amp;$C252&amp;"baseline",$B$3:$B$700&amp;$C$3:$C$700&amp;$D$3:$D$700,0))</f>
        <v>0</v>
      </c>
      <c r="S252">
        <f t="array" ref="S252">INDEX(H$3:H$700,MATCH($B252&amp;$C252&amp;"baseline",$B$3:$B$700&amp;$C$3:$C$700&amp;$D$3:$D$700,0))</f>
        <v>558.03636372688652</v>
      </c>
      <c r="T252">
        <f t="array" ref="T252">INDEX(I$3:I$700,MATCH($B252&amp;$C252&amp;"baseline",$B$3:$B$700&amp;$C$3:$C$700&amp;$D$3:$D$700,0))</f>
        <v>0.38186259928080357</v>
      </c>
      <c r="U252">
        <f t="array" ref="U252">INDEX(J$3:J$700,MATCH($B252&amp;$C252&amp;"baseline",$B$3:$B$700&amp;$C$3:$C$700&amp;$D$3:$D$700,0))</f>
        <v>2.1710812155670256</v>
      </c>
      <c r="V252">
        <f t="array" ref="V252">INDEX(K$3:K$700,MATCH($B252&amp;$C252&amp;"baseline",$B$3:$B$700&amp;$C$3:$C$700&amp;$D$3:$D$700,0))</f>
        <v>0</v>
      </c>
      <c r="W252">
        <f t="array" ref="W252">INDEX(L$3:L$700,MATCH($B252&amp;$C252&amp;"baseline",$B$3:$B$700&amp;$C$3:$C$700&amp;$D$3:$D$700,0))</f>
        <v>28.425776831475446</v>
      </c>
      <c r="X252">
        <f t="array" ref="X252">INDEX(M$3:M$700,MATCH($B252&amp;$C252&amp;"baseline",$B$3:$B$700&amp;$C$3:$C$700&amp;$D$3:$D$700,0))</f>
        <v>4.074764787903022</v>
      </c>
      <c r="Y252">
        <f t="array" ref="Y252">INDEX(N$3:N$700,MATCH($B252&amp;$C252&amp;"baseline",$B$3:$B$700&amp;$C$3:$C$700&amp;$D$3:$D$700,0))</f>
        <v>0</v>
      </c>
      <c r="Z252">
        <f t="array" ref="Z252">INDEX(O$3:O$700,MATCH($B252&amp;$C252&amp;"baseline",$B$3:$B$700&amp;$C$3:$C$700&amp;$D$3:$D$700,0))</f>
        <v>31.39529802735688</v>
      </c>
      <c r="AA252">
        <f t="array" ref="AA252">INDEX(P$3:P$700,MATCH($B252&amp;$C252&amp;"baseline",$B$3:$B$700&amp;$C$3:$C$700&amp;$D$3:$D$700,0))</f>
        <v>28.792627633241526</v>
      </c>
      <c r="AB252">
        <f t="array" ref="AB252">INDEX(Q$3:Q$700,MATCH($B252&amp;$C252&amp;"baseline",$B$3:$B$700&amp;$C$3:$C$700&amp;$D$3:$D$700,0))</f>
        <v>0</v>
      </c>
      <c r="AC252">
        <f t="shared" si="27"/>
        <v>653.2777748217112</v>
      </c>
      <c r="AD252">
        <f t="shared" si="28"/>
        <v>1.0433199272732736</v>
      </c>
      <c r="AE252">
        <f t="shared" si="29"/>
        <v>-0.28053296605642686</v>
      </c>
      <c r="AF252">
        <f t="shared" si="30"/>
        <v>0.11676303566656956</v>
      </c>
      <c r="AG252">
        <f>(S252+V252+Y252)*constants!$O$2+(R252+T252+U252+W252+X252+Z252+AA252+AB252)*constants!$N$2</f>
        <v>19.802468546090751</v>
      </c>
      <c r="AH252">
        <f>((S252+V252+Y252)-(H252+K252+N252))*constants!$O$2</f>
        <v>1.6901782821827031E-2</v>
      </c>
      <c r="AI252">
        <f>((R252+T252+U252+W252+X252+Z252+AA252+AB252)-(G252+I252+J252+L252+M252+O252+P252+Q252))*constants!$N$2</f>
        <v>-3.1700225164376233E-2</v>
      </c>
      <c r="AJ252">
        <f t="shared" si="31"/>
        <v>-7.4730290863007559E-2</v>
      </c>
      <c r="AK252">
        <f t="shared" si="32"/>
        <v>-1.4798442342549203E-2</v>
      </c>
      <c r="AL252">
        <f>COUNTIFS($B:$B,$B252,$AK:$AK,"&lt;"&amp;$AK252)+COUNTIFS($B$2:$B252,$B252,$AK$2:$AK252,$AK252)</f>
        <v>10</v>
      </c>
      <c r="AM252" s="191">
        <f>IF(AK252=0, "NA",IF(((sim_annual_output!F252/E252)/AK252)&lt;0,100,((sim_annual_output!F252/E252)/AK252)))</f>
        <v>100</v>
      </c>
      <c r="AN252">
        <f>(S252+V252)*constants!$F$2+(T252+U252+W252+X252+Y252+Z252+AA252+AB252)*constants!$G$2</f>
        <v>182748.53675961017</v>
      </c>
      <c r="AO252">
        <f>(AD252*constants!$F$2+AE252*constants!$G$2)</f>
        <v>-57.309413487175391</v>
      </c>
      <c r="AP252">
        <f t="shared" si="33"/>
        <v>-3.1359711275040711E-2</v>
      </c>
    </row>
    <row r="253" spans="1:42">
      <c r="A253">
        <f>sim_annual_output!B253</f>
        <v>8</v>
      </c>
      <c r="B253" t="str">
        <f>sim_annual_output!C253</f>
        <v>Maintenance Shop</v>
      </c>
      <c r="C253" t="str">
        <f>sim_annual_output!D253</f>
        <v>1959-pre</v>
      </c>
      <c r="D253" t="str">
        <f>sim_annual_output!E253</f>
        <v>pump_fan_eff_</v>
      </c>
      <c r="E253" s="45">
        <f t="array" ref="E253">IFERROR(INDEX(baseline!$J$3:$J$201,MATCH($B253&amp;$C253,baseline!$C$3:$C$201&amp;baseline!$D$3:$D$201,0)),"NA")</f>
        <v>1927</v>
      </c>
      <c r="F253">
        <f>sim_annual_output!G253</f>
        <v>2388.5449741513999</v>
      </c>
      <c r="G253">
        <f>$E253/$F253^2*sim_annual_output!I253</f>
        <v>0</v>
      </c>
      <c r="H253">
        <f>$E253/$F253^2*sim_annual_output!J253</f>
        <v>556.59804587750705</v>
      </c>
      <c r="I253">
        <f>$E253/$F253^2*sim_annual_output!K253</f>
        <v>0.42502151713563646</v>
      </c>
      <c r="J253">
        <f>$E253/$F253^2*sim_annual_output!L253</f>
        <v>2.1710812155670256</v>
      </c>
      <c r="K253">
        <f>$E253/$F253^2*sim_annual_output!M253</f>
        <v>0</v>
      </c>
      <c r="L253">
        <f>$E253/$F253^2*sim_annual_output!N253</f>
        <v>28.425776831475446</v>
      </c>
      <c r="M253">
        <f>$E253/$F253^2*sim_annual_output!O253</f>
        <v>4.074764787903022</v>
      </c>
      <c r="N253">
        <f>$E253/$F253^2*sim_annual_output!P253</f>
        <v>0</v>
      </c>
      <c r="O253">
        <f>$E253/$F253^2*sim_annual_output!Q253</f>
        <v>31.456283454760445</v>
      </c>
      <c r="P253">
        <f>$E253/$F253^2*sim_annual_output!R253</f>
        <v>22.682826044748669</v>
      </c>
      <c r="Q253">
        <f>$E253/$F253^2*sim_annual_output!S253</f>
        <v>0</v>
      </c>
      <c r="R253">
        <f t="array" ref="R253">INDEX(G$3:G$700,MATCH($B253&amp;$C253&amp;"baseline",$B$3:$B$700&amp;$C$3:$C$700&amp;$D$3:$D$700,0))</f>
        <v>0</v>
      </c>
      <c r="S253">
        <f t="array" ref="S253">INDEX(H$3:H$700,MATCH($B253&amp;$C253&amp;"baseline",$B$3:$B$700&amp;$C$3:$C$700&amp;$D$3:$D$700,0))</f>
        <v>558.03636372688652</v>
      </c>
      <c r="T253">
        <f t="array" ref="T253">INDEX(I$3:I$700,MATCH($B253&amp;$C253&amp;"baseline",$B$3:$B$700&amp;$C$3:$C$700&amp;$D$3:$D$700,0))</f>
        <v>0.38186259928080357</v>
      </c>
      <c r="U253">
        <f t="array" ref="U253">INDEX(J$3:J$700,MATCH($B253&amp;$C253&amp;"baseline",$B$3:$B$700&amp;$C$3:$C$700&amp;$D$3:$D$700,0))</f>
        <v>2.1710812155670256</v>
      </c>
      <c r="V253">
        <f t="array" ref="V253">INDEX(K$3:K$700,MATCH($B253&amp;$C253&amp;"baseline",$B$3:$B$700&amp;$C$3:$C$700&amp;$D$3:$D$700,0))</f>
        <v>0</v>
      </c>
      <c r="W253">
        <f t="array" ref="W253">INDEX(L$3:L$700,MATCH($B253&amp;$C253&amp;"baseline",$B$3:$B$700&amp;$C$3:$C$700&amp;$D$3:$D$700,0))</f>
        <v>28.425776831475446</v>
      </c>
      <c r="X253">
        <f t="array" ref="X253">INDEX(M$3:M$700,MATCH($B253&amp;$C253&amp;"baseline",$B$3:$B$700&amp;$C$3:$C$700&amp;$D$3:$D$700,0))</f>
        <v>4.074764787903022</v>
      </c>
      <c r="Y253">
        <f t="array" ref="Y253">INDEX(N$3:N$700,MATCH($B253&amp;$C253&amp;"baseline",$B$3:$B$700&amp;$C$3:$C$700&amp;$D$3:$D$700,0))</f>
        <v>0</v>
      </c>
      <c r="Z253">
        <f t="array" ref="Z253">INDEX(O$3:O$700,MATCH($B253&amp;$C253&amp;"baseline",$B$3:$B$700&amp;$C$3:$C$700&amp;$D$3:$D$700,0))</f>
        <v>31.39529802735688</v>
      </c>
      <c r="AA253">
        <f t="array" ref="AA253">INDEX(P$3:P$700,MATCH($B253&amp;$C253&amp;"baseline",$B$3:$B$700&amp;$C$3:$C$700&amp;$D$3:$D$700,0))</f>
        <v>28.792627633241526</v>
      </c>
      <c r="AB253">
        <f t="array" ref="AB253">INDEX(Q$3:Q$700,MATCH($B253&amp;$C253&amp;"baseline",$B$3:$B$700&amp;$C$3:$C$700&amp;$D$3:$D$700,0))</f>
        <v>0</v>
      </c>
      <c r="AC253">
        <f t="shared" si="27"/>
        <v>653.2777748217112</v>
      </c>
      <c r="AD253">
        <f t="shared" si="28"/>
        <v>1.438317849379473</v>
      </c>
      <c r="AE253">
        <f t="shared" si="29"/>
        <v>6.0056572432344524</v>
      </c>
      <c r="AF253">
        <f t="shared" si="30"/>
        <v>1.1394808425321821</v>
      </c>
      <c r="AG253">
        <f>(S253+V253+Y253)*constants!$O$2+(R253+T253+U253+W253+X253+Z253+AA253+AB253)*constants!$N$2</f>
        <v>19.802468546090751</v>
      </c>
      <c r="AH253">
        <f>((S253+V253+Y253)-(H253+K253+N253))*constants!$O$2</f>
        <v>2.3300749159947461E-2</v>
      </c>
      <c r="AI253">
        <f>((R253+T253+U253+W253+X253+Z253+AA253+AB253)-(G253+I253+J253+L253+M253+O253+P253+Q253))*constants!$N$2</f>
        <v>0.67863926848549316</v>
      </c>
      <c r="AJ253">
        <f t="shared" si="31"/>
        <v>3.5447096709769159</v>
      </c>
      <c r="AK253">
        <f t="shared" si="32"/>
        <v>0.70194001764544067</v>
      </c>
      <c r="AL253">
        <f>COUNTIFS($B:$B,$B253,$AK:$AK,"&lt;"&amp;$AK253)+COUNTIFS($B$2:$B253,$B253,$AK$2:$AK253,$AK253)</f>
        <v>28</v>
      </c>
      <c r="AM253" s="191">
        <f>IF(AK253=0, "NA",IF(((sim_annual_output!F253/E253)/AK253)&lt;0,100,((sim_annual_output!F253/E253)/AK253)))</f>
        <v>3.7797388770518476</v>
      </c>
      <c r="AN253">
        <f>(S253+V253)*constants!$F$2+(T253+U253+W253+X253+Y253+Z253+AA253+AB253)*constants!$G$2</f>
        <v>182748.53675961017</v>
      </c>
      <c r="AO253">
        <f>(AD253*constants!$F$2+AE253*constants!$G$2)</f>
        <v>5482.3806966528991</v>
      </c>
      <c r="AP253">
        <f t="shared" si="33"/>
        <v>2.9999587377624231</v>
      </c>
    </row>
    <row r="254" spans="1:42">
      <c r="A254">
        <f>sim_annual_output!B254</f>
        <v>9</v>
      </c>
      <c r="B254" t="str">
        <f>sim_annual_output!C254</f>
        <v>Maintenance Shop</v>
      </c>
      <c r="C254" t="str">
        <f>sim_annual_output!D254</f>
        <v>1980-2004</v>
      </c>
      <c r="D254" t="str">
        <f>sim_annual_output!E254</f>
        <v>air_temp_reset_enabled</v>
      </c>
      <c r="E254" s="45">
        <f t="array" ref="E254">IFERROR(INDEX(baseline!$J$3:$J$201,MATCH($B254&amp;$C254,baseline!$C$3:$C$201&amp;baseline!$D$3:$D$201,0)),"NA")</f>
        <v>1927</v>
      </c>
      <c r="F254">
        <f>sim_annual_output!G254</f>
        <v>2388.5449741513999</v>
      </c>
      <c r="G254">
        <f>$E254/$F254^2*sim_annual_output!I254</f>
        <v>0</v>
      </c>
      <c r="H254">
        <f>$E254/$F254^2*sim_annual_output!J254</f>
        <v>333.56964667593502</v>
      </c>
      <c r="I254">
        <f>$E254/$F254^2*sim_annual_output!K254</f>
        <v>0.63049549561842755</v>
      </c>
      <c r="J254">
        <f>$E254/$F254^2*sim_annual_output!L254</f>
        <v>2.1701429782223558</v>
      </c>
      <c r="K254">
        <f>$E254/$F254^2*sim_annual_output!M254</f>
        <v>0</v>
      </c>
      <c r="L254">
        <f>$E254/$F254^2*sim_annual_output!N254</f>
        <v>28.425776831475446</v>
      </c>
      <c r="M254">
        <f>$E254/$F254^2*sim_annual_output!O254</f>
        <v>4.074764787903022</v>
      </c>
      <c r="N254">
        <f>$E254/$F254^2*sim_annual_output!P254</f>
        <v>0</v>
      </c>
      <c r="O254">
        <f>$E254/$F254^2*sim_annual_output!Q254</f>
        <v>18.605246544811635</v>
      </c>
      <c r="P254">
        <f>$E254/$F254^2*sim_annual_output!R254</f>
        <v>16.30844152505879</v>
      </c>
      <c r="Q254">
        <f>$E254/$F254^2*sim_annual_output!S254</f>
        <v>0</v>
      </c>
      <c r="R254">
        <f t="array" ref="R254">INDEX(G$3:G$700,MATCH($B254&amp;$C254&amp;"baseline",$B$3:$B$700&amp;$C$3:$C$700&amp;$D$3:$D$700,0))</f>
        <v>0</v>
      </c>
      <c r="S254">
        <f t="array" ref="S254">INDEX(H$3:H$700,MATCH($B254&amp;$C254&amp;"baseline",$B$3:$B$700&amp;$C$3:$C$700&amp;$D$3:$D$700,0))</f>
        <v>324.25294984335915</v>
      </c>
      <c r="T254">
        <f t="array" ref="T254">INDEX(I$3:I$700,MATCH($B254&amp;$C254&amp;"baseline",$B$3:$B$700&amp;$C$3:$C$700&amp;$D$3:$D$700,0))</f>
        <v>0.35277724159602492</v>
      </c>
      <c r="U254">
        <f t="array" ref="U254">INDEX(J$3:J$700,MATCH($B254&amp;$C254&amp;"baseline",$B$3:$B$700&amp;$C$3:$C$700&amp;$D$3:$D$700,0))</f>
        <v>2.1701429782223558</v>
      </c>
      <c r="V254">
        <f t="array" ref="V254">INDEX(K$3:K$700,MATCH($B254&amp;$C254&amp;"baseline",$B$3:$B$700&amp;$C$3:$C$700&amp;$D$3:$D$700,0))</f>
        <v>0</v>
      </c>
      <c r="W254">
        <f t="array" ref="W254">INDEX(L$3:L$700,MATCH($B254&amp;$C254&amp;"baseline",$B$3:$B$700&amp;$C$3:$C$700&amp;$D$3:$D$700,0))</f>
        <v>28.425776831475446</v>
      </c>
      <c r="X254">
        <f t="array" ref="X254">INDEX(M$3:M$700,MATCH($B254&amp;$C254&amp;"baseline",$B$3:$B$700&amp;$C$3:$C$700&amp;$D$3:$D$700,0))</f>
        <v>4.074764787903022</v>
      </c>
      <c r="Y254">
        <f t="array" ref="Y254">INDEX(N$3:N$700,MATCH($B254&amp;$C254&amp;"baseline",$B$3:$B$700&amp;$C$3:$C$700&amp;$D$3:$D$700,0))</f>
        <v>0</v>
      </c>
      <c r="Z254">
        <f t="array" ref="Z254">INDEX(O$3:O$700,MATCH($B254&amp;$C254&amp;"baseline",$B$3:$B$700&amp;$C$3:$C$700&amp;$D$3:$D$700,0))</f>
        <v>17.85559490642008</v>
      </c>
      <c r="AA254">
        <f t="array" ref="AA254">INDEX(P$3:P$700,MATCH($B254&amp;$C254&amp;"baseline",$B$3:$B$700&amp;$C$3:$C$700&amp;$D$3:$D$700,0))</f>
        <v>16.090770461095289</v>
      </c>
      <c r="AB254">
        <f t="array" ref="AB254">INDEX(Q$3:Q$700,MATCH($B254&amp;$C254&amp;"baseline",$B$3:$B$700&amp;$C$3:$C$700&amp;$D$3:$D$700,0))</f>
        <v>0</v>
      </c>
      <c r="AC254">
        <f t="shared" si="27"/>
        <v>393.22277705007139</v>
      </c>
      <c r="AD254">
        <f t="shared" si="28"/>
        <v>-9.3166968325758717</v>
      </c>
      <c r="AE254">
        <f t="shared" si="29"/>
        <v>-1.2450409563774656</v>
      </c>
      <c r="AF254">
        <f t="shared" si="30"/>
        <v>-2.6859425255542737</v>
      </c>
      <c r="AG254">
        <f>(S254+V254+Y254)*constants!$O$2+(R254+T254+U254+W254+X254+Z254+AA254+AB254)*constants!$N$2</f>
        <v>13.046488261820897</v>
      </c>
      <c r="AH254">
        <f>((S254+V254+Y254)-(H254+K254+N254))*constants!$O$2</f>
        <v>-0.15093048868772913</v>
      </c>
      <c r="AI254">
        <f>((R254+T254+U254+W254+X254+Z254+AA254+AB254)-(G254+I254+J254+L254+M254+O254+P254+Q254))*constants!$N$2</f>
        <v>-0.14068962807065361</v>
      </c>
      <c r="AJ254">
        <f t="shared" si="31"/>
        <v>-2.2352384098008713</v>
      </c>
      <c r="AK254">
        <f t="shared" si="32"/>
        <v>-0.29162011675838273</v>
      </c>
      <c r="AL254">
        <f>COUNTIFS($B:$B,$B254,$AK:$AK,"&lt;"&amp;$AK254)+COUNTIFS($B$2:$B254,$B254,$AK$2:$AK254,$AK254)</f>
        <v>2</v>
      </c>
      <c r="AM254" s="191">
        <f>IF(AK254=0, "NA",IF(((sim_annual_output!F254/E254)/AK254)&lt;0,100,((sim_annual_output!F254/E254)/AK254)))</f>
        <v>100</v>
      </c>
      <c r="AN254">
        <f>(S254+V254)*constants!$F$2+(T254+U254+W254+X254+Y254+Z254+AA254+AB254)*constants!$G$2</f>
        <v>118045.0276918009</v>
      </c>
      <c r="AO254">
        <f>(AD254*constants!$F$2+AE254*constants!$G$2)</f>
        <v>-2750.8743650794759</v>
      </c>
      <c r="AP254">
        <f t="shared" si="33"/>
        <v>-2.3303602183580532</v>
      </c>
    </row>
    <row r="255" spans="1:42">
      <c r="A255">
        <f>sim_annual_output!B255</f>
        <v>9</v>
      </c>
      <c r="B255" t="str">
        <f>sim_annual_output!C255</f>
        <v>Maintenance Shop</v>
      </c>
      <c r="C255" t="str">
        <f>sim_annual_output!D255</f>
        <v>1980-2004</v>
      </c>
      <c r="D255" t="str">
        <f>sim_annual_output!E255</f>
        <v>baseline</v>
      </c>
      <c r="E255" s="45">
        <f t="array" ref="E255">IFERROR(INDEX(baseline!$J$3:$J$201,MATCH($B255&amp;$C255,baseline!$C$3:$C$201&amp;baseline!$D$3:$D$201,0)),"NA")</f>
        <v>1927</v>
      </c>
      <c r="F255">
        <f>sim_annual_output!G255</f>
        <v>2388.5449741513999</v>
      </c>
      <c r="G255">
        <f>$E255/$F255^2*sim_annual_output!I255</f>
        <v>0</v>
      </c>
      <c r="H255">
        <f>$E255/$F255^2*sim_annual_output!J255</f>
        <v>324.25294984335915</v>
      </c>
      <c r="I255">
        <f>$E255/$F255^2*sim_annual_output!K255</f>
        <v>0.35277724159602492</v>
      </c>
      <c r="J255">
        <f>$E255/$F255^2*sim_annual_output!L255</f>
        <v>2.1701429782223558</v>
      </c>
      <c r="K255">
        <f>$E255/$F255^2*sim_annual_output!M255</f>
        <v>0</v>
      </c>
      <c r="L255">
        <f>$E255/$F255^2*sim_annual_output!N255</f>
        <v>28.425776831475446</v>
      </c>
      <c r="M255">
        <f>$E255/$F255^2*sim_annual_output!O255</f>
        <v>4.074764787903022</v>
      </c>
      <c r="N255">
        <f>$E255/$F255^2*sim_annual_output!P255</f>
        <v>0</v>
      </c>
      <c r="O255">
        <f>$E255/$F255^2*sim_annual_output!Q255</f>
        <v>17.85559490642008</v>
      </c>
      <c r="P255">
        <f>$E255/$F255^2*sim_annual_output!R255</f>
        <v>16.090770461095289</v>
      </c>
      <c r="Q255">
        <f>$E255/$F255^2*sim_annual_output!S255</f>
        <v>0</v>
      </c>
      <c r="R255">
        <f t="array" ref="R255">INDEX(G$3:G$700,MATCH($B255&amp;$C255&amp;"baseline",$B$3:$B$700&amp;$C$3:$C$700&amp;$D$3:$D$700,0))</f>
        <v>0</v>
      </c>
      <c r="S255">
        <f t="array" ref="S255">INDEX(H$3:H$700,MATCH($B255&amp;$C255&amp;"baseline",$B$3:$B$700&amp;$C$3:$C$700&amp;$D$3:$D$700,0))</f>
        <v>324.25294984335915</v>
      </c>
      <c r="T255">
        <f t="array" ref="T255">INDEX(I$3:I$700,MATCH($B255&amp;$C255&amp;"baseline",$B$3:$B$700&amp;$C$3:$C$700&amp;$D$3:$D$700,0))</f>
        <v>0.35277724159602492</v>
      </c>
      <c r="U255">
        <f t="array" ref="U255">INDEX(J$3:J$700,MATCH($B255&amp;$C255&amp;"baseline",$B$3:$B$700&amp;$C$3:$C$700&amp;$D$3:$D$700,0))</f>
        <v>2.1701429782223558</v>
      </c>
      <c r="V255">
        <f t="array" ref="V255">INDEX(K$3:K$700,MATCH($B255&amp;$C255&amp;"baseline",$B$3:$B$700&amp;$C$3:$C$700&amp;$D$3:$D$700,0))</f>
        <v>0</v>
      </c>
      <c r="W255">
        <f t="array" ref="W255">INDEX(L$3:L$700,MATCH($B255&amp;$C255&amp;"baseline",$B$3:$B$700&amp;$C$3:$C$700&amp;$D$3:$D$700,0))</f>
        <v>28.425776831475446</v>
      </c>
      <c r="X255">
        <f t="array" ref="X255">INDEX(M$3:M$700,MATCH($B255&amp;$C255&amp;"baseline",$B$3:$B$700&amp;$C$3:$C$700&amp;$D$3:$D$700,0))</f>
        <v>4.074764787903022</v>
      </c>
      <c r="Y255">
        <f t="array" ref="Y255">INDEX(N$3:N$700,MATCH($B255&amp;$C255&amp;"baseline",$B$3:$B$700&amp;$C$3:$C$700&amp;$D$3:$D$700,0))</f>
        <v>0</v>
      </c>
      <c r="Z255">
        <f t="array" ref="Z255">INDEX(O$3:O$700,MATCH($B255&amp;$C255&amp;"baseline",$B$3:$B$700&amp;$C$3:$C$700&amp;$D$3:$D$700,0))</f>
        <v>17.85559490642008</v>
      </c>
      <c r="AA255">
        <f t="array" ref="AA255">INDEX(P$3:P$700,MATCH($B255&amp;$C255&amp;"baseline",$B$3:$B$700&amp;$C$3:$C$700&amp;$D$3:$D$700,0))</f>
        <v>16.090770461095289</v>
      </c>
      <c r="AB255">
        <f t="array" ref="AB255">INDEX(Q$3:Q$700,MATCH($B255&amp;$C255&amp;"baseline",$B$3:$B$700&amp;$C$3:$C$700&amp;$D$3:$D$700,0))</f>
        <v>0</v>
      </c>
      <c r="AC255">
        <f t="shared" si="27"/>
        <v>393.22277705007139</v>
      </c>
      <c r="AD255">
        <f t="shared" si="28"/>
        <v>0</v>
      </c>
      <c r="AE255">
        <f t="shared" si="29"/>
        <v>0</v>
      </c>
      <c r="AF255">
        <f t="shared" si="30"/>
        <v>0</v>
      </c>
      <c r="AG255">
        <f>(S255+V255+Y255)*constants!$O$2+(R255+T255+U255+W255+X255+Z255+AA255+AB255)*constants!$N$2</f>
        <v>13.046488261820897</v>
      </c>
      <c r="AH255">
        <f>((S255+V255+Y255)-(H255+K255+N255))*constants!$O$2</f>
        <v>0</v>
      </c>
      <c r="AI255">
        <f>((R255+T255+U255+W255+X255+Z255+AA255+AB255)-(G255+I255+J255+L255+M255+O255+P255+Q255))*constants!$N$2</f>
        <v>0</v>
      </c>
      <c r="AJ255">
        <f t="shared" si="31"/>
        <v>0</v>
      </c>
      <c r="AK255">
        <f t="shared" si="32"/>
        <v>0</v>
      </c>
      <c r="AL255">
        <f>COUNTIFS($B:$B,$B255,$AK:$AK,"&lt;"&amp;$AK255)+COUNTIFS($B$2:$B255,$B255,$AK$2:$AK255,$AK255)</f>
        <v>14</v>
      </c>
      <c r="AM255" s="191" t="str">
        <f>IF(AK255=0, "NA",IF(((sim_annual_output!F255/E255)/AK255)&lt;0,100,((sim_annual_output!F255/E255)/AK255)))</f>
        <v>NA</v>
      </c>
      <c r="AN255">
        <f>(S255+V255)*constants!$F$2+(T255+U255+W255+X255+Y255+Z255+AA255+AB255)*constants!$G$2</f>
        <v>118045.0276918009</v>
      </c>
      <c r="AO255">
        <f>(AD255*constants!$F$2+AE255*constants!$G$2)</f>
        <v>0</v>
      </c>
      <c r="AP255">
        <f t="shared" si="33"/>
        <v>0</v>
      </c>
    </row>
    <row r="256" spans="1:42">
      <c r="A256">
        <f>sim_annual_output!B256</f>
        <v>9</v>
      </c>
      <c r="B256" t="str">
        <f>sim_annual_output!C256</f>
        <v>Maintenance Shop</v>
      </c>
      <c r="C256" t="str">
        <f>sim_annual_output!D256</f>
        <v>1980-2004</v>
      </c>
      <c r="D256" t="str">
        <f>sim_annual_output!E256</f>
        <v>boiler_eff_upgrade</v>
      </c>
      <c r="E256" s="45">
        <f t="array" ref="E256">IFERROR(INDEX(baseline!$J$3:$J$201,MATCH($B256&amp;$C256,baseline!$C$3:$C$201&amp;baseline!$D$3:$D$201,0)),"NA")</f>
        <v>1927</v>
      </c>
      <c r="F256">
        <f>sim_annual_output!G256</f>
        <v>2388.5449741513999</v>
      </c>
      <c r="G256">
        <f>$E256/$F256^2*sim_annual_output!I256</f>
        <v>0</v>
      </c>
      <c r="H256">
        <f>$E256/$F256^2*sim_annual_output!J256</f>
        <v>323.960219791822</v>
      </c>
      <c r="I256">
        <f>$E256/$F256^2*sim_annual_output!K256</f>
        <v>0.3940596847615172</v>
      </c>
      <c r="J256">
        <f>$E256/$F256^2*sim_annual_output!L256</f>
        <v>2.1701429782223558</v>
      </c>
      <c r="K256">
        <f>$E256/$F256^2*sim_annual_output!M256</f>
        <v>0</v>
      </c>
      <c r="L256">
        <f>$E256/$F256^2*sim_annual_output!N256</f>
        <v>28.425776831475446</v>
      </c>
      <c r="M256">
        <f>$E256/$F256^2*sim_annual_output!O256</f>
        <v>4.074764787903022</v>
      </c>
      <c r="N256">
        <f>$E256/$F256^2*sim_annual_output!P256</f>
        <v>0</v>
      </c>
      <c r="O256">
        <f>$E256/$F256^2*sim_annual_output!Q256</f>
        <v>18.079833631796276</v>
      </c>
      <c r="P256">
        <f>$E256/$F256^2*sim_annual_output!R256</f>
        <v>16.30844152505879</v>
      </c>
      <c r="Q256">
        <f>$E256/$F256^2*sim_annual_output!S256</f>
        <v>0</v>
      </c>
      <c r="R256">
        <f t="array" ref="R256">INDEX(G$3:G$700,MATCH($B256&amp;$C256&amp;"baseline",$B$3:$B$700&amp;$C$3:$C$700&amp;$D$3:$D$700,0))</f>
        <v>0</v>
      </c>
      <c r="S256">
        <f t="array" ref="S256">INDEX(H$3:H$700,MATCH($B256&amp;$C256&amp;"baseline",$B$3:$B$700&amp;$C$3:$C$700&amp;$D$3:$D$700,0))</f>
        <v>324.25294984335915</v>
      </c>
      <c r="T256">
        <f t="array" ref="T256">INDEX(I$3:I$700,MATCH($B256&amp;$C256&amp;"baseline",$B$3:$B$700&amp;$C$3:$C$700&amp;$D$3:$D$700,0))</f>
        <v>0.35277724159602492</v>
      </c>
      <c r="U256">
        <f t="array" ref="U256">INDEX(J$3:J$700,MATCH($B256&amp;$C256&amp;"baseline",$B$3:$B$700&amp;$C$3:$C$700&amp;$D$3:$D$700,0))</f>
        <v>2.1701429782223558</v>
      </c>
      <c r="V256">
        <f t="array" ref="V256">INDEX(K$3:K$700,MATCH($B256&amp;$C256&amp;"baseline",$B$3:$B$700&amp;$C$3:$C$700&amp;$D$3:$D$700,0))</f>
        <v>0</v>
      </c>
      <c r="W256">
        <f t="array" ref="W256">INDEX(L$3:L$700,MATCH($B256&amp;$C256&amp;"baseline",$B$3:$B$700&amp;$C$3:$C$700&amp;$D$3:$D$700,0))</f>
        <v>28.425776831475446</v>
      </c>
      <c r="X256">
        <f t="array" ref="X256">INDEX(M$3:M$700,MATCH($B256&amp;$C256&amp;"baseline",$B$3:$B$700&amp;$C$3:$C$700&amp;$D$3:$D$700,0))</f>
        <v>4.074764787903022</v>
      </c>
      <c r="Y256">
        <f t="array" ref="Y256">INDEX(N$3:N$700,MATCH($B256&amp;$C256&amp;"baseline",$B$3:$B$700&amp;$C$3:$C$700&amp;$D$3:$D$700,0))</f>
        <v>0</v>
      </c>
      <c r="Z256">
        <f t="array" ref="Z256">INDEX(O$3:O$700,MATCH($B256&amp;$C256&amp;"baseline",$B$3:$B$700&amp;$C$3:$C$700&amp;$D$3:$D$700,0))</f>
        <v>17.85559490642008</v>
      </c>
      <c r="AA256">
        <f t="array" ref="AA256">INDEX(P$3:P$700,MATCH($B256&amp;$C256&amp;"baseline",$B$3:$B$700&amp;$C$3:$C$700&amp;$D$3:$D$700,0))</f>
        <v>16.090770461095289</v>
      </c>
      <c r="AB256">
        <f t="array" ref="AB256">INDEX(Q$3:Q$700,MATCH($B256&amp;$C256&amp;"baseline",$B$3:$B$700&amp;$C$3:$C$700&amp;$D$3:$D$700,0))</f>
        <v>0</v>
      </c>
      <c r="AC256">
        <f t="shared" si="27"/>
        <v>393.22277705007139</v>
      </c>
      <c r="AD256">
        <f t="shared" si="28"/>
        <v>0.29273005153714848</v>
      </c>
      <c r="AE256">
        <f t="shared" si="29"/>
        <v>-0.48319223250518917</v>
      </c>
      <c r="AF256">
        <f t="shared" si="30"/>
        <v>-4.8436202601709416E-2</v>
      </c>
      <c r="AG256">
        <f>(S256+V256+Y256)*constants!$O$2+(R256+T256+U256+W256+X256+Z256+AA256+AB256)*constants!$N$2</f>
        <v>13.046488261820897</v>
      </c>
      <c r="AH256">
        <f>((S256+V256+Y256)-(H256+K256+N256))*constants!$O$2</f>
        <v>4.7422268349018052E-3</v>
      </c>
      <c r="AI256">
        <f>((R256+T256+U256+W256+X256+Z256+AA256+AB256)-(G256+I256+J256+L256+M256+O256+P256+Q256))*constants!$N$2</f>
        <v>-5.4600722273086377E-2</v>
      </c>
      <c r="AJ256">
        <f t="shared" si="31"/>
        <v>-0.38216027514538098</v>
      </c>
      <c r="AK256">
        <f t="shared" si="32"/>
        <v>-4.9858495438184575E-2</v>
      </c>
      <c r="AL256">
        <f>COUNTIFS($B:$B,$B256,$AK:$AK,"&lt;"&amp;$AK256)+COUNTIFS($B$2:$B256,$B256,$AK$2:$AK256,$AK256)</f>
        <v>5</v>
      </c>
      <c r="AM256" s="191">
        <f>IF(AK256=0, "NA",IF(((sim_annual_output!F256/E256)/AK256)&lt;0,100,((sim_annual_output!F256/E256)/AK256)))</f>
        <v>100</v>
      </c>
      <c r="AN256">
        <f>(S256+V256)*constants!$F$2+(T256+U256+W256+X256+Y256+Z256+AA256+AB256)*constants!$G$2</f>
        <v>118045.0276918009</v>
      </c>
      <c r="AO256">
        <f>(AD256*constants!$F$2+AE256*constants!$G$2)</f>
        <v>-367.978563054365</v>
      </c>
      <c r="AP256">
        <f t="shared" si="33"/>
        <v>-0.31172728767119756</v>
      </c>
    </row>
    <row r="257" spans="1:42">
      <c r="A257">
        <f>sim_annual_output!B257</f>
        <v>9</v>
      </c>
      <c r="B257" t="str">
        <f>sim_annual_output!C257</f>
        <v>Maintenance Shop</v>
      </c>
      <c r="C257" t="str">
        <f>sim_annual_output!D257</f>
        <v>1980-2004</v>
      </c>
      <c r="D257" t="str">
        <f>sim_annual_output!E257</f>
        <v>boiler_reset</v>
      </c>
      <c r="E257" s="45">
        <f t="array" ref="E257">IFERROR(INDEX(baseline!$J$3:$J$201,MATCH($B257&amp;$C257,baseline!$C$3:$C$201&amp;baseline!$D$3:$D$201,0)),"NA")</f>
        <v>1927</v>
      </c>
      <c r="F257">
        <f>sim_annual_output!G257</f>
        <v>2388.5449741513999</v>
      </c>
      <c r="G257">
        <f>$E257/$F257^2*sim_annual_output!I257</f>
        <v>0</v>
      </c>
      <c r="H257">
        <f>$E257/$F257^2*sim_annual_output!J257</f>
        <v>206.64865163831834</v>
      </c>
      <c r="I257">
        <f>$E257/$F257^2*sim_annual_output!K257</f>
        <v>0.3940596847615172</v>
      </c>
      <c r="J257">
        <f>$E257/$F257^2*sim_annual_output!L257</f>
        <v>2.1701429782223558</v>
      </c>
      <c r="K257">
        <f>$E257/$F257^2*sim_annual_output!M257</f>
        <v>0</v>
      </c>
      <c r="L257">
        <f>$E257/$F257^2*sim_annual_output!N257</f>
        <v>28.425776831475446</v>
      </c>
      <c r="M257">
        <f>$E257/$F257^2*sim_annual_output!O257</f>
        <v>4.074764787903022</v>
      </c>
      <c r="N257">
        <f>$E257/$F257^2*sim_annual_output!P257</f>
        <v>0</v>
      </c>
      <c r="O257">
        <f>$E257/$F257^2*sim_annual_output!Q257</f>
        <v>18.079833631796276</v>
      </c>
      <c r="P257">
        <f>$E257/$F257^2*sim_annual_output!R257</f>
        <v>16.30844152505879</v>
      </c>
      <c r="Q257">
        <f>$E257/$F257^2*sim_annual_output!S257</f>
        <v>0</v>
      </c>
      <c r="R257">
        <f t="array" ref="R257">INDEX(G$3:G$700,MATCH($B257&amp;$C257&amp;"baseline",$B$3:$B$700&amp;$C$3:$C$700&amp;$D$3:$D$700,0))</f>
        <v>0</v>
      </c>
      <c r="S257">
        <f t="array" ref="S257">INDEX(H$3:H$700,MATCH($B257&amp;$C257&amp;"baseline",$B$3:$B$700&amp;$C$3:$C$700&amp;$D$3:$D$700,0))</f>
        <v>324.25294984335915</v>
      </c>
      <c r="T257">
        <f t="array" ref="T257">INDEX(I$3:I$700,MATCH($B257&amp;$C257&amp;"baseline",$B$3:$B$700&amp;$C$3:$C$700&amp;$D$3:$D$700,0))</f>
        <v>0.35277724159602492</v>
      </c>
      <c r="U257">
        <f t="array" ref="U257">INDEX(J$3:J$700,MATCH($B257&amp;$C257&amp;"baseline",$B$3:$B$700&amp;$C$3:$C$700&amp;$D$3:$D$700,0))</f>
        <v>2.1701429782223558</v>
      </c>
      <c r="V257">
        <f t="array" ref="V257">INDEX(K$3:K$700,MATCH($B257&amp;$C257&amp;"baseline",$B$3:$B$700&amp;$C$3:$C$700&amp;$D$3:$D$700,0))</f>
        <v>0</v>
      </c>
      <c r="W257">
        <f t="array" ref="W257">INDEX(L$3:L$700,MATCH($B257&amp;$C257&amp;"baseline",$B$3:$B$700&amp;$C$3:$C$700&amp;$D$3:$D$700,0))</f>
        <v>28.425776831475446</v>
      </c>
      <c r="X257">
        <f t="array" ref="X257">INDEX(M$3:M$700,MATCH($B257&amp;$C257&amp;"baseline",$B$3:$B$700&amp;$C$3:$C$700&amp;$D$3:$D$700,0))</f>
        <v>4.074764787903022</v>
      </c>
      <c r="Y257">
        <f t="array" ref="Y257">INDEX(N$3:N$700,MATCH($B257&amp;$C257&amp;"baseline",$B$3:$B$700&amp;$C$3:$C$700&amp;$D$3:$D$700,0))</f>
        <v>0</v>
      </c>
      <c r="Z257">
        <f t="array" ref="Z257">INDEX(O$3:O$700,MATCH($B257&amp;$C257&amp;"baseline",$B$3:$B$700&amp;$C$3:$C$700&amp;$D$3:$D$700,0))</f>
        <v>17.85559490642008</v>
      </c>
      <c r="AA257">
        <f t="array" ref="AA257">INDEX(P$3:P$700,MATCH($B257&amp;$C257&amp;"baseline",$B$3:$B$700&amp;$C$3:$C$700&amp;$D$3:$D$700,0))</f>
        <v>16.090770461095289</v>
      </c>
      <c r="AB257">
        <f t="array" ref="AB257">INDEX(Q$3:Q$700,MATCH($B257&amp;$C257&amp;"baseline",$B$3:$B$700&amp;$C$3:$C$700&amp;$D$3:$D$700,0))</f>
        <v>0</v>
      </c>
      <c r="AC257">
        <f t="shared" si="27"/>
        <v>393.22277705007139</v>
      </c>
      <c r="AD257">
        <f t="shared" si="28"/>
        <v>117.60429820504081</v>
      </c>
      <c r="AE257">
        <f t="shared" si="29"/>
        <v>-0.48319223250518917</v>
      </c>
      <c r="AF257">
        <f t="shared" si="30"/>
        <v>29.784924172289717</v>
      </c>
      <c r="AG257">
        <f>(S257+V257+Y257)*constants!$O$2+(R257+T257+U257+W257+X257+Z257+AA257+AB257)*constants!$N$2</f>
        <v>13.046488261820897</v>
      </c>
      <c r="AH257">
        <f>((S257+V257+Y257)-(H257+K257+N257))*constants!$O$2</f>
        <v>1.9051896309216609</v>
      </c>
      <c r="AI257">
        <f>((R257+T257+U257+W257+X257+Z257+AA257+AB257)-(G257+I257+J257+L257+M257+O257+P257+Q257))*constants!$N$2</f>
        <v>-5.4600722273086377E-2</v>
      </c>
      <c r="AJ257">
        <f t="shared" si="31"/>
        <v>14.18457497152025</v>
      </c>
      <c r="AK257">
        <f t="shared" si="32"/>
        <v>1.8505889086485745</v>
      </c>
      <c r="AL257">
        <f>COUNTIFS($B:$B,$B257,$AK:$AK,"&lt;"&amp;$AK257)+COUNTIFS($B$2:$B257,$B257,$AK$2:$AK257,$AK257)</f>
        <v>35</v>
      </c>
      <c r="AM257" s="191">
        <f>IF(AK257=0, "NA",IF(((sim_annual_output!F257/E257)/AK257)&lt;0,100,((sim_annual_output!F257/E257)/AK257)))</f>
        <v>0.26054624191050124</v>
      </c>
      <c r="AN257">
        <f>(S257+V257)*constants!$F$2+(T257+U257+W257+X257+Y257+Z257+AA257+AB257)*constants!$G$2</f>
        <v>118045.0276918009</v>
      </c>
      <c r="AO257">
        <f>(AD257*constants!$F$2+AE257*constants!$G$2)</f>
        <v>20630.792136422788</v>
      </c>
      <c r="AP257">
        <f t="shared" si="33"/>
        <v>17.477053070195307</v>
      </c>
    </row>
    <row r="258" spans="1:42">
      <c r="A258">
        <f>sim_annual_output!B258</f>
        <v>9</v>
      </c>
      <c r="B258" t="str">
        <f>sim_annual_output!C258</f>
        <v>Maintenance Shop</v>
      </c>
      <c r="C258" t="str">
        <f>sim_annual_output!D258</f>
        <v>1980-2004</v>
      </c>
      <c r="D258" t="str">
        <f>sim_annual_output!E258</f>
        <v>cooling_cop_3_0</v>
      </c>
      <c r="E258" s="45">
        <f t="array" ref="E258">IFERROR(INDEX(baseline!$J$3:$J$201,MATCH($B258&amp;$C258,baseline!$C$3:$C$201&amp;baseline!$D$3:$D$201,0)),"NA")</f>
        <v>1927</v>
      </c>
      <c r="F258">
        <f>sim_annual_output!G258</f>
        <v>2388.5449741513999</v>
      </c>
      <c r="G258">
        <f>$E258/$F258^2*sim_annual_output!I258</f>
        <v>0</v>
      </c>
      <c r="H258">
        <f>$E258/$F258^2*sim_annual_output!J258</f>
        <v>323.960219791822</v>
      </c>
      <c r="I258">
        <f>$E258/$F258^2*sim_annual_output!K258</f>
        <v>0.33776544408130049</v>
      </c>
      <c r="J258">
        <f>$E258/$F258^2*sim_annual_output!L258</f>
        <v>2.1701429782223558</v>
      </c>
      <c r="K258">
        <f>$E258/$F258^2*sim_annual_output!M258</f>
        <v>0</v>
      </c>
      <c r="L258">
        <f>$E258/$F258^2*sim_annual_output!N258</f>
        <v>28.425776831475446</v>
      </c>
      <c r="M258">
        <f>$E258/$F258^2*sim_annual_output!O258</f>
        <v>4.074764787903022</v>
      </c>
      <c r="N258">
        <f>$E258/$F258^2*sim_annual_output!P258</f>
        <v>0</v>
      </c>
      <c r="O258">
        <f>$E258/$F258^2*sim_annual_output!Q258</f>
        <v>18.079833631796276</v>
      </c>
      <c r="P258">
        <f>$E258/$F258^2*sim_annual_output!R258</f>
        <v>16.30844152505879</v>
      </c>
      <c r="Q258">
        <f>$E258/$F258^2*sim_annual_output!S258</f>
        <v>0</v>
      </c>
      <c r="R258">
        <f t="array" ref="R258">INDEX(G$3:G$700,MATCH($B258&amp;$C258&amp;"baseline",$B$3:$B$700&amp;$C$3:$C$700&amp;$D$3:$D$700,0))</f>
        <v>0</v>
      </c>
      <c r="S258">
        <f t="array" ref="S258">INDEX(H$3:H$700,MATCH($B258&amp;$C258&amp;"baseline",$B$3:$B$700&amp;$C$3:$C$700&amp;$D$3:$D$700,0))</f>
        <v>324.25294984335915</v>
      </c>
      <c r="T258">
        <f t="array" ref="T258">INDEX(I$3:I$700,MATCH($B258&amp;$C258&amp;"baseline",$B$3:$B$700&amp;$C$3:$C$700&amp;$D$3:$D$700,0))</f>
        <v>0.35277724159602492</v>
      </c>
      <c r="U258">
        <f t="array" ref="U258">INDEX(J$3:J$700,MATCH($B258&amp;$C258&amp;"baseline",$B$3:$B$700&amp;$C$3:$C$700&amp;$D$3:$D$700,0))</f>
        <v>2.1701429782223558</v>
      </c>
      <c r="V258">
        <f t="array" ref="V258">INDEX(K$3:K$700,MATCH($B258&amp;$C258&amp;"baseline",$B$3:$B$700&amp;$C$3:$C$700&amp;$D$3:$D$700,0))</f>
        <v>0</v>
      </c>
      <c r="W258">
        <f t="array" ref="W258">INDEX(L$3:L$700,MATCH($B258&amp;$C258&amp;"baseline",$B$3:$B$700&amp;$C$3:$C$700&amp;$D$3:$D$700,0))</f>
        <v>28.425776831475446</v>
      </c>
      <c r="X258">
        <f t="array" ref="X258">INDEX(M$3:M$700,MATCH($B258&amp;$C258&amp;"baseline",$B$3:$B$700&amp;$C$3:$C$700&amp;$D$3:$D$700,0))</f>
        <v>4.074764787903022</v>
      </c>
      <c r="Y258">
        <f t="array" ref="Y258">INDEX(N$3:N$700,MATCH($B258&amp;$C258&amp;"baseline",$B$3:$B$700&amp;$C$3:$C$700&amp;$D$3:$D$700,0))</f>
        <v>0</v>
      </c>
      <c r="Z258">
        <f t="array" ref="Z258">INDEX(O$3:O$700,MATCH($B258&amp;$C258&amp;"baseline",$B$3:$B$700&amp;$C$3:$C$700&amp;$D$3:$D$700,0))</f>
        <v>17.85559490642008</v>
      </c>
      <c r="AA258">
        <f t="array" ref="AA258">INDEX(P$3:P$700,MATCH($B258&amp;$C258&amp;"baseline",$B$3:$B$700&amp;$C$3:$C$700&amp;$D$3:$D$700,0))</f>
        <v>16.090770461095289</v>
      </c>
      <c r="AB258">
        <f t="array" ref="AB258">INDEX(Q$3:Q$700,MATCH($B258&amp;$C258&amp;"baseline",$B$3:$B$700&amp;$C$3:$C$700&amp;$D$3:$D$700,0))</f>
        <v>0</v>
      </c>
      <c r="AC258">
        <f t="shared" si="27"/>
        <v>393.22277705007139</v>
      </c>
      <c r="AD258">
        <f t="shared" si="28"/>
        <v>0.29273005153714848</v>
      </c>
      <c r="AE258">
        <f t="shared" si="29"/>
        <v>-0.42689799182497268</v>
      </c>
      <c r="AF258">
        <f t="shared" si="30"/>
        <v>-3.4120083606128393E-2</v>
      </c>
      <c r="AG258">
        <f>(S258+V258+Y258)*constants!$O$2+(R258+T258+U258+W258+X258+Z258+AA258+AB258)*constants!$N$2</f>
        <v>13.046488261820897</v>
      </c>
      <c r="AH258">
        <f>((S258+V258+Y258)-(H258+K258+N258))*constants!$O$2</f>
        <v>4.7422268349018052E-3</v>
      </c>
      <c r="AI258">
        <f>((R258+T258+U258+W258+X258+Z258+AA258+AB258)-(G258+I258+J258+L258+M258+O258+P258+Q258))*constants!$N$2</f>
        <v>-4.8239473076221916E-2</v>
      </c>
      <c r="AJ258">
        <f t="shared" si="31"/>
        <v>-0.33340194976919563</v>
      </c>
      <c r="AK258">
        <f t="shared" si="32"/>
        <v>-4.3497246241320113E-2</v>
      </c>
      <c r="AL258">
        <f>COUNTIFS($B:$B,$B258,$AK:$AK,"&lt;"&amp;$AK258)+COUNTIFS($B$2:$B258,$B258,$AK$2:$AK258,$AK258)</f>
        <v>6</v>
      </c>
      <c r="AM258" s="191">
        <f>IF(AK258=0, "NA",IF(((sim_annual_output!F258/E258)/AK258)&lt;0,100,((sim_annual_output!F258/E258)/AK258)))</f>
        <v>100</v>
      </c>
      <c r="AN258">
        <f>(S258+V258)*constants!$F$2+(T258+U258+W258+X258+Y258+Z258+AA258+AB258)*constants!$G$2</f>
        <v>118045.0276918009</v>
      </c>
      <c r="AO258">
        <f>(AD258*constants!$F$2+AE258*constants!$G$2)</f>
        <v>-319.00257366257665</v>
      </c>
      <c r="AP258">
        <f t="shared" si="33"/>
        <v>-0.27023804382125088</v>
      </c>
    </row>
    <row r="259" spans="1:42">
      <c r="A259">
        <f>sim_annual_output!B259</f>
        <v>9</v>
      </c>
      <c r="B259" t="str">
        <f>sim_annual_output!C259</f>
        <v>Maintenance Shop</v>
      </c>
      <c r="C259" t="str">
        <f>sim_annual_output!D259</f>
        <v>1980-2004</v>
      </c>
      <c r="D259" t="str">
        <f>sim_annual_output!E259</f>
        <v>dcv_enabled</v>
      </c>
      <c r="E259" s="45">
        <f t="array" ref="E259">IFERROR(INDEX(baseline!$J$3:$J$201,MATCH($B259&amp;$C259,baseline!$C$3:$C$201&amp;baseline!$D$3:$D$201,0)),"NA")</f>
        <v>1927</v>
      </c>
      <c r="F259">
        <f>sim_annual_output!G259</f>
        <v>2388.5449741513999</v>
      </c>
      <c r="G259">
        <f>$E259/$F259^2*sim_annual_output!I259</f>
        <v>0</v>
      </c>
      <c r="H259">
        <f>$E259/$F259^2*sim_annual_output!J259</f>
        <v>217.38302509869098</v>
      </c>
      <c r="I259">
        <f>$E259/$F259^2*sim_annual_output!K259</f>
        <v>0.44378626402904203</v>
      </c>
      <c r="J259">
        <f>$E259/$F259^2*sim_annual_output!L259</f>
        <v>2.1701429782223558</v>
      </c>
      <c r="K259">
        <f>$E259/$F259^2*sim_annual_output!M259</f>
        <v>0</v>
      </c>
      <c r="L259">
        <f>$E259/$F259^2*sim_annual_output!N259</f>
        <v>28.425776831475446</v>
      </c>
      <c r="M259">
        <f>$E259/$F259^2*sim_annual_output!O259</f>
        <v>4.074764787903022</v>
      </c>
      <c r="N259">
        <f>$E259/$F259^2*sim_annual_output!P259</f>
        <v>0</v>
      </c>
      <c r="O259">
        <f>$E259/$F259^2*sim_annual_output!Q259</f>
        <v>17.768338833365746</v>
      </c>
      <c r="P259">
        <f>$E259/$F259^2*sim_annual_output!R259</f>
        <v>16.30750328771412</v>
      </c>
      <c r="Q259">
        <f>$E259/$F259^2*sim_annual_output!S259</f>
        <v>0</v>
      </c>
      <c r="R259">
        <f t="array" ref="R259">INDEX(G$3:G$700,MATCH($B259&amp;$C259&amp;"baseline",$B$3:$B$700&amp;$C$3:$C$700&amp;$D$3:$D$700,0))</f>
        <v>0</v>
      </c>
      <c r="S259">
        <f t="array" ref="S259">INDEX(H$3:H$700,MATCH($B259&amp;$C259&amp;"baseline",$B$3:$B$700&amp;$C$3:$C$700&amp;$D$3:$D$700,0))</f>
        <v>324.25294984335915</v>
      </c>
      <c r="T259">
        <f t="array" ref="T259">INDEX(I$3:I$700,MATCH($B259&amp;$C259&amp;"baseline",$B$3:$B$700&amp;$C$3:$C$700&amp;$D$3:$D$700,0))</f>
        <v>0.35277724159602492</v>
      </c>
      <c r="U259">
        <f t="array" ref="U259">INDEX(J$3:J$700,MATCH($B259&amp;$C259&amp;"baseline",$B$3:$B$700&amp;$C$3:$C$700&amp;$D$3:$D$700,0))</f>
        <v>2.1701429782223558</v>
      </c>
      <c r="V259">
        <f t="array" ref="V259">INDEX(K$3:K$700,MATCH($B259&amp;$C259&amp;"baseline",$B$3:$B$700&amp;$C$3:$C$700&amp;$D$3:$D$700,0))</f>
        <v>0</v>
      </c>
      <c r="W259">
        <f t="array" ref="W259">INDEX(L$3:L$700,MATCH($B259&amp;$C259&amp;"baseline",$B$3:$B$700&amp;$C$3:$C$700&amp;$D$3:$D$700,0))</f>
        <v>28.425776831475446</v>
      </c>
      <c r="X259">
        <f t="array" ref="X259">INDEX(M$3:M$700,MATCH($B259&amp;$C259&amp;"baseline",$B$3:$B$700&amp;$C$3:$C$700&amp;$D$3:$D$700,0))</f>
        <v>4.074764787903022</v>
      </c>
      <c r="Y259">
        <f t="array" ref="Y259">INDEX(N$3:N$700,MATCH($B259&amp;$C259&amp;"baseline",$B$3:$B$700&amp;$C$3:$C$700&amp;$D$3:$D$700,0))</f>
        <v>0</v>
      </c>
      <c r="Z259">
        <f t="array" ref="Z259">INDEX(O$3:O$700,MATCH($B259&amp;$C259&amp;"baseline",$B$3:$B$700&amp;$C$3:$C$700&amp;$D$3:$D$700,0))</f>
        <v>17.85559490642008</v>
      </c>
      <c r="AA259">
        <f t="array" ref="AA259">INDEX(P$3:P$700,MATCH($B259&amp;$C259&amp;"baseline",$B$3:$B$700&amp;$C$3:$C$700&amp;$D$3:$D$700,0))</f>
        <v>16.090770461095289</v>
      </c>
      <c r="AB259">
        <f t="array" ref="AB259">INDEX(Q$3:Q$700,MATCH($B259&amp;$C259&amp;"baseline",$B$3:$B$700&amp;$C$3:$C$700&amp;$D$3:$D$700,0))</f>
        <v>0</v>
      </c>
      <c r="AC259">
        <f t="shared" ref="AC259:AC322" si="34">SUM(R259:AB259)</f>
        <v>393.22277705007139</v>
      </c>
      <c r="AD259">
        <f t="shared" ref="AD259:AD322" si="35">(S259+V259+Y259)-(H259+K259+N259)</f>
        <v>106.86992474466817</v>
      </c>
      <c r="AE259">
        <f t="shared" ref="AE259:AE322" si="36">(R259+T259+U259+W259+X259+Z259+AA259+AB259)-(G259+I259+J259+L259+M259+O259+P259+Q259)</f>
        <v>-0.22048577599753116</v>
      </c>
      <c r="AF259">
        <f t="shared" ref="AF259:AF322" si="37">(AD259+AE259)/AC259*100</f>
        <v>27.121887437128379</v>
      </c>
      <c r="AG259">
        <f>(S259+V259+Y259)*constants!$O$2+(R259+T259+U259+W259+X259+Z259+AA259+AB259)*constants!$N$2</f>
        <v>13.046488261820897</v>
      </c>
      <c r="AH259">
        <f>((S259+V259+Y259)-(H259+K259+N259))*constants!$O$2</f>
        <v>1.7312927808636243</v>
      </c>
      <c r="AI259">
        <f>((R259+T259+U259+W259+X259+Z259+AA259+AB259)-(G259+I259+J259+L259+M259+O259+P259+Q259))*constants!$N$2</f>
        <v>-2.4914892687721023E-2</v>
      </c>
      <c r="AJ259">
        <f t="shared" ref="AJ259:AJ322" si="38">(AH259+AI259)/AG259*100</f>
        <v>13.07921222885264</v>
      </c>
      <c r="AK259">
        <f t="shared" ref="AK259:AK322" si="39">AH259+AI259</f>
        <v>1.7063778881759033</v>
      </c>
      <c r="AL259">
        <f>COUNTIFS($B:$B,$B259,$AK:$AK,"&lt;"&amp;$AK259)+COUNTIFS($B$2:$B259,$B259,$AK$2:$AK259,$AK259)</f>
        <v>33</v>
      </c>
      <c r="AM259" s="191">
        <f>IF(AK259=0, "NA",IF(((sim_annual_output!F259/E259)/AK259)&lt;0,100,((sim_annual_output!F259/E259)/AK259)))</f>
        <v>2.7834247624729493</v>
      </c>
      <c r="AN259">
        <f>(S259+V259)*constants!$F$2+(T259+U259+W259+X259+Y259+Z259+AA259+AB259)*constants!$G$2</f>
        <v>118045.0276918009</v>
      </c>
      <c r="AO259">
        <f>(AD259*constants!$F$2+AE259*constants!$G$2)</f>
        <v>18937.893904177748</v>
      </c>
      <c r="AP259">
        <f t="shared" ref="AP259:AP322" si="40">AO259/AN259*100</f>
        <v>16.042940795119254</v>
      </c>
    </row>
    <row r="260" spans="1:42">
      <c r="A260">
        <f>sim_annual_output!B260</f>
        <v>9</v>
      </c>
      <c r="B260" t="str">
        <f>sim_annual_output!C260</f>
        <v>Maintenance Shop</v>
      </c>
      <c r="C260" t="str">
        <f>sim_annual_output!D260</f>
        <v>1980-2004</v>
      </c>
      <c r="D260" t="str">
        <f>sim_annual_output!E260</f>
        <v>ecm_cold_deck_reset_control</v>
      </c>
      <c r="E260" s="45">
        <f t="array" ref="E260">IFERROR(INDEX(baseline!$J$3:$J$201,MATCH($B260&amp;$C260,baseline!$C$3:$C$201&amp;baseline!$D$3:$D$201,0)),"NA")</f>
        <v>1927</v>
      </c>
      <c r="F260">
        <f>sim_annual_output!G260</f>
        <v>2388.5449741513999</v>
      </c>
      <c r="G260">
        <f>$E260/$F260^2*sim_annual_output!I260</f>
        <v>0</v>
      </c>
      <c r="H260">
        <f>$E260/$F260^2*sim_annual_output!J260</f>
        <v>324.41901785336574</v>
      </c>
      <c r="I260">
        <f>$E260/$F260^2*sim_annual_output!K260</f>
        <v>0.57607772962755133</v>
      </c>
      <c r="J260">
        <f>$E260/$F260^2*sim_annual_output!L260</f>
        <v>2.1701429782223558</v>
      </c>
      <c r="K260">
        <f>$E260/$F260^2*sim_annual_output!M260</f>
        <v>0</v>
      </c>
      <c r="L260">
        <f>$E260/$F260^2*sim_annual_output!N260</f>
        <v>28.425776831475446</v>
      </c>
      <c r="M260">
        <f>$E260/$F260^2*sim_annual_output!O260</f>
        <v>4.074764787903022</v>
      </c>
      <c r="N260">
        <f>$E260/$F260^2*sim_annual_output!P260</f>
        <v>0</v>
      </c>
      <c r="O260">
        <f>$E260/$F260^2*sim_annual_output!Q260</f>
        <v>18.084524818519629</v>
      </c>
      <c r="P260">
        <f>$E260/$F260^2*sim_annual_output!R260</f>
        <v>16.30844152505879</v>
      </c>
      <c r="Q260">
        <f>$E260/$F260^2*sim_annual_output!S260</f>
        <v>0</v>
      </c>
      <c r="R260">
        <f t="array" ref="R260">INDEX(G$3:G$700,MATCH($B260&amp;$C260&amp;"baseline",$B$3:$B$700&amp;$C$3:$C$700&amp;$D$3:$D$700,0))</f>
        <v>0</v>
      </c>
      <c r="S260">
        <f t="array" ref="S260">INDEX(H$3:H$700,MATCH($B260&amp;$C260&amp;"baseline",$B$3:$B$700&amp;$C$3:$C$700&amp;$D$3:$D$700,0))</f>
        <v>324.25294984335915</v>
      </c>
      <c r="T260">
        <f t="array" ref="T260">INDEX(I$3:I$700,MATCH($B260&amp;$C260&amp;"baseline",$B$3:$B$700&amp;$C$3:$C$700&amp;$D$3:$D$700,0))</f>
        <v>0.35277724159602492</v>
      </c>
      <c r="U260">
        <f t="array" ref="U260">INDEX(J$3:J$700,MATCH($B260&amp;$C260&amp;"baseline",$B$3:$B$700&amp;$C$3:$C$700&amp;$D$3:$D$700,0))</f>
        <v>2.1701429782223558</v>
      </c>
      <c r="V260">
        <f t="array" ref="V260">INDEX(K$3:K$700,MATCH($B260&amp;$C260&amp;"baseline",$B$3:$B$700&amp;$C$3:$C$700&amp;$D$3:$D$700,0))</f>
        <v>0</v>
      </c>
      <c r="W260">
        <f t="array" ref="W260">INDEX(L$3:L$700,MATCH($B260&amp;$C260&amp;"baseline",$B$3:$B$700&amp;$C$3:$C$700&amp;$D$3:$D$700,0))</f>
        <v>28.425776831475446</v>
      </c>
      <c r="X260">
        <f t="array" ref="X260">INDEX(M$3:M$700,MATCH($B260&amp;$C260&amp;"baseline",$B$3:$B$700&amp;$C$3:$C$700&amp;$D$3:$D$700,0))</f>
        <v>4.074764787903022</v>
      </c>
      <c r="Y260">
        <f t="array" ref="Y260">INDEX(N$3:N$700,MATCH($B260&amp;$C260&amp;"baseline",$B$3:$B$700&amp;$C$3:$C$700&amp;$D$3:$D$700,0))</f>
        <v>0</v>
      </c>
      <c r="Z260">
        <f t="array" ref="Z260">INDEX(O$3:O$700,MATCH($B260&amp;$C260&amp;"baseline",$B$3:$B$700&amp;$C$3:$C$700&amp;$D$3:$D$700,0))</f>
        <v>17.85559490642008</v>
      </c>
      <c r="AA260">
        <f t="array" ref="AA260">INDEX(P$3:P$700,MATCH($B260&amp;$C260&amp;"baseline",$B$3:$B$700&amp;$C$3:$C$700&amp;$D$3:$D$700,0))</f>
        <v>16.090770461095289</v>
      </c>
      <c r="AB260">
        <f t="array" ref="AB260">INDEX(Q$3:Q$700,MATCH($B260&amp;$C260&amp;"baseline",$B$3:$B$700&amp;$C$3:$C$700&amp;$D$3:$D$700,0))</f>
        <v>0</v>
      </c>
      <c r="AC260">
        <f t="shared" si="34"/>
        <v>393.22277705007139</v>
      </c>
      <c r="AD260">
        <f t="shared" si="35"/>
        <v>-0.16606801000659743</v>
      </c>
      <c r="AE260">
        <f t="shared" si="36"/>
        <v>-0.66990146409457907</v>
      </c>
      <c r="AF260">
        <f t="shared" si="37"/>
        <v>-0.21259436708436844</v>
      </c>
      <c r="AG260">
        <f>(S260+V260+Y260)*constants!$O$2+(R260+T260+U260+W260+X260+Z260+AA260+AB260)*constants!$N$2</f>
        <v>13.046488261820897</v>
      </c>
      <c r="AH260">
        <f>((S260+V260+Y260)-(H260+K260+N260))*constants!$O$2</f>
        <v>-2.6903017621068784E-3</v>
      </c>
      <c r="AI260">
        <f>((R260+T260+U260+W260+X260+Z260+AA260+AB260)-(G260+I260+J260+L260+M260+O260+P260+Q260))*constants!$N$2</f>
        <v>-7.5698865442687432E-2</v>
      </c>
      <c r="AJ260">
        <f t="shared" si="38"/>
        <v>-0.60084496020428368</v>
      </c>
      <c r="AK260">
        <f t="shared" si="39"/>
        <v>-7.8389167204794316E-2</v>
      </c>
      <c r="AL260">
        <f>COUNTIFS($B:$B,$B260,$AK:$AK,"&lt;"&amp;$AK260)+COUNTIFS($B$2:$B260,$B260,$AK$2:$AK260,$AK260)</f>
        <v>3</v>
      </c>
      <c r="AM260" s="191">
        <f>IF(AK260=0, "NA",IF(((sim_annual_output!F260/E260)/AK260)&lt;0,100,((sim_annual_output!F260/E260)/AK260)))</f>
        <v>100</v>
      </c>
      <c r="AN260">
        <f>(S260+V260)*constants!$F$2+(T260+U260+W260+X260+Y260+Z260+AA260+AB260)*constants!$G$2</f>
        <v>118045.0276918009</v>
      </c>
      <c r="AO260">
        <f>(AD260*constants!$F$2+AE260*constants!$G$2)</f>
        <v>-612.54044755346479</v>
      </c>
      <c r="AP260">
        <f t="shared" si="40"/>
        <v>-0.51890406527983746</v>
      </c>
    </row>
    <row r="261" spans="1:42">
      <c r="A261">
        <f>sim_annual_output!B261</f>
        <v>9</v>
      </c>
      <c r="B261" t="str">
        <f>sim_annual_output!C261</f>
        <v>Maintenance Shop</v>
      </c>
      <c r="C261" t="str">
        <f>sim_annual_output!D261</f>
        <v>1980-2004</v>
      </c>
      <c r="D261" t="str">
        <f>sim_annual_output!E261</f>
        <v>economizers_enabled</v>
      </c>
      <c r="E261" s="45">
        <f t="array" ref="E261">IFERROR(INDEX(baseline!$J$3:$J$201,MATCH($B261&amp;$C261,baseline!$C$3:$C$201&amp;baseline!$D$3:$D$201,0)),"NA")</f>
        <v>1927</v>
      </c>
      <c r="F261">
        <f>sim_annual_output!G261</f>
        <v>2388.5449741513999</v>
      </c>
      <c r="G261">
        <f>$E261/$F261^2*sim_annual_output!I261</f>
        <v>0</v>
      </c>
      <c r="H261">
        <f>$E261/$F261^2*sim_annual_output!J261</f>
        <v>324.17413790640683</v>
      </c>
      <c r="I261">
        <f>$E261/$F261^2*sim_annual_output!K261</f>
        <v>0.28053296605641348</v>
      </c>
      <c r="J261">
        <f>$E261/$F261^2*sim_annual_output!L261</f>
        <v>2.1701429782223558</v>
      </c>
      <c r="K261">
        <f>$E261/$F261^2*sim_annual_output!M261</f>
        <v>0</v>
      </c>
      <c r="L261">
        <f>$E261/$F261^2*sim_annual_output!N261</f>
        <v>28.425776831475446</v>
      </c>
      <c r="M261">
        <f>$E261/$F261^2*sim_annual_output!O261</f>
        <v>4.074764787903022</v>
      </c>
      <c r="N261">
        <f>$E261/$F261^2*sim_annual_output!P261</f>
        <v>0</v>
      </c>
      <c r="O261">
        <f>$E261/$F261^2*sim_annual_output!Q261</f>
        <v>18.083586581174959</v>
      </c>
      <c r="P261">
        <f>$E261/$F261^2*sim_annual_output!R261</f>
        <v>16.30844152505879</v>
      </c>
      <c r="Q261">
        <f>$E261/$F261^2*sim_annual_output!S261</f>
        <v>0</v>
      </c>
      <c r="R261">
        <f t="array" ref="R261">INDEX(G$3:G$700,MATCH($B261&amp;$C261&amp;"baseline",$B$3:$B$700&amp;$C$3:$C$700&amp;$D$3:$D$700,0))</f>
        <v>0</v>
      </c>
      <c r="S261">
        <f t="array" ref="S261">INDEX(H$3:H$700,MATCH($B261&amp;$C261&amp;"baseline",$B$3:$B$700&amp;$C$3:$C$700&amp;$D$3:$D$700,0))</f>
        <v>324.25294984335915</v>
      </c>
      <c r="T261">
        <f t="array" ref="T261">INDEX(I$3:I$700,MATCH($B261&amp;$C261&amp;"baseline",$B$3:$B$700&amp;$C$3:$C$700&amp;$D$3:$D$700,0))</f>
        <v>0.35277724159602492</v>
      </c>
      <c r="U261">
        <f t="array" ref="U261">INDEX(J$3:J$700,MATCH($B261&amp;$C261&amp;"baseline",$B$3:$B$700&amp;$C$3:$C$700&amp;$D$3:$D$700,0))</f>
        <v>2.1701429782223558</v>
      </c>
      <c r="V261">
        <f t="array" ref="V261">INDEX(K$3:K$700,MATCH($B261&amp;$C261&amp;"baseline",$B$3:$B$700&amp;$C$3:$C$700&amp;$D$3:$D$700,0))</f>
        <v>0</v>
      </c>
      <c r="W261">
        <f t="array" ref="W261">INDEX(L$3:L$700,MATCH($B261&amp;$C261&amp;"baseline",$B$3:$B$700&amp;$C$3:$C$700&amp;$D$3:$D$700,0))</f>
        <v>28.425776831475446</v>
      </c>
      <c r="X261">
        <f t="array" ref="X261">INDEX(M$3:M$700,MATCH($B261&amp;$C261&amp;"baseline",$B$3:$B$700&amp;$C$3:$C$700&amp;$D$3:$D$700,0))</f>
        <v>4.074764787903022</v>
      </c>
      <c r="Y261">
        <f t="array" ref="Y261">INDEX(N$3:N$700,MATCH($B261&amp;$C261&amp;"baseline",$B$3:$B$700&amp;$C$3:$C$700&amp;$D$3:$D$700,0))</f>
        <v>0</v>
      </c>
      <c r="Z261">
        <f t="array" ref="Z261">INDEX(O$3:O$700,MATCH($B261&amp;$C261&amp;"baseline",$B$3:$B$700&amp;$C$3:$C$700&amp;$D$3:$D$700,0))</f>
        <v>17.85559490642008</v>
      </c>
      <c r="AA261">
        <f t="array" ref="AA261">INDEX(P$3:P$700,MATCH($B261&amp;$C261&amp;"baseline",$B$3:$B$700&amp;$C$3:$C$700&amp;$D$3:$D$700,0))</f>
        <v>16.090770461095289</v>
      </c>
      <c r="AB261">
        <f t="array" ref="AB261">INDEX(Q$3:Q$700,MATCH($B261&amp;$C261&amp;"baseline",$B$3:$B$700&amp;$C$3:$C$700&amp;$D$3:$D$700,0))</f>
        <v>0</v>
      </c>
      <c r="AC261">
        <f t="shared" si="34"/>
        <v>393.22277705007139</v>
      </c>
      <c r="AD261">
        <f t="shared" si="35"/>
        <v>7.8811936952320139E-2</v>
      </c>
      <c r="AE261">
        <f t="shared" si="36"/>
        <v>-0.3734184631787798</v>
      </c>
      <c r="AF261">
        <f t="shared" si="37"/>
        <v>-7.4921022743539012E-2</v>
      </c>
      <c r="AG261">
        <f>(S261+V261+Y261)*constants!$O$2+(R261+T261+U261+W261+X261+Z261+AA261+AB261)*constants!$N$2</f>
        <v>13.046488261820897</v>
      </c>
      <c r="AH261">
        <f>((S261+V261+Y261)-(H261+K261+N261))*constants!$O$2</f>
        <v>1.2767533786275861E-3</v>
      </c>
      <c r="AI261">
        <f>((R261+T261+U261+W261+X261+Z261+AA261+AB261)-(G261+I261+J261+L261+M261+O261+P261+Q261))*constants!$N$2</f>
        <v>-4.2196286339202117E-2</v>
      </c>
      <c r="AJ261">
        <f t="shared" si="38"/>
        <v>-0.31364404075172481</v>
      </c>
      <c r="AK261">
        <f t="shared" si="39"/>
        <v>-4.0919532960574531E-2</v>
      </c>
      <c r="AL261">
        <f>COUNTIFS($B:$B,$B261,$AK:$AK,"&lt;"&amp;$AK261)+COUNTIFS($B$2:$B261,$B261,$AK$2:$AK261,$AK261)</f>
        <v>8</v>
      </c>
      <c r="AM261" s="191">
        <f>IF(AK261=0, "NA",IF(((sim_annual_output!F261/E261)/AK261)&lt;0,100,((sim_annual_output!F261/E261)/AK261)))</f>
        <v>100</v>
      </c>
      <c r="AN261">
        <f>(S261+V261)*constants!$F$2+(T261+U261+W261+X261+Y261+Z261+AA261+AB261)*constants!$G$2</f>
        <v>118045.0276918009</v>
      </c>
      <c r="AO261">
        <f>(AD261*constants!$F$2+AE261*constants!$G$2)</f>
        <v>-310.76672625107312</v>
      </c>
      <c r="AP261">
        <f t="shared" si="40"/>
        <v>-0.26326117442442531</v>
      </c>
    </row>
    <row r="262" spans="1:42">
      <c r="A262">
        <f>sim_annual_output!B262</f>
        <v>9</v>
      </c>
      <c r="B262" t="str">
        <f>sim_annual_output!C262</f>
        <v>Maintenance Shop</v>
      </c>
      <c r="C262" t="str">
        <f>sim_annual_output!D262</f>
        <v>1980-2004</v>
      </c>
      <c r="D262" t="str">
        <f>sim_annual_output!E262</f>
        <v>elec_reduce</v>
      </c>
      <c r="E262" s="45">
        <f t="array" ref="E262">IFERROR(INDEX(baseline!$J$3:$J$201,MATCH($B262&amp;$C262,baseline!$C$3:$C$201&amp;baseline!$D$3:$D$201,0)),"NA")</f>
        <v>1927</v>
      </c>
      <c r="F262">
        <f>sim_annual_output!G262</f>
        <v>2388.5449741513999</v>
      </c>
      <c r="G262">
        <f>$E262/$F262^2*sim_annual_output!I262</f>
        <v>0</v>
      </c>
      <c r="H262">
        <f>$E262/$F262^2*sim_annual_output!J262</f>
        <v>227.24577606586496</v>
      </c>
      <c r="I262">
        <f>$E262/$F262^2*sim_annual_output!K262</f>
        <v>0.36872727645541964</v>
      </c>
      <c r="J262">
        <f>$E262/$F262^2*sim_annual_output!L262</f>
        <v>2.1701429782223558</v>
      </c>
      <c r="K262">
        <f>$E262/$F262^2*sim_annual_output!M262</f>
        <v>0</v>
      </c>
      <c r="L262">
        <f>$E262/$F262^2*sim_annual_output!N262</f>
        <v>19.898137605767278</v>
      </c>
      <c r="M262">
        <f>$E262/$F262^2*sim_annual_output!O262</f>
        <v>4.074764787903022</v>
      </c>
      <c r="N262">
        <f>$E262/$F262^2*sim_annual_output!P262</f>
        <v>0</v>
      </c>
      <c r="O262">
        <f>$E262/$F262^2*sim_annual_output!Q262</f>
        <v>16.498903706026859</v>
      </c>
      <c r="P262">
        <f>$E262/$F262^2*sim_annual_output!R262</f>
        <v>12.684968899942174</v>
      </c>
      <c r="Q262">
        <f>$E262/$F262^2*sim_annual_output!S262</f>
        <v>0</v>
      </c>
      <c r="R262">
        <f t="array" ref="R262">INDEX(G$3:G$700,MATCH($B262&amp;$C262&amp;"baseline",$B$3:$B$700&amp;$C$3:$C$700&amp;$D$3:$D$700,0))</f>
        <v>0</v>
      </c>
      <c r="S262">
        <f t="array" ref="S262">INDEX(H$3:H$700,MATCH($B262&amp;$C262&amp;"baseline",$B$3:$B$700&amp;$C$3:$C$700&amp;$D$3:$D$700,0))</f>
        <v>324.25294984335915</v>
      </c>
      <c r="T262">
        <f t="array" ref="T262">INDEX(I$3:I$700,MATCH($B262&amp;$C262&amp;"baseline",$B$3:$B$700&amp;$C$3:$C$700&amp;$D$3:$D$700,0))</f>
        <v>0.35277724159602492</v>
      </c>
      <c r="U262">
        <f t="array" ref="U262">INDEX(J$3:J$700,MATCH($B262&amp;$C262&amp;"baseline",$B$3:$B$700&amp;$C$3:$C$700&amp;$D$3:$D$700,0))</f>
        <v>2.1701429782223558</v>
      </c>
      <c r="V262">
        <f t="array" ref="V262">INDEX(K$3:K$700,MATCH($B262&amp;$C262&amp;"baseline",$B$3:$B$700&amp;$C$3:$C$700&amp;$D$3:$D$700,0))</f>
        <v>0</v>
      </c>
      <c r="W262">
        <f t="array" ref="W262">INDEX(L$3:L$700,MATCH($B262&amp;$C262&amp;"baseline",$B$3:$B$700&amp;$C$3:$C$700&amp;$D$3:$D$700,0))</f>
        <v>28.425776831475446</v>
      </c>
      <c r="X262">
        <f t="array" ref="X262">INDEX(M$3:M$700,MATCH($B262&amp;$C262&amp;"baseline",$B$3:$B$700&amp;$C$3:$C$700&amp;$D$3:$D$700,0))</f>
        <v>4.074764787903022</v>
      </c>
      <c r="Y262">
        <f t="array" ref="Y262">INDEX(N$3:N$700,MATCH($B262&amp;$C262&amp;"baseline",$B$3:$B$700&amp;$C$3:$C$700&amp;$D$3:$D$700,0))</f>
        <v>0</v>
      </c>
      <c r="Z262">
        <f t="array" ref="Z262">INDEX(O$3:O$700,MATCH($B262&amp;$C262&amp;"baseline",$B$3:$B$700&amp;$C$3:$C$700&amp;$D$3:$D$700,0))</f>
        <v>17.85559490642008</v>
      </c>
      <c r="AA262">
        <f t="array" ref="AA262">INDEX(P$3:P$700,MATCH($B262&amp;$C262&amp;"baseline",$B$3:$B$700&amp;$C$3:$C$700&amp;$D$3:$D$700,0))</f>
        <v>16.090770461095289</v>
      </c>
      <c r="AB262">
        <f t="array" ref="AB262">INDEX(Q$3:Q$700,MATCH($B262&amp;$C262&amp;"baseline",$B$3:$B$700&amp;$C$3:$C$700&amp;$D$3:$D$700,0))</f>
        <v>0</v>
      </c>
      <c r="AC262">
        <f t="shared" si="34"/>
        <v>393.22277705007139</v>
      </c>
      <c r="AD262">
        <f t="shared" si="35"/>
        <v>97.007173777494188</v>
      </c>
      <c r="AE262">
        <f t="shared" si="36"/>
        <v>13.274181952395097</v>
      </c>
      <c r="AF262">
        <f t="shared" si="37"/>
        <v>28.045515714326619</v>
      </c>
      <c r="AG262">
        <f>(S262+V262+Y262)*constants!$O$2+(R262+T262+U262+W262+X262+Z262+AA262+AB262)*constants!$N$2</f>
        <v>13.046488261820897</v>
      </c>
      <c r="AH262">
        <f>((S262+V262+Y262)-(H262+K262+N262))*constants!$O$2</f>
        <v>1.5715162151954059</v>
      </c>
      <c r="AI262">
        <f>((R262+T262+U262+W262+X262+Z262+AA262+AB262)-(G262+I262+J262+L262+M262+O262+P262+Q262))*constants!$N$2</f>
        <v>1.4999825606206461</v>
      </c>
      <c r="AJ262">
        <f t="shared" si="38"/>
        <v>23.542724403504451</v>
      </c>
      <c r="AK262">
        <f t="shared" si="39"/>
        <v>3.0714987758160519</v>
      </c>
      <c r="AL262">
        <f>COUNTIFS($B:$B,$B262,$AK:$AK,"&lt;"&amp;$AK262)+COUNTIFS($B$2:$B262,$B262,$AK$2:$AK262,$AK262)</f>
        <v>38</v>
      </c>
      <c r="AM262" s="191">
        <f>IF(AK262=0, "NA",IF(((sim_annual_output!F262/E262)/AK262)&lt;0,100,((sim_annual_output!F262/E262)/AK262)))</f>
        <v>10.769738023878158</v>
      </c>
      <c r="AN262">
        <f>(S262+V262)*constants!$F$2+(T262+U262+W262+X262+Y262+Z262+AA262+AB262)*constants!$G$2</f>
        <v>118045.0276918009</v>
      </c>
      <c r="AO262">
        <f>(AD262*constants!$F$2+AE262*constants!$G$2)</f>
        <v>28912.822404755192</v>
      </c>
      <c r="AP262">
        <f t="shared" si="40"/>
        <v>24.493045552280726</v>
      </c>
    </row>
    <row r="263" spans="1:42">
      <c r="A263">
        <f>sim_annual_output!B263</f>
        <v>9</v>
      </c>
      <c r="B263" t="str">
        <f>sim_annual_output!C263</f>
        <v>Maintenance Shop</v>
      </c>
      <c r="C263" t="str">
        <f>sim_annual_output!D263</f>
        <v>1980-2004</v>
      </c>
      <c r="D263" t="str">
        <f>sim_annual_output!E263</f>
        <v>envelope_ecm_roof</v>
      </c>
      <c r="E263" s="45">
        <f t="array" ref="E263">IFERROR(INDEX(baseline!$J$3:$J$201,MATCH($B263&amp;$C263,baseline!$C$3:$C$201&amp;baseline!$D$3:$D$201,0)),"NA")</f>
        <v>1927</v>
      </c>
      <c r="F263">
        <f>sim_annual_output!G263</f>
        <v>2388.5449741513999</v>
      </c>
      <c r="G263">
        <f>$E263/$F263^2*sim_annual_output!I263</f>
        <v>0</v>
      </c>
      <c r="H263">
        <f>$E263/$F263^2*sim_annual_output!J263</f>
        <v>312.88057498861065</v>
      </c>
      <c r="I263">
        <f>$E263/$F263^2*sim_annual_output!K263</f>
        <v>0.39218321007217666</v>
      </c>
      <c r="J263">
        <f>$E263/$F263^2*sim_annual_output!L263</f>
        <v>2.1701429782223558</v>
      </c>
      <c r="K263">
        <f>$E263/$F263^2*sim_annual_output!M263</f>
        <v>0</v>
      </c>
      <c r="L263">
        <f>$E263/$F263^2*sim_annual_output!N263</f>
        <v>28.425776831475446</v>
      </c>
      <c r="M263">
        <f>$E263/$F263^2*sim_annual_output!O263</f>
        <v>4.074764787903022</v>
      </c>
      <c r="N263">
        <f>$E263/$F263^2*sim_annual_output!P263</f>
        <v>0</v>
      </c>
      <c r="O263">
        <f>$E263/$F263^2*sim_annual_output!Q263</f>
        <v>17.367711487191535</v>
      </c>
      <c r="P263">
        <f>$E263/$F263^2*sim_annual_output!R263</f>
        <v>15.657304807857619</v>
      </c>
      <c r="Q263">
        <f>$E263/$F263^2*sim_annual_output!S263</f>
        <v>0</v>
      </c>
      <c r="R263">
        <f t="array" ref="R263">INDEX(G$3:G$700,MATCH($B263&amp;$C263&amp;"baseline",$B$3:$B$700&amp;$C$3:$C$700&amp;$D$3:$D$700,0))</f>
        <v>0</v>
      </c>
      <c r="S263">
        <f t="array" ref="S263">INDEX(H$3:H$700,MATCH($B263&amp;$C263&amp;"baseline",$B$3:$B$700&amp;$C$3:$C$700&amp;$D$3:$D$700,0))</f>
        <v>324.25294984335915</v>
      </c>
      <c r="T263">
        <f t="array" ref="T263">INDEX(I$3:I$700,MATCH($B263&amp;$C263&amp;"baseline",$B$3:$B$700&amp;$C$3:$C$700&amp;$D$3:$D$700,0))</f>
        <v>0.35277724159602492</v>
      </c>
      <c r="U263">
        <f t="array" ref="U263">INDEX(J$3:J$700,MATCH($B263&amp;$C263&amp;"baseline",$B$3:$B$700&amp;$C$3:$C$700&amp;$D$3:$D$700,0))</f>
        <v>2.1701429782223558</v>
      </c>
      <c r="V263">
        <f t="array" ref="V263">INDEX(K$3:K$700,MATCH($B263&amp;$C263&amp;"baseline",$B$3:$B$700&amp;$C$3:$C$700&amp;$D$3:$D$700,0))</f>
        <v>0</v>
      </c>
      <c r="W263">
        <f t="array" ref="W263">INDEX(L$3:L$700,MATCH($B263&amp;$C263&amp;"baseline",$B$3:$B$700&amp;$C$3:$C$700&amp;$D$3:$D$700,0))</f>
        <v>28.425776831475446</v>
      </c>
      <c r="X263">
        <f t="array" ref="X263">INDEX(M$3:M$700,MATCH($B263&amp;$C263&amp;"baseline",$B$3:$B$700&amp;$C$3:$C$700&amp;$D$3:$D$700,0))</f>
        <v>4.074764787903022</v>
      </c>
      <c r="Y263">
        <f t="array" ref="Y263">INDEX(N$3:N$700,MATCH($B263&amp;$C263&amp;"baseline",$B$3:$B$700&amp;$C$3:$C$700&amp;$D$3:$D$700,0))</f>
        <v>0</v>
      </c>
      <c r="Z263">
        <f t="array" ref="Z263">INDEX(O$3:O$700,MATCH($B263&amp;$C263&amp;"baseline",$B$3:$B$700&amp;$C$3:$C$700&amp;$D$3:$D$700,0))</f>
        <v>17.85559490642008</v>
      </c>
      <c r="AA263">
        <f t="array" ref="AA263">INDEX(P$3:P$700,MATCH($B263&amp;$C263&amp;"baseline",$B$3:$B$700&amp;$C$3:$C$700&amp;$D$3:$D$700,0))</f>
        <v>16.090770461095289</v>
      </c>
      <c r="AB263">
        <f t="array" ref="AB263">INDEX(Q$3:Q$700,MATCH($B263&amp;$C263&amp;"baseline",$B$3:$B$700&amp;$C$3:$C$700&amp;$D$3:$D$700,0))</f>
        <v>0</v>
      </c>
      <c r="AC263">
        <f t="shared" si="34"/>
        <v>393.22277705007139</v>
      </c>
      <c r="AD263">
        <f t="shared" si="35"/>
        <v>11.3723748547485</v>
      </c>
      <c r="AE263">
        <f t="shared" si="36"/>
        <v>0.8819431039900536</v>
      </c>
      <c r="AF263">
        <f t="shared" si="37"/>
        <v>3.1163805033547534</v>
      </c>
      <c r="AG263">
        <f>(S263+V263+Y263)*constants!$O$2+(R263+T263+U263+W263+X263+Z263+AA263+AB263)*constants!$N$2</f>
        <v>13.046488261820897</v>
      </c>
      <c r="AH263">
        <f>((S263+V263+Y263)-(H263+K263+N263))*constants!$O$2</f>
        <v>0.18423247264692569</v>
      </c>
      <c r="AI263">
        <f>((R263+T263+U263+W263+X263+Z263+AA263+AB263)-(G263+I263+J263+L263+M263+O263+P263+Q263))*constants!$N$2</f>
        <v>9.9659570750876059E-2</v>
      </c>
      <c r="AJ263">
        <f t="shared" si="38"/>
        <v>2.1760035168128753</v>
      </c>
      <c r="AK263">
        <f t="shared" si="39"/>
        <v>0.28389204339780172</v>
      </c>
      <c r="AL263">
        <f>COUNTIFS($B:$B,$B263,$AK:$AK,"&lt;"&amp;$AK263)+COUNTIFS($B$2:$B263,$B263,$AK$2:$AK263,$AK263)</f>
        <v>25</v>
      </c>
      <c r="AM263" s="191">
        <f>IF(AK263=0, "NA",IF(((sim_annual_output!F263/E263)/AK263)&lt;0,100,((sim_annual_output!F263/E263)/AK263)))</f>
        <v>471.56400626197427</v>
      </c>
      <c r="AN263">
        <f>(S263+V263)*constants!$F$2+(T263+U263+W263+X263+Y263+Z263+AA263+AB263)*constants!$G$2</f>
        <v>118045.0276918009</v>
      </c>
      <c r="AO263">
        <f>(AD263*constants!$F$2+AE263*constants!$G$2)</f>
        <v>2802.945599471328</v>
      </c>
      <c r="AP263">
        <f t="shared" si="40"/>
        <v>2.3744715506267897</v>
      </c>
    </row>
    <row r="264" spans="1:42">
      <c r="A264">
        <f>sim_annual_output!B264</f>
        <v>9</v>
      </c>
      <c r="B264" t="str">
        <f>sim_annual_output!C264</f>
        <v>Maintenance Shop</v>
      </c>
      <c r="C264" t="str">
        <f>sim_annual_output!D264</f>
        <v>1980-2004</v>
      </c>
      <c r="D264" t="str">
        <f>sim_annual_output!E264</f>
        <v>envelope_ecm_wall</v>
      </c>
      <c r="E264" s="45">
        <f t="array" ref="E264">IFERROR(INDEX(baseline!$J$3:$J$201,MATCH($B264&amp;$C264,baseline!$C$3:$C$201&amp;baseline!$D$3:$D$201,0)),"NA")</f>
        <v>1927</v>
      </c>
      <c r="F264">
        <f>sim_annual_output!G264</f>
        <v>2388.5449741513999</v>
      </c>
      <c r="G264">
        <f>$E264/$F264^2*sim_annual_output!I264</f>
        <v>0</v>
      </c>
      <c r="H264">
        <f>$E264/$F264^2*sim_annual_output!J264</f>
        <v>312.02114958089271</v>
      </c>
      <c r="I264">
        <f>$E264/$F264^2*sim_annual_output!K264</f>
        <v>0.39687439679552805</v>
      </c>
      <c r="J264">
        <f>$E264/$F264^2*sim_annual_output!L264</f>
        <v>2.1701429782223558</v>
      </c>
      <c r="K264">
        <f>$E264/$F264^2*sim_annual_output!M264</f>
        <v>0</v>
      </c>
      <c r="L264">
        <f>$E264/$F264^2*sim_annual_output!N264</f>
        <v>28.425776831475446</v>
      </c>
      <c r="M264">
        <f>$E264/$F264^2*sim_annual_output!O264</f>
        <v>4.074764787903022</v>
      </c>
      <c r="N264">
        <f>$E264/$F264^2*sim_annual_output!P264</f>
        <v>0</v>
      </c>
      <c r="O264">
        <f>$E264/$F264^2*sim_annual_output!Q264</f>
        <v>17.328305518715386</v>
      </c>
      <c r="P264">
        <f>$E264/$F264^2*sim_annual_output!R264</f>
        <v>15.613207652658113</v>
      </c>
      <c r="Q264">
        <f>$E264/$F264^2*sim_annual_output!S264</f>
        <v>0</v>
      </c>
      <c r="R264">
        <f t="array" ref="R264">INDEX(G$3:G$700,MATCH($B264&amp;$C264&amp;"baseline",$B$3:$B$700&amp;$C$3:$C$700&amp;$D$3:$D$700,0))</f>
        <v>0</v>
      </c>
      <c r="S264">
        <f t="array" ref="S264">INDEX(H$3:H$700,MATCH($B264&amp;$C264&amp;"baseline",$B$3:$B$700&amp;$C$3:$C$700&amp;$D$3:$D$700,0))</f>
        <v>324.25294984335915</v>
      </c>
      <c r="T264">
        <f t="array" ref="T264">INDEX(I$3:I$700,MATCH($B264&amp;$C264&amp;"baseline",$B$3:$B$700&amp;$C$3:$C$700&amp;$D$3:$D$700,0))</f>
        <v>0.35277724159602492</v>
      </c>
      <c r="U264">
        <f t="array" ref="U264">INDEX(J$3:J$700,MATCH($B264&amp;$C264&amp;"baseline",$B$3:$B$700&amp;$C$3:$C$700&amp;$D$3:$D$700,0))</f>
        <v>2.1701429782223558</v>
      </c>
      <c r="V264">
        <f t="array" ref="V264">INDEX(K$3:K$700,MATCH($B264&amp;$C264&amp;"baseline",$B$3:$B$700&amp;$C$3:$C$700&amp;$D$3:$D$700,0))</f>
        <v>0</v>
      </c>
      <c r="W264">
        <f t="array" ref="W264">INDEX(L$3:L$700,MATCH($B264&amp;$C264&amp;"baseline",$B$3:$B$700&amp;$C$3:$C$700&amp;$D$3:$D$700,0))</f>
        <v>28.425776831475446</v>
      </c>
      <c r="X264">
        <f t="array" ref="X264">INDEX(M$3:M$700,MATCH($B264&amp;$C264&amp;"baseline",$B$3:$B$700&amp;$C$3:$C$700&amp;$D$3:$D$700,0))</f>
        <v>4.074764787903022</v>
      </c>
      <c r="Y264">
        <f t="array" ref="Y264">INDEX(N$3:N$700,MATCH($B264&amp;$C264&amp;"baseline",$B$3:$B$700&amp;$C$3:$C$700&amp;$D$3:$D$700,0))</f>
        <v>0</v>
      </c>
      <c r="Z264">
        <f t="array" ref="Z264">INDEX(O$3:O$700,MATCH($B264&amp;$C264&amp;"baseline",$B$3:$B$700&amp;$C$3:$C$700&amp;$D$3:$D$700,0))</f>
        <v>17.85559490642008</v>
      </c>
      <c r="AA264">
        <f t="array" ref="AA264">INDEX(P$3:P$700,MATCH($B264&amp;$C264&amp;"baseline",$B$3:$B$700&amp;$C$3:$C$700&amp;$D$3:$D$700,0))</f>
        <v>16.090770461095289</v>
      </c>
      <c r="AB264">
        <f t="array" ref="AB264">INDEX(Q$3:Q$700,MATCH($B264&amp;$C264&amp;"baseline",$B$3:$B$700&amp;$C$3:$C$700&amp;$D$3:$D$700,0))</f>
        <v>0</v>
      </c>
      <c r="AC264">
        <f t="shared" si="34"/>
        <v>393.22277705007139</v>
      </c>
      <c r="AD264">
        <f t="shared" si="35"/>
        <v>12.231800262466436</v>
      </c>
      <c r="AE264">
        <f t="shared" si="36"/>
        <v>0.96075504094235953</v>
      </c>
      <c r="AF264">
        <f t="shared" si="37"/>
        <v>3.3549824866144289</v>
      </c>
      <c r="AG264">
        <f>(S264+V264+Y264)*constants!$O$2+(R264+T264+U264+W264+X264+Z264+AA264+AB264)*constants!$N$2</f>
        <v>13.046488261820897</v>
      </c>
      <c r="AH264">
        <f>((S264+V264+Y264)-(H264+K264+N264))*constants!$O$2</f>
        <v>0.19815516425195626</v>
      </c>
      <c r="AI264">
        <f>((R264+T264+U264+W264+X264+Z264+AA264+AB264)-(G264+I264+J264+L264+M264+O264+P264+Q264))*constants!$N$2</f>
        <v>0.10856531962648663</v>
      </c>
      <c r="AJ264">
        <f t="shared" si="38"/>
        <v>2.3509811814726143</v>
      </c>
      <c r="AK264">
        <f t="shared" si="39"/>
        <v>0.30672048387844286</v>
      </c>
      <c r="AL264">
        <f>COUNTIFS($B:$B,$B264,$AK:$AK,"&lt;"&amp;$AK264)+COUNTIFS($B$2:$B264,$B264,$AK$2:$AK264,$AK264)</f>
        <v>26</v>
      </c>
      <c r="AM264" s="191">
        <f>IF(AK264=0, "NA",IF(((sim_annual_output!F264/E264)/AK264)&lt;0,100,((sim_annual_output!F264/E264)/AK264)))</f>
        <v>847.38231013657162</v>
      </c>
      <c r="AN264">
        <f>(S264+V264)*constants!$F$2+(T264+U264+W264+X264+Y264+Z264+AA264+AB264)*constants!$G$2</f>
        <v>118045.0276918009</v>
      </c>
      <c r="AO264">
        <f>(AD264*constants!$F$2+AE264*constants!$G$2)</f>
        <v>3025.3491326013445</v>
      </c>
      <c r="AP264">
        <f t="shared" si="40"/>
        <v>2.5628772272391758</v>
      </c>
    </row>
    <row r="265" spans="1:42">
      <c r="A265">
        <f>sim_annual_output!B265</f>
        <v>9</v>
      </c>
      <c r="B265" t="str">
        <f>sim_annual_output!C265</f>
        <v>Maintenance Shop</v>
      </c>
      <c r="C265" t="str">
        <f>sim_annual_output!D265</f>
        <v>1980-2004</v>
      </c>
      <c r="D265" t="str">
        <f>sim_annual_output!E265</f>
        <v>envelope_ecm_windows</v>
      </c>
      <c r="E265" s="45">
        <f t="array" ref="E265">IFERROR(INDEX(baseline!$J$3:$J$201,MATCH($B265&amp;$C265,baseline!$C$3:$C$201&amp;baseline!$D$3:$D$201,0)),"NA")</f>
        <v>1927</v>
      </c>
      <c r="F265">
        <f>sim_annual_output!G265</f>
        <v>2388.5449741513999</v>
      </c>
      <c r="G265">
        <f>$E265/$F265^2*sim_annual_output!I265</f>
        <v>0</v>
      </c>
      <c r="H265">
        <f>$E265/$F265^2*sim_annual_output!J265</f>
        <v>321.08733704244156</v>
      </c>
      <c r="I265">
        <f>$E265/$F265^2*sim_annual_output!K265</f>
        <v>0.42689799182497695</v>
      </c>
      <c r="J265">
        <f>$E265/$F265^2*sim_annual_output!L265</f>
        <v>2.1701429782223558</v>
      </c>
      <c r="K265">
        <f>$E265/$F265^2*sim_annual_output!M265</f>
        <v>0</v>
      </c>
      <c r="L265">
        <f>$E265/$F265^2*sim_annual_output!N265</f>
        <v>28.425776831475446</v>
      </c>
      <c r="M265">
        <f>$E265/$F265^2*sim_annual_output!O265</f>
        <v>4.074764787903022</v>
      </c>
      <c r="N265">
        <f>$E265/$F265^2*sim_annual_output!P265</f>
        <v>0</v>
      </c>
      <c r="O265">
        <f>$E265/$F265^2*sim_annual_output!Q265</f>
        <v>18.017909967048038</v>
      </c>
      <c r="P265">
        <f>$E265/$F265^2*sim_annual_output!R265</f>
        <v>16.227753113417148</v>
      </c>
      <c r="Q265">
        <f>$E265/$F265^2*sim_annual_output!S265</f>
        <v>0</v>
      </c>
      <c r="R265">
        <f t="array" ref="R265">INDEX(G$3:G$700,MATCH($B265&amp;$C265&amp;"baseline",$B$3:$B$700&amp;$C$3:$C$700&amp;$D$3:$D$700,0))</f>
        <v>0</v>
      </c>
      <c r="S265">
        <f t="array" ref="S265">INDEX(H$3:H$700,MATCH($B265&amp;$C265&amp;"baseline",$B$3:$B$700&amp;$C$3:$C$700&amp;$D$3:$D$700,0))</f>
        <v>324.25294984335915</v>
      </c>
      <c r="T265">
        <f t="array" ref="T265">INDEX(I$3:I$700,MATCH($B265&amp;$C265&amp;"baseline",$B$3:$B$700&amp;$C$3:$C$700&amp;$D$3:$D$700,0))</f>
        <v>0.35277724159602492</v>
      </c>
      <c r="U265">
        <f t="array" ref="U265">INDEX(J$3:J$700,MATCH($B265&amp;$C265&amp;"baseline",$B$3:$B$700&amp;$C$3:$C$700&amp;$D$3:$D$700,0))</f>
        <v>2.1701429782223558</v>
      </c>
      <c r="V265">
        <f t="array" ref="V265">INDEX(K$3:K$700,MATCH($B265&amp;$C265&amp;"baseline",$B$3:$B$700&amp;$C$3:$C$700&amp;$D$3:$D$700,0))</f>
        <v>0</v>
      </c>
      <c r="W265">
        <f t="array" ref="W265">INDEX(L$3:L$700,MATCH($B265&amp;$C265&amp;"baseline",$B$3:$B$700&amp;$C$3:$C$700&amp;$D$3:$D$700,0))</f>
        <v>28.425776831475446</v>
      </c>
      <c r="X265">
        <f t="array" ref="X265">INDEX(M$3:M$700,MATCH($B265&amp;$C265&amp;"baseline",$B$3:$B$700&amp;$C$3:$C$700&amp;$D$3:$D$700,0))</f>
        <v>4.074764787903022</v>
      </c>
      <c r="Y265">
        <f t="array" ref="Y265">INDEX(N$3:N$700,MATCH($B265&amp;$C265&amp;"baseline",$B$3:$B$700&amp;$C$3:$C$700&amp;$D$3:$D$700,0))</f>
        <v>0</v>
      </c>
      <c r="Z265">
        <f t="array" ref="Z265">INDEX(O$3:O$700,MATCH($B265&amp;$C265&amp;"baseline",$B$3:$B$700&amp;$C$3:$C$700&amp;$D$3:$D$700,0))</f>
        <v>17.85559490642008</v>
      </c>
      <c r="AA265">
        <f t="array" ref="AA265">INDEX(P$3:P$700,MATCH($B265&amp;$C265&amp;"baseline",$B$3:$B$700&amp;$C$3:$C$700&amp;$D$3:$D$700,0))</f>
        <v>16.090770461095289</v>
      </c>
      <c r="AB265">
        <f t="array" ref="AB265">INDEX(Q$3:Q$700,MATCH($B265&amp;$C265&amp;"baseline",$B$3:$B$700&amp;$C$3:$C$700&amp;$D$3:$D$700,0))</f>
        <v>0</v>
      </c>
      <c r="AC265">
        <f t="shared" si="34"/>
        <v>393.22277705007139</v>
      </c>
      <c r="AD265">
        <f t="shared" si="35"/>
        <v>3.1656128009175859</v>
      </c>
      <c r="AE265">
        <f t="shared" si="36"/>
        <v>-0.3734184631787798</v>
      </c>
      <c r="AF265">
        <f t="shared" si="37"/>
        <v>0.71007950218083615</v>
      </c>
      <c r="AG265">
        <f>(S265+V265+Y265)*constants!$O$2+(R265+T265+U265+W265+X265+Z265+AA265+AB265)*constants!$N$2</f>
        <v>13.046488261820897</v>
      </c>
      <c r="AH265">
        <f>((S265+V265+Y265)-(H265+K265+N265))*constants!$O$2</f>
        <v>5.1282927374864888E-2</v>
      </c>
      <c r="AI265">
        <f>((R265+T265+U265+W265+X265+Z265+AA265+AB265)-(G265+I265+J265+L265+M265+O265+P265+Q265))*constants!$N$2</f>
        <v>-4.2196286339202117E-2</v>
      </c>
      <c r="AJ265">
        <f t="shared" si="38"/>
        <v>6.9648175457711625E-2</v>
      </c>
      <c r="AK265">
        <f t="shared" si="39"/>
        <v>9.0866410356627708E-3</v>
      </c>
      <c r="AL265">
        <f>COUNTIFS($B:$B,$B265,$AK:$AK,"&lt;"&amp;$AK265)+COUNTIFS($B$2:$B265,$B265,$AK$2:$AK265,$AK265)</f>
        <v>17</v>
      </c>
      <c r="AM265" s="191">
        <f>IF(AK265=0, "NA",IF(((sim_annual_output!F265/E265)/AK265)&lt;0,100,((sim_annual_output!F265/E265)/AK265)))</f>
        <v>4152.0895142790423</v>
      </c>
      <c r="AN265">
        <f>(S265+V265)*constants!$F$2+(T265+U265+W265+X265+Y265+Z265+AA265+AB265)*constants!$G$2</f>
        <v>118045.0276918009</v>
      </c>
      <c r="AO265">
        <f>(AD265*constants!$F$2+AE265*constants!$G$2)</f>
        <v>241.77062839870939</v>
      </c>
      <c r="AP265">
        <f t="shared" si="40"/>
        <v>0.2048122086344363</v>
      </c>
    </row>
    <row r="266" spans="1:42">
      <c r="A266">
        <f>sim_annual_output!B266</f>
        <v>9</v>
      </c>
      <c r="B266" t="str">
        <f>sim_annual_output!C266</f>
        <v>Maintenance Shop</v>
      </c>
      <c r="C266" t="str">
        <f>sim_annual_output!D266</f>
        <v>1980-2004</v>
      </c>
      <c r="D266" t="str">
        <f>sim_annual_output!E266</f>
        <v>exhaust_fans_occ_control</v>
      </c>
      <c r="E266" s="45">
        <f t="array" ref="E266">IFERROR(INDEX(baseline!$J$3:$J$201,MATCH($B266&amp;$C266,baseline!$C$3:$C$201&amp;baseline!$D$3:$D$201,0)),"NA")</f>
        <v>1927</v>
      </c>
      <c r="F266">
        <f>sim_annual_output!G266</f>
        <v>2388.5449741513999</v>
      </c>
      <c r="G266">
        <f>$E266/$F266^2*sim_annual_output!I266</f>
        <v>0</v>
      </c>
      <c r="H266">
        <f>$E266/$F266^2*sim_annual_output!J266</f>
        <v>323.76506642413057</v>
      </c>
      <c r="I266">
        <f>$E266/$F266^2*sim_annual_output!K266</f>
        <v>0.3940596847615172</v>
      </c>
      <c r="J266">
        <f>$E266/$F266^2*sim_annual_output!L266</f>
        <v>2.1701429782223558</v>
      </c>
      <c r="K266">
        <f>$E266/$F266^2*sim_annual_output!M266</f>
        <v>0</v>
      </c>
      <c r="L266">
        <f>$E266/$F266^2*sim_annual_output!N266</f>
        <v>28.425776831475446</v>
      </c>
      <c r="M266">
        <f>$E266/$F266^2*sim_annual_output!O266</f>
        <v>4.074764787903022</v>
      </c>
      <c r="N266">
        <f>$E266/$F266^2*sim_annual_output!P266</f>
        <v>0</v>
      </c>
      <c r="O266">
        <f>$E266/$F266^2*sim_annual_output!Q266</f>
        <v>16.959578242259965</v>
      </c>
      <c r="P266">
        <f>$E266/$F266^2*sim_annual_output!R266</f>
        <v>16.30844152505879</v>
      </c>
      <c r="Q266">
        <f>$E266/$F266^2*sim_annual_output!S266</f>
        <v>0</v>
      </c>
      <c r="R266">
        <f t="array" ref="R266">INDEX(G$3:G$700,MATCH($B266&amp;$C266&amp;"baseline",$B$3:$B$700&amp;$C$3:$C$700&amp;$D$3:$D$700,0))</f>
        <v>0</v>
      </c>
      <c r="S266">
        <f t="array" ref="S266">INDEX(H$3:H$700,MATCH($B266&amp;$C266&amp;"baseline",$B$3:$B$700&amp;$C$3:$C$700&amp;$D$3:$D$700,0))</f>
        <v>324.25294984335915</v>
      </c>
      <c r="T266">
        <f t="array" ref="T266">INDEX(I$3:I$700,MATCH($B266&amp;$C266&amp;"baseline",$B$3:$B$700&amp;$C$3:$C$700&amp;$D$3:$D$700,0))</f>
        <v>0.35277724159602492</v>
      </c>
      <c r="U266">
        <f t="array" ref="U266">INDEX(J$3:J$700,MATCH($B266&amp;$C266&amp;"baseline",$B$3:$B$700&amp;$C$3:$C$700&amp;$D$3:$D$700,0))</f>
        <v>2.1701429782223558</v>
      </c>
      <c r="V266">
        <f t="array" ref="V266">INDEX(K$3:K$700,MATCH($B266&amp;$C266&amp;"baseline",$B$3:$B$700&amp;$C$3:$C$700&amp;$D$3:$D$700,0))</f>
        <v>0</v>
      </c>
      <c r="W266">
        <f t="array" ref="W266">INDEX(L$3:L$700,MATCH($B266&amp;$C266&amp;"baseline",$B$3:$B$700&amp;$C$3:$C$700&amp;$D$3:$D$700,0))</f>
        <v>28.425776831475446</v>
      </c>
      <c r="X266">
        <f t="array" ref="X266">INDEX(M$3:M$700,MATCH($B266&amp;$C266&amp;"baseline",$B$3:$B$700&amp;$C$3:$C$700&amp;$D$3:$D$700,0))</f>
        <v>4.074764787903022</v>
      </c>
      <c r="Y266">
        <f t="array" ref="Y266">INDEX(N$3:N$700,MATCH($B266&amp;$C266&amp;"baseline",$B$3:$B$700&amp;$C$3:$C$700&amp;$D$3:$D$700,0))</f>
        <v>0</v>
      </c>
      <c r="Z266">
        <f t="array" ref="Z266">INDEX(O$3:O$700,MATCH($B266&amp;$C266&amp;"baseline",$B$3:$B$700&amp;$C$3:$C$700&amp;$D$3:$D$700,0))</f>
        <v>17.85559490642008</v>
      </c>
      <c r="AA266">
        <f t="array" ref="AA266">INDEX(P$3:P$700,MATCH($B266&amp;$C266&amp;"baseline",$B$3:$B$700&amp;$C$3:$C$700&amp;$D$3:$D$700,0))</f>
        <v>16.090770461095289</v>
      </c>
      <c r="AB266">
        <f t="array" ref="AB266">INDEX(Q$3:Q$700,MATCH($B266&amp;$C266&amp;"baseline",$B$3:$B$700&amp;$C$3:$C$700&amp;$D$3:$D$700,0))</f>
        <v>0</v>
      </c>
      <c r="AC266">
        <f t="shared" si="34"/>
        <v>393.22277705007139</v>
      </c>
      <c r="AD266">
        <f t="shared" si="35"/>
        <v>0.48788341922858081</v>
      </c>
      <c r="AE266">
        <f t="shared" si="36"/>
        <v>0.63706315703112182</v>
      </c>
      <c r="AF266">
        <f t="shared" si="37"/>
        <v>0.28608377792837175</v>
      </c>
      <c r="AG266">
        <f>(S266+V266+Y266)*constants!$O$2+(R266+T266+U266+W266+X266+Z266+AA266+AB266)*constants!$N$2</f>
        <v>13.046488261820897</v>
      </c>
      <c r="AH266">
        <f>((S266+V266+Y266)-(H266+K266+N266))*constants!$O$2</f>
        <v>7.9037113915030079E-3</v>
      </c>
      <c r="AI266">
        <f>((R266+T266+U266+W266+X266+Z266+AA266+AB266)-(G266+I266+J266+L266+M266+O266+P266+Q266))*constants!$N$2</f>
        <v>7.1988136744516762E-2</v>
      </c>
      <c r="AJ266">
        <f t="shared" si="38"/>
        <v>0.61236285606307106</v>
      </c>
      <c r="AK266">
        <f t="shared" si="39"/>
        <v>7.9891848136019766E-2</v>
      </c>
      <c r="AL266">
        <f>COUNTIFS($B:$B,$B266,$AK:$AK,"&lt;"&amp;$AK266)+COUNTIFS($B$2:$B266,$B266,$AK$2:$AK266,$AK266)</f>
        <v>19</v>
      </c>
      <c r="AM266" s="191">
        <f>IF(AK266=0, "NA",IF(((sim_annual_output!F266/E266)/AK266)&lt;0,100,((sim_annual_output!F266/E266)/AK266)))</f>
        <v>14.25870288598586</v>
      </c>
      <c r="AN266">
        <f>(S266+V266)*constants!$F$2+(T266+U266+W266+X266+Y266+Z266+AA266+AB266)*constants!$G$2</f>
        <v>118045.0276918009</v>
      </c>
      <c r="AO266">
        <f>(AD266*constants!$F$2+AE266*constants!$G$2)</f>
        <v>641.57607865899195</v>
      </c>
      <c r="AP266">
        <f t="shared" si="40"/>
        <v>0.54350114630330515</v>
      </c>
    </row>
    <row r="267" spans="1:42">
      <c r="A267">
        <f>sim_annual_output!B267</f>
        <v>9</v>
      </c>
      <c r="B267" t="str">
        <f>sim_annual_output!C267</f>
        <v>Maintenance Shop</v>
      </c>
      <c r="C267" t="str">
        <f>sim_annual_output!D267</f>
        <v>1980-2004</v>
      </c>
      <c r="D267" t="str">
        <f>sim_annual_output!E267</f>
        <v>fans_to_variable</v>
      </c>
      <c r="E267" s="45">
        <f t="array" ref="E267">IFERROR(INDEX(baseline!$J$3:$J$201,MATCH($B267&amp;$C267,baseline!$C$3:$C$201&amp;baseline!$D$3:$D$201,0)),"NA")</f>
        <v>1927</v>
      </c>
      <c r="F267">
        <f>sim_annual_output!G267</f>
        <v>2388.5449741513999</v>
      </c>
      <c r="G267">
        <f>$E267/$F267^2*sim_annual_output!I267</f>
        <v>0</v>
      </c>
      <c r="H267">
        <f>$E267/$F267^2*sim_annual_output!J267</f>
        <v>324.17695261844079</v>
      </c>
      <c r="I267">
        <f>$E267/$F267^2*sim_annual_output!K267</f>
        <v>0.39312144741684696</v>
      </c>
      <c r="J267">
        <f>$E267/$F267^2*sim_annual_output!L267</f>
        <v>2.1701429782223558</v>
      </c>
      <c r="K267">
        <f>$E267/$F267^2*sim_annual_output!M267</f>
        <v>0</v>
      </c>
      <c r="L267">
        <f>$E267/$F267^2*sim_annual_output!N267</f>
        <v>28.425776831475446</v>
      </c>
      <c r="M267">
        <f>$E267/$F267^2*sim_annual_output!O267</f>
        <v>4.074764787903022</v>
      </c>
      <c r="N267">
        <f>$E267/$F267^2*sim_annual_output!P267</f>
        <v>0</v>
      </c>
      <c r="O267">
        <f>$E267/$F267^2*sim_annual_output!Q267</f>
        <v>17.946603928853097</v>
      </c>
      <c r="P267">
        <f>$E267/$F267^2*sim_annual_output!R267</f>
        <v>16.30844152505879</v>
      </c>
      <c r="Q267">
        <f>$E267/$F267^2*sim_annual_output!S267</f>
        <v>0</v>
      </c>
      <c r="R267">
        <f t="array" ref="R267">INDEX(G$3:G$700,MATCH($B267&amp;$C267&amp;"baseline",$B$3:$B$700&amp;$C$3:$C$700&amp;$D$3:$D$700,0))</f>
        <v>0</v>
      </c>
      <c r="S267">
        <f t="array" ref="S267">INDEX(H$3:H$700,MATCH($B267&amp;$C267&amp;"baseline",$B$3:$B$700&amp;$C$3:$C$700&amp;$D$3:$D$700,0))</f>
        <v>324.25294984335915</v>
      </c>
      <c r="T267">
        <f t="array" ref="T267">INDEX(I$3:I$700,MATCH($B267&amp;$C267&amp;"baseline",$B$3:$B$700&amp;$C$3:$C$700&amp;$D$3:$D$700,0))</f>
        <v>0.35277724159602492</v>
      </c>
      <c r="U267">
        <f t="array" ref="U267">INDEX(J$3:J$700,MATCH($B267&amp;$C267&amp;"baseline",$B$3:$B$700&amp;$C$3:$C$700&amp;$D$3:$D$700,0))</f>
        <v>2.1701429782223558</v>
      </c>
      <c r="V267">
        <f t="array" ref="V267">INDEX(K$3:K$700,MATCH($B267&amp;$C267&amp;"baseline",$B$3:$B$700&amp;$C$3:$C$700&amp;$D$3:$D$700,0))</f>
        <v>0</v>
      </c>
      <c r="W267">
        <f t="array" ref="W267">INDEX(L$3:L$700,MATCH($B267&amp;$C267&amp;"baseline",$B$3:$B$700&amp;$C$3:$C$700&amp;$D$3:$D$700,0))</f>
        <v>28.425776831475446</v>
      </c>
      <c r="X267">
        <f t="array" ref="X267">INDEX(M$3:M$700,MATCH($B267&amp;$C267&amp;"baseline",$B$3:$B$700&amp;$C$3:$C$700&amp;$D$3:$D$700,0))</f>
        <v>4.074764787903022</v>
      </c>
      <c r="Y267">
        <f t="array" ref="Y267">INDEX(N$3:N$700,MATCH($B267&amp;$C267&amp;"baseline",$B$3:$B$700&amp;$C$3:$C$700&amp;$D$3:$D$700,0))</f>
        <v>0</v>
      </c>
      <c r="Z267">
        <f t="array" ref="Z267">INDEX(O$3:O$700,MATCH($B267&amp;$C267&amp;"baseline",$B$3:$B$700&amp;$C$3:$C$700&amp;$D$3:$D$700,0))</f>
        <v>17.85559490642008</v>
      </c>
      <c r="AA267">
        <f t="array" ref="AA267">INDEX(P$3:P$700,MATCH($B267&amp;$C267&amp;"baseline",$B$3:$B$700&amp;$C$3:$C$700&amp;$D$3:$D$700,0))</f>
        <v>16.090770461095289</v>
      </c>
      <c r="AB267">
        <f t="array" ref="AB267">INDEX(Q$3:Q$700,MATCH($B267&amp;$C267&amp;"baseline",$B$3:$B$700&amp;$C$3:$C$700&amp;$D$3:$D$700,0))</f>
        <v>0</v>
      </c>
      <c r="AC267">
        <f t="shared" si="34"/>
        <v>393.22277705007139</v>
      </c>
      <c r="AD267">
        <f t="shared" si="35"/>
        <v>7.5997224918353368E-2</v>
      </c>
      <c r="AE267">
        <f t="shared" si="36"/>
        <v>-0.34902429221733655</v>
      </c>
      <c r="AF267">
        <f t="shared" si="37"/>
        <v>-6.9433177128550988E-2</v>
      </c>
      <c r="AG267">
        <f>(S267+V267+Y267)*constants!$O$2+(R267+T267+U267+W267+X267+Z267+AA267+AB267)*constants!$N$2</f>
        <v>13.046488261820897</v>
      </c>
      <c r="AH267">
        <f>((S267+V267+Y267)-(H267+K267+N267))*constants!$O$2</f>
        <v>1.2311550436773244E-3</v>
      </c>
      <c r="AI267">
        <f>((R267+T267+U267+W267+X267+Z267+AA267+AB267)-(G267+I267+J267+L267+M267+O267+P267+Q267))*constants!$N$2</f>
        <v>-3.9439745020559032E-2</v>
      </c>
      <c r="AJ267">
        <f t="shared" si="38"/>
        <v>-0.29286493966882193</v>
      </c>
      <c r="AK267">
        <f t="shared" si="39"/>
        <v>-3.8208589976881709E-2</v>
      </c>
      <c r="AL267">
        <f>COUNTIFS($B:$B,$B267,$AK:$AK,"&lt;"&amp;$AK267)+COUNTIFS($B$2:$B267,$B267,$AK$2:$AK267,$AK267)</f>
        <v>9</v>
      </c>
      <c r="AM267" s="191">
        <f>IF(AK267=0, "NA",IF(((sim_annual_output!F267/E267)/AK267)&lt;0,100,((sim_annual_output!F267/E267)/AK267)))</f>
        <v>100</v>
      </c>
      <c r="AN267">
        <f>(S267+V267)*constants!$F$2+(T267+U267+W267+X267+Y267+Z267+AA267+AB267)*constants!$G$2</f>
        <v>118045.0276918009</v>
      </c>
      <c r="AO267">
        <f>(AD267*constants!$F$2+AE267*constants!$G$2)</f>
        <v>-290.04763096869755</v>
      </c>
      <c r="AP267">
        <f t="shared" si="40"/>
        <v>-0.24570931672443794</v>
      </c>
    </row>
    <row r="268" spans="1:42">
      <c r="A268">
        <f>sim_annual_output!B268</f>
        <v>9</v>
      </c>
      <c r="B268" t="str">
        <f>sim_annual_output!C268</f>
        <v>Maintenance Shop</v>
      </c>
      <c r="C268" t="str">
        <f>sim_annual_output!D268</f>
        <v>1980-2004</v>
      </c>
      <c r="D268" t="str">
        <f>sim_annual_output!E268</f>
        <v>hrv_enabled</v>
      </c>
      <c r="E268" s="45">
        <f t="array" ref="E268">IFERROR(INDEX(baseline!$J$3:$J$201,MATCH($B268&amp;$C268,baseline!$C$3:$C$201&amp;baseline!$D$3:$D$201,0)),"NA")</f>
        <v>1927</v>
      </c>
      <c r="F268">
        <f>sim_annual_output!G268</f>
        <v>2388.5449741513999</v>
      </c>
      <c r="G268">
        <f>$E268/$F268^2*sim_annual_output!I268</f>
        <v>0</v>
      </c>
      <c r="H268">
        <f>$E268/$F268^2*sim_annual_output!J268</f>
        <v>245.12951809262512</v>
      </c>
      <c r="I268">
        <f>$E268/$F268^2*sim_annual_output!K268</f>
        <v>0.531042337083378</v>
      </c>
      <c r="J268">
        <f>$E268/$F268^2*sim_annual_output!L268</f>
        <v>2.1701429782223558</v>
      </c>
      <c r="K268">
        <f>$E268/$F268^2*sim_annual_output!M268</f>
        <v>0</v>
      </c>
      <c r="L268">
        <f>$E268/$F268^2*sim_annual_output!N268</f>
        <v>28.425776831475446</v>
      </c>
      <c r="M268">
        <f>$E268/$F268^2*sim_annual_output!O268</f>
        <v>4.074764787903022</v>
      </c>
      <c r="N268">
        <f>$E268/$F268^2*sim_annual_output!P268</f>
        <v>0</v>
      </c>
      <c r="O268">
        <f>$E268/$F268^2*sim_annual_output!Q268</f>
        <v>17.798362428395194</v>
      </c>
      <c r="P268">
        <f>$E268/$F268^2*sim_annual_output!R268</f>
        <v>16.30750328771412</v>
      </c>
      <c r="Q268">
        <f>$E268/$F268^2*sim_annual_output!S268</f>
        <v>8.8766635179255111</v>
      </c>
      <c r="R268">
        <f t="array" ref="R268">INDEX(G$3:G$700,MATCH($B268&amp;$C268&amp;"baseline",$B$3:$B$700&amp;$C$3:$C$700&amp;$D$3:$D$700,0))</f>
        <v>0</v>
      </c>
      <c r="S268">
        <f t="array" ref="S268">INDEX(H$3:H$700,MATCH($B268&amp;$C268&amp;"baseline",$B$3:$B$700&amp;$C$3:$C$700&amp;$D$3:$D$700,0))</f>
        <v>324.25294984335915</v>
      </c>
      <c r="T268">
        <f t="array" ref="T268">INDEX(I$3:I$700,MATCH($B268&amp;$C268&amp;"baseline",$B$3:$B$700&amp;$C$3:$C$700&amp;$D$3:$D$700,0))</f>
        <v>0.35277724159602492</v>
      </c>
      <c r="U268">
        <f t="array" ref="U268">INDEX(J$3:J$700,MATCH($B268&amp;$C268&amp;"baseline",$B$3:$B$700&amp;$C$3:$C$700&amp;$D$3:$D$700,0))</f>
        <v>2.1701429782223558</v>
      </c>
      <c r="V268">
        <f t="array" ref="V268">INDEX(K$3:K$700,MATCH($B268&amp;$C268&amp;"baseline",$B$3:$B$700&amp;$C$3:$C$700&amp;$D$3:$D$700,0))</f>
        <v>0</v>
      </c>
      <c r="W268">
        <f t="array" ref="W268">INDEX(L$3:L$700,MATCH($B268&amp;$C268&amp;"baseline",$B$3:$B$700&amp;$C$3:$C$700&amp;$D$3:$D$700,0))</f>
        <v>28.425776831475446</v>
      </c>
      <c r="X268">
        <f t="array" ref="X268">INDEX(M$3:M$700,MATCH($B268&amp;$C268&amp;"baseline",$B$3:$B$700&amp;$C$3:$C$700&amp;$D$3:$D$700,0))</f>
        <v>4.074764787903022</v>
      </c>
      <c r="Y268">
        <f t="array" ref="Y268">INDEX(N$3:N$700,MATCH($B268&amp;$C268&amp;"baseline",$B$3:$B$700&amp;$C$3:$C$700&amp;$D$3:$D$700,0))</f>
        <v>0</v>
      </c>
      <c r="Z268">
        <f t="array" ref="Z268">INDEX(O$3:O$700,MATCH($B268&amp;$C268&amp;"baseline",$B$3:$B$700&amp;$C$3:$C$700&amp;$D$3:$D$700,0))</f>
        <v>17.85559490642008</v>
      </c>
      <c r="AA268">
        <f t="array" ref="AA268">INDEX(P$3:P$700,MATCH($B268&amp;$C268&amp;"baseline",$B$3:$B$700&amp;$C$3:$C$700&amp;$D$3:$D$700,0))</f>
        <v>16.090770461095289</v>
      </c>
      <c r="AB268">
        <f t="array" ref="AB268">INDEX(Q$3:Q$700,MATCH($B268&amp;$C268&amp;"baseline",$B$3:$B$700&amp;$C$3:$C$700&amp;$D$3:$D$700,0))</f>
        <v>0</v>
      </c>
      <c r="AC268">
        <f t="shared" si="34"/>
        <v>393.22277705007139</v>
      </c>
      <c r="AD268">
        <f t="shared" si="35"/>
        <v>79.123431750734028</v>
      </c>
      <c r="AE268">
        <f t="shared" si="36"/>
        <v>-9.2144289620068065</v>
      </c>
      <c r="AF268">
        <f t="shared" si="37"/>
        <v>17.778472374662392</v>
      </c>
      <c r="AG268">
        <f>(S268+V268+Y268)*constants!$O$2+(R268+T268+U268+W268+X268+Z268+AA268+AB268)*constants!$N$2</f>
        <v>13.046488261820897</v>
      </c>
      <c r="AH268">
        <f>((S268+V268+Y268)-(H268+K268+N268))*constants!$O$2</f>
        <v>1.2817995943618912</v>
      </c>
      <c r="AI268">
        <f>((R268+T268+U268+W268+X268+Z268+AA268+AB268)-(G268+I268+J268+L268+M268+O268+P268+Q268))*constants!$N$2</f>
        <v>-1.0412304727067692</v>
      </c>
      <c r="AJ268">
        <f t="shared" si="38"/>
        <v>1.843937746520808</v>
      </c>
      <c r="AK268">
        <f t="shared" si="39"/>
        <v>0.24056912165512201</v>
      </c>
      <c r="AL268">
        <f>COUNTIFS($B:$B,$B268,$AK:$AK,"&lt;"&amp;$AK268)+COUNTIFS($B$2:$B268,$B268,$AK$2:$AK268,$AK268)</f>
        <v>23</v>
      </c>
      <c r="AM268" s="191">
        <f>IF(AK268=0, "NA",IF(((sim_annual_output!F268/E268)/AK268)&lt;0,100,((sim_annual_output!F268/E268)/AK268)))</f>
        <v>289.45264234389072</v>
      </c>
      <c r="AN268">
        <f>(S268+V268)*constants!$F$2+(T268+U268+W268+X268+Y268+Z268+AA268+AB268)*constants!$G$2</f>
        <v>118045.0276918009</v>
      </c>
      <c r="AO268">
        <f>(AD268*constants!$F$2+AE268*constants!$G$2)</f>
        <v>6146.5410864354699</v>
      </c>
      <c r="AP268">
        <f t="shared" si="40"/>
        <v>5.206946202328175</v>
      </c>
    </row>
    <row r="269" spans="1:42">
      <c r="A269">
        <f>sim_annual_output!B269</f>
        <v>9</v>
      </c>
      <c r="B269" t="str">
        <f>sim_annual_output!C269</f>
        <v>Maintenance Shop</v>
      </c>
      <c r="C269" t="str">
        <f>sim_annual_output!D269</f>
        <v>1980-2004</v>
      </c>
      <c r="D269" t="str">
        <f>sim_annual_output!E269</f>
        <v>infil_reduce</v>
      </c>
      <c r="E269" s="45">
        <f t="array" ref="E269">IFERROR(INDEX(baseline!$J$3:$J$201,MATCH($B269&amp;$C269,baseline!$C$3:$C$201&amp;baseline!$D$3:$D$201,0)),"NA")</f>
        <v>1927</v>
      </c>
      <c r="F269">
        <f>sim_annual_output!G269</f>
        <v>2388.5449741513999</v>
      </c>
      <c r="G269">
        <f>$E269/$F269^2*sim_annual_output!I269</f>
        <v>0</v>
      </c>
      <c r="H269">
        <f>$E269/$F269^2*sim_annual_output!J269</f>
        <v>264.75462863109334</v>
      </c>
      <c r="I269">
        <f>$E269/$F269^2*sim_annual_output!K269</f>
        <v>0.41376266899959308</v>
      </c>
      <c r="J269">
        <f>$E269/$F269^2*sim_annual_output!L269</f>
        <v>2.1701429782223558</v>
      </c>
      <c r="K269">
        <f>$E269/$F269^2*sim_annual_output!M269</f>
        <v>0</v>
      </c>
      <c r="L269">
        <f>$E269/$F269^2*sim_annual_output!N269</f>
        <v>28.425776831475446</v>
      </c>
      <c r="M269">
        <f>$E269/$F269^2*sim_annual_output!O269</f>
        <v>4.074764787903022</v>
      </c>
      <c r="N269">
        <f>$E269/$F269^2*sim_annual_output!P269</f>
        <v>0</v>
      </c>
      <c r="O269">
        <f>$E269/$F269^2*sim_annual_output!Q269</f>
        <v>14.595220133690862</v>
      </c>
      <c r="P269">
        <f>$E269/$F269^2*sim_annual_output!R269</f>
        <v>13.177543505894072</v>
      </c>
      <c r="Q269">
        <f>$E269/$F269^2*sim_annual_output!S269</f>
        <v>0</v>
      </c>
      <c r="R269">
        <f t="array" ref="R269">INDEX(G$3:G$700,MATCH($B269&amp;$C269&amp;"baseline",$B$3:$B$700&amp;$C$3:$C$700&amp;$D$3:$D$700,0))</f>
        <v>0</v>
      </c>
      <c r="S269">
        <f t="array" ref="S269">INDEX(H$3:H$700,MATCH($B269&amp;$C269&amp;"baseline",$B$3:$B$700&amp;$C$3:$C$700&amp;$D$3:$D$700,0))</f>
        <v>324.25294984335915</v>
      </c>
      <c r="T269">
        <f t="array" ref="T269">INDEX(I$3:I$700,MATCH($B269&amp;$C269&amp;"baseline",$B$3:$B$700&amp;$C$3:$C$700&amp;$D$3:$D$700,0))</f>
        <v>0.35277724159602492</v>
      </c>
      <c r="U269">
        <f t="array" ref="U269">INDEX(J$3:J$700,MATCH($B269&amp;$C269&amp;"baseline",$B$3:$B$700&amp;$C$3:$C$700&amp;$D$3:$D$700,0))</f>
        <v>2.1701429782223558</v>
      </c>
      <c r="V269">
        <f t="array" ref="V269">INDEX(K$3:K$700,MATCH($B269&amp;$C269&amp;"baseline",$B$3:$B$700&amp;$C$3:$C$700&amp;$D$3:$D$700,0))</f>
        <v>0</v>
      </c>
      <c r="W269">
        <f t="array" ref="W269">INDEX(L$3:L$700,MATCH($B269&amp;$C269&amp;"baseline",$B$3:$B$700&amp;$C$3:$C$700&amp;$D$3:$D$700,0))</f>
        <v>28.425776831475446</v>
      </c>
      <c r="X269">
        <f t="array" ref="X269">INDEX(M$3:M$700,MATCH($B269&amp;$C269&amp;"baseline",$B$3:$B$700&amp;$C$3:$C$700&amp;$D$3:$D$700,0))</f>
        <v>4.074764787903022</v>
      </c>
      <c r="Y269">
        <f t="array" ref="Y269">INDEX(N$3:N$700,MATCH($B269&amp;$C269&amp;"baseline",$B$3:$B$700&amp;$C$3:$C$700&amp;$D$3:$D$700,0))</f>
        <v>0</v>
      </c>
      <c r="Z269">
        <f t="array" ref="Z269">INDEX(O$3:O$700,MATCH($B269&amp;$C269&amp;"baseline",$B$3:$B$700&amp;$C$3:$C$700&amp;$D$3:$D$700,0))</f>
        <v>17.85559490642008</v>
      </c>
      <c r="AA269">
        <f t="array" ref="AA269">INDEX(P$3:P$700,MATCH($B269&amp;$C269&amp;"baseline",$B$3:$B$700&amp;$C$3:$C$700&amp;$D$3:$D$700,0))</f>
        <v>16.090770461095289</v>
      </c>
      <c r="AB269">
        <f t="array" ref="AB269">INDEX(Q$3:Q$700,MATCH($B269&amp;$C269&amp;"baseline",$B$3:$B$700&amp;$C$3:$C$700&amp;$D$3:$D$700,0))</f>
        <v>0</v>
      </c>
      <c r="AC269">
        <f t="shared" si="34"/>
        <v>393.22277705007139</v>
      </c>
      <c r="AD269">
        <f t="shared" si="35"/>
        <v>59.498321212265807</v>
      </c>
      <c r="AE269">
        <f t="shared" si="36"/>
        <v>6.1126163005268594</v>
      </c>
      <c r="AF269">
        <f t="shared" si="37"/>
        <v>16.685436689349775</v>
      </c>
      <c r="AG269">
        <f>(S269+V269+Y269)*constants!$O$2+(R269+T269+U269+W269+X269+Z269+AA269+AB269)*constants!$N$2</f>
        <v>13.046488261820897</v>
      </c>
      <c r="AH269">
        <f>((S269+V269+Y269)-(H269+K269+N269))*constants!$O$2</f>
        <v>0.96387280363870598</v>
      </c>
      <c r="AI269">
        <f>((R269+T269+U269+W269+X269+Z269+AA269+AB269)-(G269+I269+J269+L269+M269+O269+P269+Q269))*constants!$N$2</f>
        <v>0.69072564195953512</v>
      </c>
      <c r="AJ269">
        <f t="shared" si="38"/>
        <v>12.682328090082601</v>
      </c>
      <c r="AK269">
        <f t="shared" si="39"/>
        <v>1.654598445598241</v>
      </c>
      <c r="AL269">
        <f>COUNTIFS($B:$B,$B269,$AK:$AK,"&lt;"&amp;$AK269)+COUNTIFS($B$2:$B269,$B269,$AK$2:$AK269,$AK269)</f>
        <v>32</v>
      </c>
      <c r="AM269" s="191">
        <f>IF(AK269=0, "NA",IF(((sim_annual_output!F269/E269)/AK269)&lt;0,100,((sim_annual_output!F269/E269)/AK269)))</f>
        <v>20.444185462831904</v>
      </c>
      <c r="AN269">
        <f>(S269+V269)*constants!$F$2+(T269+U269+W269+X269+Y269+Z269+AA269+AB269)*constants!$G$2</f>
        <v>118045.0276918009</v>
      </c>
      <c r="AO269">
        <f>(AD269*constants!$F$2+AE269*constants!$G$2)</f>
        <v>15968.175678453947</v>
      </c>
      <c r="AP269">
        <f t="shared" si="40"/>
        <v>13.527190421052401</v>
      </c>
    </row>
    <row r="270" spans="1:42">
      <c r="A270">
        <f>sim_annual_output!B270</f>
        <v>9</v>
      </c>
      <c r="B270" t="str">
        <f>sim_annual_output!C270</f>
        <v>Maintenance Shop</v>
      </c>
      <c r="C270" t="str">
        <f>sim_annual_output!D270</f>
        <v>1980-2004</v>
      </c>
      <c r="D270" t="str">
        <f>sim_annual_output!E270</f>
        <v>infil_reduce_plus_setback</v>
      </c>
      <c r="E270" s="45">
        <f t="array" ref="E270">IFERROR(INDEX(baseline!$J$3:$J$201,MATCH($B270&amp;$C270,baseline!$C$3:$C$201&amp;baseline!$D$3:$D$201,0)),"NA")</f>
        <v>1927</v>
      </c>
      <c r="F270">
        <f>sim_annual_output!G270</f>
        <v>2388.5449741513999</v>
      </c>
      <c r="G270">
        <f>$E270/$F270^2*sim_annual_output!I270</f>
        <v>0</v>
      </c>
      <c r="H270">
        <f>$E270/$F270^2*sim_annual_output!J270</f>
        <v>229.02279759667044</v>
      </c>
      <c r="I270">
        <f>$E270/$F270^2*sim_annual_output!K270</f>
        <v>0.24300347226960228</v>
      </c>
      <c r="J270">
        <f>$E270/$F270^2*sim_annual_output!L270</f>
        <v>2.1701429782223558</v>
      </c>
      <c r="K270">
        <f>$E270/$F270^2*sim_annual_output!M270</f>
        <v>0</v>
      </c>
      <c r="L270">
        <f>$E270/$F270^2*sim_annual_output!N270</f>
        <v>28.425776831475446</v>
      </c>
      <c r="M270">
        <f>$E270/$F270^2*sim_annual_output!O270</f>
        <v>4.074764787903022</v>
      </c>
      <c r="N270">
        <f>$E270/$F270^2*sim_annual_output!P270</f>
        <v>0</v>
      </c>
      <c r="O270">
        <f>$E270/$F270^2*sim_annual_output!Q270</f>
        <v>16.086079274371933</v>
      </c>
      <c r="P270">
        <f>$E270/$F270^2*sim_annual_output!R270</f>
        <v>14.659020273128442</v>
      </c>
      <c r="Q270">
        <f>$E270/$F270^2*sim_annual_output!S270</f>
        <v>0</v>
      </c>
      <c r="R270">
        <f t="array" ref="R270">INDEX(G$3:G$700,MATCH($B270&amp;$C270&amp;"baseline",$B$3:$B$700&amp;$C$3:$C$700&amp;$D$3:$D$700,0))</f>
        <v>0</v>
      </c>
      <c r="S270">
        <f t="array" ref="S270">INDEX(H$3:H$700,MATCH($B270&amp;$C270&amp;"baseline",$B$3:$B$700&amp;$C$3:$C$700&amp;$D$3:$D$700,0))</f>
        <v>324.25294984335915</v>
      </c>
      <c r="T270">
        <f t="array" ref="T270">INDEX(I$3:I$700,MATCH($B270&amp;$C270&amp;"baseline",$B$3:$B$700&amp;$C$3:$C$700&amp;$D$3:$D$700,0))</f>
        <v>0.35277724159602492</v>
      </c>
      <c r="U270">
        <f t="array" ref="U270">INDEX(J$3:J$700,MATCH($B270&amp;$C270&amp;"baseline",$B$3:$B$700&amp;$C$3:$C$700&amp;$D$3:$D$700,0))</f>
        <v>2.1701429782223558</v>
      </c>
      <c r="V270">
        <f t="array" ref="V270">INDEX(K$3:K$700,MATCH($B270&amp;$C270&amp;"baseline",$B$3:$B$700&amp;$C$3:$C$700&amp;$D$3:$D$700,0))</f>
        <v>0</v>
      </c>
      <c r="W270">
        <f t="array" ref="W270">INDEX(L$3:L$700,MATCH($B270&amp;$C270&amp;"baseline",$B$3:$B$700&amp;$C$3:$C$700&amp;$D$3:$D$700,0))</f>
        <v>28.425776831475446</v>
      </c>
      <c r="X270">
        <f t="array" ref="X270">INDEX(M$3:M$700,MATCH($B270&amp;$C270&amp;"baseline",$B$3:$B$700&amp;$C$3:$C$700&amp;$D$3:$D$700,0))</f>
        <v>4.074764787903022</v>
      </c>
      <c r="Y270">
        <f t="array" ref="Y270">INDEX(N$3:N$700,MATCH($B270&amp;$C270&amp;"baseline",$B$3:$B$700&amp;$C$3:$C$700&amp;$D$3:$D$700,0))</f>
        <v>0</v>
      </c>
      <c r="Z270">
        <f t="array" ref="Z270">INDEX(O$3:O$700,MATCH($B270&amp;$C270&amp;"baseline",$B$3:$B$700&amp;$C$3:$C$700&amp;$D$3:$D$700,0))</f>
        <v>17.85559490642008</v>
      </c>
      <c r="AA270">
        <f t="array" ref="AA270">INDEX(P$3:P$700,MATCH($B270&amp;$C270&amp;"baseline",$B$3:$B$700&amp;$C$3:$C$700&amp;$D$3:$D$700,0))</f>
        <v>16.090770461095289</v>
      </c>
      <c r="AB270">
        <f t="array" ref="AB270">INDEX(Q$3:Q$700,MATCH($B270&amp;$C270&amp;"baseline",$B$3:$B$700&amp;$C$3:$C$700&amp;$D$3:$D$700,0))</f>
        <v>0</v>
      </c>
      <c r="AC270">
        <f t="shared" si="34"/>
        <v>393.22277705007139</v>
      </c>
      <c r="AD270">
        <f t="shared" si="35"/>
        <v>95.230152246688704</v>
      </c>
      <c r="AE270">
        <f t="shared" si="36"/>
        <v>3.3110395893414051</v>
      </c>
      <c r="AF270">
        <f t="shared" si="37"/>
        <v>25.059889097798187</v>
      </c>
      <c r="AG270">
        <f>(S270+V270+Y270)*constants!$O$2+(R270+T270+U270+W270+X270+Z270+AA270+AB270)*constants!$N$2</f>
        <v>13.046488261820897</v>
      </c>
      <c r="AH270">
        <f>((S270+V270+Y270)-(H270+K270+N270))*constants!$O$2</f>
        <v>1.542728466396357</v>
      </c>
      <c r="AI270">
        <f>((R270+T270+U270+W270+X270+Z270+AA270+AB270)-(G270+I270+J270+L270+M270+O270+P270+Q270))*constants!$N$2</f>
        <v>0.37414747359557876</v>
      </c>
      <c r="AJ270">
        <f t="shared" si="38"/>
        <v>14.692658296420355</v>
      </c>
      <c r="AK270">
        <f t="shared" si="39"/>
        <v>1.9168759399919357</v>
      </c>
      <c r="AL270">
        <f>COUNTIFS($B:$B,$B270,$AK:$AK,"&lt;"&amp;$AK270)+COUNTIFS($B$2:$B270,$B270,$AK$2:$AK270,$AK270)</f>
        <v>36</v>
      </c>
      <c r="AM270" s="191">
        <f>IF(AK270=0, "NA",IF(((sim_annual_output!F270/E270)/AK270)&lt;0,100,((sim_annual_output!F270/E270)/AK270)))</f>
        <v>19.06569383815555</v>
      </c>
      <c r="AN270">
        <f>(S270+V270)*constants!$F$2+(T270+U270+W270+X270+Y270+Z270+AA270+AB270)*constants!$G$2</f>
        <v>118045.0276918009</v>
      </c>
      <c r="AO270">
        <f>(AD270*constants!$F$2+AE270*constants!$G$2)</f>
        <v>19926.8016948843</v>
      </c>
      <c r="AP270">
        <f t="shared" si="40"/>
        <v>16.880678572002537</v>
      </c>
    </row>
    <row r="271" spans="1:42">
      <c r="A271">
        <f>sim_annual_output!B271</f>
        <v>9</v>
      </c>
      <c r="B271" t="str">
        <f>sim_annual_output!C271</f>
        <v>Maintenance Shop</v>
      </c>
      <c r="C271" t="str">
        <f>sim_annual_output!D271</f>
        <v>1980-2004</v>
      </c>
      <c r="D271" t="str">
        <f>sim_annual_output!E271</f>
        <v>lights_reduce_70p</v>
      </c>
      <c r="E271" s="45">
        <f t="array" ref="E271">IFERROR(INDEX(baseline!$J$3:$J$201,MATCH($B271&amp;$C271,baseline!$C$3:$C$201&amp;baseline!$D$3:$D$201,0)),"NA")</f>
        <v>1927</v>
      </c>
      <c r="F271">
        <f>sim_annual_output!G271</f>
        <v>2388.5449741513999</v>
      </c>
      <c r="G271">
        <f>$E271/$F271^2*sim_annual_output!I271</f>
        <v>0</v>
      </c>
      <c r="H271">
        <f>$E271/$F271^2*sim_annual_output!J271</f>
        <v>334.7471345434962</v>
      </c>
      <c r="I271">
        <f>$E271/$F271^2*sim_annual_output!K271</f>
        <v>0.3311977826686085</v>
      </c>
      <c r="J271">
        <f>$E271/$F271^2*sim_annual_output!L271</f>
        <v>2.1701429782223558</v>
      </c>
      <c r="K271">
        <f>$E271/$F271^2*sim_annual_output!M271</f>
        <v>0</v>
      </c>
      <c r="L271">
        <f>$E271/$F271^2*sim_annual_output!N271</f>
        <v>19.898137605767278</v>
      </c>
      <c r="M271">
        <f>$E271/$F271^2*sim_annual_output!O271</f>
        <v>4.074764787903022</v>
      </c>
      <c r="N271">
        <f>$E271/$F271^2*sim_annual_output!P271</f>
        <v>0</v>
      </c>
      <c r="O271">
        <f>$E271/$F271^2*sim_annual_output!Q271</f>
        <v>17.997268745465291</v>
      </c>
      <c r="P271">
        <f>$E271/$F271^2*sim_annual_output!R271</f>
        <v>16.217432502625776</v>
      </c>
      <c r="Q271">
        <f>$E271/$F271^2*sim_annual_output!S271</f>
        <v>0</v>
      </c>
      <c r="R271">
        <f t="array" ref="R271">INDEX(G$3:G$700,MATCH($B271&amp;$C271&amp;"baseline",$B$3:$B$700&amp;$C$3:$C$700&amp;$D$3:$D$700,0))</f>
        <v>0</v>
      </c>
      <c r="S271">
        <f t="array" ref="S271">INDEX(H$3:H$700,MATCH($B271&amp;$C271&amp;"baseline",$B$3:$B$700&amp;$C$3:$C$700&amp;$D$3:$D$700,0))</f>
        <v>324.25294984335915</v>
      </c>
      <c r="T271">
        <f t="array" ref="T271">INDEX(I$3:I$700,MATCH($B271&amp;$C271&amp;"baseline",$B$3:$B$700&amp;$C$3:$C$700&amp;$D$3:$D$700,0))</f>
        <v>0.35277724159602492</v>
      </c>
      <c r="U271">
        <f t="array" ref="U271">INDEX(J$3:J$700,MATCH($B271&amp;$C271&amp;"baseline",$B$3:$B$700&amp;$C$3:$C$700&amp;$D$3:$D$700,0))</f>
        <v>2.1701429782223558</v>
      </c>
      <c r="V271">
        <f t="array" ref="V271">INDEX(K$3:K$700,MATCH($B271&amp;$C271&amp;"baseline",$B$3:$B$700&amp;$C$3:$C$700&amp;$D$3:$D$700,0))</f>
        <v>0</v>
      </c>
      <c r="W271">
        <f t="array" ref="W271">INDEX(L$3:L$700,MATCH($B271&amp;$C271&amp;"baseline",$B$3:$B$700&amp;$C$3:$C$700&amp;$D$3:$D$700,0))</f>
        <v>28.425776831475446</v>
      </c>
      <c r="X271">
        <f t="array" ref="X271">INDEX(M$3:M$700,MATCH($B271&amp;$C271&amp;"baseline",$B$3:$B$700&amp;$C$3:$C$700&amp;$D$3:$D$700,0))</f>
        <v>4.074764787903022</v>
      </c>
      <c r="Y271">
        <f t="array" ref="Y271">INDEX(N$3:N$700,MATCH($B271&amp;$C271&amp;"baseline",$B$3:$B$700&amp;$C$3:$C$700&amp;$D$3:$D$700,0))</f>
        <v>0</v>
      </c>
      <c r="Z271">
        <f t="array" ref="Z271">INDEX(O$3:O$700,MATCH($B271&amp;$C271&amp;"baseline",$B$3:$B$700&amp;$C$3:$C$700&amp;$D$3:$D$700,0))</f>
        <v>17.85559490642008</v>
      </c>
      <c r="AA271">
        <f t="array" ref="AA271">INDEX(P$3:P$700,MATCH($B271&amp;$C271&amp;"baseline",$B$3:$B$700&amp;$C$3:$C$700&amp;$D$3:$D$700,0))</f>
        <v>16.090770461095289</v>
      </c>
      <c r="AB271">
        <f t="array" ref="AB271">INDEX(Q$3:Q$700,MATCH($B271&amp;$C271&amp;"baseline",$B$3:$B$700&amp;$C$3:$C$700&amp;$D$3:$D$700,0))</f>
        <v>0</v>
      </c>
      <c r="AC271">
        <f t="shared" si="34"/>
        <v>393.22277705007139</v>
      </c>
      <c r="AD271">
        <f t="shared" si="35"/>
        <v>-10.494184700137055</v>
      </c>
      <c r="AE271">
        <f t="shared" si="36"/>
        <v>8.2808828040598783</v>
      </c>
      <c r="AF271">
        <f t="shared" si="37"/>
        <v>-0.56286207850959347</v>
      </c>
      <c r="AG271">
        <f>(S271+V271+Y271)*constants!$O$2+(R271+T271+U271+W271+X271+Z271+AA271+AB271)*constants!$N$2</f>
        <v>13.046488261820897</v>
      </c>
      <c r="AH271">
        <f>((S271+V271+Y271)-(H271+K271+N271))*constants!$O$2</f>
        <v>-0.17000579214222028</v>
      </c>
      <c r="AI271">
        <f>((R271+T271+U271+W271+X271+Z271+AA271+AB271)-(G271+I271+J271+L271+M271+O271+P271+Q271))*constants!$N$2</f>
        <v>0.93573975685876631</v>
      </c>
      <c r="AJ271">
        <f t="shared" si="38"/>
        <v>5.8692726299182105</v>
      </c>
      <c r="AK271">
        <f t="shared" si="39"/>
        <v>0.76573396471654598</v>
      </c>
      <c r="AL271">
        <f>COUNTIFS($B:$B,$B271,$AK:$AK,"&lt;"&amp;$AK271)+COUNTIFS($B$2:$B271,$B271,$AK$2:$AK271,$AK271)</f>
        <v>29</v>
      </c>
      <c r="AM271" s="191">
        <f>IF(AK271=0, "NA",IF(((sim_annual_output!F271/E271)/AK271)&lt;0,100,((sim_annual_output!F271/E271)/AK271)))</f>
        <v>29.990728663303123</v>
      </c>
      <c r="AN271">
        <f>(S271+V271)*constants!$F$2+(T271+U271+W271+X271+Y271+Z271+AA271+AB271)*constants!$G$2</f>
        <v>118045.0276918009</v>
      </c>
      <c r="AO271">
        <f>(AD271*constants!$F$2+AE271*constants!$G$2)</f>
        <v>5325.9089782075616</v>
      </c>
      <c r="AP271">
        <f t="shared" si="40"/>
        <v>4.5117605394720792</v>
      </c>
    </row>
    <row r="272" spans="1:42">
      <c r="A272">
        <f>sim_annual_output!B272</f>
        <v>9</v>
      </c>
      <c r="B272" t="str">
        <f>sim_annual_output!C272</f>
        <v>Maintenance Shop</v>
      </c>
      <c r="C272" t="str">
        <f>sim_annual_output!D272</f>
        <v>1980-2004</v>
      </c>
      <c r="D272" t="str">
        <f>sim_annual_output!E272</f>
        <v>load_reduce</v>
      </c>
      <c r="E272" s="45">
        <f t="array" ref="E272">IFERROR(INDEX(baseline!$J$3:$J$201,MATCH($B272&amp;$C272,baseline!$C$3:$C$201&amp;baseline!$D$3:$D$201,0)),"NA")</f>
        <v>1927</v>
      </c>
      <c r="F272">
        <f>sim_annual_output!G272</f>
        <v>2388.5449741513999</v>
      </c>
      <c r="G272">
        <f>$E272/$F272^2*sim_annual_output!I272</f>
        <v>0</v>
      </c>
      <c r="H272">
        <f>$E272/$F272^2*sim_annual_output!J272</f>
        <v>144.29527418622089</v>
      </c>
      <c r="I272">
        <f>$E272/$F272^2*sim_annual_output!K272</f>
        <v>0.24300347226960228</v>
      </c>
      <c r="J272">
        <f>$E272/$F272^2*sim_annual_output!L272</f>
        <v>2.1701429782223558</v>
      </c>
      <c r="K272">
        <f>$E272/$F272^2*sim_annual_output!M272</f>
        <v>0</v>
      </c>
      <c r="L272">
        <f>$E272/$F272^2*sim_annual_output!N272</f>
        <v>28.425776831475446</v>
      </c>
      <c r="M272">
        <f>$E272/$F272^2*sim_annual_output!O272</f>
        <v>4.074764787903022</v>
      </c>
      <c r="N272">
        <f>$E272/$F272^2*sim_annual_output!P272</f>
        <v>0</v>
      </c>
      <c r="O272">
        <f>$E272/$F272^2*sim_annual_output!Q272</f>
        <v>16.086079274371933</v>
      </c>
      <c r="P272">
        <f>$E272/$F272^2*sim_annual_output!R272</f>
        <v>14.659020273128442</v>
      </c>
      <c r="Q272">
        <f>$E272/$F272^2*sim_annual_output!S272</f>
        <v>0</v>
      </c>
      <c r="R272">
        <f t="array" ref="R272">INDEX(G$3:G$700,MATCH($B272&amp;$C272&amp;"baseline",$B$3:$B$700&amp;$C$3:$C$700&amp;$D$3:$D$700,0))</f>
        <v>0</v>
      </c>
      <c r="S272">
        <f t="array" ref="S272">INDEX(H$3:H$700,MATCH($B272&amp;$C272&amp;"baseline",$B$3:$B$700&amp;$C$3:$C$700&amp;$D$3:$D$700,0))</f>
        <v>324.25294984335915</v>
      </c>
      <c r="T272">
        <f t="array" ref="T272">INDEX(I$3:I$700,MATCH($B272&amp;$C272&amp;"baseline",$B$3:$B$700&amp;$C$3:$C$700&amp;$D$3:$D$700,0))</f>
        <v>0.35277724159602492</v>
      </c>
      <c r="U272">
        <f t="array" ref="U272">INDEX(J$3:J$700,MATCH($B272&amp;$C272&amp;"baseline",$B$3:$B$700&amp;$C$3:$C$700&amp;$D$3:$D$700,0))</f>
        <v>2.1701429782223558</v>
      </c>
      <c r="V272">
        <f t="array" ref="V272">INDEX(K$3:K$700,MATCH($B272&amp;$C272&amp;"baseline",$B$3:$B$700&amp;$C$3:$C$700&amp;$D$3:$D$700,0))</f>
        <v>0</v>
      </c>
      <c r="W272">
        <f t="array" ref="W272">INDEX(L$3:L$700,MATCH($B272&amp;$C272&amp;"baseline",$B$3:$B$700&amp;$C$3:$C$700&amp;$D$3:$D$700,0))</f>
        <v>28.425776831475446</v>
      </c>
      <c r="X272">
        <f t="array" ref="X272">INDEX(M$3:M$700,MATCH($B272&amp;$C272&amp;"baseline",$B$3:$B$700&amp;$C$3:$C$700&amp;$D$3:$D$700,0))</f>
        <v>4.074764787903022</v>
      </c>
      <c r="Y272">
        <f t="array" ref="Y272">INDEX(N$3:N$700,MATCH($B272&amp;$C272&amp;"baseline",$B$3:$B$700&amp;$C$3:$C$700&amp;$D$3:$D$700,0))</f>
        <v>0</v>
      </c>
      <c r="Z272">
        <f t="array" ref="Z272">INDEX(O$3:O$700,MATCH($B272&amp;$C272&amp;"baseline",$B$3:$B$700&amp;$C$3:$C$700&amp;$D$3:$D$700,0))</f>
        <v>17.85559490642008</v>
      </c>
      <c r="AA272">
        <f t="array" ref="AA272">INDEX(P$3:P$700,MATCH($B272&amp;$C272&amp;"baseline",$B$3:$B$700&amp;$C$3:$C$700&amp;$D$3:$D$700,0))</f>
        <v>16.090770461095289</v>
      </c>
      <c r="AB272">
        <f t="array" ref="AB272">INDEX(Q$3:Q$700,MATCH($B272&amp;$C272&amp;"baseline",$B$3:$B$700&amp;$C$3:$C$700&amp;$D$3:$D$700,0))</f>
        <v>0</v>
      </c>
      <c r="AC272">
        <f t="shared" si="34"/>
        <v>393.22277705007139</v>
      </c>
      <c r="AD272">
        <f t="shared" si="35"/>
        <v>179.95767565713825</v>
      </c>
      <c r="AE272">
        <f t="shared" si="36"/>
        <v>3.3110395893414051</v>
      </c>
      <c r="AF272">
        <f t="shared" si="37"/>
        <v>46.606841196064018</v>
      </c>
      <c r="AG272">
        <f>(S272+V272+Y272)*constants!$O$2+(R272+T272+U272+W272+X272+Z272+AA272+AB272)*constants!$N$2</f>
        <v>13.046488261820897</v>
      </c>
      <c r="AH272">
        <f>((S272+V272+Y272)-(H272+K272+N272))*constants!$O$2</f>
        <v>2.9153143456456396</v>
      </c>
      <c r="AI272">
        <f>((R272+T272+U272+W272+X272+Z272+AA272+AB272)-(G272+I272+J272+L272+M272+O272+P272+Q272))*constants!$N$2</f>
        <v>0.37414747359557876</v>
      </c>
      <c r="AJ272">
        <f t="shared" si="38"/>
        <v>25.213388869305646</v>
      </c>
      <c r="AK272">
        <f t="shared" si="39"/>
        <v>3.2894618192412182</v>
      </c>
      <c r="AL272">
        <f>COUNTIFS($B:$B,$B272,$AK:$AK,"&lt;"&amp;$AK272)+COUNTIFS($B$2:$B272,$B272,$AK$2:$AK272,$AK272)</f>
        <v>39</v>
      </c>
      <c r="AM272" s="191">
        <f>IF(AK272=0, "NA",IF(((sim_annual_output!F272/E272)/AK272)&lt;0,100,((sim_annual_output!F272/E272)/AK272)))</f>
        <v>11.256775672691633</v>
      </c>
      <c r="AN272">
        <f>(S272+V272)*constants!$F$2+(T272+U272+W272+X272+Y272+Z272+AA272+AB272)*constants!$G$2</f>
        <v>118045.0276918009</v>
      </c>
      <c r="AO272">
        <f>(AD272*constants!$F$2+AE272*constants!$G$2)</f>
        <v>35093.028385354773</v>
      </c>
      <c r="AP272">
        <f t="shared" si="40"/>
        <v>29.728510443470586</v>
      </c>
    </row>
    <row r="273" spans="1:42">
      <c r="A273">
        <f>sim_annual_output!B273</f>
        <v>9</v>
      </c>
      <c r="B273" t="str">
        <f>sim_annual_output!C273</f>
        <v>Maintenance Shop</v>
      </c>
      <c r="C273" t="str">
        <f>sim_annual_output!D273</f>
        <v>1980-2004</v>
      </c>
      <c r="D273" t="str">
        <f>sim_annual_output!E273</f>
        <v>occupancy_setback</v>
      </c>
      <c r="E273" s="45">
        <f t="array" ref="E273">IFERROR(INDEX(baseline!$J$3:$J$201,MATCH($B273&amp;$C273,baseline!$C$3:$C$201&amp;baseline!$D$3:$D$201,0)),"NA")</f>
        <v>1927</v>
      </c>
      <c r="F273">
        <f>sim_annual_output!G273</f>
        <v>2388.5449741513999</v>
      </c>
      <c r="G273">
        <f>$E273/$F273^2*sim_annual_output!I273</f>
        <v>0</v>
      </c>
      <c r="H273">
        <f>$E273/$F273^2*sim_annual_output!J273</f>
        <v>281.28261769480503</v>
      </c>
      <c r="I273">
        <f>$E273/$F273^2*sim_annual_output!K273</f>
        <v>0.22517696272086699</v>
      </c>
      <c r="J273">
        <f>$E273/$F273^2*sim_annual_output!L273</f>
        <v>2.1701429782223558</v>
      </c>
      <c r="K273">
        <f>$E273/$F273^2*sim_annual_output!M273</f>
        <v>0</v>
      </c>
      <c r="L273">
        <f>$E273/$F273^2*sim_annual_output!N273</f>
        <v>28.425776831475446</v>
      </c>
      <c r="M273">
        <f>$E273/$F273^2*sim_annual_output!O273</f>
        <v>4.074764787903022</v>
      </c>
      <c r="N273">
        <f>$E273/$F273^2*sim_annual_output!P273</f>
        <v>0</v>
      </c>
      <c r="O273">
        <f>$E273/$F273^2*sim_annual_output!Q273</f>
        <v>20.00134371368101</v>
      </c>
      <c r="P273">
        <f>$E273/$F273^2*sim_annual_output!R273</f>
        <v>18.179286790331329</v>
      </c>
      <c r="Q273">
        <f>$E273/$F273^2*sim_annual_output!S273</f>
        <v>0</v>
      </c>
      <c r="R273">
        <f t="array" ref="R273">INDEX(G$3:G$700,MATCH($B273&amp;$C273&amp;"baseline",$B$3:$B$700&amp;$C$3:$C$700&amp;$D$3:$D$700,0))</f>
        <v>0</v>
      </c>
      <c r="S273">
        <f t="array" ref="S273">INDEX(H$3:H$700,MATCH($B273&amp;$C273&amp;"baseline",$B$3:$B$700&amp;$C$3:$C$700&amp;$D$3:$D$700,0))</f>
        <v>324.25294984335915</v>
      </c>
      <c r="T273">
        <f t="array" ref="T273">INDEX(I$3:I$700,MATCH($B273&amp;$C273&amp;"baseline",$B$3:$B$700&amp;$C$3:$C$700&amp;$D$3:$D$700,0))</f>
        <v>0.35277724159602492</v>
      </c>
      <c r="U273">
        <f t="array" ref="U273">INDEX(J$3:J$700,MATCH($B273&amp;$C273&amp;"baseline",$B$3:$B$700&amp;$C$3:$C$700&amp;$D$3:$D$700,0))</f>
        <v>2.1701429782223558</v>
      </c>
      <c r="V273">
        <f t="array" ref="V273">INDEX(K$3:K$700,MATCH($B273&amp;$C273&amp;"baseline",$B$3:$B$700&amp;$C$3:$C$700&amp;$D$3:$D$700,0))</f>
        <v>0</v>
      </c>
      <c r="W273">
        <f t="array" ref="W273">INDEX(L$3:L$700,MATCH($B273&amp;$C273&amp;"baseline",$B$3:$B$700&amp;$C$3:$C$700&amp;$D$3:$D$700,0))</f>
        <v>28.425776831475446</v>
      </c>
      <c r="X273">
        <f t="array" ref="X273">INDEX(M$3:M$700,MATCH($B273&amp;$C273&amp;"baseline",$B$3:$B$700&amp;$C$3:$C$700&amp;$D$3:$D$700,0))</f>
        <v>4.074764787903022</v>
      </c>
      <c r="Y273">
        <f t="array" ref="Y273">INDEX(N$3:N$700,MATCH($B273&amp;$C273&amp;"baseline",$B$3:$B$700&amp;$C$3:$C$700&amp;$D$3:$D$700,0))</f>
        <v>0</v>
      </c>
      <c r="Z273">
        <f t="array" ref="Z273">INDEX(O$3:O$700,MATCH($B273&amp;$C273&amp;"baseline",$B$3:$B$700&amp;$C$3:$C$700&amp;$D$3:$D$700,0))</f>
        <v>17.85559490642008</v>
      </c>
      <c r="AA273">
        <f t="array" ref="AA273">INDEX(P$3:P$700,MATCH($B273&amp;$C273&amp;"baseline",$B$3:$B$700&amp;$C$3:$C$700&amp;$D$3:$D$700,0))</f>
        <v>16.090770461095289</v>
      </c>
      <c r="AB273">
        <f t="array" ref="AB273">INDEX(Q$3:Q$700,MATCH($B273&amp;$C273&amp;"baseline",$B$3:$B$700&amp;$C$3:$C$700&amp;$D$3:$D$700,0))</f>
        <v>0</v>
      </c>
      <c r="AC273">
        <f t="shared" si="34"/>
        <v>393.22277705007139</v>
      </c>
      <c r="AD273">
        <f t="shared" si="35"/>
        <v>42.970332148554121</v>
      </c>
      <c r="AE273">
        <f t="shared" si="36"/>
        <v>-4.1066648576218228</v>
      </c>
      <c r="AF273">
        <f t="shared" si="37"/>
        <v>9.8833713505826637</v>
      </c>
      <c r="AG273">
        <f>(S273+V273+Y273)*constants!$O$2+(R273+T273+U273+W273+X273+Z273+AA273+AB273)*constants!$N$2</f>
        <v>13.046488261820897</v>
      </c>
      <c r="AH273">
        <f>((S273+V273+Y273)-(H273+K273+N273))*constants!$O$2</f>
        <v>0.69611938080657676</v>
      </c>
      <c r="AI273">
        <f>((R273+T273+U273+W273+X273+Z273+AA273+AB273)-(G273+I273+J273+L273+M273+O273+P273+Q273))*constants!$N$2</f>
        <v>-0.46405312891126599</v>
      </c>
      <c r="AJ273">
        <f t="shared" si="38"/>
        <v>1.7787641182679552</v>
      </c>
      <c r="AK273">
        <f t="shared" si="39"/>
        <v>0.23206625189531077</v>
      </c>
      <c r="AL273">
        <f>COUNTIFS($B:$B,$B273,$AK:$AK,"&lt;"&amp;$AK273)+COUNTIFS($B$2:$B273,$B273,$AK$2:$AK273,$AK273)</f>
        <v>22</v>
      </c>
      <c r="AM273" s="191">
        <f>IF(AK273=0, "NA",IF(((sim_annual_output!F273/E273)/AK273)&lt;0,100,((sim_annual_output!F273/E273)/AK273)))</f>
        <v>11.719314964976176</v>
      </c>
      <c r="AN273">
        <f>(S273+V273)*constants!$F$2+(T273+U273+W273+X273+Y273+Z273+AA273+AB273)*constants!$G$2</f>
        <v>118045.0276918009</v>
      </c>
      <c r="AO273">
        <f>(AD273*constants!$F$2+AE273*constants!$G$2)</f>
        <v>4118.8910284602016</v>
      </c>
      <c r="AP273">
        <f t="shared" si="40"/>
        <v>3.48925415072463</v>
      </c>
    </row>
    <row r="274" spans="1:42">
      <c r="A274">
        <f>sim_annual_output!B274</f>
        <v>9</v>
      </c>
      <c r="B274" t="str">
        <f>sim_annual_output!C274</f>
        <v>Maintenance Shop</v>
      </c>
      <c r="C274" t="str">
        <f>sim_annual_output!D274</f>
        <v>1980-2004</v>
      </c>
      <c r="D274" t="str">
        <f>sim_annual_output!E274</f>
        <v>payback_less_than_20</v>
      </c>
      <c r="E274" s="45">
        <f t="array" ref="E274">IFERROR(INDEX(baseline!$J$3:$J$201,MATCH($B274&amp;$C274,baseline!$C$3:$C$201&amp;baseline!$D$3:$D$201,0)),"NA")</f>
        <v>1927</v>
      </c>
      <c r="F274">
        <f>sim_annual_output!G274</f>
        <v>2388.5449741513999</v>
      </c>
      <c r="G274">
        <f>$E274/$F274^2*sim_annual_output!I274</f>
        <v>0</v>
      </c>
      <c r="H274">
        <f>$E274/$F274^2*sim_annual_output!J274</f>
        <v>92.694096704044881</v>
      </c>
      <c r="I274">
        <f>$E274/$F274^2*sim_annual_output!K274</f>
        <v>0.59953366324430835</v>
      </c>
      <c r="J274">
        <f>$E274/$F274^2*sim_annual_output!L274</f>
        <v>2.1701429782223558</v>
      </c>
      <c r="K274">
        <f>$E274/$F274^2*sim_annual_output!M274</f>
        <v>0</v>
      </c>
      <c r="L274">
        <f>$E274/$F274^2*sim_annual_output!N274</f>
        <v>19.898137605767278</v>
      </c>
      <c r="M274">
        <f>$E274/$F274^2*sim_annual_output!O274</f>
        <v>4.074764787903022</v>
      </c>
      <c r="N274">
        <f>$E274/$F274^2*sim_annual_output!P274</f>
        <v>0</v>
      </c>
      <c r="O274">
        <f>$E274/$F274^2*sim_annual_output!Q274</f>
        <v>14.434781547752243</v>
      </c>
      <c r="P274">
        <f>$E274/$F274^2*sim_annual_output!R274</f>
        <v>11.087150701968687</v>
      </c>
      <c r="Q274">
        <f>$E274/$F274^2*sim_annual_output!S274</f>
        <v>0</v>
      </c>
      <c r="R274">
        <f t="array" ref="R274">INDEX(G$3:G$700,MATCH($B274&amp;$C274&amp;"baseline",$B$3:$B$700&amp;$C$3:$C$700&amp;$D$3:$D$700,0))</f>
        <v>0</v>
      </c>
      <c r="S274">
        <f t="array" ref="S274">INDEX(H$3:H$700,MATCH($B274&amp;$C274&amp;"baseline",$B$3:$B$700&amp;$C$3:$C$700&amp;$D$3:$D$700,0))</f>
        <v>324.25294984335915</v>
      </c>
      <c r="T274">
        <f t="array" ref="T274">INDEX(I$3:I$700,MATCH($B274&amp;$C274&amp;"baseline",$B$3:$B$700&amp;$C$3:$C$700&amp;$D$3:$D$700,0))</f>
        <v>0.35277724159602492</v>
      </c>
      <c r="U274">
        <f t="array" ref="U274">INDEX(J$3:J$700,MATCH($B274&amp;$C274&amp;"baseline",$B$3:$B$700&amp;$C$3:$C$700&amp;$D$3:$D$700,0))</f>
        <v>2.1701429782223558</v>
      </c>
      <c r="V274">
        <f t="array" ref="V274">INDEX(K$3:K$700,MATCH($B274&amp;$C274&amp;"baseline",$B$3:$B$700&amp;$C$3:$C$700&amp;$D$3:$D$700,0))</f>
        <v>0</v>
      </c>
      <c r="W274">
        <f t="array" ref="W274">INDEX(L$3:L$700,MATCH($B274&amp;$C274&amp;"baseline",$B$3:$B$700&amp;$C$3:$C$700&amp;$D$3:$D$700,0))</f>
        <v>28.425776831475446</v>
      </c>
      <c r="X274">
        <f t="array" ref="X274">INDEX(M$3:M$700,MATCH($B274&amp;$C274&amp;"baseline",$B$3:$B$700&amp;$C$3:$C$700&amp;$D$3:$D$700,0))</f>
        <v>4.074764787903022</v>
      </c>
      <c r="Y274">
        <f t="array" ref="Y274">INDEX(N$3:N$700,MATCH($B274&amp;$C274&amp;"baseline",$B$3:$B$700&amp;$C$3:$C$700&amp;$D$3:$D$700,0))</f>
        <v>0</v>
      </c>
      <c r="Z274">
        <f t="array" ref="Z274">INDEX(O$3:O$700,MATCH($B274&amp;$C274&amp;"baseline",$B$3:$B$700&amp;$C$3:$C$700&amp;$D$3:$D$700,0))</f>
        <v>17.85559490642008</v>
      </c>
      <c r="AA274">
        <f t="array" ref="AA274">INDEX(P$3:P$700,MATCH($B274&amp;$C274&amp;"baseline",$B$3:$B$700&amp;$C$3:$C$700&amp;$D$3:$D$700,0))</f>
        <v>16.090770461095289</v>
      </c>
      <c r="AB274">
        <f t="array" ref="AB274">INDEX(Q$3:Q$700,MATCH($B274&amp;$C274&amp;"baseline",$B$3:$B$700&amp;$C$3:$C$700&amp;$D$3:$D$700,0))</f>
        <v>0</v>
      </c>
      <c r="AC274">
        <f t="shared" si="34"/>
        <v>393.22277705007139</v>
      </c>
      <c r="AD274">
        <f t="shared" si="35"/>
        <v>231.55885313931427</v>
      </c>
      <c r="AE274">
        <f t="shared" si="36"/>
        <v>16.705315921854314</v>
      </c>
      <c r="AF274">
        <f t="shared" si="37"/>
        <v>63.135754984395433</v>
      </c>
      <c r="AG274">
        <f>(S274+V274+Y274)*constants!$O$2+(R274+T274+U274+W274+X274+Z274+AA274+AB274)*constants!$N$2</f>
        <v>13.046488261820897</v>
      </c>
      <c r="AH274">
        <f>((S274+V274+Y274)-(H274+K274+N274))*constants!$O$2</f>
        <v>3.7512534208568908</v>
      </c>
      <c r="AI274">
        <f>((R274+T274+U274+W274+X274+Z274+AA274+AB274)-(G274+I274+J274+L274+M274+O274+P274+Q274))*constants!$N$2</f>
        <v>1.8877006991695375</v>
      </c>
      <c r="AJ274">
        <f t="shared" si="38"/>
        <v>43.22200738514595</v>
      </c>
      <c r="AK274">
        <f t="shared" si="39"/>
        <v>5.6389541200264279</v>
      </c>
      <c r="AL274">
        <f>COUNTIFS($B:$B,$B274,$AK:$AK,"&lt;"&amp;$AK274)+COUNTIFS($B$2:$B274,$B274,$AK$2:$AK274,$AK274)</f>
        <v>42</v>
      </c>
      <c r="AM274" s="191">
        <f>IF(AK274=0, "NA",IF(((sim_annual_output!F274/E274)/AK274)&lt;0,100,((sim_annual_output!F274/E274)/AK274)))</f>
        <v>13.70421167056427</v>
      </c>
      <c r="AN274">
        <f>(S274+V274)*constants!$F$2+(T274+U274+W274+X274+Y274+Z274+AA274+AB274)*constants!$G$2</f>
        <v>118045.0276918009</v>
      </c>
      <c r="AO274">
        <f>(AD274*constants!$F$2+AE274*constants!$G$2)</f>
        <v>55982.65956395051</v>
      </c>
      <c r="AP274">
        <f t="shared" si="40"/>
        <v>47.424834962225958</v>
      </c>
    </row>
    <row r="275" spans="1:42">
      <c r="A275">
        <f>sim_annual_output!B275</f>
        <v>9</v>
      </c>
      <c r="B275" t="str">
        <f>sim_annual_output!C275</f>
        <v>Maintenance Shop</v>
      </c>
      <c r="C275" t="str">
        <f>sim_annual_output!D275</f>
        <v>1980-2004</v>
      </c>
      <c r="D275" t="str">
        <f>sim_annual_output!E275</f>
        <v>plug_loads_90_percent</v>
      </c>
      <c r="E275" s="45">
        <f t="array" ref="E275">IFERROR(INDEX(baseline!$J$3:$J$201,MATCH($B275&amp;$C275,baseline!$C$3:$C$201&amp;baseline!$D$3:$D$201,0)),"NA")</f>
        <v>1927</v>
      </c>
      <c r="F275">
        <f>sim_annual_output!G275</f>
        <v>2388.5449741513999</v>
      </c>
      <c r="G275">
        <f>$E275/$F275^2*sim_annual_output!I275</f>
        <v>0</v>
      </c>
      <c r="H275">
        <f>$E275/$F275^2*sim_annual_output!J275</f>
        <v>324.15255844747941</v>
      </c>
      <c r="I275">
        <f>$E275/$F275^2*sim_annual_output!K275</f>
        <v>0.38843026069349551</v>
      </c>
      <c r="J275">
        <f>$E275/$F275^2*sim_annual_output!L275</f>
        <v>2.1701429782223558</v>
      </c>
      <c r="K275">
        <f>$E275/$F275^2*sim_annual_output!M275</f>
        <v>0</v>
      </c>
      <c r="L275">
        <f>$E275/$F275^2*sim_annual_output!N275</f>
        <v>28.425776831475446</v>
      </c>
      <c r="M275">
        <f>$E275/$F275^2*sim_annual_output!O275</f>
        <v>4.074764787903022</v>
      </c>
      <c r="N275">
        <f>$E275/$F275^2*sim_annual_output!P275</f>
        <v>0</v>
      </c>
      <c r="O275">
        <f>$E275/$F275^2*sim_annual_output!Q275</f>
        <v>18.08171010648562</v>
      </c>
      <c r="P275">
        <f>$E275/$F275^2*sim_annual_output!R275</f>
        <v>16.310317999748133</v>
      </c>
      <c r="Q275">
        <f>$E275/$F275^2*sim_annual_output!S275</f>
        <v>0</v>
      </c>
      <c r="R275">
        <f t="array" ref="R275">INDEX(G$3:G$700,MATCH($B275&amp;$C275&amp;"baseline",$B$3:$B$700&amp;$C$3:$C$700&amp;$D$3:$D$700,0))</f>
        <v>0</v>
      </c>
      <c r="S275">
        <f t="array" ref="S275">INDEX(H$3:H$700,MATCH($B275&amp;$C275&amp;"baseline",$B$3:$B$700&amp;$C$3:$C$700&amp;$D$3:$D$700,0))</f>
        <v>324.25294984335915</v>
      </c>
      <c r="T275">
        <f t="array" ref="T275">INDEX(I$3:I$700,MATCH($B275&amp;$C275&amp;"baseline",$B$3:$B$700&amp;$C$3:$C$700&amp;$D$3:$D$700,0))</f>
        <v>0.35277724159602492</v>
      </c>
      <c r="U275">
        <f t="array" ref="U275">INDEX(J$3:J$700,MATCH($B275&amp;$C275&amp;"baseline",$B$3:$B$700&amp;$C$3:$C$700&amp;$D$3:$D$700,0))</f>
        <v>2.1701429782223558</v>
      </c>
      <c r="V275">
        <f t="array" ref="V275">INDEX(K$3:K$700,MATCH($B275&amp;$C275&amp;"baseline",$B$3:$B$700&amp;$C$3:$C$700&amp;$D$3:$D$700,0))</f>
        <v>0</v>
      </c>
      <c r="W275">
        <f t="array" ref="W275">INDEX(L$3:L$700,MATCH($B275&amp;$C275&amp;"baseline",$B$3:$B$700&amp;$C$3:$C$700&amp;$D$3:$D$700,0))</f>
        <v>28.425776831475446</v>
      </c>
      <c r="X275">
        <f t="array" ref="X275">INDEX(M$3:M$700,MATCH($B275&amp;$C275&amp;"baseline",$B$3:$B$700&amp;$C$3:$C$700&amp;$D$3:$D$700,0))</f>
        <v>4.074764787903022</v>
      </c>
      <c r="Y275">
        <f t="array" ref="Y275">INDEX(N$3:N$700,MATCH($B275&amp;$C275&amp;"baseline",$B$3:$B$700&amp;$C$3:$C$700&amp;$D$3:$D$700,0))</f>
        <v>0</v>
      </c>
      <c r="Z275">
        <f t="array" ref="Z275">INDEX(O$3:O$700,MATCH($B275&amp;$C275&amp;"baseline",$B$3:$B$700&amp;$C$3:$C$700&amp;$D$3:$D$700,0))</f>
        <v>17.85559490642008</v>
      </c>
      <c r="AA275">
        <f t="array" ref="AA275">INDEX(P$3:P$700,MATCH($B275&amp;$C275&amp;"baseline",$B$3:$B$700&amp;$C$3:$C$700&amp;$D$3:$D$700,0))</f>
        <v>16.090770461095289</v>
      </c>
      <c r="AB275">
        <f t="array" ref="AB275">INDEX(Q$3:Q$700,MATCH($B275&amp;$C275&amp;"baseline",$B$3:$B$700&amp;$C$3:$C$700&amp;$D$3:$D$700,0))</f>
        <v>0</v>
      </c>
      <c r="AC275">
        <f t="shared" si="34"/>
        <v>393.22277705007139</v>
      </c>
      <c r="AD275">
        <f t="shared" si="35"/>
        <v>0.10039139587973978</v>
      </c>
      <c r="AE275">
        <f t="shared" si="36"/>
        <v>-0.48131575781586378</v>
      </c>
      <c r="AF275">
        <f t="shared" si="37"/>
        <v>-9.6872405203429671E-2</v>
      </c>
      <c r="AG275">
        <f>(S275+V275+Y275)*constants!$O$2+(R275+T275+U275+W275+X275+Z275+AA275+AB275)*constants!$N$2</f>
        <v>13.046488261820897</v>
      </c>
      <c r="AH275">
        <f>((S275+V275+Y275)-(H275+K275+N275))*constants!$O$2</f>
        <v>1.6263406132517842E-3</v>
      </c>
      <c r="AI275">
        <f>((R275+T275+U275+W275+X275+Z275+AA275+AB275)-(G275+I275+J275+L275+M275+O275+P275+Q275))*constants!$N$2</f>
        <v>-5.4388680633192611E-2</v>
      </c>
      <c r="AJ275">
        <f t="shared" si="38"/>
        <v>-0.40441794727508368</v>
      </c>
      <c r="AK275">
        <f t="shared" si="39"/>
        <v>-5.2762340019940825E-2</v>
      </c>
      <c r="AL275">
        <f>COUNTIFS($B:$B,$B275,$AK:$AK,"&lt;"&amp;$AK275)+COUNTIFS($B$2:$B275,$B275,$AK$2:$AK275,$AK275)</f>
        <v>4</v>
      </c>
      <c r="AM275" s="191">
        <f>IF(AK275=0, "NA",IF(((sim_annual_output!F275/E275)/AK275)&lt;0,100,((sim_annual_output!F275/E275)/AK275)))</f>
        <v>100</v>
      </c>
      <c r="AN275">
        <f>(S275+V275)*constants!$F$2+(T275+U275+W275+X275+Y275+Z275+AA275+AB275)*constants!$G$2</f>
        <v>118045.0276918009</v>
      </c>
      <c r="AO275">
        <f>(AD275*constants!$F$2+AE275*constants!$G$2)</f>
        <v>-400.77464943732804</v>
      </c>
      <c r="AP275">
        <f t="shared" si="40"/>
        <v>-0.33950997960176243</v>
      </c>
    </row>
    <row r="276" spans="1:42">
      <c r="A276">
        <f>sim_annual_output!B276</f>
        <v>9</v>
      </c>
      <c r="B276" t="str">
        <f>sim_annual_output!C276</f>
        <v>Maintenance Shop</v>
      </c>
      <c r="C276" t="str">
        <f>sim_annual_output!D276</f>
        <v>1980-2004</v>
      </c>
      <c r="D276" t="str">
        <f>sim_annual_output!E276</f>
        <v>pump_fan_eff_</v>
      </c>
      <c r="E276" s="45">
        <f t="array" ref="E276">IFERROR(INDEX(baseline!$J$3:$J$201,MATCH($B276&amp;$C276,baseline!$C$3:$C$201&amp;baseline!$D$3:$D$201,0)),"NA")</f>
        <v>1927</v>
      </c>
      <c r="F276">
        <f>sim_annual_output!G276</f>
        <v>2388.5449741513999</v>
      </c>
      <c r="G276">
        <f>$E276/$F276^2*sim_annual_output!I276</f>
        <v>0</v>
      </c>
      <c r="H276">
        <f>$E276/$F276^2*sim_annual_output!J276</f>
        <v>323.960219791822</v>
      </c>
      <c r="I276">
        <f>$E276/$F276^2*sim_annual_output!K276</f>
        <v>0.3940596847615172</v>
      </c>
      <c r="J276">
        <f>$E276/$F276^2*sim_annual_output!L276</f>
        <v>2.1701429782223558</v>
      </c>
      <c r="K276">
        <f>$E276/$F276^2*sim_annual_output!M276</f>
        <v>0</v>
      </c>
      <c r="L276">
        <f>$E276/$F276^2*sim_annual_output!N276</f>
        <v>28.425776831475446</v>
      </c>
      <c r="M276">
        <f>$E276/$F276^2*sim_annual_output!O276</f>
        <v>4.074764787903022</v>
      </c>
      <c r="N276">
        <f>$E276/$F276^2*sim_annual_output!P276</f>
        <v>0</v>
      </c>
      <c r="O276">
        <f>$E276/$F276^2*sim_annual_output!Q276</f>
        <v>18.079833631796276</v>
      </c>
      <c r="P276">
        <f>$E276/$F276^2*sim_annual_output!R276</f>
        <v>12.755336700792444</v>
      </c>
      <c r="Q276">
        <f>$E276/$F276^2*sim_annual_output!S276</f>
        <v>0</v>
      </c>
      <c r="R276">
        <f t="array" ref="R276">INDEX(G$3:G$700,MATCH($B276&amp;$C276&amp;"baseline",$B$3:$B$700&amp;$C$3:$C$700&amp;$D$3:$D$700,0))</f>
        <v>0</v>
      </c>
      <c r="S276">
        <f t="array" ref="S276">INDEX(H$3:H$700,MATCH($B276&amp;$C276&amp;"baseline",$B$3:$B$700&amp;$C$3:$C$700&amp;$D$3:$D$700,0))</f>
        <v>324.25294984335915</v>
      </c>
      <c r="T276">
        <f t="array" ref="T276">INDEX(I$3:I$700,MATCH($B276&amp;$C276&amp;"baseline",$B$3:$B$700&amp;$C$3:$C$700&amp;$D$3:$D$700,0))</f>
        <v>0.35277724159602492</v>
      </c>
      <c r="U276">
        <f t="array" ref="U276">INDEX(J$3:J$700,MATCH($B276&amp;$C276&amp;"baseline",$B$3:$B$700&amp;$C$3:$C$700&amp;$D$3:$D$700,0))</f>
        <v>2.1701429782223558</v>
      </c>
      <c r="V276">
        <f t="array" ref="V276">INDEX(K$3:K$700,MATCH($B276&amp;$C276&amp;"baseline",$B$3:$B$700&amp;$C$3:$C$700&amp;$D$3:$D$700,0))</f>
        <v>0</v>
      </c>
      <c r="W276">
        <f t="array" ref="W276">INDEX(L$3:L$700,MATCH($B276&amp;$C276&amp;"baseline",$B$3:$B$700&amp;$C$3:$C$700&amp;$D$3:$D$700,0))</f>
        <v>28.425776831475446</v>
      </c>
      <c r="X276">
        <f t="array" ref="X276">INDEX(M$3:M$700,MATCH($B276&amp;$C276&amp;"baseline",$B$3:$B$700&amp;$C$3:$C$700&amp;$D$3:$D$700,0))</f>
        <v>4.074764787903022</v>
      </c>
      <c r="Y276">
        <f t="array" ref="Y276">INDEX(N$3:N$700,MATCH($B276&amp;$C276&amp;"baseline",$B$3:$B$700&amp;$C$3:$C$700&amp;$D$3:$D$700,0))</f>
        <v>0</v>
      </c>
      <c r="Z276">
        <f t="array" ref="Z276">INDEX(O$3:O$700,MATCH($B276&amp;$C276&amp;"baseline",$B$3:$B$700&amp;$C$3:$C$700&amp;$D$3:$D$700,0))</f>
        <v>17.85559490642008</v>
      </c>
      <c r="AA276">
        <f t="array" ref="AA276">INDEX(P$3:P$700,MATCH($B276&amp;$C276&amp;"baseline",$B$3:$B$700&amp;$C$3:$C$700&amp;$D$3:$D$700,0))</f>
        <v>16.090770461095289</v>
      </c>
      <c r="AB276">
        <f t="array" ref="AB276">INDEX(Q$3:Q$700,MATCH($B276&amp;$C276&amp;"baseline",$B$3:$B$700&amp;$C$3:$C$700&amp;$D$3:$D$700,0))</f>
        <v>0</v>
      </c>
      <c r="AC276">
        <f t="shared" si="34"/>
        <v>393.22277705007139</v>
      </c>
      <c r="AD276">
        <f t="shared" si="35"/>
        <v>0.29273005153714848</v>
      </c>
      <c r="AE276">
        <f t="shared" si="36"/>
        <v>3.0699125917611525</v>
      </c>
      <c r="AF276">
        <f t="shared" si="37"/>
        <v>0.85514950800271561</v>
      </c>
      <c r="AG276">
        <f>(S276+V276+Y276)*constants!$O$2+(R276+T276+U276+W276+X276+Z276+AA276+AB276)*constants!$N$2</f>
        <v>13.046488261820897</v>
      </c>
      <c r="AH276">
        <f>((S276+V276+Y276)-(H276+K276+N276))*constants!$O$2</f>
        <v>4.7422268349018052E-3</v>
      </c>
      <c r="AI276">
        <f>((R276+T276+U276+W276+X276+Z276+AA276+AB276)-(G276+I276+J276+L276+M276+O276+P276+Q276))*constants!$N$2</f>
        <v>0.34690012286901023</v>
      </c>
      <c r="AJ276">
        <f t="shared" si="38"/>
        <v>2.6953026948481948</v>
      </c>
      <c r="AK276">
        <f t="shared" si="39"/>
        <v>0.35164234970391206</v>
      </c>
      <c r="AL276">
        <f>COUNTIFS($B:$B,$B276,$AK:$AK,"&lt;"&amp;$AK276)+COUNTIFS($B$2:$B276,$B276,$AK$2:$AK276,$AK276)</f>
        <v>27</v>
      </c>
      <c r="AM276" s="191">
        <f>IF(AK276=0, "NA",IF(((sim_annual_output!F276/E276)/AK276)&lt;0,100,((sim_annual_output!F276/E276)/AK276)))</f>
        <v>7.5450240174055336</v>
      </c>
      <c r="AN276">
        <f>(S276+V276)*constants!$F$2+(T276+U276+W276+X276+Y276+Z276+AA276+AB276)*constants!$G$2</f>
        <v>118045.0276918009</v>
      </c>
      <c r="AO276">
        <f>(AD276*constants!$F$2+AE276*constants!$G$2)</f>
        <v>2723.222634057352</v>
      </c>
      <c r="AP276">
        <f t="shared" si="40"/>
        <v>2.3069354866579439</v>
      </c>
    </row>
    <row r="277" spans="1:42">
      <c r="A277">
        <f>sim_annual_output!B277</f>
        <v>16</v>
      </c>
      <c r="B277" t="str">
        <f>sim_annual_output!C277</f>
        <v>Office-Small</v>
      </c>
      <c r="C277" t="str">
        <f>sim_annual_output!D277</f>
        <v>1960-1979</v>
      </c>
      <c r="D277" t="str">
        <f>sim_annual_output!E277</f>
        <v>air_temp_reset_enabled</v>
      </c>
      <c r="E277" s="45">
        <f t="array" ref="E277">IFERROR(INDEX(baseline!$J$3:$J$201,MATCH($B277&amp;$C277,baseline!$C$3:$C$201&amp;baseline!$D$3:$D$201,0)),"NA")</f>
        <v>584</v>
      </c>
      <c r="F277">
        <f>sim_annual_output!G277</f>
        <v>1211.46221507992</v>
      </c>
      <c r="G277">
        <f>$E277/$F277^2*sim_annual_output!I277</f>
        <v>4.6036887416655148</v>
      </c>
      <c r="H277">
        <f>$E277/$F277^2*sim_annual_output!J277</f>
        <v>53.514427473646073</v>
      </c>
      <c r="I277">
        <f>$E277/$F277^2*sim_annual_output!K277</f>
        <v>3.7448493293548055</v>
      </c>
      <c r="J277">
        <f>$E277/$F277^2*sim_annual_output!L277</f>
        <v>2.8627980410356981</v>
      </c>
      <c r="K277">
        <f>$E277/$F277^2*sim_annual_output!M277</f>
        <v>0</v>
      </c>
      <c r="L277">
        <f>$E277/$F277^2*sim_annual_output!N277</f>
        <v>12.878169874944756</v>
      </c>
      <c r="M277">
        <f>$E277/$F277^2*sim_annual_output!O277</f>
        <v>3.0838635268299606</v>
      </c>
      <c r="N277">
        <f>$E277/$F277^2*sim_annual_output!P277</f>
        <v>0</v>
      </c>
      <c r="O277">
        <f>$E277/$F277^2*sim_annual_output!Q277</f>
        <v>9.1012660501497837</v>
      </c>
      <c r="P277">
        <f>$E277/$F277^2*sim_annual_output!R277</f>
        <v>6.6319645738278721E-3</v>
      </c>
      <c r="Q277">
        <f>$E277/$F277^2*sim_annual_output!S277</f>
        <v>0</v>
      </c>
      <c r="R277">
        <f t="array" ref="R277">INDEX(G$3:G$700,MATCH($B277&amp;$C277&amp;"baseline",$B$3:$B$700&amp;$C$3:$C$700&amp;$D$3:$D$700,0))</f>
        <v>0.28849045896151243</v>
      </c>
      <c r="S277">
        <f t="array" ref="S277">INDEX(H$3:H$700,MATCH($B277&amp;$C277&amp;"baseline",$B$3:$B$700&amp;$C$3:$C$700&amp;$D$3:$D$700,0))</f>
        <v>64.431746489595724</v>
      </c>
      <c r="T277">
        <f t="array" ref="T277">INDEX(I$3:I$700,MATCH($B277&amp;$C277&amp;"baseline",$B$3:$B$700&amp;$C$3:$C$700&amp;$D$3:$D$700,0))</f>
        <v>1.0489557300937753</v>
      </c>
      <c r="U277">
        <f t="array" ref="U277">INDEX(J$3:J$700,MATCH($B277&amp;$C277&amp;"baseline",$B$3:$B$700&amp;$C$3:$C$700&amp;$D$3:$D$700,0))</f>
        <v>2.850639439317014</v>
      </c>
      <c r="V277">
        <f t="array" ref="V277">INDEX(K$3:K$700,MATCH($B277&amp;$C277&amp;"baseline",$B$3:$B$700&amp;$C$3:$C$700&amp;$D$3:$D$700,0))</f>
        <v>0</v>
      </c>
      <c r="W277">
        <f t="array" ref="W277">INDEX(L$3:L$700,MATCH($B277&amp;$C277&amp;"baseline",$B$3:$B$700&amp;$C$3:$C$700&amp;$D$3:$D$700,0))</f>
        <v>12.878169874944756</v>
      </c>
      <c r="X277">
        <f t="array" ref="X277">INDEX(M$3:M$700,MATCH($B277&amp;$C277&amp;"baseline",$B$3:$B$700&amp;$C$3:$C$700&amp;$D$3:$D$700,0))</f>
        <v>3.0838635268299606</v>
      </c>
      <c r="Y277">
        <f t="array" ref="Y277">INDEX(N$3:N$700,MATCH($B277&amp;$C277&amp;"baseline",$B$3:$B$700&amp;$C$3:$C$700&amp;$D$3:$D$700,0))</f>
        <v>0</v>
      </c>
      <c r="Z277">
        <f t="array" ref="Z277">INDEX(O$3:O$700,MATCH($B277&amp;$C277&amp;"baseline",$B$3:$B$700&amp;$C$3:$C$700&amp;$D$3:$D$700,0))</f>
        <v>9.1101086695815532</v>
      </c>
      <c r="AA277">
        <f t="array" ref="AA277">INDEX(P$3:P$700,MATCH($B277&amp;$C277&amp;"baseline",$B$3:$B$700&amp;$C$3:$C$700&amp;$D$3:$D$700,0))</f>
        <v>6.6319645738278721E-3</v>
      </c>
      <c r="AB277">
        <f t="array" ref="AB277">INDEX(Q$3:Q$700,MATCH($B277&amp;$C277&amp;"baseline",$B$3:$B$700&amp;$C$3:$C$700&amp;$D$3:$D$700,0))</f>
        <v>0</v>
      </c>
      <c r="AC277">
        <f t="shared" si="34"/>
        <v>93.698606153898126</v>
      </c>
      <c r="AD277">
        <f t="shared" si="35"/>
        <v>10.917319015949651</v>
      </c>
      <c r="AE277">
        <f t="shared" si="36"/>
        <v>-7.0144078642519432</v>
      </c>
      <c r="AF277">
        <f t="shared" si="37"/>
        <v>4.1653886988321398</v>
      </c>
      <c r="AG277">
        <f>(S277+V277+Y277)*constants!$O$2+(R277+T277+U277+W277+X277+Z277+AA277+AB277)*constants!$N$2</f>
        <v>4.3509494351976219</v>
      </c>
      <c r="AH277">
        <f>((S277+V277+Y277)-(H277+K277+N277))*constants!$O$2</f>
        <v>0.17686056805838435</v>
      </c>
      <c r="AI277">
        <f>((R277+T277+U277+W277+X277+Z277+AA277+AB277)-(G277+I277+J277+L277+M277+O277+P277+Q277))*constants!$N$2</f>
        <v>-0.79262808866046963</v>
      </c>
      <c r="AJ277">
        <f t="shared" si="38"/>
        <v>-14.15248625094897</v>
      </c>
      <c r="AK277">
        <f t="shared" si="39"/>
        <v>-0.61576752060208528</v>
      </c>
      <c r="AL277">
        <f>COUNTIFS($B:$B,$B277,$AK:$AK,"&lt;"&amp;$AK277)+COUNTIFS($B$2:$B277,$B277,$AK$2:$AK277,$AK277)</f>
        <v>1</v>
      </c>
      <c r="AM277" s="191">
        <f>IF(AK277=0, "NA",IF(((sim_annual_output!F277/E277)/AK277)&lt;0,100,((sim_annual_output!F277/E277)/AK277)))</f>
        <v>100</v>
      </c>
      <c r="AN277">
        <f>(S277+V277)*constants!$F$2+(T277+U277+W277+X277+Y277+Z277+AA277+AB277)*constants!$G$2</f>
        <v>36744.463830284207</v>
      </c>
      <c r="AO277">
        <f>(AD277*constants!$F$2+AE277*constants!$G$2)</f>
        <v>-4148.3347380442028</v>
      </c>
      <c r="AP277">
        <f t="shared" si="40"/>
        <v>-11.289686406106192</v>
      </c>
    </row>
    <row r="278" spans="1:42">
      <c r="A278">
        <f>sim_annual_output!B278</f>
        <v>16</v>
      </c>
      <c r="B278" t="str">
        <f>sim_annual_output!C278</f>
        <v>Office-Small</v>
      </c>
      <c r="C278" t="str">
        <f>sim_annual_output!D278</f>
        <v>1960-1979</v>
      </c>
      <c r="D278" t="str">
        <f>sim_annual_output!E278</f>
        <v>baseline</v>
      </c>
      <c r="E278" s="45">
        <f t="array" ref="E278">IFERROR(INDEX(baseline!$J$3:$J$201,MATCH($B278&amp;$C278,baseline!$C$3:$C$201&amp;baseline!$D$3:$D$201,0)),"NA")</f>
        <v>584</v>
      </c>
      <c r="F278">
        <f>sim_annual_output!G278</f>
        <v>1211.46221507992</v>
      </c>
      <c r="G278">
        <f>$E278/$F278^2*sim_annual_output!I278</f>
        <v>0.28849045896151243</v>
      </c>
      <c r="H278">
        <f>$E278/$F278^2*sim_annual_output!J278</f>
        <v>64.431746489595724</v>
      </c>
      <c r="I278">
        <f>$E278/$F278^2*sim_annual_output!K278</f>
        <v>1.0489557300937753</v>
      </c>
      <c r="J278">
        <f>$E278/$F278^2*sim_annual_output!L278</f>
        <v>2.850639439317014</v>
      </c>
      <c r="K278">
        <f>$E278/$F278^2*sim_annual_output!M278</f>
        <v>0</v>
      </c>
      <c r="L278">
        <f>$E278/$F278^2*sim_annual_output!N278</f>
        <v>12.878169874944756</v>
      </c>
      <c r="M278">
        <f>$E278/$F278^2*sim_annual_output!O278</f>
        <v>3.0838635268299606</v>
      </c>
      <c r="N278">
        <f>$E278/$F278^2*sim_annual_output!P278</f>
        <v>0</v>
      </c>
      <c r="O278">
        <f>$E278/$F278^2*sim_annual_output!Q278</f>
        <v>9.1101086695815532</v>
      </c>
      <c r="P278">
        <f>$E278/$F278^2*sim_annual_output!R278</f>
        <v>6.6319645738278721E-3</v>
      </c>
      <c r="Q278">
        <f>$E278/$F278^2*sim_annual_output!S278</f>
        <v>0</v>
      </c>
      <c r="R278">
        <f t="array" ref="R278">INDEX(G$3:G$700,MATCH($B278&amp;$C278&amp;"baseline",$B$3:$B$700&amp;$C$3:$C$700&amp;$D$3:$D$700,0))</f>
        <v>0.28849045896151243</v>
      </c>
      <c r="S278">
        <f t="array" ref="S278">INDEX(H$3:H$700,MATCH($B278&amp;$C278&amp;"baseline",$B$3:$B$700&amp;$C$3:$C$700&amp;$D$3:$D$700,0))</f>
        <v>64.431746489595724</v>
      </c>
      <c r="T278">
        <f t="array" ref="T278">INDEX(I$3:I$700,MATCH($B278&amp;$C278&amp;"baseline",$B$3:$B$700&amp;$C$3:$C$700&amp;$D$3:$D$700,0))</f>
        <v>1.0489557300937753</v>
      </c>
      <c r="U278">
        <f t="array" ref="U278">INDEX(J$3:J$700,MATCH($B278&amp;$C278&amp;"baseline",$B$3:$B$700&amp;$C$3:$C$700&amp;$D$3:$D$700,0))</f>
        <v>2.850639439317014</v>
      </c>
      <c r="V278">
        <f t="array" ref="V278">INDEX(K$3:K$700,MATCH($B278&amp;$C278&amp;"baseline",$B$3:$B$700&amp;$C$3:$C$700&amp;$D$3:$D$700,0))</f>
        <v>0</v>
      </c>
      <c r="W278">
        <f t="array" ref="W278">INDEX(L$3:L$700,MATCH($B278&amp;$C278&amp;"baseline",$B$3:$B$700&amp;$C$3:$C$700&amp;$D$3:$D$700,0))</f>
        <v>12.878169874944756</v>
      </c>
      <c r="X278">
        <f t="array" ref="X278">INDEX(M$3:M$700,MATCH($B278&amp;$C278&amp;"baseline",$B$3:$B$700&amp;$C$3:$C$700&amp;$D$3:$D$700,0))</f>
        <v>3.0838635268299606</v>
      </c>
      <c r="Y278">
        <f t="array" ref="Y278">INDEX(N$3:N$700,MATCH($B278&amp;$C278&amp;"baseline",$B$3:$B$700&amp;$C$3:$C$700&amp;$D$3:$D$700,0))</f>
        <v>0</v>
      </c>
      <c r="Z278">
        <f t="array" ref="Z278">INDEX(O$3:O$700,MATCH($B278&amp;$C278&amp;"baseline",$B$3:$B$700&amp;$C$3:$C$700&amp;$D$3:$D$700,0))</f>
        <v>9.1101086695815532</v>
      </c>
      <c r="AA278">
        <f t="array" ref="AA278">INDEX(P$3:P$700,MATCH($B278&amp;$C278&amp;"baseline",$B$3:$B$700&amp;$C$3:$C$700&amp;$D$3:$D$700,0))</f>
        <v>6.6319645738278721E-3</v>
      </c>
      <c r="AB278">
        <f t="array" ref="AB278">INDEX(Q$3:Q$700,MATCH($B278&amp;$C278&amp;"baseline",$B$3:$B$700&amp;$C$3:$C$700&amp;$D$3:$D$700,0))</f>
        <v>0</v>
      </c>
      <c r="AC278">
        <f t="shared" si="34"/>
        <v>93.698606153898126</v>
      </c>
      <c r="AD278">
        <f t="shared" si="35"/>
        <v>0</v>
      </c>
      <c r="AE278">
        <f t="shared" si="36"/>
        <v>0</v>
      </c>
      <c r="AF278">
        <f t="shared" si="37"/>
        <v>0</v>
      </c>
      <c r="AG278">
        <f>(S278+V278+Y278)*constants!$O$2+(R278+T278+U278+W278+X278+Z278+AA278+AB278)*constants!$N$2</f>
        <v>4.3509494351976219</v>
      </c>
      <c r="AH278">
        <f>((S278+V278+Y278)-(H278+K278+N278))*constants!$O$2</f>
        <v>0</v>
      </c>
      <c r="AI278">
        <f>((R278+T278+U278+W278+X278+Z278+AA278+AB278)-(G278+I278+J278+L278+M278+O278+P278+Q278))*constants!$N$2</f>
        <v>0</v>
      </c>
      <c r="AJ278">
        <f t="shared" si="38"/>
        <v>0</v>
      </c>
      <c r="AK278">
        <f t="shared" si="39"/>
        <v>0</v>
      </c>
      <c r="AL278">
        <f>COUNTIFS($B:$B,$B278,$AK:$AK,"&lt;"&amp;$AK278)+COUNTIFS($B$2:$B278,$B278,$AK$2:$AK278,$AK278)</f>
        <v>41</v>
      </c>
      <c r="AM278" s="191" t="str">
        <f>IF(AK278=0, "NA",IF(((sim_annual_output!F278/E278)/AK278)&lt;0,100,((sim_annual_output!F278/E278)/AK278)))</f>
        <v>NA</v>
      </c>
      <c r="AN278">
        <f>(S278+V278)*constants!$F$2+(T278+U278+W278+X278+Y278+Z278+AA278+AB278)*constants!$G$2</f>
        <v>36744.463830284207</v>
      </c>
      <c r="AO278">
        <f>(AD278*constants!$F$2+AE278*constants!$G$2)</f>
        <v>0</v>
      </c>
      <c r="AP278">
        <f t="shared" si="40"/>
        <v>0</v>
      </c>
    </row>
    <row r="279" spans="1:42">
      <c r="A279">
        <f>sim_annual_output!B279</f>
        <v>16</v>
      </c>
      <c r="B279" t="str">
        <f>sim_annual_output!C279</f>
        <v>Office-Small</v>
      </c>
      <c r="C279" t="str">
        <f>sim_annual_output!D279</f>
        <v>1960-1979</v>
      </c>
      <c r="D279" t="str">
        <f>sim_annual_output!E279</f>
        <v>boiler_reset</v>
      </c>
      <c r="E279" s="45">
        <f t="array" ref="E279">IFERROR(INDEX(baseline!$J$3:$J$201,MATCH($B279&amp;$C279,baseline!$C$3:$C$201&amp;baseline!$D$3:$D$201,0)),"NA")</f>
        <v>584</v>
      </c>
      <c r="F279">
        <f>sim_annual_output!G279</f>
        <v>1211.46221507992</v>
      </c>
      <c r="G279">
        <f>$E279/$F279^2*sim_annual_output!I279</f>
        <v>0.65877514766690204</v>
      </c>
      <c r="H279">
        <f>$E279/$F279^2*sim_annual_output!J279</f>
        <v>62.603534922077174</v>
      </c>
      <c r="I279">
        <f>$E279/$F279^2*sim_annual_output!K279</f>
        <v>1.4092924719384228</v>
      </c>
      <c r="J279">
        <f>$E279/$F279^2*sim_annual_output!L279</f>
        <v>2.850639439317014</v>
      </c>
      <c r="K279">
        <f>$E279/$F279^2*sim_annual_output!M279</f>
        <v>0</v>
      </c>
      <c r="L279">
        <f>$E279/$F279^2*sim_annual_output!N279</f>
        <v>12.878169874944756</v>
      </c>
      <c r="M279">
        <f>$E279/$F279^2*sim_annual_output!O279</f>
        <v>3.0838635268299606</v>
      </c>
      <c r="N279">
        <f>$E279/$F279^2*sim_annual_output!P279</f>
        <v>0</v>
      </c>
      <c r="O279">
        <f>$E279/$F279^2*sim_annual_output!Q279</f>
        <v>9.0835808112862431</v>
      </c>
      <c r="P279">
        <f>$E279/$F279^2*sim_annual_output!R279</f>
        <v>6.6319645738278721E-3</v>
      </c>
      <c r="Q279">
        <f>$E279/$F279^2*sim_annual_output!S279</f>
        <v>0</v>
      </c>
      <c r="R279">
        <f t="array" ref="R279">INDEX(G$3:G$700,MATCH($B279&amp;$C279&amp;"baseline",$B$3:$B$700&amp;$C$3:$C$700&amp;$D$3:$D$700,0))</f>
        <v>0.28849045896151243</v>
      </c>
      <c r="S279">
        <f t="array" ref="S279">INDEX(H$3:H$700,MATCH($B279&amp;$C279&amp;"baseline",$B$3:$B$700&amp;$C$3:$C$700&amp;$D$3:$D$700,0))</f>
        <v>64.431746489595724</v>
      </c>
      <c r="T279">
        <f t="array" ref="T279">INDEX(I$3:I$700,MATCH($B279&amp;$C279&amp;"baseline",$B$3:$B$700&amp;$C$3:$C$700&amp;$D$3:$D$700,0))</f>
        <v>1.0489557300937753</v>
      </c>
      <c r="U279">
        <f t="array" ref="U279">INDEX(J$3:J$700,MATCH($B279&amp;$C279&amp;"baseline",$B$3:$B$700&amp;$C$3:$C$700&amp;$D$3:$D$700,0))</f>
        <v>2.850639439317014</v>
      </c>
      <c r="V279">
        <f t="array" ref="V279">INDEX(K$3:K$700,MATCH($B279&amp;$C279&amp;"baseline",$B$3:$B$700&amp;$C$3:$C$700&amp;$D$3:$D$700,0))</f>
        <v>0</v>
      </c>
      <c r="W279">
        <f t="array" ref="W279">INDEX(L$3:L$700,MATCH($B279&amp;$C279&amp;"baseline",$B$3:$B$700&amp;$C$3:$C$700&amp;$D$3:$D$700,0))</f>
        <v>12.878169874944756</v>
      </c>
      <c r="X279">
        <f t="array" ref="X279">INDEX(M$3:M$700,MATCH($B279&amp;$C279&amp;"baseline",$B$3:$B$700&amp;$C$3:$C$700&amp;$D$3:$D$700,0))</f>
        <v>3.0838635268299606</v>
      </c>
      <c r="Y279">
        <f t="array" ref="Y279">INDEX(N$3:N$700,MATCH($B279&amp;$C279&amp;"baseline",$B$3:$B$700&amp;$C$3:$C$700&amp;$D$3:$D$700,0))</f>
        <v>0</v>
      </c>
      <c r="Z279">
        <f t="array" ref="Z279">INDEX(O$3:O$700,MATCH($B279&amp;$C279&amp;"baseline",$B$3:$B$700&amp;$C$3:$C$700&amp;$D$3:$D$700,0))</f>
        <v>9.1101086695815532</v>
      </c>
      <c r="AA279">
        <f t="array" ref="AA279">INDEX(P$3:P$700,MATCH($B279&amp;$C279&amp;"baseline",$B$3:$B$700&amp;$C$3:$C$700&amp;$D$3:$D$700,0))</f>
        <v>6.6319645738278721E-3</v>
      </c>
      <c r="AB279">
        <f t="array" ref="AB279">INDEX(Q$3:Q$700,MATCH($B279&amp;$C279&amp;"baseline",$B$3:$B$700&amp;$C$3:$C$700&amp;$D$3:$D$700,0))</f>
        <v>0</v>
      </c>
      <c r="AC279">
        <f t="shared" si="34"/>
        <v>93.698606153898126</v>
      </c>
      <c r="AD279">
        <f t="shared" si="35"/>
        <v>1.8282115675185509</v>
      </c>
      <c r="AE279">
        <f t="shared" si="36"/>
        <v>-0.70409357225472746</v>
      </c>
      <c r="AF279">
        <f t="shared" si="37"/>
        <v>1.1997168809720409</v>
      </c>
      <c r="AG279">
        <f>(S279+V279+Y279)*constants!$O$2+(R279+T279+U279+W279+X279+Z279+AA279+AB279)*constants!$N$2</f>
        <v>4.3509494351976219</v>
      </c>
      <c r="AH279">
        <f>((S279+V279+Y279)-(H279+K279+N279))*constants!$O$2</f>
        <v>2.9617027393800521E-2</v>
      </c>
      <c r="AI279">
        <f>((R279+T279+U279+W279+X279+Z279+AA279+AB279)-(G279+I279+J279+L279+M279+O279+P279+Q279))*constants!$N$2</f>
        <v>-7.9562573664784211E-2</v>
      </c>
      <c r="AJ279">
        <f t="shared" si="38"/>
        <v>-1.1479229307273056</v>
      </c>
      <c r="AK279">
        <f t="shared" si="39"/>
        <v>-4.9945546270983687E-2</v>
      </c>
      <c r="AL279">
        <f>COUNTIFS($B:$B,$B279,$AK:$AK,"&lt;"&amp;$AK279)+COUNTIFS($B$2:$B279,$B279,$AK$2:$AK279,$AK279)</f>
        <v>22</v>
      </c>
      <c r="AM279" s="191">
        <f>IF(AK279=0, "NA",IF(((sim_annual_output!F279/E279)/AK279)&lt;0,100,((sim_annual_output!F279/E279)/AK279)))</f>
        <v>100</v>
      </c>
      <c r="AN279">
        <f>(S279+V279)*constants!$F$2+(T279+U279+W279+X279+Y279+Z279+AA279+AB279)*constants!$G$2</f>
        <v>36744.463830284207</v>
      </c>
      <c r="AO279">
        <f>(AD279*constants!$F$2+AE279*constants!$G$2)</f>
        <v>-285.31153727579232</v>
      </c>
      <c r="AP279">
        <f t="shared" si="40"/>
        <v>-0.77647489590157814</v>
      </c>
    </row>
    <row r="280" spans="1:42">
      <c r="A280">
        <f>sim_annual_output!B280</f>
        <v>16</v>
      </c>
      <c r="B280" t="str">
        <f>sim_annual_output!C280</f>
        <v>Office-Small</v>
      </c>
      <c r="C280" t="str">
        <f>sim_annual_output!D280</f>
        <v>1960-1979</v>
      </c>
      <c r="D280" t="str">
        <f>sim_annual_output!E280</f>
        <v>cooling_cop_3_0</v>
      </c>
      <c r="E280" s="45">
        <f t="array" ref="E280">IFERROR(INDEX(baseline!$J$3:$J$201,MATCH($B280&amp;$C280,baseline!$C$3:$C$201&amp;baseline!$D$3:$D$201,0)),"NA")</f>
        <v>584</v>
      </c>
      <c r="F280">
        <f>sim_annual_output!G280</f>
        <v>1211.46221507992</v>
      </c>
      <c r="G280">
        <f>$E280/$F280^2*sim_annual_output!I280</f>
        <v>0.65877514766690204</v>
      </c>
      <c r="H280">
        <f>$E280/$F280^2*sim_annual_output!J280</f>
        <v>62.603534922077174</v>
      </c>
      <c r="I280">
        <f>$E280/$F280^2*sim_annual_output!K280</f>
        <v>1.0069532877928653</v>
      </c>
      <c r="J280">
        <f>$E280/$F280^2*sim_annual_output!L280</f>
        <v>2.850639439317014</v>
      </c>
      <c r="K280">
        <f>$E280/$F280^2*sim_annual_output!M280</f>
        <v>0</v>
      </c>
      <c r="L280">
        <f>$E280/$F280^2*sim_annual_output!N280</f>
        <v>12.878169874944756</v>
      </c>
      <c r="M280">
        <f>$E280/$F280^2*sim_annual_output!O280</f>
        <v>3.0838635268299606</v>
      </c>
      <c r="N280">
        <f>$E280/$F280^2*sim_annual_output!P280</f>
        <v>0</v>
      </c>
      <c r="O280">
        <f>$E280/$F280^2*sim_annual_output!Q280</f>
        <v>9.0835808112862431</v>
      </c>
      <c r="P280">
        <f>$E280/$F280^2*sim_annual_output!R280</f>
        <v>6.6319645738278721E-3</v>
      </c>
      <c r="Q280">
        <f>$E280/$F280^2*sim_annual_output!S280</f>
        <v>0</v>
      </c>
      <c r="R280">
        <f t="array" ref="R280">INDEX(G$3:G$700,MATCH($B280&amp;$C280&amp;"baseline",$B$3:$B$700&amp;$C$3:$C$700&amp;$D$3:$D$700,0))</f>
        <v>0.28849045896151243</v>
      </c>
      <c r="S280">
        <f t="array" ref="S280">INDEX(H$3:H$700,MATCH($B280&amp;$C280&amp;"baseline",$B$3:$B$700&amp;$C$3:$C$700&amp;$D$3:$D$700,0))</f>
        <v>64.431746489595724</v>
      </c>
      <c r="T280">
        <f t="array" ref="T280">INDEX(I$3:I$700,MATCH($B280&amp;$C280&amp;"baseline",$B$3:$B$700&amp;$C$3:$C$700&amp;$D$3:$D$700,0))</f>
        <v>1.0489557300937753</v>
      </c>
      <c r="U280">
        <f t="array" ref="U280">INDEX(J$3:J$700,MATCH($B280&amp;$C280&amp;"baseline",$B$3:$B$700&amp;$C$3:$C$700&amp;$D$3:$D$700,0))</f>
        <v>2.850639439317014</v>
      </c>
      <c r="V280">
        <f t="array" ref="V280">INDEX(K$3:K$700,MATCH($B280&amp;$C280&amp;"baseline",$B$3:$B$700&amp;$C$3:$C$700&amp;$D$3:$D$700,0))</f>
        <v>0</v>
      </c>
      <c r="W280">
        <f t="array" ref="W280">INDEX(L$3:L$700,MATCH($B280&amp;$C280&amp;"baseline",$B$3:$B$700&amp;$C$3:$C$700&amp;$D$3:$D$700,0))</f>
        <v>12.878169874944756</v>
      </c>
      <c r="X280">
        <f t="array" ref="X280">INDEX(M$3:M$700,MATCH($B280&amp;$C280&amp;"baseline",$B$3:$B$700&amp;$C$3:$C$700&amp;$D$3:$D$700,0))</f>
        <v>3.0838635268299606</v>
      </c>
      <c r="Y280">
        <f t="array" ref="Y280">INDEX(N$3:N$700,MATCH($B280&amp;$C280&amp;"baseline",$B$3:$B$700&amp;$C$3:$C$700&amp;$D$3:$D$700,0))</f>
        <v>0</v>
      </c>
      <c r="Z280">
        <f t="array" ref="Z280">INDEX(O$3:O$700,MATCH($B280&amp;$C280&amp;"baseline",$B$3:$B$700&amp;$C$3:$C$700&amp;$D$3:$D$700,0))</f>
        <v>9.1101086695815532</v>
      </c>
      <c r="AA280">
        <f t="array" ref="AA280">INDEX(P$3:P$700,MATCH($B280&amp;$C280&amp;"baseline",$B$3:$B$700&amp;$C$3:$C$700&amp;$D$3:$D$700,0))</f>
        <v>6.6319645738278721E-3</v>
      </c>
      <c r="AB280">
        <f t="array" ref="AB280">INDEX(Q$3:Q$700,MATCH($B280&amp;$C280&amp;"baseline",$B$3:$B$700&amp;$C$3:$C$700&amp;$D$3:$D$700,0))</f>
        <v>0</v>
      </c>
      <c r="AC280">
        <f t="shared" si="34"/>
        <v>93.698606153898126</v>
      </c>
      <c r="AD280">
        <f t="shared" si="35"/>
        <v>1.8282115675185509</v>
      </c>
      <c r="AE280">
        <f t="shared" si="36"/>
        <v>-0.30175438810916688</v>
      </c>
      <c r="AF280">
        <f t="shared" si="37"/>
        <v>1.6291140733750167</v>
      </c>
      <c r="AG280">
        <f>(S280+V280+Y280)*constants!$O$2+(R280+T280+U280+W280+X280+Z280+AA280+AB280)*constants!$N$2</f>
        <v>4.3509494351976219</v>
      </c>
      <c r="AH280">
        <f>((S280+V280+Y280)-(H280+K280+N280))*constants!$O$2</f>
        <v>2.9617027393800521E-2</v>
      </c>
      <c r="AI280">
        <f>((R280+T280+U280+W280+X280+Z280+AA280+AB280)-(G280+I280+J280+L280+M280+O280+P280+Q280))*constants!$N$2</f>
        <v>-3.4098245856335856E-2</v>
      </c>
      <c r="AJ280">
        <f t="shared" si="38"/>
        <v>-0.10299403680226397</v>
      </c>
      <c r="AK280">
        <f t="shared" si="39"/>
        <v>-4.481218462535335E-3</v>
      </c>
      <c r="AL280">
        <f>COUNTIFS($B:$B,$B280,$AK:$AK,"&lt;"&amp;$AK280)+COUNTIFS($B$2:$B280,$B280,$AK$2:$AK280,$AK280)</f>
        <v>37</v>
      </c>
      <c r="AM280" s="191">
        <f>IF(AK280=0, "NA",IF(((sim_annual_output!F280/E280)/AK280)&lt;0,100,((sim_annual_output!F280/E280)/AK280)))</f>
        <v>100</v>
      </c>
      <c r="AN280">
        <f>(S280+V280)*constants!$F$2+(T280+U280+W280+X280+Y280+Z280+AA280+AB280)*constants!$G$2</f>
        <v>36744.463830284207</v>
      </c>
      <c r="AO280">
        <f>(AD280*constants!$F$2+AE280*constants!$G$2)</f>
        <v>64.723552930845415</v>
      </c>
      <c r="AP280">
        <f t="shared" si="40"/>
        <v>0.17614504658386465</v>
      </c>
    </row>
    <row r="281" spans="1:42">
      <c r="A281">
        <f>sim_annual_output!B281</f>
        <v>16</v>
      </c>
      <c r="B281" t="str">
        <f>sim_annual_output!C281</f>
        <v>Office-Small</v>
      </c>
      <c r="C281" t="str">
        <f>sim_annual_output!D281</f>
        <v>1960-1979</v>
      </c>
      <c r="D281" t="str">
        <f>sim_annual_output!E281</f>
        <v>dcv_enabled</v>
      </c>
      <c r="E281" s="45">
        <f t="array" ref="E281">IFERROR(INDEX(baseline!$J$3:$J$201,MATCH($B281&amp;$C281,baseline!$C$3:$C$201&amp;baseline!$D$3:$D$201,0)),"NA")</f>
        <v>584</v>
      </c>
      <c r="F281">
        <f>sim_annual_output!G281</f>
        <v>1211.46221507992</v>
      </c>
      <c r="G281">
        <f>$E281/$F281^2*sim_annual_output!I281</f>
        <v>0.65877514766690204</v>
      </c>
      <c r="H281">
        <f>$E281/$F281^2*sim_annual_output!J281</f>
        <v>62.603534922077174</v>
      </c>
      <c r="I281">
        <f>$E281/$F281^2*sim_annual_output!K281</f>
        <v>1.4092924719384228</v>
      </c>
      <c r="J281">
        <f>$E281/$F281^2*sim_annual_output!L281</f>
        <v>2.850639439317014</v>
      </c>
      <c r="K281">
        <f>$E281/$F281^2*sim_annual_output!M281</f>
        <v>0</v>
      </c>
      <c r="L281">
        <f>$E281/$F281^2*sim_annual_output!N281</f>
        <v>12.878169874944756</v>
      </c>
      <c r="M281">
        <f>$E281/$F281^2*sim_annual_output!O281</f>
        <v>3.0838635268299606</v>
      </c>
      <c r="N281">
        <f>$E281/$F281^2*sim_annual_output!P281</f>
        <v>0</v>
      </c>
      <c r="O281">
        <f>$E281/$F281^2*sim_annual_output!Q281</f>
        <v>9.0835808112862431</v>
      </c>
      <c r="P281">
        <f>$E281/$F281^2*sim_annual_output!R281</f>
        <v>6.6319645738278721E-3</v>
      </c>
      <c r="Q281">
        <f>$E281/$F281^2*sim_annual_output!S281</f>
        <v>0</v>
      </c>
      <c r="R281">
        <f t="array" ref="R281">INDEX(G$3:G$700,MATCH($B281&amp;$C281&amp;"baseline",$B$3:$B$700&amp;$C$3:$C$700&amp;$D$3:$D$700,0))</f>
        <v>0.28849045896151243</v>
      </c>
      <c r="S281">
        <f t="array" ref="S281">INDEX(H$3:H$700,MATCH($B281&amp;$C281&amp;"baseline",$B$3:$B$700&amp;$C$3:$C$700&amp;$D$3:$D$700,0))</f>
        <v>64.431746489595724</v>
      </c>
      <c r="T281">
        <f t="array" ref="T281">INDEX(I$3:I$700,MATCH($B281&amp;$C281&amp;"baseline",$B$3:$B$700&amp;$C$3:$C$700&amp;$D$3:$D$700,0))</f>
        <v>1.0489557300937753</v>
      </c>
      <c r="U281">
        <f t="array" ref="U281">INDEX(J$3:J$700,MATCH($B281&amp;$C281&amp;"baseline",$B$3:$B$700&amp;$C$3:$C$700&amp;$D$3:$D$700,0))</f>
        <v>2.850639439317014</v>
      </c>
      <c r="V281">
        <f t="array" ref="V281">INDEX(K$3:K$700,MATCH($B281&amp;$C281&amp;"baseline",$B$3:$B$700&amp;$C$3:$C$700&amp;$D$3:$D$700,0))</f>
        <v>0</v>
      </c>
      <c r="W281">
        <f t="array" ref="W281">INDEX(L$3:L$700,MATCH($B281&amp;$C281&amp;"baseline",$B$3:$B$700&amp;$C$3:$C$700&amp;$D$3:$D$700,0))</f>
        <v>12.878169874944756</v>
      </c>
      <c r="X281">
        <f t="array" ref="X281">INDEX(M$3:M$700,MATCH($B281&amp;$C281&amp;"baseline",$B$3:$B$700&amp;$C$3:$C$700&amp;$D$3:$D$700,0))</f>
        <v>3.0838635268299606</v>
      </c>
      <c r="Y281">
        <f t="array" ref="Y281">INDEX(N$3:N$700,MATCH($B281&amp;$C281&amp;"baseline",$B$3:$B$700&amp;$C$3:$C$700&amp;$D$3:$D$700,0))</f>
        <v>0</v>
      </c>
      <c r="Z281">
        <f t="array" ref="Z281">INDEX(O$3:O$700,MATCH($B281&amp;$C281&amp;"baseline",$B$3:$B$700&amp;$C$3:$C$700&amp;$D$3:$D$700,0))</f>
        <v>9.1101086695815532</v>
      </c>
      <c r="AA281">
        <f t="array" ref="AA281">INDEX(P$3:P$700,MATCH($B281&amp;$C281&amp;"baseline",$B$3:$B$700&amp;$C$3:$C$700&amp;$D$3:$D$700,0))</f>
        <v>6.6319645738278721E-3</v>
      </c>
      <c r="AB281">
        <f t="array" ref="AB281">INDEX(Q$3:Q$700,MATCH($B281&amp;$C281&amp;"baseline",$B$3:$B$700&amp;$C$3:$C$700&amp;$D$3:$D$700,0))</f>
        <v>0</v>
      </c>
      <c r="AC281">
        <f t="shared" si="34"/>
        <v>93.698606153898126</v>
      </c>
      <c r="AD281">
        <f t="shared" si="35"/>
        <v>1.8282115675185509</v>
      </c>
      <c r="AE281">
        <f t="shared" si="36"/>
        <v>-0.70409357225472746</v>
      </c>
      <c r="AF281">
        <f t="shared" si="37"/>
        <v>1.1997168809720409</v>
      </c>
      <c r="AG281">
        <f>(S281+V281+Y281)*constants!$O$2+(R281+T281+U281+W281+X281+Z281+AA281+AB281)*constants!$N$2</f>
        <v>4.3509494351976219</v>
      </c>
      <c r="AH281">
        <f>((S281+V281+Y281)-(H281+K281+N281))*constants!$O$2</f>
        <v>2.9617027393800521E-2</v>
      </c>
      <c r="AI281">
        <f>((R281+T281+U281+W281+X281+Z281+AA281+AB281)-(G281+I281+J281+L281+M281+O281+P281+Q281))*constants!$N$2</f>
        <v>-7.9562573664784211E-2</v>
      </c>
      <c r="AJ281">
        <f t="shared" si="38"/>
        <v>-1.1479229307273056</v>
      </c>
      <c r="AK281">
        <f t="shared" si="39"/>
        <v>-4.9945546270983687E-2</v>
      </c>
      <c r="AL281">
        <f>COUNTIFS($B:$B,$B281,$AK:$AK,"&lt;"&amp;$AK281)+COUNTIFS($B$2:$B281,$B281,$AK$2:$AK281,$AK281)</f>
        <v>23</v>
      </c>
      <c r="AM281" s="191">
        <f>IF(AK281=0, "NA",IF(((sim_annual_output!F281/E281)/AK281)&lt;0,100,((sim_annual_output!F281/E281)/AK281)))</f>
        <v>100</v>
      </c>
      <c r="AN281">
        <f>(S281+V281)*constants!$F$2+(T281+U281+W281+X281+Y281+Z281+AA281+AB281)*constants!$G$2</f>
        <v>36744.463830284207</v>
      </c>
      <c r="AO281">
        <f>(AD281*constants!$F$2+AE281*constants!$G$2)</f>
        <v>-285.31153727579232</v>
      </c>
      <c r="AP281">
        <f t="shared" si="40"/>
        <v>-0.77647489590157814</v>
      </c>
    </row>
    <row r="282" spans="1:42">
      <c r="A282">
        <f>sim_annual_output!B282</f>
        <v>16</v>
      </c>
      <c r="B282" t="str">
        <f>sim_annual_output!C282</f>
        <v>Office-Small</v>
      </c>
      <c r="C282" t="str">
        <f>sim_annual_output!D282</f>
        <v>1960-1979</v>
      </c>
      <c r="D282" t="str">
        <f>sim_annual_output!E282</f>
        <v>ecm_cold_deck_reset_control</v>
      </c>
      <c r="E282" s="45">
        <f t="array" ref="E282">IFERROR(INDEX(baseline!$J$3:$J$201,MATCH($B282&amp;$C282,baseline!$C$3:$C$201&amp;baseline!$D$3:$D$201,0)),"NA")</f>
        <v>584</v>
      </c>
      <c r="F282">
        <f>sim_annual_output!G282</f>
        <v>1211.46221507992</v>
      </c>
      <c r="G282">
        <f>$E282/$F282^2*sim_annual_output!I282</f>
        <v>7.9992546034653857</v>
      </c>
      <c r="H282">
        <f>$E282/$F282^2*sim_annual_output!J282</f>
        <v>35.140569621855953</v>
      </c>
      <c r="I282">
        <f>$E282/$F282^2*sim_annual_output!K282</f>
        <v>2.6682604135367471</v>
      </c>
      <c r="J282">
        <f>$E282/$F282^2*sim_annual_output!L282</f>
        <v>2.8749566427543827</v>
      </c>
      <c r="K282">
        <f>$E282/$F282^2*sim_annual_output!M282</f>
        <v>0</v>
      </c>
      <c r="L282">
        <f>$E282/$F282^2*sim_annual_output!N282</f>
        <v>12.878169874944756</v>
      </c>
      <c r="M282">
        <f>$E282/$F282^2*sim_annual_output!O282</f>
        <v>3.0838635268299606</v>
      </c>
      <c r="N282">
        <f>$E282/$F282^2*sim_annual_output!P282</f>
        <v>0</v>
      </c>
      <c r="O282">
        <f>$E282/$F282^2*sim_annual_output!Q282</f>
        <v>9.1642697136011488</v>
      </c>
      <c r="P282">
        <f>$E282/$F282^2*sim_annual_output!R282</f>
        <v>6.6319645738278721E-3</v>
      </c>
      <c r="Q282">
        <f>$E282/$F282^2*sim_annual_output!S282</f>
        <v>0</v>
      </c>
      <c r="R282">
        <f t="array" ref="R282">INDEX(G$3:G$700,MATCH($B282&amp;$C282&amp;"baseline",$B$3:$B$700&amp;$C$3:$C$700&amp;$D$3:$D$700,0))</f>
        <v>0.28849045896151243</v>
      </c>
      <c r="S282">
        <f t="array" ref="S282">INDEX(H$3:H$700,MATCH($B282&amp;$C282&amp;"baseline",$B$3:$B$700&amp;$C$3:$C$700&amp;$D$3:$D$700,0))</f>
        <v>64.431746489595724</v>
      </c>
      <c r="T282">
        <f t="array" ref="T282">INDEX(I$3:I$700,MATCH($B282&amp;$C282&amp;"baseline",$B$3:$B$700&amp;$C$3:$C$700&amp;$D$3:$D$700,0))</f>
        <v>1.0489557300937753</v>
      </c>
      <c r="U282">
        <f t="array" ref="U282">INDEX(J$3:J$700,MATCH($B282&amp;$C282&amp;"baseline",$B$3:$B$700&amp;$C$3:$C$700&amp;$D$3:$D$700,0))</f>
        <v>2.850639439317014</v>
      </c>
      <c r="V282">
        <f t="array" ref="V282">INDEX(K$3:K$700,MATCH($B282&amp;$C282&amp;"baseline",$B$3:$B$700&amp;$C$3:$C$700&amp;$D$3:$D$700,0))</f>
        <v>0</v>
      </c>
      <c r="W282">
        <f t="array" ref="W282">INDEX(L$3:L$700,MATCH($B282&amp;$C282&amp;"baseline",$B$3:$B$700&amp;$C$3:$C$700&amp;$D$3:$D$700,0))</f>
        <v>12.878169874944756</v>
      </c>
      <c r="X282">
        <f t="array" ref="X282">INDEX(M$3:M$700,MATCH($B282&amp;$C282&amp;"baseline",$B$3:$B$700&amp;$C$3:$C$700&amp;$D$3:$D$700,0))</f>
        <v>3.0838635268299606</v>
      </c>
      <c r="Y282">
        <f t="array" ref="Y282">INDEX(N$3:N$700,MATCH($B282&amp;$C282&amp;"baseline",$B$3:$B$700&amp;$C$3:$C$700&amp;$D$3:$D$700,0))</f>
        <v>0</v>
      </c>
      <c r="Z282">
        <f t="array" ref="Z282">INDEX(O$3:O$700,MATCH($B282&amp;$C282&amp;"baseline",$B$3:$B$700&amp;$C$3:$C$700&amp;$D$3:$D$700,0))</f>
        <v>9.1101086695815532</v>
      </c>
      <c r="AA282">
        <f t="array" ref="AA282">INDEX(P$3:P$700,MATCH($B282&amp;$C282&amp;"baseline",$B$3:$B$700&amp;$C$3:$C$700&amp;$D$3:$D$700,0))</f>
        <v>6.6319645738278721E-3</v>
      </c>
      <c r="AB282">
        <f t="array" ref="AB282">INDEX(Q$3:Q$700,MATCH($B282&amp;$C282&amp;"baseline",$B$3:$B$700&amp;$C$3:$C$700&amp;$D$3:$D$700,0))</f>
        <v>0</v>
      </c>
      <c r="AC282">
        <f t="shared" si="34"/>
        <v>93.698606153898126</v>
      </c>
      <c r="AD282">
        <f t="shared" si="35"/>
        <v>29.291176867739772</v>
      </c>
      <c r="AE282">
        <f t="shared" si="36"/>
        <v>-9.4085470754038099</v>
      </c>
      <c r="AF282">
        <f t="shared" si="37"/>
        <v>21.219771145452402</v>
      </c>
      <c r="AG282">
        <f>(S282+V282+Y282)*constants!$O$2+(R282+T282+U282+W282+X282+Z282+AA282+AB282)*constants!$N$2</f>
        <v>4.3509494351976219</v>
      </c>
      <c r="AH282">
        <f>((S282+V282+Y282)-(H282+K282+N282))*constants!$O$2</f>
        <v>0.4745170652573843</v>
      </c>
      <c r="AI282">
        <f>((R282+T282+U282+W282+X282+Z282+AA282+AB282)-(G282+I282+J282+L282+M282+O282+P282+Q282))*constants!$N$2</f>
        <v>-1.0631658195206306</v>
      </c>
      <c r="AJ282">
        <f t="shared" si="38"/>
        <v>-13.529202373654101</v>
      </c>
      <c r="AK282">
        <f t="shared" si="39"/>
        <v>-0.58864875426324637</v>
      </c>
      <c r="AL282">
        <f>COUNTIFS($B:$B,$B282,$AK:$AK,"&lt;"&amp;$AK282)+COUNTIFS($B$2:$B282,$B282,$AK$2:$AK282,$AK282)</f>
        <v>2</v>
      </c>
      <c r="AM282" s="191">
        <f>IF(AK282=0, "NA",IF(((sim_annual_output!F282/E282)/AK282)&lt;0,100,((sim_annual_output!F282/E282)/AK282)))</f>
        <v>100</v>
      </c>
      <c r="AN282">
        <f>(S282+V282)*constants!$F$2+(T282+U282+W282+X282+Y282+Z282+AA282+AB282)*constants!$G$2</f>
        <v>36744.463830284207</v>
      </c>
      <c r="AO282">
        <f>(AD282*constants!$F$2+AE282*constants!$G$2)</f>
        <v>-2942.315296275895</v>
      </c>
      <c r="AP282">
        <f t="shared" si="40"/>
        <v>-8.0075064093080748</v>
      </c>
    </row>
    <row r="283" spans="1:42">
      <c r="A283">
        <f>sim_annual_output!B283</f>
        <v>16</v>
      </c>
      <c r="B283" t="str">
        <f>sim_annual_output!C283</f>
        <v>Office-Small</v>
      </c>
      <c r="C283" t="str">
        <f>sim_annual_output!D283</f>
        <v>1960-1979</v>
      </c>
      <c r="D283" t="str">
        <f>sim_annual_output!E283</f>
        <v>economizers_enabled</v>
      </c>
      <c r="E283" s="45">
        <f t="array" ref="E283">IFERROR(INDEX(baseline!$J$3:$J$201,MATCH($B283&amp;$C283,baseline!$C$3:$C$201&amp;baseline!$D$3:$D$201,0)),"NA")</f>
        <v>584</v>
      </c>
      <c r="F283">
        <f>sim_annual_output!G283</f>
        <v>1211.46221507992</v>
      </c>
      <c r="G283">
        <f>$E283/$F283^2*sim_annual_output!I283</f>
        <v>0.65877514766690204</v>
      </c>
      <c r="H283">
        <f>$E283/$F283^2*sim_annual_output!J283</f>
        <v>62.603534922077174</v>
      </c>
      <c r="I283">
        <f>$E283/$F283^2*sim_annual_output!K283</f>
        <v>1.4092924719384228</v>
      </c>
      <c r="J283">
        <f>$E283/$F283^2*sim_annual_output!L283</f>
        <v>2.850639439317014</v>
      </c>
      <c r="K283">
        <f>$E283/$F283^2*sim_annual_output!M283</f>
        <v>0</v>
      </c>
      <c r="L283">
        <f>$E283/$F283^2*sim_annual_output!N283</f>
        <v>12.878169874944756</v>
      </c>
      <c r="M283">
        <f>$E283/$F283^2*sim_annual_output!O283</f>
        <v>3.0838635268299606</v>
      </c>
      <c r="N283">
        <f>$E283/$F283^2*sim_annual_output!P283</f>
        <v>0</v>
      </c>
      <c r="O283">
        <f>$E283/$F283^2*sim_annual_output!Q283</f>
        <v>9.0835808112862431</v>
      </c>
      <c r="P283">
        <f>$E283/$F283^2*sim_annual_output!R283</f>
        <v>6.6319645738278721E-3</v>
      </c>
      <c r="Q283">
        <f>$E283/$F283^2*sim_annual_output!S283</f>
        <v>0</v>
      </c>
      <c r="R283">
        <f t="array" ref="R283">INDEX(G$3:G$700,MATCH($B283&amp;$C283&amp;"baseline",$B$3:$B$700&amp;$C$3:$C$700&amp;$D$3:$D$700,0))</f>
        <v>0.28849045896151243</v>
      </c>
      <c r="S283">
        <f t="array" ref="S283">INDEX(H$3:H$700,MATCH($B283&amp;$C283&amp;"baseline",$B$3:$B$700&amp;$C$3:$C$700&amp;$D$3:$D$700,0))</f>
        <v>64.431746489595724</v>
      </c>
      <c r="T283">
        <f t="array" ref="T283">INDEX(I$3:I$700,MATCH($B283&amp;$C283&amp;"baseline",$B$3:$B$700&amp;$C$3:$C$700&amp;$D$3:$D$700,0))</f>
        <v>1.0489557300937753</v>
      </c>
      <c r="U283">
        <f t="array" ref="U283">INDEX(J$3:J$700,MATCH($B283&amp;$C283&amp;"baseline",$B$3:$B$700&amp;$C$3:$C$700&amp;$D$3:$D$700,0))</f>
        <v>2.850639439317014</v>
      </c>
      <c r="V283">
        <f t="array" ref="V283">INDEX(K$3:K$700,MATCH($B283&amp;$C283&amp;"baseline",$B$3:$B$700&amp;$C$3:$C$700&amp;$D$3:$D$700,0))</f>
        <v>0</v>
      </c>
      <c r="W283">
        <f t="array" ref="W283">INDEX(L$3:L$700,MATCH($B283&amp;$C283&amp;"baseline",$B$3:$B$700&amp;$C$3:$C$700&amp;$D$3:$D$700,0))</f>
        <v>12.878169874944756</v>
      </c>
      <c r="X283">
        <f t="array" ref="X283">INDEX(M$3:M$700,MATCH($B283&amp;$C283&amp;"baseline",$B$3:$B$700&amp;$C$3:$C$700&amp;$D$3:$D$700,0))</f>
        <v>3.0838635268299606</v>
      </c>
      <c r="Y283">
        <f t="array" ref="Y283">INDEX(N$3:N$700,MATCH($B283&amp;$C283&amp;"baseline",$B$3:$B$700&amp;$C$3:$C$700&amp;$D$3:$D$700,0))</f>
        <v>0</v>
      </c>
      <c r="Z283">
        <f t="array" ref="Z283">INDEX(O$3:O$700,MATCH($B283&amp;$C283&amp;"baseline",$B$3:$B$700&amp;$C$3:$C$700&amp;$D$3:$D$700,0))</f>
        <v>9.1101086695815532</v>
      </c>
      <c r="AA283">
        <f t="array" ref="AA283">INDEX(P$3:P$700,MATCH($B283&amp;$C283&amp;"baseline",$B$3:$B$700&amp;$C$3:$C$700&amp;$D$3:$D$700,0))</f>
        <v>6.6319645738278721E-3</v>
      </c>
      <c r="AB283">
        <f t="array" ref="AB283">INDEX(Q$3:Q$700,MATCH($B283&amp;$C283&amp;"baseline",$B$3:$B$700&amp;$C$3:$C$700&amp;$D$3:$D$700,0))</f>
        <v>0</v>
      </c>
      <c r="AC283">
        <f t="shared" si="34"/>
        <v>93.698606153898126</v>
      </c>
      <c r="AD283">
        <f t="shared" si="35"/>
        <v>1.8282115675185509</v>
      </c>
      <c r="AE283">
        <f t="shared" si="36"/>
        <v>-0.70409357225472746</v>
      </c>
      <c r="AF283">
        <f t="shared" si="37"/>
        <v>1.1997168809720409</v>
      </c>
      <c r="AG283">
        <f>(S283+V283+Y283)*constants!$O$2+(R283+T283+U283+W283+X283+Z283+AA283+AB283)*constants!$N$2</f>
        <v>4.3509494351976219</v>
      </c>
      <c r="AH283">
        <f>((S283+V283+Y283)-(H283+K283+N283))*constants!$O$2</f>
        <v>2.9617027393800521E-2</v>
      </c>
      <c r="AI283">
        <f>((R283+T283+U283+W283+X283+Z283+AA283+AB283)-(G283+I283+J283+L283+M283+O283+P283+Q283))*constants!$N$2</f>
        <v>-7.9562573664784211E-2</v>
      </c>
      <c r="AJ283">
        <f t="shared" si="38"/>
        <v>-1.1479229307273056</v>
      </c>
      <c r="AK283">
        <f t="shared" si="39"/>
        <v>-4.9945546270983687E-2</v>
      </c>
      <c r="AL283">
        <f>COUNTIFS($B:$B,$B283,$AK:$AK,"&lt;"&amp;$AK283)+COUNTIFS($B$2:$B283,$B283,$AK$2:$AK283,$AK283)</f>
        <v>24</v>
      </c>
      <c r="AM283" s="191">
        <f>IF(AK283=0, "NA",IF(((sim_annual_output!F283/E283)/AK283)&lt;0,100,((sim_annual_output!F283/E283)/AK283)))</f>
        <v>100</v>
      </c>
      <c r="AN283">
        <f>(S283+V283)*constants!$F$2+(T283+U283+W283+X283+Y283+Z283+AA283+AB283)*constants!$G$2</f>
        <v>36744.463830284207</v>
      </c>
      <c r="AO283">
        <f>(AD283*constants!$F$2+AE283*constants!$G$2)</f>
        <v>-285.31153727579232</v>
      </c>
      <c r="AP283">
        <f t="shared" si="40"/>
        <v>-0.77647489590157814</v>
      </c>
    </row>
    <row r="284" spans="1:42">
      <c r="A284">
        <f>sim_annual_output!B284</f>
        <v>16</v>
      </c>
      <c r="B284" t="str">
        <f>sim_annual_output!C284</f>
        <v>Office-Small</v>
      </c>
      <c r="C284" t="str">
        <f>sim_annual_output!D284</f>
        <v>1960-1979</v>
      </c>
      <c r="D284" t="str">
        <f>sim_annual_output!E284</f>
        <v>elec_reduce</v>
      </c>
      <c r="E284" s="45">
        <f t="array" ref="E284">IFERROR(INDEX(baseline!$J$3:$J$201,MATCH($B284&amp;$C284,baseline!$C$3:$C$201&amp;baseline!$D$3:$D$201,0)),"NA")</f>
        <v>584</v>
      </c>
      <c r="F284">
        <f>sim_annual_output!G284</f>
        <v>1211.46221507992</v>
      </c>
      <c r="G284">
        <f>$E284/$F284^2*sim_annual_output!I284</f>
        <v>0.50071332532400437</v>
      </c>
      <c r="H284">
        <f>$E284/$F284^2*sim_annual_output!J284</f>
        <v>65.761455386648223</v>
      </c>
      <c r="I284">
        <f>$E284/$F284^2*sim_annual_output!K284</f>
        <v>1.0047426329349227</v>
      </c>
      <c r="J284">
        <f>$E284/$F284^2*sim_annual_output!L284</f>
        <v>2.8517447667459854</v>
      </c>
      <c r="K284">
        <f>$E284/$F284^2*sim_annual_output!M284</f>
        <v>0</v>
      </c>
      <c r="L284">
        <f>$E284/$F284^2*sim_annual_output!N284</f>
        <v>9.0150505106900223</v>
      </c>
      <c r="M284">
        <f>$E284/$F284^2*sim_annual_output!O284</f>
        <v>3.0838635268299606</v>
      </c>
      <c r="N284">
        <f>$E284/$F284^2*sim_annual_output!P284</f>
        <v>0</v>
      </c>
      <c r="O284">
        <f>$E284/$F284^2*sim_annual_output!Q284</f>
        <v>8.1053660366466307</v>
      </c>
      <c r="P284">
        <f>$E284/$F284^2*sim_annual_output!R284</f>
        <v>4.4213097158852478E-3</v>
      </c>
      <c r="Q284">
        <f>$E284/$F284^2*sim_annual_output!S284</f>
        <v>0</v>
      </c>
      <c r="R284">
        <f t="array" ref="R284">INDEX(G$3:G$700,MATCH($B284&amp;$C284&amp;"baseline",$B$3:$B$700&amp;$C$3:$C$700&amp;$D$3:$D$700,0))</f>
        <v>0.28849045896151243</v>
      </c>
      <c r="S284">
        <f t="array" ref="S284">INDEX(H$3:H$700,MATCH($B284&amp;$C284&amp;"baseline",$B$3:$B$700&amp;$C$3:$C$700&amp;$D$3:$D$700,0))</f>
        <v>64.431746489595724</v>
      </c>
      <c r="T284">
        <f t="array" ref="T284">INDEX(I$3:I$700,MATCH($B284&amp;$C284&amp;"baseline",$B$3:$B$700&amp;$C$3:$C$700&amp;$D$3:$D$700,0))</f>
        <v>1.0489557300937753</v>
      </c>
      <c r="U284">
        <f t="array" ref="U284">INDEX(J$3:J$700,MATCH($B284&amp;$C284&amp;"baseline",$B$3:$B$700&amp;$C$3:$C$700&amp;$D$3:$D$700,0))</f>
        <v>2.850639439317014</v>
      </c>
      <c r="V284">
        <f t="array" ref="V284">INDEX(K$3:K$700,MATCH($B284&amp;$C284&amp;"baseline",$B$3:$B$700&amp;$C$3:$C$700&amp;$D$3:$D$700,0))</f>
        <v>0</v>
      </c>
      <c r="W284">
        <f t="array" ref="W284">INDEX(L$3:L$700,MATCH($B284&amp;$C284&amp;"baseline",$B$3:$B$700&amp;$C$3:$C$700&amp;$D$3:$D$700,0))</f>
        <v>12.878169874944756</v>
      </c>
      <c r="X284">
        <f t="array" ref="X284">INDEX(M$3:M$700,MATCH($B284&amp;$C284&amp;"baseline",$B$3:$B$700&amp;$C$3:$C$700&amp;$D$3:$D$700,0))</f>
        <v>3.0838635268299606</v>
      </c>
      <c r="Y284">
        <f t="array" ref="Y284">INDEX(N$3:N$700,MATCH($B284&amp;$C284&amp;"baseline",$B$3:$B$700&amp;$C$3:$C$700&amp;$D$3:$D$700,0))</f>
        <v>0</v>
      </c>
      <c r="Z284">
        <f t="array" ref="Z284">INDEX(O$3:O$700,MATCH($B284&amp;$C284&amp;"baseline",$B$3:$B$700&amp;$C$3:$C$700&amp;$D$3:$D$700,0))</f>
        <v>9.1101086695815532</v>
      </c>
      <c r="AA284">
        <f t="array" ref="AA284">INDEX(P$3:P$700,MATCH($B284&amp;$C284&amp;"baseline",$B$3:$B$700&amp;$C$3:$C$700&amp;$D$3:$D$700,0))</f>
        <v>6.6319645738278721E-3</v>
      </c>
      <c r="AB284">
        <f t="array" ref="AB284">INDEX(Q$3:Q$700,MATCH($B284&amp;$C284&amp;"baseline",$B$3:$B$700&amp;$C$3:$C$700&amp;$D$3:$D$700,0))</f>
        <v>0</v>
      </c>
      <c r="AC284">
        <f t="shared" si="34"/>
        <v>93.698606153898126</v>
      </c>
      <c r="AD284">
        <f t="shared" si="35"/>
        <v>-1.3297088970524982</v>
      </c>
      <c r="AE284">
        <f t="shared" si="36"/>
        <v>4.7009575554149912</v>
      </c>
      <c r="AF284">
        <f t="shared" si="37"/>
        <v>3.5979709802996251</v>
      </c>
      <c r="AG284">
        <f>(S284+V284+Y284)*constants!$O$2+(R284+T284+U284+W284+X284+Z284+AA284+AB284)*constants!$N$2</f>
        <v>4.3509494351976219</v>
      </c>
      <c r="AH284">
        <f>((S284+V284+Y284)-(H284+K284+N284))*constants!$O$2</f>
        <v>-2.1541284132250468E-2</v>
      </c>
      <c r="AI284">
        <f>((R284+T284+U284+W284+X284+Z284+AA284+AB284)-(G284+I284+J284+L284+M284+O284+P284+Q284))*constants!$N$2</f>
        <v>0.53120820376189404</v>
      </c>
      <c r="AJ284">
        <f t="shared" si="38"/>
        <v>11.713924218622742</v>
      </c>
      <c r="AK284">
        <f t="shared" si="39"/>
        <v>0.50966691962964361</v>
      </c>
      <c r="AL284">
        <f>COUNTIFS($B:$B,$B284,$AK:$AK,"&lt;"&amp;$AK284)+COUNTIFS($B$2:$B284,$B284,$AK$2:$AK284,$AK284)</f>
        <v>58</v>
      </c>
      <c r="AM284" s="191">
        <f>IF(AK284=0, "NA",IF(((sim_annual_output!F284/E284)/AK284)&lt;0,100,((sim_annual_output!F284/E284)/AK284)))</f>
        <v>135.99941062547234</v>
      </c>
      <c r="AN284">
        <f>(S284+V284)*constants!$F$2+(T284+U284+W284+X284+Y284+Z284+AA284+AB284)*constants!$G$2</f>
        <v>36744.463830284207</v>
      </c>
      <c r="AO284">
        <f>(AD284*constants!$F$2+AE284*constants!$G$2)</f>
        <v>3851.815180638645</v>
      </c>
      <c r="AP284">
        <f t="shared" si="40"/>
        <v>10.482708901208785</v>
      </c>
    </row>
    <row r="285" spans="1:42">
      <c r="A285">
        <f>sim_annual_output!B285</f>
        <v>16</v>
      </c>
      <c r="B285" t="str">
        <f>sim_annual_output!C285</f>
        <v>Office-Small</v>
      </c>
      <c r="C285" t="str">
        <f>sim_annual_output!D285</f>
        <v>1960-1979</v>
      </c>
      <c r="D285" t="str">
        <f>sim_annual_output!E285</f>
        <v>envelope_ecm_roof</v>
      </c>
      <c r="E285" s="45">
        <f t="array" ref="E285">IFERROR(INDEX(baseline!$J$3:$J$201,MATCH($B285&amp;$C285,baseline!$C$3:$C$201&amp;baseline!$D$3:$D$201,0)),"NA")</f>
        <v>584</v>
      </c>
      <c r="F285">
        <f>sim_annual_output!G285</f>
        <v>1211.46221507992</v>
      </c>
      <c r="G285">
        <f>$E285/$F285^2*sim_annual_output!I285</f>
        <v>0.68751366082015608</v>
      </c>
      <c r="H285">
        <f>$E285/$F285^2*sim_annual_output!J285</f>
        <v>50.724581042922487</v>
      </c>
      <c r="I285">
        <f>$E285/$F285^2*sim_annual_output!K285</f>
        <v>1.2335454107319843</v>
      </c>
      <c r="J285">
        <f>$E285/$F285^2*sim_annual_output!L285</f>
        <v>2.8351648553114153</v>
      </c>
      <c r="K285">
        <f>$E285/$F285^2*sim_annual_output!M285</f>
        <v>0</v>
      </c>
      <c r="L285">
        <f>$E285/$F285^2*sim_annual_output!N285</f>
        <v>12.878169874944756</v>
      </c>
      <c r="M285">
        <f>$E285/$F285^2*sim_annual_output!O285</f>
        <v>3.0838635268299606</v>
      </c>
      <c r="N285">
        <f>$E285/$F285^2*sim_annual_output!P285</f>
        <v>0</v>
      </c>
      <c r="O285">
        <f>$E285/$F285^2*sim_annual_output!Q285</f>
        <v>7.8699312942757418</v>
      </c>
      <c r="P285">
        <f>$E285/$F285^2*sim_annual_output!R285</f>
        <v>6.6319645738278721E-3</v>
      </c>
      <c r="Q285">
        <f>$E285/$F285^2*sim_annual_output!S285</f>
        <v>0</v>
      </c>
      <c r="R285">
        <f t="array" ref="R285">INDEX(G$3:G$700,MATCH($B285&amp;$C285&amp;"baseline",$B$3:$B$700&amp;$C$3:$C$700&amp;$D$3:$D$700,0))</f>
        <v>0.28849045896151243</v>
      </c>
      <c r="S285">
        <f t="array" ref="S285">INDEX(H$3:H$700,MATCH($B285&amp;$C285&amp;"baseline",$B$3:$B$700&amp;$C$3:$C$700&amp;$D$3:$D$700,0))</f>
        <v>64.431746489595724</v>
      </c>
      <c r="T285">
        <f t="array" ref="T285">INDEX(I$3:I$700,MATCH($B285&amp;$C285&amp;"baseline",$B$3:$B$700&amp;$C$3:$C$700&amp;$D$3:$D$700,0))</f>
        <v>1.0489557300937753</v>
      </c>
      <c r="U285">
        <f t="array" ref="U285">INDEX(J$3:J$700,MATCH($B285&amp;$C285&amp;"baseline",$B$3:$B$700&amp;$C$3:$C$700&amp;$D$3:$D$700,0))</f>
        <v>2.850639439317014</v>
      </c>
      <c r="V285">
        <f t="array" ref="V285">INDEX(K$3:K$700,MATCH($B285&amp;$C285&amp;"baseline",$B$3:$B$700&amp;$C$3:$C$700&amp;$D$3:$D$700,0))</f>
        <v>0</v>
      </c>
      <c r="W285">
        <f t="array" ref="W285">INDEX(L$3:L$700,MATCH($B285&amp;$C285&amp;"baseline",$B$3:$B$700&amp;$C$3:$C$700&amp;$D$3:$D$700,0))</f>
        <v>12.878169874944756</v>
      </c>
      <c r="X285">
        <f t="array" ref="X285">INDEX(M$3:M$700,MATCH($B285&amp;$C285&amp;"baseline",$B$3:$B$700&amp;$C$3:$C$700&amp;$D$3:$D$700,0))</f>
        <v>3.0838635268299606</v>
      </c>
      <c r="Y285">
        <f t="array" ref="Y285">INDEX(N$3:N$700,MATCH($B285&amp;$C285&amp;"baseline",$B$3:$B$700&amp;$C$3:$C$700&amp;$D$3:$D$700,0))</f>
        <v>0</v>
      </c>
      <c r="Z285">
        <f t="array" ref="Z285">INDEX(O$3:O$700,MATCH($B285&amp;$C285&amp;"baseline",$B$3:$B$700&amp;$C$3:$C$700&amp;$D$3:$D$700,0))</f>
        <v>9.1101086695815532</v>
      </c>
      <c r="AA285">
        <f t="array" ref="AA285">INDEX(P$3:P$700,MATCH($B285&amp;$C285&amp;"baseline",$B$3:$B$700&amp;$C$3:$C$700&amp;$D$3:$D$700,0))</f>
        <v>6.6319645738278721E-3</v>
      </c>
      <c r="AB285">
        <f t="array" ref="AB285">INDEX(Q$3:Q$700,MATCH($B285&amp;$C285&amp;"baseline",$B$3:$B$700&amp;$C$3:$C$700&amp;$D$3:$D$700,0))</f>
        <v>0</v>
      </c>
      <c r="AC285">
        <f t="shared" si="34"/>
        <v>93.698606153898126</v>
      </c>
      <c r="AD285">
        <f t="shared" si="35"/>
        <v>13.707165446673237</v>
      </c>
      <c r="AE285">
        <f t="shared" si="36"/>
        <v>0.67203907681455988</v>
      </c>
      <c r="AF285">
        <f t="shared" si="37"/>
        <v>15.346230977940307</v>
      </c>
      <c r="AG285">
        <f>(S285+V285+Y285)*constants!$O$2+(R285+T285+U285+W285+X285+Z285+AA285+AB285)*constants!$N$2</f>
        <v>4.3509494351976219</v>
      </c>
      <c r="AH285">
        <f>((S285+V285+Y285)-(H285+K285+N285))*constants!$O$2</f>
        <v>0.22205608023610643</v>
      </c>
      <c r="AI285">
        <f>((R285+T285+U285+W285+X285+Z285+AA285+AB285)-(G285+I285+J285+L285+M285+O285+P285+Q285))*constants!$N$2</f>
        <v>7.5940415680045267E-2</v>
      </c>
      <c r="AJ285">
        <f t="shared" si="38"/>
        <v>6.8489992897979191</v>
      </c>
      <c r="AK285">
        <f t="shared" si="39"/>
        <v>0.29799649591615168</v>
      </c>
      <c r="AL285">
        <f>COUNTIFS($B:$B,$B285,$AK:$AK,"&lt;"&amp;$AK285)+COUNTIFS($B$2:$B285,$B285,$AK$2:$AK285,$AK285)</f>
        <v>52</v>
      </c>
      <c r="AM285" s="191">
        <f>IF(AK285=0, "NA",IF(((sim_annual_output!F285/E285)/AK285)&lt;0,100,((sim_annual_output!F285/E285)/AK285)))</f>
        <v>872.79360158882241</v>
      </c>
      <c r="AN285">
        <f>(S285+V285)*constants!$F$2+(T285+U285+W285+X285+Y285+Z285+AA285+AB285)*constants!$G$2</f>
        <v>36744.463830284207</v>
      </c>
      <c r="AO285">
        <f>(AD285*constants!$F$2+AE285*constants!$G$2)</f>
        <v>3038.2566117831766</v>
      </c>
      <c r="AP285">
        <f t="shared" si="40"/>
        <v>8.2686105472005647</v>
      </c>
    </row>
    <row r="286" spans="1:42">
      <c r="A286">
        <f>sim_annual_output!B286</f>
        <v>16</v>
      </c>
      <c r="B286" t="str">
        <f>sim_annual_output!C286</f>
        <v>Office-Small</v>
      </c>
      <c r="C286" t="str">
        <f>sim_annual_output!D286</f>
        <v>1960-1979</v>
      </c>
      <c r="D286" t="str">
        <f>sim_annual_output!E286</f>
        <v>envelope_ecm_wall</v>
      </c>
      <c r="E286" s="45">
        <f t="array" ref="E286">IFERROR(INDEX(baseline!$J$3:$J$201,MATCH($B286&amp;$C286,baseline!$C$3:$C$201&amp;baseline!$D$3:$D$201,0)),"NA")</f>
        <v>584</v>
      </c>
      <c r="F286">
        <f>sim_annual_output!G286</f>
        <v>1211.46221507992</v>
      </c>
      <c r="G286">
        <f>$E286/$F286^2*sim_annual_output!I286</f>
        <v>0.64219523623233232</v>
      </c>
      <c r="H286">
        <f>$E286/$F286^2*sim_annual_output!J286</f>
        <v>58.072797790723762</v>
      </c>
      <c r="I286">
        <f>$E286/$F286^2*sim_annual_output!K286</f>
        <v>1.4291883656599065</v>
      </c>
      <c r="J286">
        <f>$E286/$F286^2*sim_annual_output!L286</f>
        <v>2.8307435455955301</v>
      </c>
      <c r="K286">
        <f>$E286/$F286^2*sim_annual_output!M286</f>
        <v>0</v>
      </c>
      <c r="L286">
        <f>$E286/$F286^2*sim_annual_output!N286</f>
        <v>12.878169874944756</v>
      </c>
      <c r="M286">
        <f>$E286/$F286^2*sim_annual_output!O286</f>
        <v>3.0838635268299606</v>
      </c>
      <c r="N286">
        <f>$E286/$F286^2*sim_annual_output!P286</f>
        <v>0</v>
      </c>
      <c r="O286">
        <f>$E286/$F286^2*sim_annual_output!Q286</f>
        <v>8.5828674859622378</v>
      </c>
      <c r="P286">
        <f>$E286/$F286^2*sim_annual_output!R286</f>
        <v>6.6319645738278721E-3</v>
      </c>
      <c r="Q286">
        <f>$E286/$F286^2*sim_annual_output!S286</f>
        <v>0</v>
      </c>
      <c r="R286">
        <f t="array" ref="R286">INDEX(G$3:G$700,MATCH($B286&amp;$C286&amp;"baseline",$B$3:$B$700&amp;$C$3:$C$700&amp;$D$3:$D$700,0))</f>
        <v>0.28849045896151243</v>
      </c>
      <c r="S286">
        <f t="array" ref="S286">INDEX(H$3:H$700,MATCH($B286&amp;$C286&amp;"baseline",$B$3:$B$700&amp;$C$3:$C$700&amp;$D$3:$D$700,0))</f>
        <v>64.431746489595724</v>
      </c>
      <c r="T286">
        <f t="array" ref="T286">INDEX(I$3:I$700,MATCH($B286&amp;$C286&amp;"baseline",$B$3:$B$700&amp;$C$3:$C$700&amp;$D$3:$D$700,0))</f>
        <v>1.0489557300937753</v>
      </c>
      <c r="U286">
        <f t="array" ref="U286">INDEX(J$3:J$700,MATCH($B286&amp;$C286&amp;"baseline",$B$3:$B$700&amp;$C$3:$C$700&amp;$D$3:$D$700,0))</f>
        <v>2.850639439317014</v>
      </c>
      <c r="V286">
        <f t="array" ref="V286">INDEX(K$3:K$700,MATCH($B286&amp;$C286&amp;"baseline",$B$3:$B$700&amp;$C$3:$C$700&amp;$D$3:$D$700,0))</f>
        <v>0</v>
      </c>
      <c r="W286">
        <f t="array" ref="W286">INDEX(L$3:L$700,MATCH($B286&amp;$C286&amp;"baseline",$B$3:$B$700&amp;$C$3:$C$700&amp;$D$3:$D$700,0))</f>
        <v>12.878169874944756</v>
      </c>
      <c r="X286">
        <f t="array" ref="X286">INDEX(M$3:M$700,MATCH($B286&amp;$C286&amp;"baseline",$B$3:$B$700&amp;$C$3:$C$700&amp;$D$3:$D$700,0))</f>
        <v>3.0838635268299606</v>
      </c>
      <c r="Y286">
        <f t="array" ref="Y286">INDEX(N$3:N$700,MATCH($B286&amp;$C286&amp;"baseline",$B$3:$B$700&amp;$C$3:$C$700&amp;$D$3:$D$700,0))</f>
        <v>0</v>
      </c>
      <c r="Z286">
        <f t="array" ref="Z286">INDEX(O$3:O$700,MATCH($B286&amp;$C286&amp;"baseline",$B$3:$B$700&amp;$C$3:$C$700&amp;$D$3:$D$700,0))</f>
        <v>9.1101086695815532</v>
      </c>
      <c r="AA286">
        <f t="array" ref="AA286">INDEX(P$3:P$700,MATCH($B286&amp;$C286&amp;"baseline",$B$3:$B$700&amp;$C$3:$C$700&amp;$D$3:$D$700,0))</f>
        <v>6.6319645738278721E-3</v>
      </c>
      <c r="AB286">
        <f t="array" ref="AB286">INDEX(Q$3:Q$700,MATCH($B286&amp;$C286&amp;"baseline",$B$3:$B$700&amp;$C$3:$C$700&amp;$D$3:$D$700,0))</f>
        <v>0</v>
      </c>
      <c r="AC286">
        <f t="shared" si="34"/>
        <v>93.698606153898126</v>
      </c>
      <c r="AD286">
        <f t="shared" si="35"/>
        <v>6.3589486988719628</v>
      </c>
      <c r="AE286">
        <f t="shared" si="36"/>
        <v>-0.1868003354961516</v>
      </c>
      <c r="AF286">
        <f t="shared" si="37"/>
        <v>6.5872360504895644</v>
      </c>
      <c r="AG286">
        <f>(S286+V286+Y286)*constants!$O$2+(R286+T286+U286+W286+X286+Z286+AA286+AB286)*constants!$N$2</f>
        <v>4.3509494351976219</v>
      </c>
      <c r="AH286">
        <f>((S286+V286+Y286)-(H286+K286+N286))*constants!$O$2</f>
        <v>0.10301496892172579</v>
      </c>
      <c r="AI286">
        <f>((R286+T286+U286+W286+X286+Z286+AA286+AB286)-(G286+I286+J286+L286+M286+O286+P286+Q286))*constants!$N$2</f>
        <v>-2.110843791106513E-2</v>
      </c>
      <c r="AJ286">
        <f t="shared" si="38"/>
        <v>1.8824978830612502</v>
      </c>
      <c r="AK286">
        <f t="shared" si="39"/>
        <v>8.1906531010660658E-2</v>
      </c>
      <c r="AL286">
        <f>COUNTIFS($B:$B,$B286,$AK:$AK,"&lt;"&amp;$AK286)+COUNTIFS($B$2:$B286,$B286,$AK$2:$AK286,$AK286)</f>
        <v>48</v>
      </c>
      <c r="AM286" s="191">
        <f>IF(AK286=0, "NA",IF(((sim_annual_output!F286/E286)/AK286)&lt;0,100,((sim_annual_output!F286/E286)/AK286)))</f>
        <v>2644.3715622832601</v>
      </c>
      <c r="AN286">
        <f>(S286+V286)*constants!$F$2+(T286+U286+W286+X286+Y286+Z286+AA286+AB286)*constants!$G$2</f>
        <v>36744.463830284207</v>
      </c>
      <c r="AO286">
        <f>(AD286*constants!$F$2+AE286*constants!$G$2)</f>
        <v>975.73552521642944</v>
      </c>
      <c r="AP286">
        <f t="shared" si="40"/>
        <v>2.6554626833668578</v>
      </c>
    </row>
    <row r="287" spans="1:42">
      <c r="A287">
        <f>sim_annual_output!B287</f>
        <v>16</v>
      </c>
      <c r="B287" t="str">
        <f>sim_annual_output!C287</f>
        <v>Office-Small</v>
      </c>
      <c r="C287" t="str">
        <f>sim_annual_output!D287</f>
        <v>1960-1979</v>
      </c>
      <c r="D287" t="str">
        <f>sim_annual_output!E287</f>
        <v>envelope_ecm_windows</v>
      </c>
      <c r="E287" s="45">
        <f t="array" ref="E287">IFERROR(INDEX(baseline!$J$3:$J$201,MATCH($B287&amp;$C287,baseline!$C$3:$C$201&amp;baseline!$D$3:$D$201,0)),"NA")</f>
        <v>584</v>
      </c>
      <c r="F287">
        <f>sim_annual_output!G287</f>
        <v>1211.46221507992</v>
      </c>
      <c r="G287">
        <f>$E287/$F287^2*sim_annual_output!I287</f>
        <v>0.65766982023793064</v>
      </c>
      <c r="H287">
        <f>$E287/$F287^2*sim_annual_output!J287</f>
        <v>60.775323354558616</v>
      </c>
      <c r="I287">
        <f>$E287/$F287^2*sim_annual_output!K287</f>
        <v>1.4214510736571073</v>
      </c>
      <c r="J287">
        <f>$E287/$F287^2*sim_annual_output!L287</f>
        <v>2.8495341118880422</v>
      </c>
      <c r="K287">
        <f>$E287/$F287^2*sim_annual_output!M287</f>
        <v>0</v>
      </c>
      <c r="L287">
        <f>$E287/$F287^2*sim_annual_output!N287</f>
        <v>12.878169874944756</v>
      </c>
      <c r="M287">
        <f>$E287/$F287^2*sim_annual_output!O287</f>
        <v>3.0838635268299606</v>
      </c>
      <c r="N287">
        <f>$E287/$F287^2*sim_annual_output!P287</f>
        <v>0</v>
      </c>
      <c r="O287">
        <f>$E287/$F287^2*sim_annual_output!Q287</f>
        <v>8.943204227806886</v>
      </c>
      <c r="P287">
        <f>$E287/$F287^2*sim_annual_output!R287</f>
        <v>6.6319645738278721E-3</v>
      </c>
      <c r="Q287">
        <f>$E287/$F287^2*sim_annual_output!S287</f>
        <v>0</v>
      </c>
      <c r="R287">
        <f t="array" ref="R287">INDEX(G$3:G$700,MATCH($B287&amp;$C287&amp;"baseline",$B$3:$B$700&amp;$C$3:$C$700&amp;$D$3:$D$700,0))</f>
        <v>0.28849045896151243</v>
      </c>
      <c r="S287">
        <f t="array" ref="S287">INDEX(H$3:H$700,MATCH($B287&amp;$C287&amp;"baseline",$B$3:$B$700&amp;$C$3:$C$700&amp;$D$3:$D$700,0))</f>
        <v>64.431746489595724</v>
      </c>
      <c r="T287">
        <f t="array" ref="T287">INDEX(I$3:I$700,MATCH($B287&amp;$C287&amp;"baseline",$B$3:$B$700&amp;$C$3:$C$700&amp;$D$3:$D$700,0))</f>
        <v>1.0489557300937753</v>
      </c>
      <c r="U287">
        <f t="array" ref="U287">INDEX(J$3:J$700,MATCH($B287&amp;$C287&amp;"baseline",$B$3:$B$700&amp;$C$3:$C$700&amp;$D$3:$D$700,0))</f>
        <v>2.850639439317014</v>
      </c>
      <c r="V287">
        <f t="array" ref="V287">INDEX(K$3:K$700,MATCH($B287&amp;$C287&amp;"baseline",$B$3:$B$700&amp;$C$3:$C$700&amp;$D$3:$D$700,0))</f>
        <v>0</v>
      </c>
      <c r="W287">
        <f t="array" ref="W287">INDEX(L$3:L$700,MATCH($B287&amp;$C287&amp;"baseline",$B$3:$B$700&amp;$C$3:$C$700&amp;$D$3:$D$700,0))</f>
        <v>12.878169874944756</v>
      </c>
      <c r="X287">
        <f t="array" ref="X287">INDEX(M$3:M$700,MATCH($B287&amp;$C287&amp;"baseline",$B$3:$B$700&amp;$C$3:$C$700&amp;$D$3:$D$700,0))</f>
        <v>3.0838635268299606</v>
      </c>
      <c r="Y287">
        <f t="array" ref="Y287">INDEX(N$3:N$700,MATCH($B287&amp;$C287&amp;"baseline",$B$3:$B$700&amp;$C$3:$C$700&amp;$D$3:$D$700,0))</f>
        <v>0</v>
      </c>
      <c r="Z287">
        <f t="array" ref="Z287">INDEX(O$3:O$700,MATCH($B287&amp;$C287&amp;"baseline",$B$3:$B$700&amp;$C$3:$C$700&amp;$D$3:$D$700,0))</f>
        <v>9.1101086695815532</v>
      </c>
      <c r="AA287">
        <f t="array" ref="AA287">INDEX(P$3:P$700,MATCH($B287&amp;$C287&amp;"baseline",$B$3:$B$700&amp;$C$3:$C$700&amp;$D$3:$D$700,0))</f>
        <v>6.6319645738278721E-3</v>
      </c>
      <c r="AB287">
        <f t="array" ref="AB287">INDEX(Q$3:Q$700,MATCH($B287&amp;$C287&amp;"baseline",$B$3:$B$700&amp;$C$3:$C$700&amp;$D$3:$D$700,0))</f>
        <v>0</v>
      </c>
      <c r="AC287">
        <f t="shared" si="34"/>
        <v>93.698606153898126</v>
      </c>
      <c r="AD287">
        <f t="shared" si="35"/>
        <v>3.6564231350371088</v>
      </c>
      <c r="AE287">
        <f t="shared" si="36"/>
        <v>-0.57366493563610987</v>
      </c>
      <c r="AF287">
        <f t="shared" si="37"/>
        <v>3.2900790373953153</v>
      </c>
      <c r="AG287">
        <f>(S287+V287+Y287)*constants!$O$2+(R287+T287+U287+W287+X287+Z287+AA287+AB287)*constants!$N$2</f>
        <v>4.3509494351976219</v>
      </c>
      <c r="AH287">
        <f>((S287+V287+Y287)-(H287+K287+N287))*constants!$O$2</f>
        <v>5.9234054787601159E-2</v>
      </c>
      <c r="AI287">
        <f>((R287+T287+U287+W287+X287+Z287+AA287+AB287)-(G287+I287+J287+L287+M287+O287+P287+Q287))*constants!$N$2</f>
        <v>-6.4824137726880421E-2</v>
      </c>
      <c r="AJ287">
        <f t="shared" si="38"/>
        <v>-0.12847961169250771</v>
      </c>
      <c r="AK287">
        <f t="shared" si="39"/>
        <v>-5.5900829392792617E-3</v>
      </c>
      <c r="AL287">
        <f>COUNTIFS($B:$B,$B287,$AK:$AK,"&lt;"&amp;$AK287)+COUNTIFS($B$2:$B287,$B287,$AK$2:$AK287,$AK287)</f>
        <v>36</v>
      </c>
      <c r="AM287" s="191">
        <f>IF(AK287=0, "NA",IF(((sim_annual_output!F287/E287)/AK287)&lt;0,100,((sim_annual_output!F287/E287)/AK287)))</f>
        <v>100</v>
      </c>
      <c r="AN287">
        <f>(S287+V287)*constants!$F$2+(T287+U287+W287+X287+Y287+Z287+AA287+AB287)*constants!$G$2</f>
        <v>36744.463830284207</v>
      </c>
      <c r="AO287">
        <f>(AD287*constants!$F$2+AE287*constants!$G$2)</f>
        <v>155.41124716822685</v>
      </c>
      <c r="AP287">
        <f t="shared" si="40"/>
        <v>0.42295146252791249</v>
      </c>
    </row>
    <row r="288" spans="1:42">
      <c r="A288">
        <f>sim_annual_output!B288</f>
        <v>16</v>
      </c>
      <c r="B288" t="str">
        <f>sim_annual_output!C288</f>
        <v>Office-Small</v>
      </c>
      <c r="C288" t="str">
        <f>sim_annual_output!D288</f>
        <v>1960-1979</v>
      </c>
      <c r="D288" t="str">
        <f>sim_annual_output!E288</f>
        <v>exhaust_fans_occ_control</v>
      </c>
      <c r="E288" s="45">
        <f t="array" ref="E288">IFERROR(INDEX(baseline!$J$3:$J$201,MATCH($B288&amp;$C288,baseline!$C$3:$C$201&amp;baseline!$D$3:$D$201,0)),"NA")</f>
        <v>584</v>
      </c>
      <c r="F288">
        <f>sim_annual_output!G288</f>
        <v>1211.46221507992</v>
      </c>
      <c r="G288">
        <f>$E288/$F288^2*sim_annual_output!I288</f>
        <v>0.65877514766690204</v>
      </c>
      <c r="H288">
        <f>$E288/$F288^2*sim_annual_output!J288</f>
        <v>62.603534922077174</v>
      </c>
      <c r="I288">
        <f>$E288/$F288^2*sim_annual_output!K288</f>
        <v>1.4181350913701933</v>
      </c>
      <c r="J288">
        <f>$E288/$F288^2*sim_annual_output!L288</f>
        <v>2.850639439317014</v>
      </c>
      <c r="K288">
        <f>$E288/$F288^2*sim_annual_output!M288</f>
        <v>0</v>
      </c>
      <c r="L288">
        <f>$E288/$F288^2*sim_annual_output!N288</f>
        <v>12.878169874944756</v>
      </c>
      <c r="M288">
        <f>$E288/$F288^2*sim_annual_output!O288</f>
        <v>3.0838635268299606</v>
      </c>
      <c r="N288">
        <f>$E288/$F288^2*sim_annual_output!P288</f>
        <v>0</v>
      </c>
      <c r="O288">
        <f>$E288/$F288^2*sim_annual_output!Q288</f>
        <v>8.0733115412064631</v>
      </c>
      <c r="P288">
        <f>$E288/$F288^2*sim_annual_output!R288</f>
        <v>6.6319645738278721E-3</v>
      </c>
      <c r="Q288">
        <f>$E288/$F288^2*sim_annual_output!S288</f>
        <v>0</v>
      </c>
      <c r="R288">
        <f t="array" ref="R288">INDEX(G$3:G$700,MATCH($B288&amp;$C288&amp;"baseline",$B$3:$B$700&amp;$C$3:$C$700&amp;$D$3:$D$700,0))</f>
        <v>0.28849045896151243</v>
      </c>
      <c r="S288">
        <f t="array" ref="S288">INDEX(H$3:H$700,MATCH($B288&amp;$C288&amp;"baseline",$B$3:$B$700&amp;$C$3:$C$700&amp;$D$3:$D$700,0))</f>
        <v>64.431746489595724</v>
      </c>
      <c r="T288">
        <f t="array" ref="T288">INDEX(I$3:I$700,MATCH($B288&amp;$C288&amp;"baseline",$B$3:$B$700&amp;$C$3:$C$700&amp;$D$3:$D$700,0))</f>
        <v>1.0489557300937753</v>
      </c>
      <c r="U288">
        <f t="array" ref="U288">INDEX(J$3:J$700,MATCH($B288&amp;$C288&amp;"baseline",$B$3:$B$700&amp;$C$3:$C$700&amp;$D$3:$D$700,0))</f>
        <v>2.850639439317014</v>
      </c>
      <c r="V288">
        <f t="array" ref="V288">INDEX(K$3:K$700,MATCH($B288&amp;$C288&amp;"baseline",$B$3:$B$700&amp;$C$3:$C$700&amp;$D$3:$D$700,0))</f>
        <v>0</v>
      </c>
      <c r="W288">
        <f t="array" ref="W288">INDEX(L$3:L$700,MATCH($B288&amp;$C288&amp;"baseline",$B$3:$B$700&amp;$C$3:$C$700&amp;$D$3:$D$700,0))</f>
        <v>12.878169874944756</v>
      </c>
      <c r="X288">
        <f t="array" ref="X288">INDEX(M$3:M$700,MATCH($B288&amp;$C288&amp;"baseline",$B$3:$B$700&amp;$C$3:$C$700&amp;$D$3:$D$700,0))</f>
        <v>3.0838635268299606</v>
      </c>
      <c r="Y288">
        <f t="array" ref="Y288">INDEX(N$3:N$700,MATCH($B288&amp;$C288&amp;"baseline",$B$3:$B$700&amp;$C$3:$C$700&amp;$D$3:$D$700,0))</f>
        <v>0</v>
      </c>
      <c r="Z288">
        <f t="array" ref="Z288">INDEX(O$3:O$700,MATCH($B288&amp;$C288&amp;"baseline",$B$3:$B$700&amp;$C$3:$C$700&amp;$D$3:$D$700,0))</f>
        <v>9.1101086695815532</v>
      </c>
      <c r="AA288">
        <f t="array" ref="AA288">INDEX(P$3:P$700,MATCH($B288&amp;$C288&amp;"baseline",$B$3:$B$700&amp;$C$3:$C$700&amp;$D$3:$D$700,0))</f>
        <v>6.6319645738278721E-3</v>
      </c>
      <c r="AB288">
        <f t="array" ref="AB288">INDEX(Q$3:Q$700,MATCH($B288&amp;$C288&amp;"baseline",$B$3:$B$700&amp;$C$3:$C$700&amp;$D$3:$D$700,0))</f>
        <v>0</v>
      </c>
      <c r="AC288">
        <f t="shared" si="34"/>
        <v>93.698606153898126</v>
      </c>
      <c r="AD288">
        <f t="shared" si="35"/>
        <v>1.8282115675185509</v>
      </c>
      <c r="AE288">
        <f t="shared" si="36"/>
        <v>0.2973330783932866</v>
      </c>
      <c r="AF288">
        <f t="shared" si="37"/>
        <v>2.2684912115135116</v>
      </c>
      <c r="AG288">
        <f>(S288+V288+Y288)*constants!$O$2+(R288+T288+U288+W288+X288+Z288+AA288+AB288)*constants!$N$2</f>
        <v>4.3509494351976219</v>
      </c>
      <c r="AH288">
        <f>((S288+V288+Y288)-(H288+K288+N288))*constants!$O$2</f>
        <v>2.9617027393800521E-2</v>
      </c>
      <c r="AI288">
        <f>((R288+T288+U288+W288+X288+Z288+AA288+AB288)-(G288+I288+J288+L288+M288+O288+P288+Q288))*constants!$N$2</f>
        <v>3.3598637858441388E-2</v>
      </c>
      <c r="AJ288">
        <f t="shared" si="38"/>
        <v>1.4529165689872152</v>
      </c>
      <c r="AK288">
        <f t="shared" si="39"/>
        <v>6.3215665252241912E-2</v>
      </c>
      <c r="AL288">
        <f>COUNTIFS($B:$B,$B288,$AK:$AK,"&lt;"&amp;$AK288)+COUNTIFS($B$2:$B288,$B288,$AK$2:$AK288,$AK288)</f>
        <v>47</v>
      </c>
      <c r="AM288" s="191">
        <f>IF(AK288=0, "NA",IF(((sim_annual_output!F288/E288)/AK288)&lt;0,100,((sim_annual_output!F288/E288)/AK288)))</f>
        <v>39.657674903309726</v>
      </c>
      <c r="AN288">
        <f>(S288+V288)*constants!$F$2+(T288+U288+W288+X288+Y288+Z288+AA288+AB288)*constants!$G$2</f>
        <v>36744.463830284207</v>
      </c>
      <c r="AO288">
        <f>(AD288*constants!$F$2+AE288*constants!$G$2)</f>
        <v>585.92964878797989</v>
      </c>
      <c r="AP288">
        <f t="shared" si="40"/>
        <v>1.5946066092957001</v>
      </c>
    </row>
    <row r="289" spans="1:42">
      <c r="A289">
        <f>sim_annual_output!B289</f>
        <v>16</v>
      </c>
      <c r="B289" t="str">
        <f>sim_annual_output!C289</f>
        <v>Office-Small</v>
      </c>
      <c r="C289" t="str">
        <f>sim_annual_output!D289</f>
        <v>1960-1979</v>
      </c>
      <c r="D289" t="str">
        <f>sim_annual_output!E289</f>
        <v>fans_to_variable</v>
      </c>
      <c r="E289" s="45">
        <f t="array" ref="E289">IFERROR(INDEX(baseline!$J$3:$J$201,MATCH($B289&amp;$C289,baseline!$C$3:$C$201&amp;baseline!$D$3:$D$201,0)),"NA")</f>
        <v>584</v>
      </c>
      <c r="F289">
        <f>sim_annual_output!G289</f>
        <v>1211.46221507992</v>
      </c>
      <c r="G289">
        <f>$E289/$F289^2*sim_annual_output!I289</f>
        <v>0.65988047509587333</v>
      </c>
      <c r="H289">
        <f>$E289/$F289^2*sim_annual_output!J289</f>
        <v>62.673170550102363</v>
      </c>
      <c r="I289">
        <f>$E289/$F289^2*sim_annual_output!K289</f>
        <v>1.4048711622225376</v>
      </c>
      <c r="J289">
        <f>$E289/$F289^2*sim_annual_output!L289</f>
        <v>2.850639439317014</v>
      </c>
      <c r="K289">
        <f>$E289/$F289^2*sim_annual_output!M289</f>
        <v>0</v>
      </c>
      <c r="L289">
        <f>$E289/$F289^2*sim_annual_output!N289</f>
        <v>12.878169874944756</v>
      </c>
      <c r="M289">
        <f>$E289/$F289^2*sim_annual_output!O289</f>
        <v>3.0838635268299606</v>
      </c>
      <c r="N289">
        <f>$E289/$F289^2*sim_annual_output!P289</f>
        <v>0</v>
      </c>
      <c r="O289">
        <f>$E289/$F289^2*sim_annual_output!Q289</f>
        <v>9.008418546116193</v>
      </c>
      <c r="P289">
        <f>$E289/$F289^2*sim_annual_output!R289</f>
        <v>6.6319645738278721E-3</v>
      </c>
      <c r="Q289">
        <f>$E289/$F289^2*sim_annual_output!S289</f>
        <v>0</v>
      </c>
      <c r="R289">
        <f t="array" ref="R289">INDEX(G$3:G$700,MATCH($B289&amp;$C289&amp;"baseline",$B$3:$B$700&amp;$C$3:$C$700&amp;$D$3:$D$700,0))</f>
        <v>0.28849045896151243</v>
      </c>
      <c r="S289">
        <f t="array" ref="S289">INDEX(H$3:H$700,MATCH($B289&amp;$C289&amp;"baseline",$B$3:$B$700&amp;$C$3:$C$700&amp;$D$3:$D$700,0))</f>
        <v>64.431746489595724</v>
      </c>
      <c r="T289">
        <f t="array" ref="T289">INDEX(I$3:I$700,MATCH($B289&amp;$C289&amp;"baseline",$B$3:$B$700&amp;$C$3:$C$700&amp;$D$3:$D$700,0))</f>
        <v>1.0489557300937753</v>
      </c>
      <c r="U289">
        <f t="array" ref="U289">INDEX(J$3:J$700,MATCH($B289&amp;$C289&amp;"baseline",$B$3:$B$700&amp;$C$3:$C$700&amp;$D$3:$D$700,0))</f>
        <v>2.850639439317014</v>
      </c>
      <c r="V289">
        <f t="array" ref="V289">INDEX(K$3:K$700,MATCH($B289&amp;$C289&amp;"baseline",$B$3:$B$700&amp;$C$3:$C$700&amp;$D$3:$D$700,0))</f>
        <v>0</v>
      </c>
      <c r="W289">
        <f t="array" ref="W289">INDEX(L$3:L$700,MATCH($B289&amp;$C289&amp;"baseline",$B$3:$B$700&amp;$C$3:$C$700&amp;$D$3:$D$700,0))</f>
        <v>12.878169874944756</v>
      </c>
      <c r="X289">
        <f t="array" ref="X289">INDEX(M$3:M$700,MATCH($B289&amp;$C289&amp;"baseline",$B$3:$B$700&amp;$C$3:$C$700&amp;$D$3:$D$700,0))</f>
        <v>3.0838635268299606</v>
      </c>
      <c r="Y289">
        <f t="array" ref="Y289">INDEX(N$3:N$700,MATCH($B289&amp;$C289&amp;"baseline",$B$3:$B$700&amp;$C$3:$C$700&amp;$D$3:$D$700,0))</f>
        <v>0</v>
      </c>
      <c r="Z289">
        <f t="array" ref="Z289">INDEX(O$3:O$700,MATCH($B289&amp;$C289&amp;"baseline",$B$3:$B$700&amp;$C$3:$C$700&amp;$D$3:$D$700,0))</f>
        <v>9.1101086695815532</v>
      </c>
      <c r="AA289">
        <f t="array" ref="AA289">INDEX(P$3:P$700,MATCH($B289&amp;$C289&amp;"baseline",$B$3:$B$700&amp;$C$3:$C$700&amp;$D$3:$D$700,0))</f>
        <v>6.6319645738278721E-3</v>
      </c>
      <c r="AB289">
        <f t="array" ref="AB289">INDEX(Q$3:Q$700,MATCH($B289&amp;$C289&amp;"baseline",$B$3:$B$700&amp;$C$3:$C$700&amp;$D$3:$D$700,0))</f>
        <v>0</v>
      </c>
      <c r="AC289">
        <f t="shared" si="34"/>
        <v>93.698606153898126</v>
      </c>
      <c r="AD289">
        <f t="shared" si="35"/>
        <v>1.7585759394933618</v>
      </c>
      <c r="AE289">
        <f t="shared" si="36"/>
        <v>-0.62561532479776361</v>
      </c>
      <c r="AF289">
        <f t="shared" si="37"/>
        <v>1.2091541819039791</v>
      </c>
      <c r="AG289">
        <f>(S289+V289+Y289)*constants!$O$2+(R289+T289+U289+W289+X289+Z289+AA289+AB289)*constants!$N$2</f>
        <v>4.3509494351976219</v>
      </c>
      <c r="AH289">
        <f>((S289+V289+Y289)-(H289+K289+N289))*constants!$O$2</f>
        <v>2.8488930219792458E-2</v>
      </c>
      <c r="AI289">
        <f>((R289+T289+U289+W289+X289+Z289+AA289+AB289)-(G289+I289+J289+L289+M289+O289+P289+Q289))*constants!$N$2</f>
        <v>-7.069453170214729E-2</v>
      </c>
      <c r="AJ289">
        <f t="shared" si="38"/>
        <v>-0.97003199211938984</v>
      </c>
      <c r="AK289">
        <f t="shared" si="39"/>
        <v>-4.2205601482354832E-2</v>
      </c>
      <c r="AL289">
        <f>COUNTIFS($B:$B,$B289,$AK:$AK,"&lt;"&amp;$AK289)+COUNTIFS($B$2:$B289,$B289,$AK$2:$AK289,$AK289)</f>
        <v>28</v>
      </c>
      <c r="AM289" s="191">
        <f>IF(AK289=0, "NA",IF(((sim_annual_output!F289/E289)/AK289)&lt;0,100,((sim_annual_output!F289/E289)/AK289)))</f>
        <v>100</v>
      </c>
      <c r="AN289">
        <f>(S289+V289)*constants!$F$2+(T289+U289+W289+X289+Y289+Z289+AA289+AB289)*constants!$G$2</f>
        <v>36744.463830284207</v>
      </c>
      <c r="AO289">
        <f>(AD289*constants!$F$2+AE289*constants!$G$2)</f>
        <v>-229.50023940474256</v>
      </c>
      <c r="AP289">
        <f t="shared" si="40"/>
        <v>-0.62458453731903985</v>
      </c>
    </row>
    <row r="290" spans="1:42">
      <c r="A290">
        <f>sim_annual_output!B290</f>
        <v>16</v>
      </c>
      <c r="B290" t="str">
        <f>sim_annual_output!C290</f>
        <v>Office-Small</v>
      </c>
      <c r="C290" t="str">
        <f>sim_annual_output!D290</f>
        <v>1960-1979</v>
      </c>
      <c r="D290" t="str">
        <f>sim_annual_output!E290</f>
        <v>hrv_enabled</v>
      </c>
      <c r="E290" s="45">
        <f t="array" ref="E290">IFERROR(INDEX(baseline!$J$3:$J$201,MATCH($B290&amp;$C290,baseline!$C$3:$C$201&amp;baseline!$D$3:$D$201,0)),"NA")</f>
        <v>584</v>
      </c>
      <c r="F290">
        <f>sim_annual_output!G290</f>
        <v>1211.46221507992</v>
      </c>
      <c r="G290">
        <f>$E290/$F290^2*sim_annual_output!I290</f>
        <v>0.65877514766690204</v>
      </c>
      <c r="H290">
        <f>$E290/$F290^2*sim_annual_output!J290</f>
        <v>62.603534922077174</v>
      </c>
      <c r="I290">
        <f>$E290/$F290^2*sim_annual_output!K290</f>
        <v>1.4092924719384228</v>
      </c>
      <c r="J290">
        <f>$E290/$F290^2*sim_annual_output!L290</f>
        <v>2.850639439317014</v>
      </c>
      <c r="K290">
        <f>$E290/$F290^2*sim_annual_output!M290</f>
        <v>0</v>
      </c>
      <c r="L290">
        <f>$E290/$F290^2*sim_annual_output!N290</f>
        <v>12.878169874944756</v>
      </c>
      <c r="M290">
        <f>$E290/$F290^2*sim_annual_output!O290</f>
        <v>3.0838635268299606</v>
      </c>
      <c r="N290">
        <f>$E290/$F290^2*sim_annual_output!P290</f>
        <v>0</v>
      </c>
      <c r="O290">
        <f>$E290/$F290^2*sim_annual_output!Q290</f>
        <v>9.0835808112862431</v>
      </c>
      <c r="P290">
        <f>$E290/$F290^2*sim_annual_output!R290</f>
        <v>6.6319645738278721E-3</v>
      </c>
      <c r="Q290">
        <f>$E290/$F290^2*sim_annual_output!S290</f>
        <v>0</v>
      </c>
      <c r="R290">
        <f t="array" ref="R290">INDEX(G$3:G$700,MATCH($B290&amp;$C290&amp;"baseline",$B$3:$B$700&amp;$C$3:$C$700&amp;$D$3:$D$700,0))</f>
        <v>0.28849045896151243</v>
      </c>
      <c r="S290">
        <f t="array" ref="S290">INDEX(H$3:H$700,MATCH($B290&amp;$C290&amp;"baseline",$B$3:$B$700&amp;$C$3:$C$700&amp;$D$3:$D$700,0))</f>
        <v>64.431746489595724</v>
      </c>
      <c r="T290">
        <f t="array" ref="T290">INDEX(I$3:I$700,MATCH($B290&amp;$C290&amp;"baseline",$B$3:$B$700&amp;$C$3:$C$700&amp;$D$3:$D$700,0))</f>
        <v>1.0489557300937753</v>
      </c>
      <c r="U290">
        <f t="array" ref="U290">INDEX(J$3:J$700,MATCH($B290&amp;$C290&amp;"baseline",$B$3:$B$700&amp;$C$3:$C$700&amp;$D$3:$D$700,0))</f>
        <v>2.850639439317014</v>
      </c>
      <c r="V290">
        <f t="array" ref="V290">INDEX(K$3:K$700,MATCH($B290&amp;$C290&amp;"baseline",$B$3:$B$700&amp;$C$3:$C$700&amp;$D$3:$D$700,0))</f>
        <v>0</v>
      </c>
      <c r="W290">
        <f t="array" ref="W290">INDEX(L$3:L$700,MATCH($B290&amp;$C290&amp;"baseline",$B$3:$B$700&amp;$C$3:$C$700&amp;$D$3:$D$700,0))</f>
        <v>12.878169874944756</v>
      </c>
      <c r="X290">
        <f t="array" ref="X290">INDEX(M$3:M$700,MATCH($B290&amp;$C290&amp;"baseline",$B$3:$B$700&amp;$C$3:$C$700&amp;$D$3:$D$700,0))</f>
        <v>3.0838635268299606</v>
      </c>
      <c r="Y290">
        <f t="array" ref="Y290">INDEX(N$3:N$700,MATCH($B290&amp;$C290&amp;"baseline",$B$3:$B$700&amp;$C$3:$C$700&amp;$D$3:$D$700,0))</f>
        <v>0</v>
      </c>
      <c r="Z290">
        <f t="array" ref="Z290">INDEX(O$3:O$700,MATCH($B290&amp;$C290&amp;"baseline",$B$3:$B$700&amp;$C$3:$C$700&amp;$D$3:$D$700,0))</f>
        <v>9.1101086695815532</v>
      </c>
      <c r="AA290">
        <f t="array" ref="AA290">INDEX(P$3:P$700,MATCH($B290&amp;$C290&amp;"baseline",$B$3:$B$700&amp;$C$3:$C$700&amp;$D$3:$D$700,0))</f>
        <v>6.6319645738278721E-3</v>
      </c>
      <c r="AB290">
        <f t="array" ref="AB290">INDEX(Q$3:Q$700,MATCH($B290&amp;$C290&amp;"baseline",$B$3:$B$700&amp;$C$3:$C$700&amp;$D$3:$D$700,0))</f>
        <v>0</v>
      </c>
      <c r="AC290">
        <f t="shared" si="34"/>
        <v>93.698606153898126</v>
      </c>
      <c r="AD290">
        <f t="shared" si="35"/>
        <v>1.8282115675185509</v>
      </c>
      <c r="AE290">
        <f t="shared" si="36"/>
        <v>-0.70409357225472746</v>
      </c>
      <c r="AF290">
        <f t="shared" si="37"/>
        <v>1.1997168809720409</v>
      </c>
      <c r="AG290">
        <f>(S290+V290+Y290)*constants!$O$2+(R290+T290+U290+W290+X290+Z290+AA290+AB290)*constants!$N$2</f>
        <v>4.3509494351976219</v>
      </c>
      <c r="AH290">
        <f>((S290+V290+Y290)-(H290+K290+N290))*constants!$O$2</f>
        <v>2.9617027393800521E-2</v>
      </c>
      <c r="AI290">
        <f>((R290+T290+U290+W290+X290+Z290+AA290+AB290)-(G290+I290+J290+L290+M290+O290+P290+Q290))*constants!$N$2</f>
        <v>-7.9562573664784211E-2</v>
      </c>
      <c r="AJ290">
        <f t="shared" si="38"/>
        <v>-1.1479229307273056</v>
      </c>
      <c r="AK290">
        <f t="shared" si="39"/>
        <v>-4.9945546270983687E-2</v>
      </c>
      <c r="AL290">
        <f>COUNTIFS($B:$B,$B290,$AK:$AK,"&lt;"&amp;$AK290)+COUNTIFS($B$2:$B290,$B290,$AK$2:$AK290,$AK290)</f>
        <v>25</v>
      </c>
      <c r="AM290" s="191">
        <f>IF(AK290=0, "NA",IF(((sim_annual_output!F290/E290)/AK290)&lt;0,100,((sim_annual_output!F290/E290)/AK290)))</f>
        <v>100</v>
      </c>
      <c r="AN290">
        <f>(S290+V290)*constants!$F$2+(T290+U290+W290+X290+Y290+Z290+AA290+AB290)*constants!$G$2</f>
        <v>36744.463830284207</v>
      </c>
      <c r="AO290">
        <f>(AD290*constants!$F$2+AE290*constants!$G$2)</f>
        <v>-285.31153727579232</v>
      </c>
      <c r="AP290">
        <f t="shared" si="40"/>
        <v>-0.77647489590157814</v>
      </c>
    </row>
    <row r="291" spans="1:42">
      <c r="A291">
        <f>sim_annual_output!B291</f>
        <v>16</v>
      </c>
      <c r="B291" t="str">
        <f>sim_annual_output!C291</f>
        <v>Office-Small</v>
      </c>
      <c r="C291" t="str">
        <f>sim_annual_output!D291</f>
        <v>1960-1979</v>
      </c>
      <c r="D291" t="str">
        <f>sim_annual_output!E291</f>
        <v>infil_reduce</v>
      </c>
      <c r="E291" s="45">
        <f t="array" ref="E291">IFERROR(INDEX(baseline!$J$3:$J$201,MATCH($B291&amp;$C291,baseline!$C$3:$C$201&amp;baseline!$D$3:$D$201,0)),"NA")</f>
        <v>584</v>
      </c>
      <c r="F291">
        <f>sim_annual_output!G291</f>
        <v>1211.46221507992</v>
      </c>
      <c r="G291">
        <f>$E291/$F291^2*sim_annual_output!I291</f>
        <v>0.61898336022393474</v>
      </c>
      <c r="H291">
        <f>$E291/$F291^2*sim_annual_output!J291</f>
        <v>37.547972762155474</v>
      </c>
      <c r="I291">
        <f>$E291/$F291^2*sim_annual_output!K291</f>
        <v>1.7165734971924478</v>
      </c>
      <c r="J291">
        <f>$E291/$F291^2*sim_annual_output!L291</f>
        <v>2.7798984838628495</v>
      </c>
      <c r="K291">
        <f>$E291/$F291^2*sim_annual_output!M291</f>
        <v>0</v>
      </c>
      <c r="L291">
        <f>$E291/$F291^2*sim_annual_output!N291</f>
        <v>12.878169874944756</v>
      </c>
      <c r="M291">
        <f>$E291/$F291^2*sim_annual_output!O291</f>
        <v>3.0838635268299606</v>
      </c>
      <c r="N291">
        <f>$E291/$F291^2*sim_annual_output!P291</f>
        <v>0</v>
      </c>
      <c r="O291">
        <f>$E291/$F291^2*sim_annual_output!Q291</f>
        <v>6.622016626967131</v>
      </c>
      <c r="P291">
        <f>$E291/$F291^2*sim_annual_output!R291</f>
        <v>6.6319645738278721E-3</v>
      </c>
      <c r="Q291">
        <f>$E291/$F291^2*sim_annual_output!S291</f>
        <v>0</v>
      </c>
      <c r="R291">
        <f t="array" ref="R291">INDEX(G$3:G$700,MATCH($B291&amp;$C291&amp;"baseline",$B$3:$B$700&amp;$C$3:$C$700&amp;$D$3:$D$700,0))</f>
        <v>0.28849045896151243</v>
      </c>
      <c r="S291">
        <f t="array" ref="S291">INDEX(H$3:H$700,MATCH($B291&amp;$C291&amp;"baseline",$B$3:$B$700&amp;$C$3:$C$700&amp;$D$3:$D$700,0))</f>
        <v>64.431746489595724</v>
      </c>
      <c r="T291">
        <f t="array" ref="T291">INDEX(I$3:I$700,MATCH($B291&amp;$C291&amp;"baseline",$B$3:$B$700&amp;$C$3:$C$700&amp;$D$3:$D$700,0))</f>
        <v>1.0489557300937753</v>
      </c>
      <c r="U291">
        <f t="array" ref="U291">INDEX(J$3:J$700,MATCH($B291&amp;$C291&amp;"baseline",$B$3:$B$700&amp;$C$3:$C$700&amp;$D$3:$D$700,0))</f>
        <v>2.850639439317014</v>
      </c>
      <c r="V291">
        <f t="array" ref="V291">INDEX(K$3:K$700,MATCH($B291&amp;$C291&amp;"baseline",$B$3:$B$700&amp;$C$3:$C$700&amp;$D$3:$D$700,0))</f>
        <v>0</v>
      </c>
      <c r="W291">
        <f t="array" ref="W291">INDEX(L$3:L$700,MATCH($B291&amp;$C291&amp;"baseline",$B$3:$B$700&amp;$C$3:$C$700&amp;$D$3:$D$700,0))</f>
        <v>12.878169874944756</v>
      </c>
      <c r="X291">
        <f t="array" ref="X291">INDEX(M$3:M$700,MATCH($B291&amp;$C291&amp;"baseline",$B$3:$B$700&amp;$C$3:$C$700&amp;$D$3:$D$700,0))</f>
        <v>3.0838635268299606</v>
      </c>
      <c r="Y291">
        <f t="array" ref="Y291">INDEX(N$3:N$700,MATCH($B291&amp;$C291&amp;"baseline",$B$3:$B$700&amp;$C$3:$C$700&amp;$D$3:$D$700,0))</f>
        <v>0</v>
      </c>
      <c r="Z291">
        <f t="array" ref="Z291">INDEX(O$3:O$700,MATCH($B291&amp;$C291&amp;"baseline",$B$3:$B$700&amp;$C$3:$C$700&amp;$D$3:$D$700,0))</f>
        <v>9.1101086695815532</v>
      </c>
      <c r="AA291">
        <f t="array" ref="AA291">INDEX(P$3:P$700,MATCH($B291&amp;$C291&amp;"baseline",$B$3:$B$700&amp;$C$3:$C$700&amp;$D$3:$D$700,0))</f>
        <v>6.6319645738278721E-3</v>
      </c>
      <c r="AB291">
        <f t="array" ref="AB291">INDEX(Q$3:Q$700,MATCH($B291&amp;$C291&amp;"baseline",$B$3:$B$700&amp;$C$3:$C$700&amp;$D$3:$D$700,0))</f>
        <v>0</v>
      </c>
      <c r="AC291">
        <f t="shared" si="34"/>
        <v>93.698606153898126</v>
      </c>
      <c r="AD291">
        <f t="shared" si="35"/>
        <v>26.88377372744025</v>
      </c>
      <c r="AE291">
        <f t="shared" si="36"/>
        <v>1.5607223297074917</v>
      </c>
      <c r="AF291">
        <f t="shared" si="37"/>
        <v>30.357437772796974</v>
      </c>
      <c r="AG291">
        <f>(S291+V291+Y291)*constants!$O$2+(R291+T291+U291+W291+X291+Z291+AA291+AB291)*constants!$N$2</f>
        <v>4.3509494351976219</v>
      </c>
      <c r="AH291">
        <f>((S291+V291+Y291)-(H291+K291+N291))*constants!$O$2</f>
        <v>0.43551713438453205</v>
      </c>
      <c r="AI291">
        <f>((R291+T291+U291+W291+X291+Z291+AA291+AB291)-(G291+I291+J291+L291+M291+O291+P291+Q291))*constants!$N$2</f>
        <v>0.17636162325694657</v>
      </c>
      <c r="AJ291">
        <f t="shared" si="38"/>
        <v>14.06310890886478</v>
      </c>
      <c r="AK291">
        <f t="shared" si="39"/>
        <v>0.61187875764147859</v>
      </c>
      <c r="AL291">
        <f>COUNTIFS($B:$B,$B291,$AK:$AK,"&lt;"&amp;$AK291)+COUNTIFS($B$2:$B291,$B291,$AK$2:$AK291,$AK291)</f>
        <v>61</v>
      </c>
      <c r="AM291" s="191">
        <f>IF(AK291=0, "NA",IF(((sim_annual_output!F291/E291)/AK291)&lt;0,100,((sim_annual_output!F291/E291)/AK291)))</f>
        <v>100.40827139183496</v>
      </c>
      <c r="AN291">
        <f>(S291+V291)*constants!$F$2+(T291+U291+W291+X291+Y291+Z291+AA291+AB291)*constants!$G$2</f>
        <v>36744.463830284207</v>
      </c>
      <c r="AO291">
        <f>(AD291*constants!$F$2+AE291*constants!$G$2)</f>
        <v>6170.0239240573228</v>
      </c>
      <c r="AP291">
        <f t="shared" si="40"/>
        <v>16.791710317384158</v>
      </c>
    </row>
    <row r="292" spans="1:42">
      <c r="A292">
        <f>sim_annual_output!B292</f>
        <v>16</v>
      </c>
      <c r="B292" t="str">
        <f>sim_annual_output!C292</f>
        <v>Office-Small</v>
      </c>
      <c r="C292" t="str">
        <f>sim_annual_output!D292</f>
        <v>1960-1979</v>
      </c>
      <c r="D292" t="str">
        <f>sim_annual_output!E292</f>
        <v>infil_reduce_plus_setback</v>
      </c>
      <c r="E292" s="45">
        <f t="array" ref="E292">IFERROR(INDEX(baseline!$J$3:$J$201,MATCH($B292&amp;$C292,baseline!$C$3:$C$201&amp;baseline!$D$3:$D$201,0)),"NA")</f>
        <v>584</v>
      </c>
      <c r="F292">
        <f>sim_annual_output!G292</f>
        <v>1211.46221507992</v>
      </c>
      <c r="G292">
        <f>$E292/$F292^2*sim_annual_output!I292</f>
        <v>0.55487436934359857</v>
      </c>
      <c r="H292">
        <f>$E292/$F292^2*sim_annual_output!J292</f>
        <v>31.67647345945986</v>
      </c>
      <c r="I292">
        <f>$E292/$F292^2*sim_annual_output!K292</f>
        <v>1.3606580650636853</v>
      </c>
      <c r="J292">
        <f>$E292/$F292^2*sim_annual_output!L292</f>
        <v>2.7876357758656489</v>
      </c>
      <c r="K292">
        <f>$E292/$F292^2*sim_annual_output!M292</f>
        <v>0</v>
      </c>
      <c r="L292">
        <f>$E292/$F292^2*sim_annual_output!N292</f>
        <v>12.878169874944756</v>
      </c>
      <c r="M292">
        <f>$E292/$F292^2*sim_annual_output!O292</f>
        <v>3.0838635268299606</v>
      </c>
      <c r="N292">
        <f>$E292/$F292^2*sim_annual_output!P292</f>
        <v>0</v>
      </c>
      <c r="O292">
        <f>$E292/$F292^2*sim_annual_output!Q292</f>
        <v>7.4841720215647536</v>
      </c>
      <c r="P292">
        <f>$E292/$F292^2*sim_annual_output!R292</f>
        <v>6.6319645738278721E-3</v>
      </c>
      <c r="Q292">
        <f>$E292/$F292^2*sim_annual_output!S292</f>
        <v>0</v>
      </c>
      <c r="R292">
        <f t="array" ref="R292">INDEX(G$3:G$700,MATCH($B292&amp;$C292&amp;"baseline",$B$3:$B$700&amp;$C$3:$C$700&amp;$D$3:$D$700,0))</f>
        <v>0.28849045896151243</v>
      </c>
      <c r="S292">
        <f t="array" ref="S292">INDEX(H$3:H$700,MATCH($B292&amp;$C292&amp;"baseline",$B$3:$B$700&amp;$C$3:$C$700&amp;$D$3:$D$700,0))</f>
        <v>64.431746489595724</v>
      </c>
      <c r="T292">
        <f t="array" ref="T292">INDEX(I$3:I$700,MATCH($B292&amp;$C292&amp;"baseline",$B$3:$B$700&amp;$C$3:$C$700&amp;$D$3:$D$700,0))</f>
        <v>1.0489557300937753</v>
      </c>
      <c r="U292">
        <f t="array" ref="U292">INDEX(J$3:J$700,MATCH($B292&amp;$C292&amp;"baseline",$B$3:$B$700&amp;$C$3:$C$700&amp;$D$3:$D$700,0))</f>
        <v>2.850639439317014</v>
      </c>
      <c r="V292">
        <f t="array" ref="V292">INDEX(K$3:K$700,MATCH($B292&amp;$C292&amp;"baseline",$B$3:$B$700&amp;$C$3:$C$700&amp;$D$3:$D$700,0))</f>
        <v>0</v>
      </c>
      <c r="W292">
        <f t="array" ref="W292">INDEX(L$3:L$700,MATCH($B292&amp;$C292&amp;"baseline",$B$3:$B$700&amp;$C$3:$C$700&amp;$D$3:$D$700,0))</f>
        <v>12.878169874944756</v>
      </c>
      <c r="X292">
        <f t="array" ref="X292">INDEX(M$3:M$700,MATCH($B292&amp;$C292&amp;"baseline",$B$3:$B$700&amp;$C$3:$C$700&amp;$D$3:$D$700,0))</f>
        <v>3.0838635268299606</v>
      </c>
      <c r="Y292">
        <f t="array" ref="Y292">INDEX(N$3:N$700,MATCH($B292&amp;$C292&amp;"baseline",$B$3:$B$700&amp;$C$3:$C$700&amp;$D$3:$D$700,0))</f>
        <v>0</v>
      </c>
      <c r="Z292">
        <f t="array" ref="Z292">INDEX(O$3:O$700,MATCH($B292&amp;$C292&amp;"baseline",$B$3:$B$700&amp;$C$3:$C$700&amp;$D$3:$D$700,0))</f>
        <v>9.1101086695815532</v>
      </c>
      <c r="AA292">
        <f t="array" ref="AA292">INDEX(P$3:P$700,MATCH($B292&amp;$C292&amp;"baseline",$B$3:$B$700&amp;$C$3:$C$700&amp;$D$3:$D$700,0))</f>
        <v>6.6319645738278721E-3</v>
      </c>
      <c r="AB292">
        <f t="array" ref="AB292">INDEX(Q$3:Q$700,MATCH($B292&amp;$C292&amp;"baseline",$B$3:$B$700&amp;$C$3:$C$700&amp;$D$3:$D$700,0))</f>
        <v>0</v>
      </c>
      <c r="AC292">
        <f t="shared" si="34"/>
        <v>93.698606153898126</v>
      </c>
      <c r="AD292">
        <f t="shared" si="35"/>
        <v>32.755273030135868</v>
      </c>
      <c r="AE292">
        <f t="shared" si="36"/>
        <v>1.1108540661161719</v>
      </c>
      <c r="AF292">
        <f t="shared" si="37"/>
        <v>36.143682906688703</v>
      </c>
      <c r="AG292">
        <f>(S292+V292+Y292)*constants!$O$2+(R292+T292+U292+W292+X292+Z292+AA292+AB292)*constants!$N$2</f>
        <v>4.3509494351976219</v>
      </c>
      <c r="AH292">
        <f>((S292+V292+Y292)-(H292+K292+N292))*constants!$O$2</f>
        <v>0.530635423088201</v>
      </c>
      <c r="AI292">
        <f>((R292+T292+U292+W292+X292+Z292+AA292+AB292)-(G292+I292+J292+L292+M292+O292+P292+Q292))*constants!$N$2</f>
        <v>0.12552650947112742</v>
      </c>
      <c r="AJ292">
        <f t="shared" si="38"/>
        <v>15.080890787909725</v>
      </c>
      <c r="AK292">
        <f t="shared" si="39"/>
        <v>0.65616193255932842</v>
      </c>
      <c r="AL292">
        <f>COUNTIFS($B:$B,$B292,$AK:$AK,"&lt;"&amp;$AK292)+COUNTIFS($B$2:$B292,$B292,$AK$2:$AK292,$AK292)</f>
        <v>62</v>
      </c>
      <c r="AM292" s="191">
        <f>IF(AK292=0, "NA",IF(((sim_annual_output!F292/E292)/AK292)&lt;0,100,((sim_annual_output!F292/E292)/AK292)))</f>
        <v>113.52576330666675</v>
      </c>
      <c r="AN292">
        <f>(S292+V292)*constants!$F$2+(T292+U292+W292+X292+Y292+Z292+AA292+AB292)*constants!$G$2</f>
        <v>36744.463830284207</v>
      </c>
      <c r="AO292">
        <f>(AD292*constants!$F$2+AE292*constants!$G$2)</f>
        <v>6829.6369099153899</v>
      </c>
      <c r="AP292">
        <f t="shared" si="40"/>
        <v>18.586846011579329</v>
      </c>
    </row>
    <row r="293" spans="1:42">
      <c r="A293">
        <f>sim_annual_output!B293</f>
        <v>16</v>
      </c>
      <c r="B293" t="str">
        <f>sim_annual_output!C293</f>
        <v>Office-Small</v>
      </c>
      <c r="C293" t="str">
        <f>sim_annual_output!D293</f>
        <v>1960-1979</v>
      </c>
      <c r="D293" t="str">
        <f>sim_annual_output!E293</f>
        <v>lights_reduce_70p</v>
      </c>
      <c r="E293" s="45">
        <f t="array" ref="E293">IFERROR(INDEX(baseline!$J$3:$J$201,MATCH($B293&amp;$C293,baseline!$C$3:$C$201&amp;baseline!$D$3:$D$201,0)),"NA")</f>
        <v>584</v>
      </c>
      <c r="F293">
        <f>sim_annual_output!G293</f>
        <v>1211.46221507992</v>
      </c>
      <c r="G293">
        <f>$E293/$F293^2*sim_annual_output!I293</f>
        <v>0.5128719270426888</v>
      </c>
      <c r="H293">
        <f>$E293/$F293^2*sim_annual_output!J293</f>
        <v>65.652027971180047</v>
      </c>
      <c r="I293">
        <f>$E293/$F293^2*sim_annual_output!K293</f>
        <v>1.0279545089433202</v>
      </c>
      <c r="J293">
        <f>$E293/$F293^2*sim_annual_output!L293</f>
        <v>2.8517447667459854</v>
      </c>
      <c r="K293">
        <f>$E293/$F293^2*sim_annual_output!M293</f>
        <v>0</v>
      </c>
      <c r="L293">
        <f>$E293/$F293^2*sim_annual_output!N293</f>
        <v>9.0150505106900223</v>
      </c>
      <c r="M293">
        <f>$E293/$F293^2*sim_annual_output!O293</f>
        <v>3.0838635268299606</v>
      </c>
      <c r="N293">
        <f>$E293/$F293^2*sim_annual_output!P293</f>
        <v>0</v>
      </c>
      <c r="O293">
        <f>$E293/$F293^2*sim_annual_output!Q293</f>
        <v>9.1045820324366975</v>
      </c>
      <c r="P293">
        <f>$E293/$F293^2*sim_annual_output!R293</f>
        <v>6.6319645738278721E-3</v>
      </c>
      <c r="Q293">
        <f>$E293/$F293^2*sim_annual_output!S293</f>
        <v>0</v>
      </c>
      <c r="R293">
        <f t="array" ref="R293">INDEX(G$3:G$700,MATCH($B293&amp;$C293&amp;"baseline",$B$3:$B$700&amp;$C$3:$C$700&amp;$D$3:$D$700,0))</f>
        <v>0.28849045896151243</v>
      </c>
      <c r="S293">
        <f t="array" ref="S293">INDEX(H$3:H$700,MATCH($B293&amp;$C293&amp;"baseline",$B$3:$B$700&amp;$C$3:$C$700&amp;$D$3:$D$700,0))</f>
        <v>64.431746489595724</v>
      </c>
      <c r="T293">
        <f t="array" ref="T293">INDEX(I$3:I$700,MATCH($B293&amp;$C293&amp;"baseline",$B$3:$B$700&amp;$C$3:$C$700&amp;$D$3:$D$700,0))</f>
        <v>1.0489557300937753</v>
      </c>
      <c r="U293">
        <f t="array" ref="U293">INDEX(J$3:J$700,MATCH($B293&amp;$C293&amp;"baseline",$B$3:$B$700&amp;$C$3:$C$700&amp;$D$3:$D$700,0))</f>
        <v>2.850639439317014</v>
      </c>
      <c r="V293">
        <f t="array" ref="V293">INDEX(K$3:K$700,MATCH($B293&amp;$C293&amp;"baseline",$B$3:$B$700&amp;$C$3:$C$700&amp;$D$3:$D$700,0))</f>
        <v>0</v>
      </c>
      <c r="W293">
        <f t="array" ref="W293">INDEX(L$3:L$700,MATCH($B293&amp;$C293&amp;"baseline",$B$3:$B$700&amp;$C$3:$C$700&amp;$D$3:$D$700,0))</f>
        <v>12.878169874944756</v>
      </c>
      <c r="X293">
        <f t="array" ref="X293">INDEX(M$3:M$700,MATCH($B293&amp;$C293&amp;"baseline",$B$3:$B$700&amp;$C$3:$C$700&amp;$D$3:$D$700,0))</f>
        <v>3.0838635268299606</v>
      </c>
      <c r="Y293">
        <f t="array" ref="Y293">INDEX(N$3:N$700,MATCH($B293&amp;$C293&amp;"baseline",$B$3:$B$700&amp;$C$3:$C$700&amp;$D$3:$D$700,0))</f>
        <v>0</v>
      </c>
      <c r="Z293">
        <f t="array" ref="Z293">INDEX(O$3:O$700,MATCH($B293&amp;$C293&amp;"baseline",$B$3:$B$700&amp;$C$3:$C$700&amp;$D$3:$D$700,0))</f>
        <v>9.1101086695815532</v>
      </c>
      <c r="AA293">
        <f t="array" ref="AA293">INDEX(P$3:P$700,MATCH($B293&amp;$C293&amp;"baseline",$B$3:$B$700&amp;$C$3:$C$700&amp;$D$3:$D$700,0))</f>
        <v>6.6319645738278721E-3</v>
      </c>
      <c r="AB293">
        <f t="array" ref="AB293">INDEX(Q$3:Q$700,MATCH($B293&amp;$C293&amp;"baseline",$B$3:$B$700&amp;$C$3:$C$700&amp;$D$3:$D$700,0))</f>
        <v>0</v>
      </c>
      <c r="AC293">
        <f t="shared" si="34"/>
        <v>93.698606153898126</v>
      </c>
      <c r="AD293">
        <f t="shared" si="35"/>
        <v>-1.2202814815843226</v>
      </c>
      <c r="AE293">
        <f t="shared" si="36"/>
        <v>3.6641604270398958</v>
      </c>
      <c r="AF293">
        <f t="shared" si="37"/>
        <v>2.6082340450631141</v>
      </c>
      <c r="AG293">
        <f>(S293+V293+Y293)*constants!$O$2+(R293+T293+U293+W293+X293+Z293+AA293+AB293)*constants!$N$2</f>
        <v>4.3509494351976219</v>
      </c>
      <c r="AH293">
        <f>((S293+V293+Y293)-(H293+K293+N293))*constants!$O$2</f>
        <v>-1.9768560001666026E-2</v>
      </c>
      <c r="AI293">
        <f>((R293+T293+U293+W293+X293+Z293+AA293+AB293)-(G293+I293+J293+L293+M293+O293+P293+Q293))*constants!$N$2</f>
        <v>0.41405012825550824</v>
      </c>
      <c r="AJ293">
        <f t="shared" si="38"/>
        <v>9.06196622429683</v>
      </c>
      <c r="AK293">
        <f t="shared" si="39"/>
        <v>0.3942815682538422</v>
      </c>
      <c r="AL293">
        <f>COUNTIFS($B:$B,$B293,$AK:$AK,"&lt;"&amp;$AK293)+COUNTIFS($B$2:$B293,$B293,$AK$2:$AK293,$AK293)</f>
        <v>55</v>
      </c>
      <c r="AM293" s="191">
        <f>IF(AK293=0, "NA",IF(((sim_annual_output!F293/E293)/AK293)&lt;0,100,((sim_annual_output!F293/E293)/AK293)))</f>
        <v>85.125218871281788</v>
      </c>
      <c r="AN293">
        <f>(S293+V293)*constants!$F$2+(T293+U293+W293+X293+Y293+Z293+AA293+AB293)*constants!$G$2</f>
        <v>36744.463830284207</v>
      </c>
      <c r="AO293">
        <f>(AD293*constants!$F$2+AE293*constants!$G$2)</f>
        <v>2969.3891863211156</v>
      </c>
      <c r="AP293">
        <f t="shared" si="40"/>
        <v>8.0811879580993971</v>
      </c>
    </row>
    <row r="294" spans="1:42">
      <c r="A294">
        <f>sim_annual_output!B294</f>
        <v>16</v>
      </c>
      <c r="B294" t="str">
        <f>sim_annual_output!C294</f>
        <v>Office-Small</v>
      </c>
      <c r="C294" t="str">
        <f>sim_annual_output!D294</f>
        <v>1960-1979</v>
      </c>
      <c r="D294" t="str">
        <f>sim_annual_output!E294</f>
        <v>load_reduce</v>
      </c>
      <c r="E294" s="45">
        <f t="array" ref="E294">IFERROR(INDEX(baseline!$J$3:$J$201,MATCH($B294&amp;$C294,baseline!$C$3:$C$201&amp;baseline!$D$3:$D$201,0)),"NA")</f>
        <v>584</v>
      </c>
      <c r="F294">
        <f>sim_annual_output!G294</f>
        <v>1211.46221507992</v>
      </c>
      <c r="G294">
        <f>$E294/$F294^2*sim_annual_output!I294</f>
        <v>0.55487436934359857</v>
      </c>
      <c r="H294">
        <f>$E294/$F294^2*sim_annual_output!J294</f>
        <v>31.67647345945986</v>
      </c>
      <c r="I294">
        <f>$E294/$F294^2*sim_annual_output!K294</f>
        <v>1.3606580650636853</v>
      </c>
      <c r="J294">
        <f>$E294/$F294^2*sim_annual_output!L294</f>
        <v>2.7876357758656489</v>
      </c>
      <c r="K294">
        <f>$E294/$F294^2*sim_annual_output!M294</f>
        <v>0</v>
      </c>
      <c r="L294">
        <f>$E294/$F294^2*sim_annual_output!N294</f>
        <v>12.878169874944756</v>
      </c>
      <c r="M294">
        <f>$E294/$F294^2*sim_annual_output!O294</f>
        <v>3.0838635268299606</v>
      </c>
      <c r="N294">
        <f>$E294/$F294^2*sim_annual_output!P294</f>
        <v>0</v>
      </c>
      <c r="O294">
        <f>$E294/$F294^2*sim_annual_output!Q294</f>
        <v>7.4841720215647536</v>
      </c>
      <c r="P294">
        <f>$E294/$F294^2*sim_annual_output!R294</f>
        <v>6.6319645738278721E-3</v>
      </c>
      <c r="Q294">
        <f>$E294/$F294^2*sim_annual_output!S294</f>
        <v>0</v>
      </c>
      <c r="R294">
        <f t="array" ref="R294">INDEX(G$3:G$700,MATCH($B294&amp;$C294&amp;"baseline",$B$3:$B$700&amp;$C$3:$C$700&amp;$D$3:$D$700,0))</f>
        <v>0.28849045896151243</v>
      </c>
      <c r="S294">
        <f t="array" ref="S294">INDEX(H$3:H$700,MATCH($B294&amp;$C294&amp;"baseline",$B$3:$B$700&amp;$C$3:$C$700&amp;$D$3:$D$700,0))</f>
        <v>64.431746489595724</v>
      </c>
      <c r="T294">
        <f t="array" ref="T294">INDEX(I$3:I$700,MATCH($B294&amp;$C294&amp;"baseline",$B$3:$B$700&amp;$C$3:$C$700&amp;$D$3:$D$700,0))</f>
        <v>1.0489557300937753</v>
      </c>
      <c r="U294">
        <f t="array" ref="U294">INDEX(J$3:J$700,MATCH($B294&amp;$C294&amp;"baseline",$B$3:$B$700&amp;$C$3:$C$700&amp;$D$3:$D$700,0))</f>
        <v>2.850639439317014</v>
      </c>
      <c r="V294">
        <f t="array" ref="V294">INDEX(K$3:K$700,MATCH($B294&amp;$C294&amp;"baseline",$B$3:$B$700&amp;$C$3:$C$700&amp;$D$3:$D$700,0))</f>
        <v>0</v>
      </c>
      <c r="W294">
        <f t="array" ref="W294">INDEX(L$3:L$700,MATCH($B294&amp;$C294&amp;"baseline",$B$3:$B$700&amp;$C$3:$C$700&amp;$D$3:$D$700,0))</f>
        <v>12.878169874944756</v>
      </c>
      <c r="X294">
        <f t="array" ref="X294">INDEX(M$3:M$700,MATCH($B294&amp;$C294&amp;"baseline",$B$3:$B$700&amp;$C$3:$C$700&amp;$D$3:$D$700,0))</f>
        <v>3.0838635268299606</v>
      </c>
      <c r="Y294">
        <f t="array" ref="Y294">INDEX(N$3:N$700,MATCH($B294&amp;$C294&amp;"baseline",$B$3:$B$700&amp;$C$3:$C$700&amp;$D$3:$D$700,0))</f>
        <v>0</v>
      </c>
      <c r="Z294">
        <f t="array" ref="Z294">INDEX(O$3:O$700,MATCH($B294&amp;$C294&amp;"baseline",$B$3:$B$700&amp;$C$3:$C$700&amp;$D$3:$D$700,0))</f>
        <v>9.1101086695815532</v>
      </c>
      <c r="AA294">
        <f t="array" ref="AA294">INDEX(P$3:P$700,MATCH($B294&amp;$C294&amp;"baseline",$B$3:$B$700&amp;$C$3:$C$700&amp;$D$3:$D$700,0))</f>
        <v>6.6319645738278721E-3</v>
      </c>
      <c r="AB294">
        <f t="array" ref="AB294">INDEX(Q$3:Q$700,MATCH($B294&amp;$C294&amp;"baseline",$B$3:$B$700&amp;$C$3:$C$700&amp;$D$3:$D$700,0))</f>
        <v>0</v>
      </c>
      <c r="AC294">
        <f t="shared" si="34"/>
        <v>93.698606153898126</v>
      </c>
      <c r="AD294">
        <f t="shared" si="35"/>
        <v>32.755273030135868</v>
      </c>
      <c r="AE294">
        <f t="shared" si="36"/>
        <v>1.1108540661161719</v>
      </c>
      <c r="AF294">
        <f t="shared" si="37"/>
        <v>36.143682906688703</v>
      </c>
      <c r="AG294">
        <f>(S294+V294+Y294)*constants!$O$2+(R294+T294+U294+W294+X294+Z294+AA294+AB294)*constants!$N$2</f>
        <v>4.3509494351976219</v>
      </c>
      <c r="AH294">
        <f>((S294+V294+Y294)-(H294+K294+N294))*constants!$O$2</f>
        <v>0.530635423088201</v>
      </c>
      <c r="AI294">
        <f>((R294+T294+U294+W294+X294+Z294+AA294+AB294)-(G294+I294+J294+L294+M294+O294+P294+Q294))*constants!$N$2</f>
        <v>0.12552650947112742</v>
      </c>
      <c r="AJ294">
        <f t="shared" si="38"/>
        <v>15.080890787909725</v>
      </c>
      <c r="AK294">
        <f t="shared" si="39"/>
        <v>0.65616193255932842</v>
      </c>
      <c r="AL294">
        <f>COUNTIFS($B:$B,$B294,$AK:$AK,"&lt;"&amp;$AK294)+COUNTIFS($B$2:$B294,$B294,$AK$2:$AK294,$AK294)</f>
        <v>63</v>
      </c>
      <c r="AM294" s="191">
        <f>IF(AK294=0, "NA",IF(((sim_annual_output!F294/E294)/AK294)&lt;0,100,((sim_annual_output!F294/E294)/AK294)))</f>
        <v>115.95043311521802</v>
      </c>
      <c r="AN294">
        <f>(S294+V294)*constants!$F$2+(T294+U294+W294+X294+Y294+Z294+AA294+AB294)*constants!$G$2</f>
        <v>36744.463830284207</v>
      </c>
      <c r="AO294">
        <f>(AD294*constants!$F$2+AE294*constants!$G$2)</f>
        <v>6829.6369099153899</v>
      </c>
      <c r="AP294">
        <f t="shared" si="40"/>
        <v>18.586846011579329</v>
      </c>
    </row>
    <row r="295" spans="1:42">
      <c r="A295">
        <f>sim_annual_output!B295</f>
        <v>16</v>
      </c>
      <c r="B295" t="str">
        <f>sim_annual_output!C295</f>
        <v>Office-Small</v>
      </c>
      <c r="C295" t="str">
        <f>sim_annual_output!D295</f>
        <v>1960-1979</v>
      </c>
      <c r="D295" t="str">
        <f>sim_annual_output!E295</f>
        <v>occupancy_setback</v>
      </c>
      <c r="E295" s="45">
        <f t="array" ref="E295">IFERROR(INDEX(baseline!$J$3:$J$201,MATCH($B295&amp;$C295,baseline!$C$3:$C$201&amp;baseline!$D$3:$D$201,0)),"NA")</f>
        <v>584</v>
      </c>
      <c r="F295">
        <f>sim_annual_output!G295</f>
        <v>1211.46221507992</v>
      </c>
      <c r="G295">
        <f>$E295/$F295^2*sim_annual_output!I295</f>
        <v>0.57698091792302486</v>
      </c>
      <c r="H295">
        <f>$E295/$F295^2*sim_annual_output!J295</f>
        <v>53.829445790902895</v>
      </c>
      <c r="I295">
        <f>$E295/$F295^2*sim_annual_output!K295</f>
        <v>1.0998007918264554</v>
      </c>
      <c r="J295">
        <f>$E295/$F295^2*sim_annual_output!L295</f>
        <v>2.858376731319813</v>
      </c>
      <c r="K295">
        <f>$E295/$F295^2*sim_annual_output!M295</f>
        <v>0</v>
      </c>
      <c r="L295">
        <f>$E295/$F295^2*sim_annual_output!N295</f>
        <v>12.878169874944756</v>
      </c>
      <c r="M295">
        <f>$E295/$F295^2*sim_annual_output!O295</f>
        <v>3.0838635268299606</v>
      </c>
      <c r="N295">
        <f>$E295/$F295^2*sim_annual_output!P295</f>
        <v>0</v>
      </c>
      <c r="O295">
        <f>$E295/$F295^2*sim_annual_output!Q295</f>
        <v>10.316020894589256</v>
      </c>
      <c r="P295">
        <f>$E295/$F295^2*sim_annual_output!R295</f>
        <v>6.6319645738278721E-3</v>
      </c>
      <c r="Q295">
        <f>$E295/$F295^2*sim_annual_output!S295</f>
        <v>0</v>
      </c>
      <c r="R295">
        <f t="array" ref="R295">INDEX(G$3:G$700,MATCH($B295&amp;$C295&amp;"baseline",$B$3:$B$700&amp;$C$3:$C$700&amp;$D$3:$D$700,0))</f>
        <v>0.28849045896151243</v>
      </c>
      <c r="S295">
        <f t="array" ref="S295">INDEX(H$3:H$700,MATCH($B295&amp;$C295&amp;"baseline",$B$3:$B$700&amp;$C$3:$C$700&amp;$D$3:$D$700,0))</f>
        <v>64.431746489595724</v>
      </c>
      <c r="T295">
        <f t="array" ref="T295">INDEX(I$3:I$700,MATCH($B295&amp;$C295&amp;"baseline",$B$3:$B$700&amp;$C$3:$C$700&amp;$D$3:$D$700,0))</f>
        <v>1.0489557300937753</v>
      </c>
      <c r="U295">
        <f t="array" ref="U295">INDEX(J$3:J$700,MATCH($B295&amp;$C295&amp;"baseline",$B$3:$B$700&amp;$C$3:$C$700&amp;$D$3:$D$700,0))</f>
        <v>2.850639439317014</v>
      </c>
      <c r="V295">
        <f t="array" ref="V295">INDEX(K$3:K$700,MATCH($B295&amp;$C295&amp;"baseline",$B$3:$B$700&amp;$C$3:$C$700&amp;$D$3:$D$700,0))</f>
        <v>0</v>
      </c>
      <c r="W295">
        <f t="array" ref="W295">INDEX(L$3:L$700,MATCH($B295&amp;$C295&amp;"baseline",$B$3:$B$700&amp;$C$3:$C$700&amp;$D$3:$D$700,0))</f>
        <v>12.878169874944756</v>
      </c>
      <c r="X295">
        <f t="array" ref="X295">INDEX(M$3:M$700,MATCH($B295&amp;$C295&amp;"baseline",$B$3:$B$700&amp;$C$3:$C$700&amp;$D$3:$D$700,0))</f>
        <v>3.0838635268299606</v>
      </c>
      <c r="Y295">
        <f t="array" ref="Y295">INDEX(N$3:N$700,MATCH($B295&amp;$C295&amp;"baseline",$B$3:$B$700&amp;$C$3:$C$700&amp;$D$3:$D$700,0))</f>
        <v>0</v>
      </c>
      <c r="Z295">
        <f t="array" ref="Z295">INDEX(O$3:O$700,MATCH($B295&amp;$C295&amp;"baseline",$B$3:$B$700&amp;$C$3:$C$700&amp;$D$3:$D$700,0))</f>
        <v>9.1101086695815532</v>
      </c>
      <c r="AA295">
        <f t="array" ref="AA295">INDEX(P$3:P$700,MATCH($B295&amp;$C295&amp;"baseline",$B$3:$B$700&amp;$C$3:$C$700&amp;$D$3:$D$700,0))</f>
        <v>6.6319645738278721E-3</v>
      </c>
      <c r="AB295">
        <f t="array" ref="AB295">INDEX(Q$3:Q$700,MATCH($B295&amp;$C295&amp;"baseline",$B$3:$B$700&amp;$C$3:$C$700&amp;$D$3:$D$700,0))</f>
        <v>0</v>
      </c>
      <c r="AC295">
        <f t="shared" si="34"/>
        <v>93.698606153898126</v>
      </c>
      <c r="AD295">
        <f t="shared" si="35"/>
        <v>10.602300698692829</v>
      </c>
      <c r="AE295">
        <f t="shared" si="36"/>
        <v>-1.5529850377046941</v>
      </c>
      <c r="AF295">
        <f t="shared" si="37"/>
        <v>9.6578978412174159</v>
      </c>
      <c r="AG295">
        <f>(S295+V295+Y295)*constants!$O$2+(R295+T295+U295+W295+X295+Z295+AA295+AB295)*constants!$N$2</f>
        <v>4.3509494351976219</v>
      </c>
      <c r="AH295">
        <f>((S295+V295+Y295)-(H295+K295+N295))*constants!$O$2</f>
        <v>0.17175727131882382</v>
      </c>
      <c r="AI295">
        <f>((R295+T295+U295+W295+X295+Z295+AA295+AB295)-(G295+I295+J295+L295+M295+O295+P295+Q295))*constants!$N$2</f>
        <v>-0.17548730926063044</v>
      </c>
      <c r="AJ295">
        <f t="shared" si="38"/>
        <v>-8.5729287305247773E-2</v>
      </c>
      <c r="AK295">
        <f t="shared" si="39"/>
        <v>-3.7300379418066243E-3</v>
      </c>
      <c r="AL295">
        <f>COUNTIFS($B:$B,$B295,$AK:$AK,"&lt;"&amp;$AK295)+COUNTIFS($B$2:$B295,$B295,$AK$2:$AK295,$AK295)</f>
        <v>38</v>
      </c>
      <c r="AM295" s="191">
        <f>IF(AK295=0, "NA",IF(((sim_annual_output!F295/E295)/AK295)&lt;0,100,((sim_annual_output!F295/E295)/AK295)))</f>
        <v>100</v>
      </c>
      <c r="AN295">
        <f>(S295+V295)*constants!$F$2+(T295+U295+W295+X295+Y295+Z295+AA295+AB295)*constants!$G$2</f>
        <v>36744.463830284207</v>
      </c>
      <c r="AO295">
        <f>(AD295*constants!$F$2+AE295*constants!$G$2)</f>
        <v>546.71484226293251</v>
      </c>
      <c r="AP295">
        <f t="shared" si="40"/>
        <v>1.48788357557238</v>
      </c>
    </row>
    <row r="296" spans="1:42">
      <c r="A296">
        <f>sim_annual_output!B296</f>
        <v>16</v>
      </c>
      <c r="B296" t="str">
        <f>sim_annual_output!C296</f>
        <v>Office-Small</v>
      </c>
      <c r="C296" t="str">
        <f>sim_annual_output!D296</f>
        <v>1960-1979</v>
      </c>
      <c r="D296" t="str">
        <f>sim_annual_output!E296</f>
        <v>payback_less_than_20</v>
      </c>
      <c r="E296" s="45">
        <f t="array" ref="E296">IFERROR(INDEX(baseline!$J$3:$J$201,MATCH($B296&amp;$C296,baseline!$C$3:$C$201&amp;baseline!$D$3:$D$201,0)),"NA")</f>
        <v>584</v>
      </c>
      <c r="F296">
        <f>sim_annual_output!G296</f>
        <v>1211.46221507992</v>
      </c>
      <c r="G296">
        <f>$E296/$F296^2*sim_annual_output!I296</f>
        <v>3.9570721957172972</v>
      </c>
      <c r="H296">
        <f>$E296/$F296^2*sim_annual_output!J296</f>
        <v>22.892436381424844</v>
      </c>
      <c r="I296">
        <f>$E296/$F296^2*sim_annual_output!K296</f>
        <v>2.5068826089069356</v>
      </c>
      <c r="J296">
        <f>$E296/$F296^2*sim_annual_output!L296</f>
        <v>2.8086369970161043</v>
      </c>
      <c r="K296">
        <f>$E296/$F296^2*sim_annual_output!M296</f>
        <v>0</v>
      </c>
      <c r="L296">
        <f>$E296/$F296^2*sim_annual_output!N296</f>
        <v>9.0150505106900223</v>
      </c>
      <c r="M296">
        <f>$E296/$F296^2*sim_annual_output!O296</f>
        <v>3.0838635268299606</v>
      </c>
      <c r="N296">
        <f>$E296/$F296^2*sim_annual_output!P296</f>
        <v>0</v>
      </c>
      <c r="O296">
        <f>$E296/$F296^2*sim_annual_output!Q296</f>
        <v>6.5402223972232534</v>
      </c>
      <c r="P296">
        <f>$E296/$F296^2*sim_annual_output!R296</f>
        <v>4.4213097158852478E-3</v>
      </c>
      <c r="Q296">
        <f>$E296/$F296^2*sim_annual_output!S296</f>
        <v>0</v>
      </c>
      <c r="R296">
        <f t="array" ref="R296">INDEX(G$3:G$700,MATCH($B296&amp;$C296&amp;"baseline",$B$3:$B$700&amp;$C$3:$C$700&amp;$D$3:$D$700,0))</f>
        <v>0.28849045896151243</v>
      </c>
      <c r="S296">
        <f t="array" ref="S296">INDEX(H$3:H$700,MATCH($B296&amp;$C296&amp;"baseline",$B$3:$B$700&amp;$C$3:$C$700&amp;$D$3:$D$700,0))</f>
        <v>64.431746489595724</v>
      </c>
      <c r="T296">
        <f t="array" ref="T296">INDEX(I$3:I$700,MATCH($B296&amp;$C296&amp;"baseline",$B$3:$B$700&amp;$C$3:$C$700&amp;$D$3:$D$700,0))</f>
        <v>1.0489557300937753</v>
      </c>
      <c r="U296">
        <f t="array" ref="U296">INDEX(J$3:J$700,MATCH($B296&amp;$C296&amp;"baseline",$B$3:$B$700&amp;$C$3:$C$700&amp;$D$3:$D$700,0))</f>
        <v>2.850639439317014</v>
      </c>
      <c r="V296">
        <f t="array" ref="V296">INDEX(K$3:K$700,MATCH($B296&amp;$C296&amp;"baseline",$B$3:$B$700&amp;$C$3:$C$700&amp;$D$3:$D$700,0))</f>
        <v>0</v>
      </c>
      <c r="W296">
        <f t="array" ref="W296">INDEX(L$3:L$700,MATCH($B296&amp;$C296&amp;"baseline",$B$3:$B$700&amp;$C$3:$C$700&amp;$D$3:$D$700,0))</f>
        <v>12.878169874944756</v>
      </c>
      <c r="X296">
        <f t="array" ref="X296">INDEX(M$3:M$700,MATCH($B296&amp;$C296&amp;"baseline",$B$3:$B$700&amp;$C$3:$C$700&amp;$D$3:$D$700,0))</f>
        <v>3.0838635268299606</v>
      </c>
      <c r="Y296">
        <f t="array" ref="Y296">INDEX(N$3:N$700,MATCH($B296&amp;$C296&amp;"baseline",$B$3:$B$700&amp;$C$3:$C$700&amp;$D$3:$D$700,0))</f>
        <v>0</v>
      </c>
      <c r="Z296">
        <f t="array" ref="Z296">INDEX(O$3:O$700,MATCH($B296&amp;$C296&amp;"baseline",$B$3:$B$700&amp;$C$3:$C$700&amp;$D$3:$D$700,0))</f>
        <v>9.1101086695815532</v>
      </c>
      <c r="AA296">
        <f t="array" ref="AA296">INDEX(P$3:P$700,MATCH($B296&amp;$C296&amp;"baseline",$B$3:$B$700&amp;$C$3:$C$700&amp;$D$3:$D$700,0))</f>
        <v>6.6319645738278721E-3</v>
      </c>
      <c r="AB296">
        <f t="array" ref="AB296">INDEX(Q$3:Q$700,MATCH($B296&amp;$C296&amp;"baseline",$B$3:$B$700&amp;$C$3:$C$700&amp;$D$3:$D$700,0))</f>
        <v>0</v>
      </c>
      <c r="AC296">
        <f t="shared" si="34"/>
        <v>93.698606153898126</v>
      </c>
      <c r="AD296">
        <f t="shared" si="35"/>
        <v>41.539310108170881</v>
      </c>
      <c r="AE296">
        <f t="shared" si="36"/>
        <v>1.3507101182029402</v>
      </c>
      <c r="AF296">
        <f t="shared" si="37"/>
        <v>45.774448507726788</v>
      </c>
      <c r="AG296">
        <f>(S296+V296+Y296)*constants!$O$2+(R296+T296+U296+W296+X296+Z296+AA296+AB296)*constants!$N$2</f>
        <v>4.3509494351976219</v>
      </c>
      <c r="AH296">
        <f>((S296+V296+Y296)-(H296+K296+N296))*constants!$O$2</f>
        <v>0.67293682375236819</v>
      </c>
      <c r="AI296">
        <f>((R296+T296+U296+W296+X296+Z296+AA296+AB296)-(G296+I296+J296+L296+M296+O296+P296+Q296))*constants!$N$2</f>
        <v>0.15263024335693223</v>
      </c>
      <c r="AJ296">
        <f t="shared" si="38"/>
        <v>18.974411893430858</v>
      </c>
      <c r="AK296">
        <f t="shared" si="39"/>
        <v>0.82556706710930039</v>
      </c>
      <c r="AL296">
        <f>COUNTIFS($B:$B,$B296,$AK:$AK,"&lt;"&amp;$AK296)+COUNTIFS($B$2:$B296,$B296,$AK$2:$AK296,$AK296)</f>
        <v>64</v>
      </c>
      <c r="AM296" s="191">
        <f>IF(AK296=0, "NA",IF(((sim_annual_output!F296/E296)/AK296)&lt;0,100,((sim_annual_output!F296/E296)/AK296)))</f>
        <v>229.77471181804347</v>
      </c>
      <c r="AN296">
        <f>(S296+V296)*constants!$F$2+(T296+U296+W296+X296+Y296+Z296+AA296+AB296)*constants!$G$2</f>
        <v>36744.463830284207</v>
      </c>
      <c r="AO296">
        <f>(AD296*constants!$F$2+AE296*constants!$G$2)</f>
        <v>8610.6543121991454</v>
      </c>
      <c r="AP296">
        <f t="shared" si="40"/>
        <v>23.433882045388234</v>
      </c>
    </row>
    <row r="297" spans="1:42">
      <c r="A297">
        <f>sim_annual_output!B297</f>
        <v>16</v>
      </c>
      <c r="B297" t="str">
        <f>sim_annual_output!C297</f>
        <v>Office-Small</v>
      </c>
      <c r="C297" t="str">
        <f>sim_annual_output!D297</f>
        <v>1960-1979</v>
      </c>
      <c r="D297" t="str">
        <f>sim_annual_output!E297</f>
        <v>plug_loads_90_percent</v>
      </c>
      <c r="E297" s="45">
        <f t="array" ref="E297">IFERROR(INDEX(baseline!$J$3:$J$201,MATCH($B297&amp;$C297,baseline!$C$3:$C$201&amp;baseline!$D$3:$D$201,0)),"NA")</f>
        <v>584</v>
      </c>
      <c r="F297">
        <f>sim_annual_output!G297</f>
        <v>1211.46221507992</v>
      </c>
      <c r="G297">
        <f>$E297/$F297^2*sim_annual_output!I297</f>
        <v>0.64882720080616019</v>
      </c>
      <c r="H297">
        <f>$E297/$F297^2*sim_annual_output!J297</f>
        <v>62.689750461536931</v>
      </c>
      <c r="I297">
        <f>$E297/$F297^2*sim_annual_output!K297</f>
        <v>1.3717113393533982</v>
      </c>
      <c r="J297">
        <f>$E297/$F297^2*sim_annual_output!L297</f>
        <v>2.8495341118880422</v>
      </c>
      <c r="K297">
        <f>$E297/$F297^2*sim_annual_output!M297</f>
        <v>0</v>
      </c>
      <c r="L297">
        <f>$E297/$F297^2*sim_annual_output!N297</f>
        <v>12.878169874944756</v>
      </c>
      <c r="M297">
        <f>$E297/$F297^2*sim_annual_output!O297</f>
        <v>3.0838635268299606</v>
      </c>
      <c r="N297">
        <f>$E297/$F297^2*sim_annual_output!P297</f>
        <v>0</v>
      </c>
      <c r="O297">
        <f>$E297/$F297^2*sim_annual_output!Q297</f>
        <v>9.0935287581469844</v>
      </c>
      <c r="P297">
        <f>$E297/$F297^2*sim_annual_output!R297</f>
        <v>6.6319645738278721E-3</v>
      </c>
      <c r="Q297">
        <f>$E297/$F297^2*sim_annual_output!S297</f>
        <v>0</v>
      </c>
      <c r="R297">
        <f t="array" ref="R297">INDEX(G$3:G$700,MATCH($B297&amp;$C297&amp;"baseline",$B$3:$B$700&amp;$C$3:$C$700&amp;$D$3:$D$700,0))</f>
        <v>0.28849045896151243</v>
      </c>
      <c r="S297">
        <f t="array" ref="S297">INDEX(H$3:H$700,MATCH($B297&amp;$C297&amp;"baseline",$B$3:$B$700&amp;$C$3:$C$700&amp;$D$3:$D$700,0))</f>
        <v>64.431746489595724</v>
      </c>
      <c r="T297">
        <f t="array" ref="T297">INDEX(I$3:I$700,MATCH($B297&amp;$C297&amp;"baseline",$B$3:$B$700&amp;$C$3:$C$700&amp;$D$3:$D$700,0))</f>
        <v>1.0489557300937753</v>
      </c>
      <c r="U297">
        <f t="array" ref="U297">INDEX(J$3:J$700,MATCH($B297&amp;$C297&amp;"baseline",$B$3:$B$700&amp;$C$3:$C$700&amp;$D$3:$D$700,0))</f>
        <v>2.850639439317014</v>
      </c>
      <c r="V297">
        <f t="array" ref="V297">INDEX(K$3:K$700,MATCH($B297&amp;$C297&amp;"baseline",$B$3:$B$700&amp;$C$3:$C$700&amp;$D$3:$D$700,0))</f>
        <v>0</v>
      </c>
      <c r="W297">
        <f t="array" ref="W297">INDEX(L$3:L$700,MATCH($B297&amp;$C297&amp;"baseline",$B$3:$B$700&amp;$C$3:$C$700&amp;$D$3:$D$700,0))</f>
        <v>12.878169874944756</v>
      </c>
      <c r="X297">
        <f t="array" ref="X297">INDEX(M$3:M$700,MATCH($B297&amp;$C297&amp;"baseline",$B$3:$B$700&amp;$C$3:$C$700&amp;$D$3:$D$700,0))</f>
        <v>3.0838635268299606</v>
      </c>
      <c r="Y297">
        <f t="array" ref="Y297">INDEX(N$3:N$700,MATCH($B297&amp;$C297&amp;"baseline",$B$3:$B$700&amp;$C$3:$C$700&amp;$D$3:$D$700,0))</f>
        <v>0</v>
      </c>
      <c r="Z297">
        <f t="array" ref="Z297">INDEX(O$3:O$700,MATCH($B297&amp;$C297&amp;"baseline",$B$3:$B$700&amp;$C$3:$C$700&amp;$D$3:$D$700,0))</f>
        <v>9.1101086695815532</v>
      </c>
      <c r="AA297">
        <f t="array" ref="AA297">INDEX(P$3:P$700,MATCH($B297&amp;$C297&amp;"baseline",$B$3:$B$700&amp;$C$3:$C$700&amp;$D$3:$D$700,0))</f>
        <v>6.6319645738278721E-3</v>
      </c>
      <c r="AB297">
        <f t="array" ref="AB297">INDEX(Q$3:Q$700,MATCH($B297&amp;$C297&amp;"baseline",$B$3:$B$700&amp;$C$3:$C$700&amp;$D$3:$D$700,0))</f>
        <v>0</v>
      </c>
      <c r="AC297">
        <f t="shared" si="34"/>
        <v>93.698606153898126</v>
      </c>
      <c r="AD297">
        <f t="shared" si="35"/>
        <v>1.7419960280587929</v>
      </c>
      <c r="AE297">
        <f t="shared" si="36"/>
        <v>-0.66540711224072879</v>
      </c>
      <c r="AF297">
        <f t="shared" si="37"/>
        <v>1.1489913884629062</v>
      </c>
      <c r="AG297">
        <f>(S297+V297+Y297)*constants!$O$2+(R297+T297+U297+W297+X297+Z297+AA297+AB297)*constants!$N$2</f>
        <v>4.3509494351976219</v>
      </c>
      <c r="AH297">
        <f>((S297+V297+Y297)-(H297+K297+N297))*constants!$O$2</f>
        <v>2.8220335654552443E-2</v>
      </c>
      <c r="AI297">
        <f>((R297+T297+U297+W297+X297+Z297+AA297+AB297)-(G297+I297+J297+L297+M297+O297+P297+Q297))*constants!$N$2</f>
        <v>-7.5191003683202362E-2</v>
      </c>
      <c r="AJ297">
        <f t="shared" si="38"/>
        <v>-1.0795498483313561</v>
      </c>
      <c r="AK297">
        <f t="shared" si="39"/>
        <v>-4.6970668028649923E-2</v>
      </c>
      <c r="AL297">
        <f>COUNTIFS($B:$B,$B297,$AK:$AK,"&lt;"&amp;$AK297)+COUNTIFS($B$2:$B297,$B297,$AK$2:$AK297,$AK297)</f>
        <v>27</v>
      </c>
      <c r="AM297" s="191">
        <f>IF(AK297=0, "NA",IF(((sim_annual_output!F297/E297)/AK297)&lt;0,100,((sim_annual_output!F297/E297)/AK297)))</f>
        <v>100</v>
      </c>
      <c r="AN297">
        <f>(S297+V297)*constants!$F$2+(T297+U297+W297+X297+Y297+Z297+AA297+AB297)*constants!$G$2</f>
        <v>36744.463830284207</v>
      </c>
      <c r="AO297">
        <f>(AD297*constants!$F$2+AE297*constants!$G$2)</f>
        <v>-267.08689862691017</v>
      </c>
      <c r="AP297">
        <f t="shared" si="40"/>
        <v>-0.72687657074147149</v>
      </c>
    </row>
    <row r="298" spans="1:42">
      <c r="A298">
        <f>sim_annual_output!B298</f>
        <v>16</v>
      </c>
      <c r="B298" t="str">
        <f>sim_annual_output!C298</f>
        <v>Office-Small</v>
      </c>
      <c r="C298" t="str">
        <f>sim_annual_output!D298</f>
        <v>1960-1979</v>
      </c>
      <c r="D298" t="str">
        <f>sim_annual_output!E298</f>
        <v>pump_fan_eff_</v>
      </c>
      <c r="E298" s="45">
        <f t="array" ref="E298">IFERROR(INDEX(baseline!$J$3:$J$201,MATCH($B298&amp;$C298,baseline!$C$3:$C$201&amp;baseline!$D$3:$D$201,0)),"NA")</f>
        <v>584</v>
      </c>
      <c r="F298">
        <f>sim_annual_output!G298</f>
        <v>1211.46221507992</v>
      </c>
      <c r="G298">
        <f>$E298/$F298^2*sim_annual_output!I298</f>
        <v>0.65877514766690204</v>
      </c>
      <c r="H298">
        <f>$E298/$F298^2*sim_annual_output!J298</f>
        <v>62.603534922077174</v>
      </c>
      <c r="I298">
        <f>$E298/$F298^2*sim_annual_output!K298</f>
        <v>1.4092924719384228</v>
      </c>
      <c r="J298">
        <f>$E298/$F298^2*sim_annual_output!L298</f>
        <v>2.850639439317014</v>
      </c>
      <c r="K298">
        <f>$E298/$F298^2*sim_annual_output!M298</f>
        <v>0</v>
      </c>
      <c r="L298">
        <f>$E298/$F298^2*sim_annual_output!N298</f>
        <v>12.878169874944756</v>
      </c>
      <c r="M298">
        <f>$E298/$F298^2*sim_annual_output!O298</f>
        <v>3.0838635268299606</v>
      </c>
      <c r="N298">
        <f>$E298/$F298^2*sim_annual_output!P298</f>
        <v>0</v>
      </c>
      <c r="O298">
        <f>$E298/$F298^2*sim_annual_output!Q298</f>
        <v>9.0835808112862431</v>
      </c>
      <c r="P298">
        <f>$E298/$F298^2*sim_annual_output!R298</f>
        <v>4.4213097158852478E-3</v>
      </c>
      <c r="Q298">
        <f>$E298/$F298^2*sim_annual_output!S298</f>
        <v>0</v>
      </c>
      <c r="R298">
        <f t="array" ref="R298">INDEX(G$3:G$700,MATCH($B298&amp;$C298&amp;"baseline",$B$3:$B$700&amp;$C$3:$C$700&amp;$D$3:$D$700,0))</f>
        <v>0.28849045896151243</v>
      </c>
      <c r="S298">
        <f t="array" ref="S298">INDEX(H$3:H$700,MATCH($B298&amp;$C298&amp;"baseline",$B$3:$B$700&amp;$C$3:$C$700&amp;$D$3:$D$700,0))</f>
        <v>64.431746489595724</v>
      </c>
      <c r="T298">
        <f t="array" ref="T298">INDEX(I$3:I$700,MATCH($B298&amp;$C298&amp;"baseline",$B$3:$B$700&amp;$C$3:$C$700&amp;$D$3:$D$700,0))</f>
        <v>1.0489557300937753</v>
      </c>
      <c r="U298">
        <f t="array" ref="U298">INDEX(J$3:J$700,MATCH($B298&amp;$C298&amp;"baseline",$B$3:$B$700&amp;$C$3:$C$700&amp;$D$3:$D$700,0))</f>
        <v>2.850639439317014</v>
      </c>
      <c r="V298">
        <f t="array" ref="V298">INDEX(K$3:K$700,MATCH($B298&amp;$C298&amp;"baseline",$B$3:$B$700&amp;$C$3:$C$700&amp;$D$3:$D$700,0))</f>
        <v>0</v>
      </c>
      <c r="W298">
        <f t="array" ref="W298">INDEX(L$3:L$700,MATCH($B298&amp;$C298&amp;"baseline",$B$3:$B$700&amp;$C$3:$C$700&amp;$D$3:$D$700,0))</f>
        <v>12.878169874944756</v>
      </c>
      <c r="X298">
        <f t="array" ref="X298">INDEX(M$3:M$700,MATCH($B298&amp;$C298&amp;"baseline",$B$3:$B$700&amp;$C$3:$C$700&amp;$D$3:$D$700,0))</f>
        <v>3.0838635268299606</v>
      </c>
      <c r="Y298">
        <f t="array" ref="Y298">INDEX(N$3:N$700,MATCH($B298&amp;$C298&amp;"baseline",$B$3:$B$700&amp;$C$3:$C$700&amp;$D$3:$D$700,0))</f>
        <v>0</v>
      </c>
      <c r="Z298">
        <f t="array" ref="Z298">INDEX(O$3:O$700,MATCH($B298&amp;$C298&amp;"baseline",$B$3:$B$700&amp;$C$3:$C$700&amp;$D$3:$D$700,0))</f>
        <v>9.1101086695815532</v>
      </c>
      <c r="AA298">
        <f t="array" ref="AA298">INDEX(P$3:P$700,MATCH($B298&amp;$C298&amp;"baseline",$B$3:$B$700&amp;$C$3:$C$700&amp;$D$3:$D$700,0))</f>
        <v>6.6319645738278721E-3</v>
      </c>
      <c r="AB298">
        <f t="array" ref="AB298">INDEX(Q$3:Q$700,MATCH($B298&amp;$C298&amp;"baseline",$B$3:$B$700&amp;$C$3:$C$700&amp;$D$3:$D$700,0))</f>
        <v>0</v>
      </c>
      <c r="AC298">
        <f t="shared" si="34"/>
        <v>93.698606153898126</v>
      </c>
      <c r="AD298">
        <f t="shared" si="35"/>
        <v>1.8282115675185509</v>
      </c>
      <c r="AE298">
        <f t="shared" si="36"/>
        <v>-0.70188291739678377</v>
      </c>
      <c r="AF298">
        <f t="shared" si="37"/>
        <v>1.2020762062050254</v>
      </c>
      <c r="AG298">
        <f>(S298+V298+Y298)*constants!$O$2+(R298+T298+U298+W298+X298+Z298+AA298+AB298)*constants!$N$2</f>
        <v>4.3509494351976219</v>
      </c>
      <c r="AH298">
        <f>((S298+V298+Y298)-(H298+K298+N298))*constants!$O$2</f>
        <v>2.9617027393800521E-2</v>
      </c>
      <c r="AI298">
        <f>((R298+T298+U298+W298+X298+Z298+AA298+AB298)-(G298+I298+J298+L298+M298+O298+P298+Q298))*constants!$N$2</f>
        <v>-7.9312769665836572E-2</v>
      </c>
      <c r="AJ298">
        <f t="shared" si="38"/>
        <v>-1.1421815631782639</v>
      </c>
      <c r="AK298">
        <f t="shared" si="39"/>
        <v>-4.9695742272036048E-2</v>
      </c>
      <c r="AL298">
        <f>COUNTIFS($B:$B,$B298,$AK:$AK,"&lt;"&amp;$AK298)+COUNTIFS($B$2:$B298,$B298,$AK$2:$AK298,$AK298)</f>
        <v>26</v>
      </c>
      <c r="AM298" s="191">
        <f>IF(AK298=0, "NA",IF(((sim_annual_output!F298/E298)/AK298)&lt;0,100,((sim_annual_output!F298/E298)/AK298)))</f>
        <v>100</v>
      </c>
      <c r="AN298">
        <f>(S298+V298)*constants!$F$2+(T298+U298+W298+X298+Y298+Z298+AA298+AB298)*constants!$G$2</f>
        <v>36744.463830284207</v>
      </c>
      <c r="AO298">
        <f>(AD298*constants!$F$2+AE298*constants!$G$2)</f>
        <v>-283.38826754938128</v>
      </c>
      <c r="AP298">
        <f t="shared" si="40"/>
        <v>-0.77124072039341374</v>
      </c>
    </row>
    <row r="299" spans="1:42">
      <c r="A299">
        <f>sim_annual_output!B299</f>
        <v>17</v>
      </c>
      <c r="B299" t="str">
        <f>sim_annual_output!C299</f>
        <v>Office-Small</v>
      </c>
      <c r="C299" t="str">
        <f>sim_annual_output!D299</f>
        <v>1980-2004</v>
      </c>
      <c r="D299" t="str">
        <f>sim_annual_output!E299</f>
        <v>air_temp_reset_enabled</v>
      </c>
      <c r="E299" s="45">
        <f t="array" ref="E299">IFERROR(INDEX(baseline!$J$3:$J$201,MATCH($B299&amp;$C299,baseline!$C$3:$C$201&amp;baseline!$D$3:$D$201,0)),"NA")</f>
        <v>584</v>
      </c>
      <c r="F299">
        <f>sim_annual_output!G299</f>
        <v>1211.46221507992</v>
      </c>
      <c r="G299">
        <f>$E299/$F299^2*sim_annual_output!I299</f>
        <v>2.8119529793030176</v>
      </c>
      <c r="H299">
        <f>$E299/$F299^2*sim_annual_output!J299</f>
        <v>30.374397748131656</v>
      </c>
      <c r="I299">
        <f>$E299/$F299^2*sim_annual_output!K299</f>
        <v>2.4184564145892309</v>
      </c>
      <c r="J299">
        <f>$E299/$F299^2*sim_annual_output!L299</f>
        <v>2.7887411032946203</v>
      </c>
      <c r="K299">
        <f>$E299/$F299^2*sim_annual_output!M299</f>
        <v>0</v>
      </c>
      <c r="L299">
        <f>$E299/$F299^2*sim_annual_output!N299</f>
        <v>12.878169874944756</v>
      </c>
      <c r="M299">
        <f>$E299/$F299^2*sim_annual_output!O299</f>
        <v>3.0838635268299606</v>
      </c>
      <c r="N299">
        <f>$E299/$F299^2*sim_annual_output!P299</f>
        <v>0</v>
      </c>
      <c r="O299">
        <f>$E299/$F299^2*sim_annual_output!Q299</f>
        <v>6.2871024159888229</v>
      </c>
      <c r="P299">
        <f>$E299/$F299^2*sim_annual_output!R299</f>
        <v>6.6319645738278721E-3</v>
      </c>
      <c r="Q299">
        <f>$E299/$F299^2*sim_annual_output!S299</f>
        <v>0</v>
      </c>
      <c r="R299">
        <f t="array" ref="R299">INDEX(G$3:G$700,MATCH($B299&amp;$C299&amp;"baseline",$B$3:$B$700&amp;$C$3:$C$700&amp;$D$3:$D$700,0))</f>
        <v>0.31833429954373788</v>
      </c>
      <c r="S299">
        <f t="array" ref="S299">INDEX(H$3:H$700,MATCH($B299&amp;$C299&amp;"baseline",$B$3:$B$700&amp;$C$3:$C$700&amp;$D$3:$D$700,0))</f>
        <v>35.854611140971421</v>
      </c>
      <c r="T299">
        <f t="array" ref="T299">INDEX(I$3:I$700,MATCH($B299&amp;$C299&amp;"baseline",$B$3:$B$700&amp;$C$3:$C$700&amp;$D$3:$D$700,0))</f>
        <v>0.89752587232470527</v>
      </c>
      <c r="U299">
        <f t="array" ref="U299">INDEX(J$3:J$700,MATCH($B299&amp;$C299&amp;"baseline",$B$3:$B$700&amp;$C$3:$C$700&amp;$D$3:$D$700,0))</f>
        <v>2.7776878290049072</v>
      </c>
      <c r="V299">
        <f t="array" ref="V299">INDEX(K$3:K$700,MATCH($B299&amp;$C299&amp;"baseline",$B$3:$B$700&amp;$C$3:$C$700&amp;$D$3:$D$700,0))</f>
        <v>0</v>
      </c>
      <c r="W299">
        <f t="array" ref="W299">INDEX(L$3:L$700,MATCH($B299&amp;$C299&amp;"baseline",$B$3:$B$700&amp;$C$3:$C$700&amp;$D$3:$D$700,0))</f>
        <v>12.878169874944756</v>
      </c>
      <c r="X299">
        <f t="array" ref="X299">INDEX(M$3:M$700,MATCH($B299&amp;$C299&amp;"baseline",$B$3:$B$700&amp;$C$3:$C$700&amp;$D$3:$D$700,0))</f>
        <v>3.0838635268299606</v>
      </c>
      <c r="Y299">
        <f t="array" ref="Y299">INDEX(N$3:N$700,MATCH($B299&amp;$C299&amp;"baseline",$B$3:$B$700&amp;$C$3:$C$700&amp;$D$3:$D$700,0))</f>
        <v>0</v>
      </c>
      <c r="Z299">
        <f t="array" ref="Z299">INDEX(O$3:O$700,MATCH($B299&amp;$C299&amp;"baseline",$B$3:$B$700&amp;$C$3:$C$700&amp;$D$3:$D$700,0))</f>
        <v>6.2915237257047085</v>
      </c>
      <c r="AA299">
        <f t="array" ref="AA299">INDEX(P$3:P$700,MATCH($B299&amp;$C299&amp;"baseline",$B$3:$B$700&amp;$C$3:$C$700&amp;$D$3:$D$700,0))</f>
        <v>6.6319645738278721E-3</v>
      </c>
      <c r="AB299">
        <f t="array" ref="AB299">INDEX(Q$3:Q$700,MATCH($B299&amp;$C299&amp;"baseline",$B$3:$B$700&amp;$C$3:$C$700&amp;$D$3:$D$700,0))</f>
        <v>0</v>
      </c>
      <c r="AC299">
        <f t="shared" si="34"/>
        <v>62.108348233898013</v>
      </c>
      <c r="AD299">
        <f t="shared" si="35"/>
        <v>5.4802133928397652</v>
      </c>
      <c r="AE299">
        <f t="shared" si="36"/>
        <v>-4.0211811865976301</v>
      </c>
      <c r="AF299">
        <f t="shared" si="37"/>
        <v>2.3491724506139939</v>
      </c>
      <c r="AG299">
        <f>(S299+V299+Y299)*constants!$O$2+(R299+T299+U299+W299+X299+Z299+AA299+AB299)*constants!$N$2</f>
        <v>3.5475169919844438</v>
      </c>
      <c r="AH299">
        <f>((S299+V299+Y299)-(H299+K299+N299))*constants!$O$2</f>
        <v>8.8779456964004189E-2</v>
      </c>
      <c r="AI299">
        <f>((R299+T299+U299+W299+X299+Z299+AA299+AB299)-(G299+I299+J299+L299+M299+O299+P299+Q299))*constants!$N$2</f>
        <v>-0.45439347408553221</v>
      </c>
      <c r="AJ299">
        <f t="shared" si="38"/>
        <v>-10.30619495121875</v>
      </c>
      <c r="AK299">
        <f t="shared" si="39"/>
        <v>-0.36561401712152802</v>
      </c>
      <c r="AL299">
        <f>COUNTIFS($B:$B,$B299,$AK:$AK,"&lt;"&amp;$AK299)+COUNTIFS($B$2:$B299,$B299,$AK$2:$AK299,$AK299)</f>
        <v>4</v>
      </c>
      <c r="AM299" s="191">
        <f>IF(AK299=0, "NA",IF(((sim_annual_output!F299/E299)/AK299)&lt;0,100,((sim_annual_output!F299/E299)/AK299)))</f>
        <v>100</v>
      </c>
      <c r="AN299">
        <f>(S299+V299)*constants!$F$2+(T299+U299+W299+X299+Y299+Z299+AA299+AB299)*constants!$G$2</f>
        <v>28981.775824476979</v>
      </c>
      <c r="AO299">
        <f>(AD299*constants!$F$2+AE299*constants!$G$2)</f>
        <v>-2517.46943502162</v>
      </c>
      <c r="AP299">
        <f t="shared" si="40"/>
        <v>-8.6863877847521511</v>
      </c>
    </row>
    <row r="300" spans="1:42">
      <c r="A300">
        <f>sim_annual_output!B300</f>
        <v>17</v>
      </c>
      <c r="B300" t="str">
        <f>sim_annual_output!C300</f>
        <v>Office-Small</v>
      </c>
      <c r="C300" t="str">
        <f>sim_annual_output!D300</f>
        <v>1980-2004</v>
      </c>
      <c r="D300" t="str">
        <f>sim_annual_output!E300</f>
        <v>baseline</v>
      </c>
      <c r="E300" s="45">
        <f t="array" ref="E300">IFERROR(INDEX(baseline!$J$3:$J$201,MATCH($B300&amp;$C300,baseline!$C$3:$C$201&amp;baseline!$D$3:$D$201,0)),"NA")</f>
        <v>584</v>
      </c>
      <c r="F300">
        <f>sim_annual_output!G300</f>
        <v>1211.46221507992</v>
      </c>
      <c r="G300">
        <f>$E300/$F300^2*sim_annual_output!I300</f>
        <v>0.31833429954373788</v>
      </c>
      <c r="H300">
        <f>$E300/$F300^2*sim_annual_output!J300</f>
        <v>35.854611140971421</v>
      </c>
      <c r="I300">
        <f>$E300/$F300^2*sim_annual_output!K300</f>
        <v>0.89752587232470527</v>
      </c>
      <c r="J300">
        <f>$E300/$F300^2*sim_annual_output!L300</f>
        <v>2.7776878290049072</v>
      </c>
      <c r="K300">
        <f>$E300/$F300^2*sim_annual_output!M300</f>
        <v>0</v>
      </c>
      <c r="L300">
        <f>$E300/$F300^2*sim_annual_output!N300</f>
        <v>12.878169874944756</v>
      </c>
      <c r="M300">
        <f>$E300/$F300^2*sim_annual_output!O300</f>
        <v>3.0838635268299606</v>
      </c>
      <c r="N300">
        <f>$E300/$F300^2*sim_annual_output!P300</f>
        <v>0</v>
      </c>
      <c r="O300">
        <f>$E300/$F300^2*sim_annual_output!Q300</f>
        <v>6.2915237257047085</v>
      </c>
      <c r="P300">
        <f>$E300/$F300^2*sim_annual_output!R300</f>
        <v>6.6319645738278721E-3</v>
      </c>
      <c r="Q300">
        <f>$E300/$F300^2*sim_annual_output!S300</f>
        <v>0</v>
      </c>
      <c r="R300">
        <f t="array" ref="R300">INDEX(G$3:G$700,MATCH($B300&amp;$C300&amp;"baseline",$B$3:$B$700&amp;$C$3:$C$700&amp;$D$3:$D$700,0))</f>
        <v>0.31833429954373788</v>
      </c>
      <c r="S300">
        <f t="array" ref="S300">INDEX(H$3:H$700,MATCH($B300&amp;$C300&amp;"baseline",$B$3:$B$700&amp;$C$3:$C$700&amp;$D$3:$D$700,0))</f>
        <v>35.854611140971421</v>
      </c>
      <c r="T300">
        <f t="array" ref="T300">INDEX(I$3:I$700,MATCH($B300&amp;$C300&amp;"baseline",$B$3:$B$700&amp;$C$3:$C$700&amp;$D$3:$D$700,0))</f>
        <v>0.89752587232470527</v>
      </c>
      <c r="U300">
        <f t="array" ref="U300">INDEX(J$3:J$700,MATCH($B300&amp;$C300&amp;"baseline",$B$3:$B$700&amp;$C$3:$C$700&amp;$D$3:$D$700,0))</f>
        <v>2.7776878290049072</v>
      </c>
      <c r="V300">
        <f t="array" ref="V300">INDEX(K$3:K$700,MATCH($B300&amp;$C300&amp;"baseline",$B$3:$B$700&amp;$C$3:$C$700&amp;$D$3:$D$700,0))</f>
        <v>0</v>
      </c>
      <c r="W300">
        <f t="array" ref="W300">INDEX(L$3:L$700,MATCH($B300&amp;$C300&amp;"baseline",$B$3:$B$700&amp;$C$3:$C$700&amp;$D$3:$D$700,0))</f>
        <v>12.878169874944756</v>
      </c>
      <c r="X300">
        <f t="array" ref="X300">INDEX(M$3:M$700,MATCH($B300&amp;$C300&amp;"baseline",$B$3:$B$700&amp;$C$3:$C$700&amp;$D$3:$D$700,0))</f>
        <v>3.0838635268299606</v>
      </c>
      <c r="Y300">
        <f t="array" ref="Y300">INDEX(N$3:N$700,MATCH($B300&amp;$C300&amp;"baseline",$B$3:$B$700&amp;$C$3:$C$700&amp;$D$3:$D$700,0))</f>
        <v>0</v>
      </c>
      <c r="Z300">
        <f t="array" ref="Z300">INDEX(O$3:O$700,MATCH($B300&amp;$C300&amp;"baseline",$B$3:$B$700&amp;$C$3:$C$700&amp;$D$3:$D$700,0))</f>
        <v>6.2915237257047085</v>
      </c>
      <c r="AA300">
        <f t="array" ref="AA300">INDEX(P$3:P$700,MATCH($B300&amp;$C300&amp;"baseline",$B$3:$B$700&amp;$C$3:$C$700&amp;$D$3:$D$700,0))</f>
        <v>6.6319645738278721E-3</v>
      </c>
      <c r="AB300">
        <f t="array" ref="AB300">INDEX(Q$3:Q$700,MATCH($B300&amp;$C300&amp;"baseline",$B$3:$B$700&amp;$C$3:$C$700&amp;$D$3:$D$700,0))</f>
        <v>0</v>
      </c>
      <c r="AC300">
        <f t="shared" si="34"/>
        <v>62.108348233898013</v>
      </c>
      <c r="AD300">
        <f t="shared" si="35"/>
        <v>0</v>
      </c>
      <c r="AE300">
        <f t="shared" si="36"/>
        <v>0</v>
      </c>
      <c r="AF300">
        <f t="shared" si="37"/>
        <v>0</v>
      </c>
      <c r="AG300">
        <f>(S300+V300+Y300)*constants!$O$2+(R300+T300+U300+W300+X300+Z300+AA300+AB300)*constants!$N$2</f>
        <v>3.5475169919844438</v>
      </c>
      <c r="AH300">
        <f>((S300+V300+Y300)-(H300+K300+N300))*constants!$O$2</f>
        <v>0</v>
      </c>
      <c r="AI300">
        <f>((R300+T300+U300+W300+X300+Z300+AA300+AB300)-(G300+I300+J300+L300+M300+O300+P300+Q300))*constants!$N$2</f>
        <v>0</v>
      </c>
      <c r="AJ300">
        <f t="shared" si="38"/>
        <v>0</v>
      </c>
      <c r="AK300">
        <f t="shared" si="39"/>
        <v>0</v>
      </c>
      <c r="AL300">
        <f>COUNTIFS($B:$B,$B300,$AK:$AK,"&lt;"&amp;$AK300)+COUNTIFS($B$2:$B300,$B300,$AK$2:$AK300,$AK300)</f>
        <v>42</v>
      </c>
      <c r="AM300" s="191" t="str">
        <f>IF(AK300=0, "NA",IF(((sim_annual_output!F300/E300)/AK300)&lt;0,100,((sim_annual_output!F300/E300)/AK300)))</f>
        <v>NA</v>
      </c>
      <c r="AN300">
        <f>(S300+V300)*constants!$F$2+(T300+U300+W300+X300+Y300+Z300+AA300+AB300)*constants!$G$2</f>
        <v>28981.775824476979</v>
      </c>
      <c r="AO300">
        <f>(AD300*constants!$F$2+AE300*constants!$G$2)</f>
        <v>0</v>
      </c>
      <c r="AP300">
        <f t="shared" si="40"/>
        <v>0</v>
      </c>
    </row>
    <row r="301" spans="1:42">
      <c r="A301">
        <f>sim_annual_output!B301</f>
        <v>17</v>
      </c>
      <c r="B301" t="str">
        <f>sim_annual_output!C301</f>
        <v>Office-Small</v>
      </c>
      <c r="C301" t="str">
        <f>sim_annual_output!D301</f>
        <v>1980-2004</v>
      </c>
      <c r="D301" t="str">
        <f>sim_annual_output!E301</f>
        <v>boiler_reset</v>
      </c>
      <c r="E301" s="45">
        <f t="array" ref="E301">IFERROR(INDEX(baseline!$J$3:$J$201,MATCH($B301&amp;$C301,baseline!$C$3:$C$201&amp;baseline!$D$3:$D$201,0)),"NA")</f>
        <v>584</v>
      </c>
      <c r="F301">
        <f>sim_annual_output!G301</f>
        <v>1211.46221507992</v>
      </c>
      <c r="G301">
        <f>$E301/$F301^2*sim_annual_output!I301</f>
        <v>0.6267206522267339</v>
      </c>
      <c r="H301">
        <f>$E301/$F301^2*sim_annual_output!J301</f>
        <v>34.637645641674006</v>
      </c>
      <c r="I301">
        <f>$E301/$F301^2*sim_annual_output!K301</f>
        <v>1.2744425256039227</v>
      </c>
      <c r="J301">
        <f>$E301/$F301^2*sim_annual_output!L301</f>
        <v>2.7787931564338786</v>
      </c>
      <c r="K301">
        <f>$E301/$F301^2*sim_annual_output!M301</f>
        <v>0</v>
      </c>
      <c r="L301">
        <f>$E301/$F301^2*sim_annual_output!N301</f>
        <v>12.878169874944756</v>
      </c>
      <c r="M301">
        <f>$E301/$F301^2*sim_annual_output!O301</f>
        <v>3.0838635268299606</v>
      </c>
      <c r="N301">
        <f>$E301/$F301^2*sim_annual_output!P301</f>
        <v>0</v>
      </c>
      <c r="O301">
        <f>$E301/$F301^2*sim_annual_output!Q301</f>
        <v>6.285997088559852</v>
      </c>
      <c r="P301">
        <f>$E301/$F301^2*sim_annual_output!R301</f>
        <v>6.6319645738278721E-3</v>
      </c>
      <c r="Q301">
        <f>$E301/$F301^2*sim_annual_output!S301</f>
        <v>0</v>
      </c>
      <c r="R301">
        <f t="array" ref="R301">INDEX(G$3:G$700,MATCH($B301&amp;$C301&amp;"baseline",$B$3:$B$700&amp;$C$3:$C$700&amp;$D$3:$D$700,0))</f>
        <v>0.31833429954373788</v>
      </c>
      <c r="S301">
        <f t="array" ref="S301">INDEX(H$3:H$700,MATCH($B301&amp;$C301&amp;"baseline",$B$3:$B$700&amp;$C$3:$C$700&amp;$D$3:$D$700,0))</f>
        <v>35.854611140971421</v>
      </c>
      <c r="T301">
        <f t="array" ref="T301">INDEX(I$3:I$700,MATCH($B301&amp;$C301&amp;"baseline",$B$3:$B$700&amp;$C$3:$C$700&amp;$D$3:$D$700,0))</f>
        <v>0.89752587232470527</v>
      </c>
      <c r="U301">
        <f t="array" ref="U301">INDEX(J$3:J$700,MATCH($B301&amp;$C301&amp;"baseline",$B$3:$B$700&amp;$C$3:$C$700&amp;$D$3:$D$700,0))</f>
        <v>2.7776878290049072</v>
      </c>
      <c r="V301">
        <f t="array" ref="V301">INDEX(K$3:K$700,MATCH($B301&amp;$C301&amp;"baseline",$B$3:$B$700&amp;$C$3:$C$700&amp;$D$3:$D$700,0))</f>
        <v>0</v>
      </c>
      <c r="W301">
        <f t="array" ref="W301">INDEX(L$3:L$700,MATCH($B301&amp;$C301&amp;"baseline",$B$3:$B$700&amp;$C$3:$C$700&amp;$D$3:$D$700,0))</f>
        <v>12.878169874944756</v>
      </c>
      <c r="X301">
        <f t="array" ref="X301">INDEX(M$3:M$700,MATCH($B301&amp;$C301&amp;"baseline",$B$3:$B$700&amp;$C$3:$C$700&amp;$D$3:$D$700,0))</f>
        <v>3.0838635268299606</v>
      </c>
      <c r="Y301">
        <f t="array" ref="Y301">INDEX(N$3:N$700,MATCH($B301&amp;$C301&amp;"baseline",$B$3:$B$700&amp;$C$3:$C$700&amp;$D$3:$D$700,0))</f>
        <v>0</v>
      </c>
      <c r="Z301">
        <f t="array" ref="Z301">INDEX(O$3:O$700,MATCH($B301&amp;$C301&amp;"baseline",$B$3:$B$700&amp;$C$3:$C$700&amp;$D$3:$D$700,0))</f>
        <v>6.2915237257047085</v>
      </c>
      <c r="AA301">
        <f t="array" ref="AA301">INDEX(P$3:P$700,MATCH($B301&amp;$C301&amp;"baseline",$B$3:$B$700&amp;$C$3:$C$700&amp;$D$3:$D$700,0))</f>
        <v>6.6319645738278721E-3</v>
      </c>
      <c r="AB301">
        <f t="array" ref="AB301">INDEX(Q$3:Q$700,MATCH($B301&amp;$C301&amp;"baseline",$B$3:$B$700&amp;$C$3:$C$700&amp;$D$3:$D$700,0))</f>
        <v>0</v>
      </c>
      <c r="AC301">
        <f t="shared" si="34"/>
        <v>62.108348233898013</v>
      </c>
      <c r="AD301">
        <f t="shared" si="35"/>
        <v>1.2169654992974159</v>
      </c>
      <c r="AE301">
        <f t="shared" si="36"/>
        <v>-0.68088169624632755</v>
      </c>
      <c r="AF301">
        <f t="shared" si="37"/>
        <v>0.86314290799074911</v>
      </c>
      <c r="AG301">
        <f>(S301+V301+Y301)*constants!$O$2+(R301+T301+U301+W301+X301+Z301+AA301+AB301)*constants!$N$2</f>
        <v>3.5475169919844438</v>
      </c>
      <c r="AH301">
        <f>((S301+V301+Y301)-(H301+K301+N301))*constants!$O$2</f>
        <v>1.9714841088618137E-2</v>
      </c>
      <c r="AI301">
        <f>((R301+T301+U301+W301+X301+Z301+AA301+AB301)-(G301+I301+J301+L301+M301+O301+P301+Q301))*constants!$N$2</f>
        <v>-7.6939631675835021E-2</v>
      </c>
      <c r="AJ301">
        <f t="shared" si="38"/>
        <v>-1.6130941928260061</v>
      </c>
      <c r="AK301">
        <f t="shared" si="39"/>
        <v>-5.7224790587216884E-2</v>
      </c>
      <c r="AL301">
        <f>COUNTIFS($B:$B,$B301,$AK:$AK,"&lt;"&amp;$AK301)+COUNTIFS($B$2:$B301,$B301,$AK$2:$AK301,$AK301)</f>
        <v>14</v>
      </c>
      <c r="AM301" s="191">
        <f>IF(AK301=0, "NA",IF(((sim_annual_output!F301/E301)/AK301)&lt;0,100,((sim_annual_output!F301/E301)/AK301)))</f>
        <v>100</v>
      </c>
      <c r="AN301">
        <f>(S301+V301)*constants!$F$2+(T301+U301+W301+X301+Y301+Z301+AA301+AB301)*constants!$G$2</f>
        <v>28981.775824476979</v>
      </c>
      <c r="AO301">
        <f>(AD301*constants!$F$2+AE301*constants!$G$2)</f>
        <v>-374.53025136006755</v>
      </c>
      <c r="AP301">
        <f t="shared" si="40"/>
        <v>-1.2922957296624749</v>
      </c>
    </row>
    <row r="302" spans="1:42">
      <c r="A302">
        <f>sim_annual_output!B302</f>
        <v>17</v>
      </c>
      <c r="B302" t="str">
        <f>sim_annual_output!C302</f>
        <v>Office-Small</v>
      </c>
      <c r="C302" t="str">
        <f>sim_annual_output!D302</f>
        <v>1980-2004</v>
      </c>
      <c r="D302" t="str">
        <f>sim_annual_output!E302</f>
        <v>cooling_cop_3_0</v>
      </c>
      <c r="E302" s="45">
        <f t="array" ref="E302">IFERROR(INDEX(baseline!$J$3:$J$201,MATCH($B302&amp;$C302,baseline!$C$3:$C$201&amp;baseline!$D$3:$D$201,0)),"NA")</f>
        <v>584</v>
      </c>
      <c r="F302">
        <f>sim_annual_output!G302</f>
        <v>1211.46221507992</v>
      </c>
      <c r="G302">
        <f>$E302/$F302^2*sim_annual_output!I302</f>
        <v>0.6267206522267339</v>
      </c>
      <c r="H302">
        <f>$E302/$F302^2*sim_annual_output!J302</f>
        <v>34.637645641674006</v>
      </c>
      <c r="I302">
        <f>$E302/$F302^2*sim_annual_output!K302</f>
        <v>1.0920634998236565</v>
      </c>
      <c r="J302">
        <f>$E302/$F302^2*sim_annual_output!L302</f>
        <v>2.7787931564338786</v>
      </c>
      <c r="K302">
        <f>$E302/$F302^2*sim_annual_output!M302</f>
        <v>0</v>
      </c>
      <c r="L302">
        <f>$E302/$F302^2*sim_annual_output!N302</f>
        <v>12.878169874944756</v>
      </c>
      <c r="M302">
        <f>$E302/$F302^2*sim_annual_output!O302</f>
        <v>3.0838635268299606</v>
      </c>
      <c r="N302">
        <f>$E302/$F302^2*sim_annual_output!P302</f>
        <v>0</v>
      </c>
      <c r="O302">
        <f>$E302/$F302^2*sim_annual_output!Q302</f>
        <v>6.285997088559852</v>
      </c>
      <c r="P302">
        <f>$E302/$F302^2*sim_annual_output!R302</f>
        <v>6.6319645738278721E-3</v>
      </c>
      <c r="Q302">
        <f>$E302/$F302^2*sim_annual_output!S302</f>
        <v>0</v>
      </c>
      <c r="R302">
        <f t="array" ref="R302">INDEX(G$3:G$700,MATCH($B302&amp;$C302&amp;"baseline",$B$3:$B$700&amp;$C$3:$C$700&amp;$D$3:$D$700,0))</f>
        <v>0.31833429954373788</v>
      </c>
      <c r="S302">
        <f t="array" ref="S302">INDEX(H$3:H$700,MATCH($B302&amp;$C302&amp;"baseline",$B$3:$B$700&amp;$C$3:$C$700&amp;$D$3:$D$700,0))</f>
        <v>35.854611140971421</v>
      </c>
      <c r="T302">
        <f t="array" ref="T302">INDEX(I$3:I$700,MATCH($B302&amp;$C302&amp;"baseline",$B$3:$B$700&amp;$C$3:$C$700&amp;$D$3:$D$700,0))</f>
        <v>0.89752587232470527</v>
      </c>
      <c r="U302">
        <f t="array" ref="U302">INDEX(J$3:J$700,MATCH($B302&amp;$C302&amp;"baseline",$B$3:$B$700&amp;$C$3:$C$700&amp;$D$3:$D$700,0))</f>
        <v>2.7776878290049072</v>
      </c>
      <c r="V302">
        <f t="array" ref="V302">INDEX(K$3:K$700,MATCH($B302&amp;$C302&amp;"baseline",$B$3:$B$700&amp;$C$3:$C$700&amp;$D$3:$D$700,0))</f>
        <v>0</v>
      </c>
      <c r="W302">
        <f t="array" ref="W302">INDEX(L$3:L$700,MATCH($B302&amp;$C302&amp;"baseline",$B$3:$B$700&amp;$C$3:$C$700&amp;$D$3:$D$700,0))</f>
        <v>12.878169874944756</v>
      </c>
      <c r="X302">
        <f t="array" ref="X302">INDEX(M$3:M$700,MATCH($B302&amp;$C302&amp;"baseline",$B$3:$B$700&amp;$C$3:$C$700&amp;$D$3:$D$700,0))</f>
        <v>3.0838635268299606</v>
      </c>
      <c r="Y302">
        <f t="array" ref="Y302">INDEX(N$3:N$700,MATCH($B302&amp;$C302&amp;"baseline",$B$3:$B$700&amp;$C$3:$C$700&amp;$D$3:$D$700,0))</f>
        <v>0</v>
      </c>
      <c r="Z302">
        <f t="array" ref="Z302">INDEX(O$3:O$700,MATCH($B302&amp;$C302&amp;"baseline",$B$3:$B$700&amp;$C$3:$C$700&amp;$D$3:$D$700,0))</f>
        <v>6.2915237257047085</v>
      </c>
      <c r="AA302">
        <f t="array" ref="AA302">INDEX(P$3:P$700,MATCH($B302&amp;$C302&amp;"baseline",$B$3:$B$700&amp;$C$3:$C$700&amp;$D$3:$D$700,0))</f>
        <v>6.6319645738278721E-3</v>
      </c>
      <c r="AB302">
        <f t="array" ref="AB302">INDEX(Q$3:Q$700,MATCH($B302&amp;$C302&amp;"baseline",$B$3:$B$700&amp;$C$3:$C$700&amp;$D$3:$D$700,0))</f>
        <v>0</v>
      </c>
      <c r="AC302">
        <f t="shared" si="34"/>
        <v>62.108348233898013</v>
      </c>
      <c r="AD302">
        <f t="shared" si="35"/>
        <v>1.2169654992974159</v>
      </c>
      <c r="AE302">
        <f t="shared" si="36"/>
        <v>-0.49850267046606334</v>
      </c>
      <c r="AF302">
        <f t="shared" si="37"/>
        <v>1.1567894643174941</v>
      </c>
      <c r="AG302">
        <f>(S302+V302+Y302)*constants!$O$2+(R302+T302+U302+W302+X302+Z302+AA302+AB302)*constants!$N$2</f>
        <v>3.5475169919844438</v>
      </c>
      <c r="AH302">
        <f>((S302+V302+Y302)-(H302+K302+N302))*constants!$O$2</f>
        <v>1.9714841088618137E-2</v>
      </c>
      <c r="AI302">
        <f>((R302+T302+U302+W302+X302+Z302+AA302+AB302)-(G302+I302+J302+L302+M302+O302+P302+Q302))*constants!$N$2</f>
        <v>-5.633080176266516E-2</v>
      </c>
      <c r="AJ302">
        <f t="shared" si="38"/>
        <v>-1.032157442988439</v>
      </c>
      <c r="AK302">
        <f t="shared" si="39"/>
        <v>-3.6615960674047023E-2</v>
      </c>
      <c r="AL302">
        <f>COUNTIFS($B:$B,$B302,$AK:$AK,"&lt;"&amp;$AK302)+COUNTIFS($B$2:$B302,$B302,$AK$2:$AK302,$AK302)</f>
        <v>31</v>
      </c>
      <c r="AM302" s="191">
        <f>IF(AK302=0, "NA",IF(((sim_annual_output!F302/E302)/AK302)&lt;0,100,((sim_annual_output!F302/E302)/AK302)))</f>
        <v>100</v>
      </c>
      <c r="AN302">
        <f>(S302+V302)*constants!$F$2+(T302+U302+W302+X302+Y302+Z302+AA302+AB302)*constants!$G$2</f>
        <v>28981.775824476979</v>
      </c>
      <c r="AO302">
        <f>(AD302*constants!$F$2+AE302*constants!$G$2)</f>
        <v>-215.86049893123766</v>
      </c>
      <c r="AP302">
        <f t="shared" si="40"/>
        <v>-0.7448146043174122</v>
      </c>
    </row>
    <row r="303" spans="1:42">
      <c r="A303">
        <f>sim_annual_output!B303</f>
        <v>17</v>
      </c>
      <c r="B303" t="str">
        <f>sim_annual_output!C303</f>
        <v>Office-Small</v>
      </c>
      <c r="C303" t="str">
        <f>sim_annual_output!D303</f>
        <v>1980-2004</v>
      </c>
      <c r="D303" t="str">
        <f>sim_annual_output!E303</f>
        <v>dcv_enabled</v>
      </c>
      <c r="E303" s="45">
        <f t="array" ref="E303">IFERROR(INDEX(baseline!$J$3:$J$201,MATCH($B303&amp;$C303,baseline!$C$3:$C$201&amp;baseline!$D$3:$D$201,0)),"NA")</f>
        <v>584</v>
      </c>
      <c r="F303">
        <f>sim_annual_output!G303</f>
        <v>1211.46221507992</v>
      </c>
      <c r="G303">
        <f>$E303/$F303^2*sim_annual_output!I303</f>
        <v>0.6267206522267339</v>
      </c>
      <c r="H303">
        <f>$E303/$F303^2*sim_annual_output!J303</f>
        <v>34.637645641674006</v>
      </c>
      <c r="I303">
        <f>$E303/$F303^2*sim_annual_output!K303</f>
        <v>1.2744425256039227</v>
      </c>
      <c r="J303">
        <f>$E303/$F303^2*sim_annual_output!L303</f>
        <v>2.7787931564338786</v>
      </c>
      <c r="K303">
        <f>$E303/$F303^2*sim_annual_output!M303</f>
        <v>0</v>
      </c>
      <c r="L303">
        <f>$E303/$F303^2*sim_annual_output!N303</f>
        <v>12.878169874944756</v>
      </c>
      <c r="M303">
        <f>$E303/$F303^2*sim_annual_output!O303</f>
        <v>3.0838635268299606</v>
      </c>
      <c r="N303">
        <f>$E303/$F303^2*sim_annual_output!P303</f>
        <v>0</v>
      </c>
      <c r="O303">
        <f>$E303/$F303^2*sim_annual_output!Q303</f>
        <v>6.285997088559852</v>
      </c>
      <c r="P303">
        <f>$E303/$F303^2*sim_annual_output!R303</f>
        <v>6.6319645738278721E-3</v>
      </c>
      <c r="Q303">
        <f>$E303/$F303^2*sim_annual_output!S303</f>
        <v>0</v>
      </c>
      <c r="R303">
        <f t="array" ref="R303">INDEX(G$3:G$700,MATCH($B303&amp;$C303&amp;"baseline",$B$3:$B$700&amp;$C$3:$C$700&amp;$D$3:$D$700,0))</f>
        <v>0.31833429954373788</v>
      </c>
      <c r="S303">
        <f t="array" ref="S303">INDEX(H$3:H$700,MATCH($B303&amp;$C303&amp;"baseline",$B$3:$B$700&amp;$C$3:$C$700&amp;$D$3:$D$700,0))</f>
        <v>35.854611140971421</v>
      </c>
      <c r="T303">
        <f t="array" ref="T303">INDEX(I$3:I$700,MATCH($B303&amp;$C303&amp;"baseline",$B$3:$B$700&amp;$C$3:$C$700&amp;$D$3:$D$700,0))</f>
        <v>0.89752587232470527</v>
      </c>
      <c r="U303">
        <f t="array" ref="U303">INDEX(J$3:J$700,MATCH($B303&amp;$C303&amp;"baseline",$B$3:$B$700&amp;$C$3:$C$700&amp;$D$3:$D$700,0))</f>
        <v>2.7776878290049072</v>
      </c>
      <c r="V303">
        <f t="array" ref="V303">INDEX(K$3:K$700,MATCH($B303&amp;$C303&amp;"baseline",$B$3:$B$700&amp;$C$3:$C$700&amp;$D$3:$D$700,0))</f>
        <v>0</v>
      </c>
      <c r="W303">
        <f t="array" ref="W303">INDEX(L$3:L$700,MATCH($B303&amp;$C303&amp;"baseline",$B$3:$B$700&amp;$C$3:$C$700&amp;$D$3:$D$700,0))</f>
        <v>12.878169874944756</v>
      </c>
      <c r="X303">
        <f t="array" ref="X303">INDEX(M$3:M$700,MATCH($B303&amp;$C303&amp;"baseline",$B$3:$B$700&amp;$C$3:$C$700&amp;$D$3:$D$700,0))</f>
        <v>3.0838635268299606</v>
      </c>
      <c r="Y303">
        <f t="array" ref="Y303">INDEX(N$3:N$700,MATCH($B303&amp;$C303&amp;"baseline",$B$3:$B$700&amp;$C$3:$C$700&amp;$D$3:$D$700,0))</f>
        <v>0</v>
      </c>
      <c r="Z303">
        <f t="array" ref="Z303">INDEX(O$3:O$700,MATCH($B303&amp;$C303&amp;"baseline",$B$3:$B$700&amp;$C$3:$C$700&amp;$D$3:$D$700,0))</f>
        <v>6.2915237257047085</v>
      </c>
      <c r="AA303">
        <f t="array" ref="AA303">INDEX(P$3:P$700,MATCH($B303&amp;$C303&amp;"baseline",$B$3:$B$700&amp;$C$3:$C$700&amp;$D$3:$D$700,0))</f>
        <v>6.6319645738278721E-3</v>
      </c>
      <c r="AB303">
        <f t="array" ref="AB303">INDEX(Q$3:Q$700,MATCH($B303&amp;$C303&amp;"baseline",$B$3:$B$700&amp;$C$3:$C$700&amp;$D$3:$D$700,0))</f>
        <v>0</v>
      </c>
      <c r="AC303">
        <f t="shared" si="34"/>
        <v>62.108348233898013</v>
      </c>
      <c r="AD303">
        <f t="shared" si="35"/>
        <v>1.2169654992974159</v>
      </c>
      <c r="AE303">
        <f t="shared" si="36"/>
        <v>-0.68088169624632755</v>
      </c>
      <c r="AF303">
        <f t="shared" si="37"/>
        <v>0.86314290799074911</v>
      </c>
      <c r="AG303">
        <f>(S303+V303+Y303)*constants!$O$2+(R303+T303+U303+W303+X303+Z303+AA303+AB303)*constants!$N$2</f>
        <v>3.5475169919844438</v>
      </c>
      <c r="AH303">
        <f>((S303+V303+Y303)-(H303+K303+N303))*constants!$O$2</f>
        <v>1.9714841088618137E-2</v>
      </c>
      <c r="AI303">
        <f>((R303+T303+U303+W303+X303+Z303+AA303+AB303)-(G303+I303+J303+L303+M303+O303+P303+Q303))*constants!$N$2</f>
        <v>-7.6939631675835021E-2</v>
      </c>
      <c r="AJ303">
        <f t="shared" si="38"/>
        <v>-1.6130941928260061</v>
      </c>
      <c r="AK303">
        <f t="shared" si="39"/>
        <v>-5.7224790587216884E-2</v>
      </c>
      <c r="AL303">
        <f>COUNTIFS($B:$B,$B303,$AK:$AK,"&lt;"&amp;$AK303)+COUNTIFS($B$2:$B303,$B303,$AK$2:$AK303,$AK303)</f>
        <v>15</v>
      </c>
      <c r="AM303" s="191">
        <f>IF(AK303=0, "NA",IF(((sim_annual_output!F303/E303)/AK303)&lt;0,100,((sim_annual_output!F303/E303)/AK303)))</f>
        <v>100</v>
      </c>
      <c r="AN303">
        <f>(S303+V303)*constants!$F$2+(T303+U303+W303+X303+Y303+Z303+AA303+AB303)*constants!$G$2</f>
        <v>28981.775824476979</v>
      </c>
      <c r="AO303">
        <f>(AD303*constants!$F$2+AE303*constants!$G$2)</f>
        <v>-374.53025136006755</v>
      </c>
      <c r="AP303">
        <f t="shared" si="40"/>
        <v>-1.2922957296624749</v>
      </c>
    </row>
    <row r="304" spans="1:42">
      <c r="A304">
        <f>sim_annual_output!B304</f>
        <v>17</v>
      </c>
      <c r="B304" t="str">
        <f>sim_annual_output!C304</f>
        <v>Office-Small</v>
      </c>
      <c r="C304" t="str">
        <f>sim_annual_output!D304</f>
        <v>1980-2004</v>
      </c>
      <c r="D304" t="str">
        <f>sim_annual_output!E304</f>
        <v>ecm_cold_deck_reset_control</v>
      </c>
      <c r="E304" s="45">
        <f t="array" ref="E304">IFERROR(INDEX(baseline!$J$3:$J$201,MATCH($B304&amp;$C304,baseline!$C$3:$C$201&amp;baseline!$D$3:$D$201,0)),"NA")</f>
        <v>584</v>
      </c>
      <c r="F304">
        <f>sim_annual_output!G304</f>
        <v>1211.46221507992</v>
      </c>
      <c r="G304">
        <f>$E304/$F304^2*sim_annual_output!I304</f>
        <v>5.2160401373156215</v>
      </c>
      <c r="H304">
        <f>$E304/$F304^2*sim_annual_output!J304</f>
        <v>18.509813125553592</v>
      </c>
      <c r="I304">
        <f>$E304/$F304^2*sim_annual_output!K304</f>
        <v>2.0404344338810421</v>
      </c>
      <c r="J304">
        <f>$E304/$F304^2*sim_annual_output!L304</f>
        <v>2.80532101472919</v>
      </c>
      <c r="K304">
        <f>$E304/$F304^2*sim_annual_output!M304</f>
        <v>0</v>
      </c>
      <c r="L304">
        <f>$E304/$F304^2*sim_annual_output!N304</f>
        <v>12.878169874944756</v>
      </c>
      <c r="M304">
        <f>$E304/$F304^2*sim_annual_output!O304</f>
        <v>3.0838635268299606</v>
      </c>
      <c r="N304">
        <f>$E304/$F304^2*sim_annual_output!P304</f>
        <v>0</v>
      </c>
      <c r="O304">
        <f>$E304/$F304^2*sim_annual_output!Q304</f>
        <v>6.3423687874373886</v>
      </c>
      <c r="P304">
        <f>$E304/$F304^2*sim_annual_output!R304</f>
        <v>6.6319645738278721E-3</v>
      </c>
      <c r="Q304">
        <f>$E304/$F304^2*sim_annual_output!S304</f>
        <v>0</v>
      </c>
      <c r="R304">
        <f t="array" ref="R304">INDEX(G$3:G$700,MATCH($B304&amp;$C304&amp;"baseline",$B$3:$B$700&amp;$C$3:$C$700&amp;$D$3:$D$700,0))</f>
        <v>0.31833429954373788</v>
      </c>
      <c r="S304">
        <f t="array" ref="S304">INDEX(H$3:H$700,MATCH($B304&amp;$C304&amp;"baseline",$B$3:$B$700&amp;$C$3:$C$700&amp;$D$3:$D$700,0))</f>
        <v>35.854611140971421</v>
      </c>
      <c r="T304">
        <f t="array" ref="T304">INDEX(I$3:I$700,MATCH($B304&amp;$C304&amp;"baseline",$B$3:$B$700&amp;$C$3:$C$700&amp;$D$3:$D$700,0))</f>
        <v>0.89752587232470527</v>
      </c>
      <c r="U304">
        <f t="array" ref="U304">INDEX(J$3:J$700,MATCH($B304&amp;$C304&amp;"baseline",$B$3:$B$700&amp;$C$3:$C$700&amp;$D$3:$D$700,0))</f>
        <v>2.7776878290049072</v>
      </c>
      <c r="V304">
        <f t="array" ref="V304">INDEX(K$3:K$700,MATCH($B304&amp;$C304&amp;"baseline",$B$3:$B$700&amp;$C$3:$C$700&amp;$D$3:$D$700,0))</f>
        <v>0</v>
      </c>
      <c r="W304">
        <f t="array" ref="W304">INDEX(L$3:L$700,MATCH($B304&amp;$C304&amp;"baseline",$B$3:$B$700&amp;$C$3:$C$700&amp;$D$3:$D$700,0))</f>
        <v>12.878169874944756</v>
      </c>
      <c r="X304">
        <f t="array" ref="X304">INDEX(M$3:M$700,MATCH($B304&amp;$C304&amp;"baseline",$B$3:$B$700&amp;$C$3:$C$700&amp;$D$3:$D$700,0))</f>
        <v>3.0838635268299606</v>
      </c>
      <c r="Y304">
        <f t="array" ref="Y304">INDEX(N$3:N$700,MATCH($B304&amp;$C304&amp;"baseline",$B$3:$B$700&amp;$C$3:$C$700&amp;$D$3:$D$700,0))</f>
        <v>0</v>
      </c>
      <c r="Z304">
        <f t="array" ref="Z304">INDEX(O$3:O$700,MATCH($B304&amp;$C304&amp;"baseline",$B$3:$B$700&amp;$C$3:$C$700&amp;$D$3:$D$700,0))</f>
        <v>6.2915237257047085</v>
      </c>
      <c r="AA304">
        <f t="array" ref="AA304">INDEX(P$3:P$700,MATCH($B304&amp;$C304&amp;"baseline",$B$3:$B$700&amp;$C$3:$C$700&amp;$D$3:$D$700,0))</f>
        <v>6.6319645738278721E-3</v>
      </c>
      <c r="AB304">
        <f t="array" ref="AB304">INDEX(Q$3:Q$700,MATCH($B304&amp;$C304&amp;"baseline",$B$3:$B$700&amp;$C$3:$C$700&amp;$D$3:$D$700,0))</f>
        <v>0</v>
      </c>
      <c r="AC304">
        <f t="shared" si="34"/>
        <v>62.108348233898013</v>
      </c>
      <c r="AD304">
        <f t="shared" si="35"/>
        <v>17.34479801541783</v>
      </c>
      <c r="AE304">
        <f t="shared" si="36"/>
        <v>-6.1190926467851838</v>
      </c>
      <c r="AF304">
        <f t="shared" si="37"/>
        <v>18.074390460936112</v>
      </c>
      <c r="AG304">
        <f>(S304+V304+Y304)*constants!$O$2+(R304+T304+U304+W304+X304+Z304+AA304+AB304)*constants!$N$2</f>
        <v>3.5475169919844438</v>
      </c>
      <c r="AH304">
        <f>((S304+V304+Y304)-(H304+K304+N304))*constants!$O$2</f>
        <v>0.28098572784976883</v>
      </c>
      <c r="AI304">
        <f>((R304+T304+U304+W304+X304+Z304+AA304+AB304)-(G304+I304+J304+L304+M304+O304+P304+Q304))*constants!$N$2</f>
        <v>-0.69145746908672578</v>
      </c>
      <c r="AJ304">
        <f t="shared" si="38"/>
        <v>-11.570677241699224</v>
      </c>
      <c r="AK304">
        <f t="shared" si="39"/>
        <v>-0.41047174123695696</v>
      </c>
      <c r="AL304">
        <f>COUNTIFS($B:$B,$B304,$AK:$AK,"&lt;"&amp;$AK304)+COUNTIFS($B$2:$B304,$B304,$AK$2:$AK304,$AK304)</f>
        <v>3</v>
      </c>
      <c r="AM304" s="191">
        <f>IF(AK304=0, "NA",IF(((sim_annual_output!F304/E304)/AK304)&lt;0,100,((sim_annual_output!F304/E304)/AK304)))</f>
        <v>100</v>
      </c>
      <c r="AN304">
        <f>(S304+V304)*constants!$F$2+(T304+U304+W304+X304+Y304+Z304+AA304+AB304)*constants!$G$2</f>
        <v>28981.775824476979</v>
      </c>
      <c r="AO304">
        <f>(AD304*constants!$F$2+AE304*constants!$G$2)</f>
        <v>-2218.8917579433187</v>
      </c>
      <c r="AP304">
        <f t="shared" si="40"/>
        <v>-7.6561621737109755</v>
      </c>
    </row>
    <row r="305" spans="1:42">
      <c r="A305">
        <f>sim_annual_output!B305</f>
        <v>17</v>
      </c>
      <c r="B305" t="str">
        <f>sim_annual_output!C305</f>
        <v>Office-Small</v>
      </c>
      <c r="C305" t="str">
        <f>sim_annual_output!D305</f>
        <v>1980-2004</v>
      </c>
      <c r="D305" t="str">
        <f>sim_annual_output!E305</f>
        <v>economizers_enabled</v>
      </c>
      <c r="E305" s="45">
        <f t="array" ref="E305">IFERROR(INDEX(baseline!$J$3:$J$201,MATCH($B305&amp;$C305,baseline!$C$3:$C$201&amp;baseline!$D$3:$D$201,0)),"NA")</f>
        <v>584</v>
      </c>
      <c r="F305">
        <f>sim_annual_output!G305</f>
        <v>1211.46221507992</v>
      </c>
      <c r="G305">
        <f>$E305/$F305^2*sim_annual_output!I305</f>
        <v>0.6267206522267339</v>
      </c>
      <c r="H305">
        <f>$E305/$F305^2*sim_annual_output!J305</f>
        <v>34.637645641674006</v>
      </c>
      <c r="I305">
        <f>$E305/$F305^2*sim_annual_output!K305</f>
        <v>1.2744425256039227</v>
      </c>
      <c r="J305">
        <f>$E305/$F305^2*sim_annual_output!L305</f>
        <v>2.7787931564338786</v>
      </c>
      <c r="K305">
        <f>$E305/$F305^2*sim_annual_output!M305</f>
        <v>0</v>
      </c>
      <c r="L305">
        <f>$E305/$F305^2*sim_annual_output!N305</f>
        <v>12.878169874944756</v>
      </c>
      <c r="M305">
        <f>$E305/$F305^2*sim_annual_output!O305</f>
        <v>3.0838635268299606</v>
      </c>
      <c r="N305">
        <f>$E305/$F305^2*sim_annual_output!P305</f>
        <v>0</v>
      </c>
      <c r="O305">
        <f>$E305/$F305^2*sim_annual_output!Q305</f>
        <v>6.285997088559852</v>
      </c>
      <c r="P305">
        <f>$E305/$F305^2*sim_annual_output!R305</f>
        <v>6.6319645738278721E-3</v>
      </c>
      <c r="Q305">
        <f>$E305/$F305^2*sim_annual_output!S305</f>
        <v>0</v>
      </c>
      <c r="R305">
        <f t="array" ref="R305">INDEX(G$3:G$700,MATCH($B305&amp;$C305&amp;"baseline",$B$3:$B$700&amp;$C$3:$C$700&amp;$D$3:$D$700,0))</f>
        <v>0.31833429954373788</v>
      </c>
      <c r="S305">
        <f t="array" ref="S305">INDEX(H$3:H$700,MATCH($B305&amp;$C305&amp;"baseline",$B$3:$B$700&amp;$C$3:$C$700&amp;$D$3:$D$700,0))</f>
        <v>35.854611140971421</v>
      </c>
      <c r="T305">
        <f t="array" ref="T305">INDEX(I$3:I$700,MATCH($B305&amp;$C305&amp;"baseline",$B$3:$B$700&amp;$C$3:$C$700&amp;$D$3:$D$700,0))</f>
        <v>0.89752587232470527</v>
      </c>
      <c r="U305">
        <f t="array" ref="U305">INDEX(J$3:J$700,MATCH($B305&amp;$C305&amp;"baseline",$B$3:$B$700&amp;$C$3:$C$700&amp;$D$3:$D$700,0))</f>
        <v>2.7776878290049072</v>
      </c>
      <c r="V305">
        <f t="array" ref="V305">INDEX(K$3:K$700,MATCH($B305&amp;$C305&amp;"baseline",$B$3:$B$700&amp;$C$3:$C$700&amp;$D$3:$D$700,0))</f>
        <v>0</v>
      </c>
      <c r="W305">
        <f t="array" ref="W305">INDEX(L$3:L$700,MATCH($B305&amp;$C305&amp;"baseline",$B$3:$B$700&amp;$C$3:$C$700&amp;$D$3:$D$700,0))</f>
        <v>12.878169874944756</v>
      </c>
      <c r="X305">
        <f t="array" ref="X305">INDEX(M$3:M$700,MATCH($B305&amp;$C305&amp;"baseline",$B$3:$B$700&amp;$C$3:$C$700&amp;$D$3:$D$700,0))</f>
        <v>3.0838635268299606</v>
      </c>
      <c r="Y305">
        <f t="array" ref="Y305">INDEX(N$3:N$700,MATCH($B305&amp;$C305&amp;"baseline",$B$3:$B$700&amp;$C$3:$C$700&amp;$D$3:$D$700,0))</f>
        <v>0</v>
      </c>
      <c r="Z305">
        <f t="array" ref="Z305">INDEX(O$3:O$700,MATCH($B305&amp;$C305&amp;"baseline",$B$3:$B$700&amp;$C$3:$C$700&amp;$D$3:$D$700,0))</f>
        <v>6.2915237257047085</v>
      </c>
      <c r="AA305">
        <f t="array" ref="AA305">INDEX(P$3:P$700,MATCH($B305&amp;$C305&amp;"baseline",$B$3:$B$700&amp;$C$3:$C$700&amp;$D$3:$D$700,0))</f>
        <v>6.6319645738278721E-3</v>
      </c>
      <c r="AB305">
        <f t="array" ref="AB305">INDEX(Q$3:Q$700,MATCH($B305&amp;$C305&amp;"baseline",$B$3:$B$700&amp;$C$3:$C$700&amp;$D$3:$D$700,0))</f>
        <v>0</v>
      </c>
      <c r="AC305">
        <f t="shared" si="34"/>
        <v>62.108348233898013</v>
      </c>
      <c r="AD305">
        <f t="shared" si="35"/>
        <v>1.2169654992974159</v>
      </c>
      <c r="AE305">
        <f t="shared" si="36"/>
        <v>-0.68088169624632755</v>
      </c>
      <c r="AF305">
        <f t="shared" si="37"/>
        <v>0.86314290799074911</v>
      </c>
      <c r="AG305">
        <f>(S305+V305+Y305)*constants!$O$2+(R305+T305+U305+W305+X305+Z305+AA305+AB305)*constants!$N$2</f>
        <v>3.5475169919844438</v>
      </c>
      <c r="AH305">
        <f>((S305+V305+Y305)-(H305+K305+N305))*constants!$O$2</f>
        <v>1.9714841088618137E-2</v>
      </c>
      <c r="AI305">
        <f>((R305+T305+U305+W305+X305+Z305+AA305+AB305)-(G305+I305+J305+L305+M305+O305+P305+Q305))*constants!$N$2</f>
        <v>-7.6939631675835021E-2</v>
      </c>
      <c r="AJ305">
        <f t="shared" si="38"/>
        <v>-1.6130941928260061</v>
      </c>
      <c r="AK305">
        <f t="shared" si="39"/>
        <v>-5.7224790587216884E-2</v>
      </c>
      <c r="AL305">
        <f>COUNTIFS($B:$B,$B305,$AK:$AK,"&lt;"&amp;$AK305)+COUNTIFS($B$2:$B305,$B305,$AK$2:$AK305,$AK305)</f>
        <v>16</v>
      </c>
      <c r="AM305" s="191">
        <f>IF(AK305=0, "NA",IF(((sim_annual_output!F305/E305)/AK305)&lt;0,100,((sim_annual_output!F305/E305)/AK305)))</f>
        <v>100</v>
      </c>
      <c r="AN305">
        <f>(S305+V305)*constants!$F$2+(T305+U305+W305+X305+Y305+Z305+AA305+AB305)*constants!$G$2</f>
        <v>28981.775824476979</v>
      </c>
      <c r="AO305">
        <f>(AD305*constants!$F$2+AE305*constants!$G$2)</f>
        <v>-374.53025136006755</v>
      </c>
      <c r="AP305">
        <f t="shared" si="40"/>
        <v>-1.2922957296624749</v>
      </c>
    </row>
    <row r="306" spans="1:42">
      <c r="A306">
        <f>sim_annual_output!B306</f>
        <v>17</v>
      </c>
      <c r="B306" t="str">
        <f>sim_annual_output!C306</f>
        <v>Office-Small</v>
      </c>
      <c r="C306" t="str">
        <f>sim_annual_output!D306</f>
        <v>1980-2004</v>
      </c>
      <c r="D306" t="str">
        <f>sim_annual_output!E306</f>
        <v>elec_reduce</v>
      </c>
      <c r="E306" s="45">
        <f t="array" ref="E306">IFERROR(INDEX(baseline!$J$3:$J$201,MATCH($B306&amp;$C306,baseline!$C$3:$C$201&amp;baseline!$D$3:$D$201,0)),"NA")</f>
        <v>584</v>
      </c>
      <c r="F306">
        <f>sim_annual_output!G306</f>
        <v>1211.46221507992</v>
      </c>
      <c r="G306">
        <f>$E306/$F306^2*sim_annual_output!I306</f>
        <v>0.50734528989783223</v>
      </c>
      <c r="H306">
        <f>$E306/$F306^2*sim_annual_output!J306</f>
        <v>37.336855223221946</v>
      </c>
      <c r="I306">
        <f>$E306/$F306^2*sim_annual_output!K306</f>
        <v>0.84115417344716858</v>
      </c>
      <c r="J306">
        <f>$E306/$F306^2*sim_annual_output!L306</f>
        <v>2.7810038112918209</v>
      </c>
      <c r="K306">
        <f>$E306/$F306^2*sim_annual_output!M306</f>
        <v>0</v>
      </c>
      <c r="L306">
        <f>$E306/$F306^2*sim_annual_output!N306</f>
        <v>9.0150505106900223</v>
      </c>
      <c r="M306">
        <f>$E306/$F306^2*sim_annual_output!O306</f>
        <v>3.0838635268299606</v>
      </c>
      <c r="N306">
        <f>$E306/$F306^2*sim_annual_output!P306</f>
        <v>0</v>
      </c>
      <c r="O306">
        <f>$E306/$F306^2*sim_annual_output!Q306</f>
        <v>5.2989396944884701</v>
      </c>
      <c r="P306">
        <f>$E306/$F306^2*sim_annual_output!R306</f>
        <v>4.4213097158852478E-3</v>
      </c>
      <c r="Q306">
        <f>$E306/$F306^2*sim_annual_output!S306</f>
        <v>0</v>
      </c>
      <c r="R306">
        <f t="array" ref="R306">INDEX(G$3:G$700,MATCH($B306&amp;$C306&amp;"baseline",$B$3:$B$700&amp;$C$3:$C$700&amp;$D$3:$D$700,0))</f>
        <v>0.31833429954373788</v>
      </c>
      <c r="S306">
        <f t="array" ref="S306">INDEX(H$3:H$700,MATCH($B306&amp;$C306&amp;"baseline",$B$3:$B$700&amp;$C$3:$C$700&amp;$D$3:$D$700,0))</f>
        <v>35.854611140971421</v>
      </c>
      <c r="T306">
        <f t="array" ref="T306">INDEX(I$3:I$700,MATCH($B306&amp;$C306&amp;"baseline",$B$3:$B$700&amp;$C$3:$C$700&amp;$D$3:$D$700,0))</f>
        <v>0.89752587232470527</v>
      </c>
      <c r="U306">
        <f t="array" ref="U306">INDEX(J$3:J$700,MATCH($B306&amp;$C306&amp;"baseline",$B$3:$B$700&amp;$C$3:$C$700&amp;$D$3:$D$700,0))</f>
        <v>2.7776878290049072</v>
      </c>
      <c r="V306">
        <f t="array" ref="V306">INDEX(K$3:K$700,MATCH($B306&amp;$C306&amp;"baseline",$B$3:$B$700&amp;$C$3:$C$700&amp;$D$3:$D$700,0))</f>
        <v>0</v>
      </c>
      <c r="W306">
        <f t="array" ref="W306">INDEX(L$3:L$700,MATCH($B306&amp;$C306&amp;"baseline",$B$3:$B$700&amp;$C$3:$C$700&amp;$D$3:$D$700,0))</f>
        <v>12.878169874944756</v>
      </c>
      <c r="X306">
        <f t="array" ref="X306">INDEX(M$3:M$700,MATCH($B306&amp;$C306&amp;"baseline",$B$3:$B$700&amp;$C$3:$C$700&amp;$D$3:$D$700,0))</f>
        <v>3.0838635268299606</v>
      </c>
      <c r="Y306">
        <f t="array" ref="Y306">INDEX(N$3:N$700,MATCH($B306&amp;$C306&amp;"baseline",$B$3:$B$700&amp;$C$3:$C$700&amp;$D$3:$D$700,0))</f>
        <v>0</v>
      </c>
      <c r="Z306">
        <f t="array" ref="Z306">INDEX(O$3:O$700,MATCH($B306&amp;$C306&amp;"baseline",$B$3:$B$700&amp;$C$3:$C$700&amp;$D$3:$D$700,0))</f>
        <v>6.2915237257047085</v>
      </c>
      <c r="AA306">
        <f t="array" ref="AA306">INDEX(P$3:P$700,MATCH($B306&amp;$C306&amp;"baseline",$B$3:$B$700&amp;$C$3:$C$700&amp;$D$3:$D$700,0))</f>
        <v>6.6319645738278721E-3</v>
      </c>
      <c r="AB306">
        <f t="array" ref="AB306">INDEX(Q$3:Q$700,MATCH($B306&amp;$C306&amp;"baseline",$B$3:$B$700&amp;$C$3:$C$700&amp;$D$3:$D$700,0))</f>
        <v>0</v>
      </c>
      <c r="AC306">
        <f t="shared" si="34"/>
        <v>62.108348233898013</v>
      </c>
      <c r="AD306">
        <f t="shared" si="35"/>
        <v>-1.4822440822505243</v>
      </c>
      <c r="AE306">
        <f t="shared" si="36"/>
        <v>4.7219587765654474</v>
      </c>
      <c r="AF306">
        <f t="shared" si="37"/>
        <v>5.2162306460224368</v>
      </c>
      <c r="AG306">
        <f>(S306+V306+Y306)*constants!$O$2+(R306+T306+U306+W306+X306+Z306+AA306+AB306)*constants!$N$2</f>
        <v>3.5475169919844438</v>
      </c>
      <c r="AH306">
        <f>((S306+V306+Y306)-(H306+K306+N306))*constants!$O$2</f>
        <v>-2.4012354132458492E-2</v>
      </c>
      <c r="AI306">
        <f>((R306+T306+U306+W306+X306+Z306+AA306+AB306)-(G306+I306+J306+L306+M306+O306+P306+Q306))*constants!$N$2</f>
        <v>0.53358134175189553</v>
      </c>
      <c r="AJ306">
        <f t="shared" si="38"/>
        <v>14.364102801221243</v>
      </c>
      <c r="AK306">
        <f t="shared" si="39"/>
        <v>0.50956898761943703</v>
      </c>
      <c r="AL306">
        <f>COUNTIFS($B:$B,$B306,$AK:$AK,"&lt;"&amp;$AK306)+COUNTIFS($B$2:$B306,$B306,$AK$2:$AK306,$AK306)</f>
        <v>57</v>
      </c>
      <c r="AM306" s="191">
        <f>IF(AK306=0, "NA",IF(((sim_annual_output!F306/E306)/AK306)&lt;0,100,((sim_annual_output!F306/E306)/AK306)))</f>
        <v>136.02554780413325</v>
      </c>
      <c r="AN306">
        <f>(S306+V306)*constants!$F$2+(T306+U306+W306+X306+Y306+Z306+AA306+AB306)*constants!$G$2</f>
        <v>28981.775824476979</v>
      </c>
      <c r="AO306">
        <f>(AD306*constants!$F$2+AE306*constants!$G$2)</f>
        <v>3842.7824448890956</v>
      </c>
      <c r="AP306">
        <f t="shared" si="40"/>
        <v>13.259306359148695</v>
      </c>
    </row>
    <row r="307" spans="1:42">
      <c r="A307">
        <f>sim_annual_output!B307</f>
        <v>17</v>
      </c>
      <c r="B307" t="str">
        <f>sim_annual_output!C307</f>
        <v>Office-Small</v>
      </c>
      <c r="C307" t="str">
        <f>sim_annual_output!D307</f>
        <v>1980-2004</v>
      </c>
      <c r="D307" t="str">
        <f>sim_annual_output!E307</f>
        <v>envelope_ecm_roof</v>
      </c>
      <c r="E307" s="45">
        <f t="array" ref="E307">IFERROR(INDEX(baseline!$J$3:$J$201,MATCH($B307&amp;$C307,baseline!$C$3:$C$201&amp;baseline!$D$3:$D$201,0)),"NA")</f>
        <v>584</v>
      </c>
      <c r="F307">
        <f>sim_annual_output!G307</f>
        <v>1211.46221507992</v>
      </c>
      <c r="G307">
        <f>$E307/$F307^2*sim_annual_output!I307</f>
        <v>0.63114196194261918</v>
      </c>
      <c r="H307">
        <f>$E307/$F307^2*sim_annual_output!J307</f>
        <v>30.623096419650199</v>
      </c>
      <c r="I307">
        <f>$E307/$F307^2*sim_annual_output!K307</f>
        <v>1.2534413044534678</v>
      </c>
      <c r="J307">
        <f>$E307/$F307^2*sim_annual_output!L307</f>
        <v>2.7710558644310797</v>
      </c>
      <c r="K307">
        <f>$E307/$F307^2*sim_annual_output!M307</f>
        <v>0</v>
      </c>
      <c r="L307">
        <f>$E307/$F307^2*sim_annual_output!N307</f>
        <v>12.878169874944756</v>
      </c>
      <c r="M307">
        <f>$E307/$F307^2*sim_annual_output!O307</f>
        <v>3.0838635268299606</v>
      </c>
      <c r="N307">
        <f>$E307/$F307^2*sim_annual_output!P307</f>
        <v>0</v>
      </c>
      <c r="O307">
        <f>$E307/$F307^2*sim_annual_output!Q307</f>
        <v>5.8593407009769258</v>
      </c>
      <c r="P307">
        <f>$E307/$F307^2*sim_annual_output!R307</f>
        <v>6.6319645738278721E-3</v>
      </c>
      <c r="Q307">
        <f>$E307/$F307^2*sim_annual_output!S307</f>
        <v>0</v>
      </c>
      <c r="R307">
        <f t="array" ref="R307">INDEX(G$3:G$700,MATCH($B307&amp;$C307&amp;"baseline",$B$3:$B$700&amp;$C$3:$C$700&amp;$D$3:$D$700,0))</f>
        <v>0.31833429954373788</v>
      </c>
      <c r="S307">
        <f t="array" ref="S307">INDEX(H$3:H$700,MATCH($B307&amp;$C307&amp;"baseline",$B$3:$B$700&amp;$C$3:$C$700&amp;$D$3:$D$700,0))</f>
        <v>35.854611140971421</v>
      </c>
      <c r="T307">
        <f t="array" ref="T307">INDEX(I$3:I$700,MATCH($B307&amp;$C307&amp;"baseline",$B$3:$B$700&amp;$C$3:$C$700&amp;$D$3:$D$700,0))</f>
        <v>0.89752587232470527</v>
      </c>
      <c r="U307">
        <f t="array" ref="U307">INDEX(J$3:J$700,MATCH($B307&amp;$C307&amp;"baseline",$B$3:$B$700&amp;$C$3:$C$700&amp;$D$3:$D$700,0))</f>
        <v>2.7776878290049072</v>
      </c>
      <c r="V307">
        <f t="array" ref="V307">INDEX(K$3:K$700,MATCH($B307&amp;$C307&amp;"baseline",$B$3:$B$700&amp;$C$3:$C$700&amp;$D$3:$D$700,0))</f>
        <v>0</v>
      </c>
      <c r="W307">
        <f t="array" ref="W307">INDEX(L$3:L$700,MATCH($B307&amp;$C307&amp;"baseline",$B$3:$B$700&amp;$C$3:$C$700&amp;$D$3:$D$700,0))</f>
        <v>12.878169874944756</v>
      </c>
      <c r="X307">
        <f t="array" ref="X307">INDEX(M$3:M$700,MATCH($B307&amp;$C307&amp;"baseline",$B$3:$B$700&amp;$C$3:$C$700&amp;$D$3:$D$700,0))</f>
        <v>3.0838635268299606</v>
      </c>
      <c r="Y307">
        <f t="array" ref="Y307">INDEX(N$3:N$700,MATCH($B307&amp;$C307&amp;"baseline",$B$3:$B$700&amp;$C$3:$C$700&amp;$D$3:$D$700,0))</f>
        <v>0</v>
      </c>
      <c r="Z307">
        <f t="array" ref="Z307">INDEX(O$3:O$700,MATCH($B307&amp;$C307&amp;"baseline",$B$3:$B$700&amp;$C$3:$C$700&amp;$D$3:$D$700,0))</f>
        <v>6.2915237257047085</v>
      </c>
      <c r="AA307">
        <f t="array" ref="AA307">INDEX(P$3:P$700,MATCH($B307&amp;$C307&amp;"baseline",$B$3:$B$700&amp;$C$3:$C$700&amp;$D$3:$D$700,0))</f>
        <v>6.6319645738278721E-3</v>
      </c>
      <c r="AB307">
        <f t="array" ref="AB307">INDEX(Q$3:Q$700,MATCH($B307&amp;$C307&amp;"baseline",$B$3:$B$700&amp;$C$3:$C$700&amp;$D$3:$D$700,0))</f>
        <v>0</v>
      </c>
      <c r="AC307">
        <f t="shared" si="34"/>
        <v>62.108348233898013</v>
      </c>
      <c r="AD307">
        <f t="shared" si="35"/>
        <v>5.2315147213212221</v>
      </c>
      <c r="AE307">
        <f t="shared" si="36"/>
        <v>-0.22990810522603056</v>
      </c>
      <c r="AF307">
        <f t="shared" si="37"/>
        <v>8.0530343477487172</v>
      </c>
      <c r="AG307">
        <f>(S307+V307+Y307)*constants!$O$2+(R307+T307+U307+W307+X307+Z307+AA307+AB307)*constants!$N$2</f>
        <v>3.5475169919844438</v>
      </c>
      <c r="AH307">
        <f>((S307+V307+Y307)-(H307+K307+N307))*constants!$O$2</f>
        <v>8.4750538485403787E-2</v>
      </c>
      <c r="AI307">
        <f>((R307+T307+U307+W307+X307+Z307+AA307+AB307)-(G307+I307+J307+L307+M307+O307+P307+Q307))*constants!$N$2</f>
        <v>-2.5979615890541454E-2</v>
      </c>
      <c r="AJ307">
        <f t="shared" si="38"/>
        <v>1.6566776911190069</v>
      </c>
      <c r="AK307">
        <f t="shared" si="39"/>
        <v>5.8770922594862329E-2</v>
      </c>
      <c r="AL307">
        <f>COUNTIFS($B:$B,$B307,$AK:$AK,"&lt;"&amp;$AK307)+COUNTIFS($B$2:$B307,$B307,$AK$2:$AK307,$AK307)</f>
        <v>46</v>
      </c>
      <c r="AM307" s="191">
        <f>IF(AK307=0, "NA",IF(((sim_annual_output!F307/E307)/AK307)&lt;0,100,((sim_annual_output!F307/E307)/AK307)))</f>
        <v>4425.4781692714741</v>
      </c>
      <c r="AN307">
        <f>(S307+V307)*constants!$F$2+(T307+U307+W307+X307+Y307+Z307+AA307+AB307)*constants!$G$2</f>
        <v>28981.775824476979</v>
      </c>
      <c r="AO307">
        <f>(AD307*constants!$F$2+AE307*constants!$G$2)</f>
        <v>736.42108356985227</v>
      </c>
      <c r="AP307">
        <f t="shared" si="40"/>
        <v>2.5409798489570026</v>
      </c>
    </row>
    <row r="308" spans="1:42">
      <c r="A308">
        <f>sim_annual_output!B308</f>
        <v>17</v>
      </c>
      <c r="B308" t="str">
        <f>sim_annual_output!C308</f>
        <v>Office-Small</v>
      </c>
      <c r="C308" t="str">
        <f>sim_annual_output!D308</f>
        <v>1980-2004</v>
      </c>
      <c r="D308" t="str">
        <f>sim_annual_output!E308</f>
        <v>envelope_ecm_wall</v>
      </c>
      <c r="E308" s="45">
        <f t="array" ref="E308">IFERROR(INDEX(baseline!$J$3:$J$201,MATCH($B308&amp;$C308,baseline!$C$3:$C$201&amp;baseline!$D$3:$D$201,0)),"NA")</f>
        <v>584</v>
      </c>
      <c r="F308">
        <f>sim_annual_output!G308</f>
        <v>1211.46221507992</v>
      </c>
      <c r="G308">
        <f>$E308/$F308^2*sim_annual_output!I308</f>
        <v>0.61456205050804957</v>
      </c>
      <c r="H308">
        <f>$E308/$F308^2*sim_annual_output!J308</f>
        <v>32.963074586782469</v>
      </c>
      <c r="I308">
        <f>$E308/$F308^2*sim_annual_output!K308</f>
        <v>1.3031810387571769</v>
      </c>
      <c r="J308">
        <f>$E308/$F308^2*sim_annual_output!L308</f>
        <v>2.7688452095731364</v>
      </c>
      <c r="K308">
        <f>$E308/$F308^2*sim_annual_output!M308</f>
        <v>0</v>
      </c>
      <c r="L308">
        <f>$E308/$F308^2*sim_annual_output!N308</f>
        <v>12.878169874944756</v>
      </c>
      <c r="M308">
        <f>$E308/$F308^2*sim_annual_output!O308</f>
        <v>3.0838635268299606</v>
      </c>
      <c r="N308">
        <f>$E308/$F308^2*sim_annual_output!P308</f>
        <v>0</v>
      </c>
      <c r="O308">
        <f>$E308/$F308^2*sim_annual_output!Q308</f>
        <v>6.0925647884898719</v>
      </c>
      <c r="P308">
        <f>$E308/$F308^2*sim_annual_output!R308</f>
        <v>6.6319645738278721E-3</v>
      </c>
      <c r="Q308">
        <f>$E308/$F308^2*sim_annual_output!S308</f>
        <v>0</v>
      </c>
      <c r="R308">
        <f t="array" ref="R308">INDEX(G$3:G$700,MATCH($B308&amp;$C308&amp;"baseline",$B$3:$B$700&amp;$C$3:$C$700&amp;$D$3:$D$700,0))</f>
        <v>0.31833429954373788</v>
      </c>
      <c r="S308">
        <f t="array" ref="S308">INDEX(H$3:H$700,MATCH($B308&amp;$C308&amp;"baseline",$B$3:$B$700&amp;$C$3:$C$700&amp;$D$3:$D$700,0))</f>
        <v>35.854611140971421</v>
      </c>
      <c r="T308">
        <f t="array" ref="T308">INDEX(I$3:I$700,MATCH($B308&amp;$C308&amp;"baseline",$B$3:$B$700&amp;$C$3:$C$700&amp;$D$3:$D$700,0))</f>
        <v>0.89752587232470527</v>
      </c>
      <c r="U308">
        <f t="array" ref="U308">INDEX(J$3:J$700,MATCH($B308&amp;$C308&amp;"baseline",$B$3:$B$700&amp;$C$3:$C$700&amp;$D$3:$D$700,0))</f>
        <v>2.7776878290049072</v>
      </c>
      <c r="V308">
        <f t="array" ref="V308">INDEX(K$3:K$700,MATCH($B308&amp;$C308&amp;"baseline",$B$3:$B$700&amp;$C$3:$C$700&amp;$D$3:$D$700,0))</f>
        <v>0</v>
      </c>
      <c r="W308">
        <f t="array" ref="W308">INDEX(L$3:L$700,MATCH($B308&amp;$C308&amp;"baseline",$B$3:$B$700&amp;$C$3:$C$700&amp;$D$3:$D$700,0))</f>
        <v>12.878169874944756</v>
      </c>
      <c r="X308">
        <f t="array" ref="X308">INDEX(M$3:M$700,MATCH($B308&amp;$C308&amp;"baseline",$B$3:$B$700&amp;$C$3:$C$700&amp;$D$3:$D$700,0))</f>
        <v>3.0838635268299606</v>
      </c>
      <c r="Y308">
        <f t="array" ref="Y308">INDEX(N$3:N$700,MATCH($B308&amp;$C308&amp;"baseline",$B$3:$B$700&amp;$C$3:$C$700&amp;$D$3:$D$700,0))</f>
        <v>0</v>
      </c>
      <c r="Z308">
        <f t="array" ref="Z308">INDEX(O$3:O$700,MATCH($B308&amp;$C308&amp;"baseline",$B$3:$B$700&amp;$C$3:$C$700&amp;$D$3:$D$700,0))</f>
        <v>6.2915237257047085</v>
      </c>
      <c r="AA308">
        <f t="array" ref="AA308">INDEX(P$3:P$700,MATCH($B308&amp;$C308&amp;"baseline",$B$3:$B$700&amp;$C$3:$C$700&amp;$D$3:$D$700,0))</f>
        <v>6.6319645738278721E-3</v>
      </c>
      <c r="AB308">
        <f t="array" ref="AB308">INDEX(Q$3:Q$700,MATCH($B308&amp;$C308&amp;"baseline",$B$3:$B$700&amp;$C$3:$C$700&amp;$D$3:$D$700,0))</f>
        <v>0</v>
      </c>
      <c r="AC308">
        <f t="shared" si="34"/>
        <v>62.108348233898013</v>
      </c>
      <c r="AD308">
        <f t="shared" si="35"/>
        <v>2.8915365541889528</v>
      </c>
      <c r="AE308">
        <f t="shared" si="36"/>
        <v>-0.49408136075017239</v>
      </c>
      <c r="AF308">
        <f t="shared" si="37"/>
        <v>3.8601174586225389</v>
      </c>
      <c r="AG308">
        <f>(S308+V308+Y308)*constants!$O$2+(R308+T308+U308+W308+X308+Z308+AA308+AB308)*constants!$N$2</f>
        <v>3.5475169919844438</v>
      </c>
      <c r="AH308">
        <f>((S308+V308+Y308)-(H308+K308+N308))*constants!$O$2</f>
        <v>4.6842892177861035E-2</v>
      </c>
      <c r="AI308">
        <f>((R308+T308+U308+W308+X308+Z308+AA308+AB308)-(G308+I308+J308+L308+M308+O308+P308+Q308))*constants!$N$2</f>
        <v>-5.5831193764769485E-2</v>
      </c>
      <c r="AJ308">
        <f t="shared" si="38"/>
        <v>-0.25336880999350725</v>
      </c>
      <c r="AK308">
        <f t="shared" si="39"/>
        <v>-8.9883015869084495E-3</v>
      </c>
      <c r="AL308">
        <f>COUNTIFS($B:$B,$B308,$AK:$AK,"&lt;"&amp;$AK308)+COUNTIFS($B$2:$B308,$B308,$AK$2:$AK308,$AK308)</f>
        <v>34</v>
      </c>
      <c r="AM308" s="191">
        <f>IF(AK308=0, "NA",IF(((sim_annual_output!F308/E308)/AK308)&lt;0,100,((sim_annual_output!F308/E308)/AK308)))</f>
        <v>100</v>
      </c>
      <c r="AN308">
        <f>(S308+V308)*constants!$F$2+(T308+U308+W308+X308+Y308+Z308+AA308+AB308)*constants!$G$2</f>
        <v>28981.775824476979</v>
      </c>
      <c r="AO308">
        <f>(AD308*constants!$F$2+AE308*constants!$G$2)</f>
        <v>87.734259347172497</v>
      </c>
      <c r="AP308">
        <f t="shared" si="40"/>
        <v>0.30272216539980018</v>
      </c>
    </row>
    <row r="309" spans="1:42">
      <c r="A309">
        <f>sim_annual_output!B309</f>
        <v>17</v>
      </c>
      <c r="B309" t="str">
        <f>sim_annual_output!C309</f>
        <v>Office-Small</v>
      </c>
      <c r="C309" t="str">
        <f>sim_annual_output!D309</f>
        <v>1980-2004</v>
      </c>
      <c r="D309" t="str">
        <f>sim_annual_output!E309</f>
        <v>envelope_ecm_windows</v>
      </c>
      <c r="E309" s="45">
        <f t="array" ref="E309">IFERROR(INDEX(baseline!$J$3:$J$201,MATCH($B309&amp;$C309,baseline!$C$3:$C$201&amp;baseline!$D$3:$D$201,0)),"NA")</f>
        <v>584</v>
      </c>
      <c r="F309">
        <f>sim_annual_output!G309</f>
        <v>1211.46221507992</v>
      </c>
      <c r="G309">
        <f>$E309/$F309^2*sim_annual_output!I309</f>
        <v>0.62450999736879131</v>
      </c>
      <c r="H309">
        <f>$E309/$F309^2*sim_annual_output!J309</f>
        <v>33.294672815473859</v>
      </c>
      <c r="I309">
        <f>$E309/$F309^2*sim_annual_output!K309</f>
        <v>1.3031810387571769</v>
      </c>
      <c r="J309">
        <f>$E309/$F309^2*sim_annual_output!L309</f>
        <v>2.7776878290049072</v>
      </c>
      <c r="K309">
        <f>$E309/$F309^2*sim_annual_output!M309</f>
        <v>0</v>
      </c>
      <c r="L309">
        <f>$E309/$F309^2*sim_annual_output!N309</f>
        <v>12.878169874944756</v>
      </c>
      <c r="M309">
        <f>$E309/$F309^2*sim_annual_output!O309</f>
        <v>3.0838635268299606</v>
      </c>
      <c r="N309">
        <f>$E309/$F309^2*sim_annual_output!P309</f>
        <v>0</v>
      </c>
      <c r="O309">
        <f>$E309/$F309^2*sim_annual_output!Q309</f>
        <v>6.1798856553786052</v>
      </c>
      <c r="P309">
        <f>$E309/$F309^2*sim_annual_output!R309</f>
        <v>6.6319645738278721E-3</v>
      </c>
      <c r="Q309">
        <f>$E309/$F309^2*sim_annual_output!S309</f>
        <v>0</v>
      </c>
      <c r="R309">
        <f t="array" ref="R309">INDEX(G$3:G$700,MATCH($B309&amp;$C309&amp;"baseline",$B$3:$B$700&amp;$C$3:$C$700&amp;$D$3:$D$700,0))</f>
        <v>0.31833429954373788</v>
      </c>
      <c r="S309">
        <f t="array" ref="S309">INDEX(H$3:H$700,MATCH($B309&amp;$C309&amp;"baseline",$B$3:$B$700&amp;$C$3:$C$700&amp;$D$3:$D$700,0))</f>
        <v>35.854611140971421</v>
      </c>
      <c r="T309">
        <f t="array" ref="T309">INDEX(I$3:I$700,MATCH($B309&amp;$C309&amp;"baseline",$B$3:$B$700&amp;$C$3:$C$700&amp;$D$3:$D$700,0))</f>
        <v>0.89752587232470527</v>
      </c>
      <c r="U309">
        <f t="array" ref="U309">INDEX(J$3:J$700,MATCH($B309&amp;$C309&amp;"baseline",$B$3:$B$700&amp;$C$3:$C$700&amp;$D$3:$D$700,0))</f>
        <v>2.7776878290049072</v>
      </c>
      <c r="V309">
        <f t="array" ref="V309">INDEX(K$3:K$700,MATCH($B309&amp;$C309&amp;"baseline",$B$3:$B$700&amp;$C$3:$C$700&amp;$D$3:$D$700,0))</f>
        <v>0</v>
      </c>
      <c r="W309">
        <f t="array" ref="W309">INDEX(L$3:L$700,MATCH($B309&amp;$C309&amp;"baseline",$B$3:$B$700&amp;$C$3:$C$700&amp;$D$3:$D$700,0))</f>
        <v>12.878169874944756</v>
      </c>
      <c r="X309">
        <f t="array" ref="X309">INDEX(M$3:M$700,MATCH($B309&amp;$C309&amp;"baseline",$B$3:$B$700&amp;$C$3:$C$700&amp;$D$3:$D$700,0))</f>
        <v>3.0838635268299606</v>
      </c>
      <c r="Y309">
        <f t="array" ref="Y309">INDEX(N$3:N$700,MATCH($B309&amp;$C309&amp;"baseline",$B$3:$B$700&amp;$C$3:$C$700&amp;$D$3:$D$700,0))</f>
        <v>0</v>
      </c>
      <c r="Z309">
        <f t="array" ref="Z309">INDEX(O$3:O$700,MATCH($B309&amp;$C309&amp;"baseline",$B$3:$B$700&amp;$C$3:$C$700&amp;$D$3:$D$700,0))</f>
        <v>6.2915237257047085</v>
      </c>
      <c r="AA309">
        <f t="array" ref="AA309">INDEX(P$3:P$700,MATCH($B309&amp;$C309&amp;"baseline",$B$3:$B$700&amp;$C$3:$C$700&amp;$D$3:$D$700,0))</f>
        <v>6.6319645738278721E-3</v>
      </c>
      <c r="AB309">
        <f t="array" ref="AB309">INDEX(Q$3:Q$700,MATCH($B309&amp;$C309&amp;"baseline",$B$3:$B$700&amp;$C$3:$C$700&amp;$D$3:$D$700,0))</f>
        <v>0</v>
      </c>
      <c r="AC309">
        <f t="shared" si="34"/>
        <v>62.108348233898013</v>
      </c>
      <c r="AD309">
        <f t="shared" si="35"/>
        <v>2.5599383254975621</v>
      </c>
      <c r="AE309">
        <f t="shared" si="36"/>
        <v>-0.60019279393142</v>
      </c>
      <c r="AF309">
        <f t="shared" si="37"/>
        <v>3.1553657234383441</v>
      </c>
      <c r="AG309">
        <f>(S309+V309+Y309)*constants!$O$2+(R309+T309+U309+W309+X309+Z309+AA309+AB309)*constants!$N$2</f>
        <v>3.5475169919844438</v>
      </c>
      <c r="AH309">
        <f>((S309+V309+Y309)-(H309+K309+N309))*constants!$O$2</f>
        <v>4.14710008730605E-2</v>
      </c>
      <c r="AI309">
        <f>((R309+T309+U309+W309+X309+Z309+AA309+AB309)-(G309+I309+J309+L309+M309+O309+P309+Q309))*constants!$N$2</f>
        <v>-6.782178571425046E-2</v>
      </c>
      <c r="AJ309">
        <f t="shared" si="38"/>
        <v>-0.74279516914870669</v>
      </c>
      <c r="AK309">
        <f t="shared" si="39"/>
        <v>-2.635078484118996E-2</v>
      </c>
      <c r="AL309">
        <f>COUNTIFS($B:$B,$B309,$AK:$AK,"&lt;"&amp;$AK309)+COUNTIFS($B$2:$B309,$B309,$AK$2:$AK309,$AK309)</f>
        <v>33</v>
      </c>
      <c r="AM309" s="191">
        <f>IF(AK309=0, "NA",IF(((sim_annual_output!F309/E309)/AK309)&lt;0,100,((sim_annual_output!F309/E309)/AK309)))</f>
        <v>100</v>
      </c>
      <c r="AN309">
        <f>(S309+V309)*constants!$F$2+(T309+U309+W309+X309+Y309+Z309+AA309+AB309)*constants!$G$2</f>
        <v>28981.775824476979</v>
      </c>
      <c r="AO309">
        <f>(AD309*constants!$F$2+AE309*constants!$G$2)</f>
        <v>-63.938770456271754</v>
      </c>
      <c r="AP309">
        <f t="shared" si="40"/>
        <v>-0.22061715901574028</v>
      </c>
    </row>
    <row r="310" spans="1:42">
      <c r="A310">
        <f>sim_annual_output!B310</f>
        <v>17</v>
      </c>
      <c r="B310" t="str">
        <f>sim_annual_output!C310</f>
        <v>Office-Small</v>
      </c>
      <c r="C310" t="str">
        <f>sim_annual_output!D310</f>
        <v>1980-2004</v>
      </c>
      <c r="D310" t="str">
        <f>sim_annual_output!E310</f>
        <v>exhaust_fans_occ_control</v>
      </c>
      <c r="E310" s="45">
        <f t="array" ref="E310">IFERROR(INDEX(baseline!$J$3:$J$201,MATCH($B310&amp;$C310,baseline!$C$3:$C$201&amp;baseline!$D$3:$D$201,0)),"NA")</f>
        <v>584</v>
      </c>
      <c r="F310">
        <f>sim_annual_output!G310</f>
        <v>1211.46221507992</v>
      </c>
      <c r="G310">
        <f>$E310/$F310^2*sim_annual_output!I310</f>
        <v>0.6267206522267339</v>
      </c>
      <c r="H310">
        <f>$E310/$F310^2*sim_annual_output!J310</f>
        <v>34.637645641674006</v>
      </c>
      <c r="I310">
        <f>$E310/$F310^2*sim_annual_output!K310</f>
        <v>1.2810744901777507</v>
      </c>
      <c r="J310">
        <f>$E310/$F310^2*sim_annual_output!L310</f>
        <v>2.7787931564338786</v>
      </c>
      <c r="K310">
        <f>$E310/$F310^2*sim_annual_output!M310</f>
        <v>0</v>
      </c>
      <c r="L310">
        <f>$E310/$F310^2*sim_annual_output!N310</f>
        <v>12.878169874944756</v>
      </c>
      <c r="M310">
        <f>$E310/$F310^2*sim_annual_output!O310</f>
        <v>3.0838635268299606</v>
      </c>
      <c r="N310">
        <f>$E310/$F310^2*sim_annual_output!P310</f>
        <v>0</v>
      </c>
      <c r="O310">
        <f>$E310/$F310^2*sim_annual_output!Q310</f>
        <v>5.2768331459090438</v>
      </c>
      <c r="P310">
        <f>$E310/$F310^2*sim_annual_output!R310</f>
        <v>6.6319645738278721E-3</v>
      </c>
      <c r="Q310">
        <f>$E310/$F310^2*sim_annual_output!S310</f>
        <v>0</v>
      </c>
      <c r="R310">
        <f t="array" ref="R310">INDEX(G$3:G$700,MATCH($B310&amp;$C310&amp;"baseline",$B$3:$B$700&amp;$C$3:$C$700&amp;$D$3:$D$700,0))</f>
        <v>0.31833429954373788</v>
      </c>
      <c r="S310">
        <f t="array" ref="S310">INDEX(H$3:H$700,MATCH($B310&amp;$C310&amp;"baseline",$B$3:$B$700&amp;$C$3:$C$700&amp;$D$3:$D$700,0))</f>
        <v>35.854611140971421</v>
      </c>
      <c r="T310">
        <f t="array" ref="T310">INDEX(I$3:I$700,MATCH($B310&amp;$C310&amp;"baseline",$B$3:$B$700&amp;$C$3:$C$700&amp;$D$3:$D$700,0))</f>
        <v>0.89752587232470527</v>
      </c>
      <c r="U310">
        <f t="array" ref="U310">INDEX(J$3:J$700,MATCH($B310&amp;$C310&amp;"baseline",$B$3:$B$700&amp;$C$3:$C$700&amp;$D$3:$D$700,0))</f>
        <v>2.7776878290049072</v>
      </c>
      <c r="V310">
        <f t="array" ref="V310">INDEX(K$3:K$700,MATCH($B310&amp;$C310&amp;"baseline",$B$3:$B$700&amp;$C$3:$C$700&amp;$D$3:$D$700,0))</f>
        <v>0</v>
      </c>
      <c r="W310">
        <f t="array" ref="W310">INDEX(L$3:L$700,MATCH($B310&amp;$C310&amp;"baseline",$B$3:$B$700&amp;$C$3:$C$700&amp;$D$3:$D$700,0))</f>
        <v>12.878169874944756</v>
      </c>
      <c r="X310">
        <f t="array" ref="X310">INDEX(M$3:M$700,MATCH($B310&amp;$C310&amp;"baseline",$B$3:$B$700&amp;$C$3:$C$700&amp;$D$3:$D$700,0))</f>
        <v>3.0838635268299606</v>
      </c>
      <c r="Y310">
        <f t="array" ref="Y310">INDEX(N$3:N$700,MATCH($B310&amp;$C310&amp;"baseline",$B$3:$B$700&amp;$C$3:$C$700&amp;$D$3:$D$700,0))</f>
        <v>0</v>
      </c>
      <c r="Z310">
        <f t="array" ref="Z310">INDEX(O$3:O$700,MATCH($B310&amp;$C310&amp;"baseline",$B$3:$B$700&amp;$C$3:$C$700&amp;$D$3:$D$700,0))</f>
        <v>6.2915237257047085</v>
      </c>
      <c r="AA310">
        <f t="array" ref="AA310">INDEX(P$3:P$700,MATCH($B310&amp;$C310&amp;"baseline",$B$3:$B$700&amp;$C$3:$C$700&amp;$D$3:$D$700,0))</f>
        <v>6.6319645738278721E-3</v>
      </c>
      <c r="AB310">
        <f t="array" ref="AB310">INDEX(Q$3:Q$700,MATCH($B310&amp;$C310&amp;"baseline",$B$3:$B$700&amp;$C$3:$C$700&amp;$D$3:$D$700,0))</f>
        <v>0</v>
      </c>
      <c r="AC310">
        <f t="shared" si="34"/>
        <v>62.108348233898013</v>
      </c>
      <c r="AD310">
        <f t="shared" si="35"/>
        <v>1.2169654992974159</v>
      </c>
      <c r="AE310">
        <f t="shared" si="36"/>
        <v>0.32165028183065303</v>
      </c>
      <c r="AF310">
        <f t="shared" si="37"/>
        <v>2.4773091297383925</v>
      </c>
      <c r="AG310">
        <f>(S310+V310+Y310)*constants!$O$2+(R310+T310+U310+W310+X310+Z310+AA310+AB310)*constants!$N$2</f>
        <v>3.5475169919844438</v>
      </c>
      <c r="AH310">
        <f>((S310+V310+Y310)-(H310+K310+N310))*constants!$O$2</f>
        <v>1.9714841088618137E-2</v>
      </c>
      <c r="AI310">
        <f>((R310+T310+U310+W310+X310+Z310+AA310+AB310)-(G310+I310+J310+L310+M310+O310+P310+Q310))*constants!$N$2</f>
        <v>3.6346481846863794E-2</v>
      </c>
      <c r="AJ310">
        <f t="shared" si="38"/>
        <v>1.5802975168872075</v>
      </c>
      <c r="AK310">
        <f t="shared" si="39"/>
        <v>5.6061322935481932E-2</v>
      </c>
      <c r="AL310">
        <f>COUNTIFS($B:$B,$B310,$AK:$AK,"&lt;"&amp;$AK310)+COUNTIFS($B$2:$B310,$B310,$AK$2:$AK310,$AK310)</f>
        <v>45</v>
      </c>
      <c r="AM310" s="191">
        <f>IF(AK310=0, "NA",IF(((sim_annual_output!F310/E310)/AK310)&lt;0,100,((sim_annual_output!F310/E310)/AK310)))</f>
        <v>44.718643265964722</v>
      </c>
      <c r="AN310">
        <f>(S310+V310)*constants!$F$2+(T310+U310+W310+X310+Y310+Z310+AA310+AB310)*constants!$G$2</f>
        <v>28981.775824476979</v>
      </c>
      <c r="AO310">
        <f>(AD310*constants!$F$2+AE310*constants!$G$2)</f>
        <v>497.67256956690557</v>
      </c>
      <c r="AP310">
        <f t="shared" si="40"/>
        <v>1.7171914260222416</v>
      </c>
    </row>
    <row r="311" spans="1:42">
      <c r="A311">
        <f>sim_annual_output!B311</f>
        <v>17</v>
      </c>
      <c r="B311" t="str">
        <f>sim_annual_output!C311</f>
        <v>Office-Small</v>
      </c>
      <c r="C311" t="str">
        <f>sim_annual_output!D311</f>
        <v>1980-2004</v>
      </c>
      <c r="D311" t="str">
        <f>sim_annual_output!E311</f>
        <v>fans_to_variable</v>
      </c>
      <c r="E311" s="45">
        <f t="array" ref="E311">IFERROR(INDEX(baseline!$J$3:$J$201,MATCH($B311&amp;$C311,baseline!$C$3:$C$201&amp;baseline!$D$3:$D$201,0)),"NA")</f>
        <v>584</v>
      </c>
      <c r="F311">
        <f>sim_annual_output!G311</f>
        <v>1211.46221507992</v>
      </c>
      <c r="G311">
        <f>$E311/$F311^2*sim_annual_output!I311</f>
        <v>0.62782597965570519</v>
      </c>
      <c r="H311">
        <f>$E311/$F311^2*sim_annual_output!J311</f>
        <v>34.677437429116971</v>
      </c>
      <c r="I311">
        <f>$E311/$F311^2*sim_annual_output!K311</f>
        <v>1.2711265433170089</v>
      </c>
      <c r="J311">
        <f>$E311/$F311^2*sim_annual_output!L311</f>
        <v>2.7787931564338786</v>
      </c>
      <c r="K311">
        <f>$E311/$F311^2*sim_annual_output!M311</f>
        <v>0</v>
      </c>
      <c r="L311">
        <f>$E311/$F311^2*sim_annual_output!N311</f>
        <v>12.878169874944756</v>
      </c>
      <c r="M311">
        <f>$E311/$F311^2*sim_annual_output!O311</f>
        <v>3.0838635268299606</v>
      </c>
      <c r="N311">
        <f>$E311/$F311^2*sim_annual_output!P311</f>
        <v>0</v>
      </c>
      <c r="O311">
        <f>$E311/$F311^2*sim_annual_output!Q311</f>
        <v>6.2384680091140856</v>
      </c>
      <c r="P311">
        <f>$E311/$F311^2*sim_annual_output!R311</f>
        <v>6.6319645738278721E-3</v>
      </c>
      <c r="Q311">
        <f>$E311/$F311^2*sim_annual_output!S311</f>
        <v>0</v>
      </c>
      <c r="R311">
        <f t="array" ref="R311">INDEX(G$3:G$700,MATCH($B311&amp;$C311&amp;"baseline",$B$3:$B$700&amp;$C$3:$C$700&amp;$D$3:$D$700,0))</f>
        <v>0.31833429954373788</v>
      </c>
      <c r="S311">
        <f t="array" ref="S311">INDEX(H$3:H$700,MATCH($B311&amp;$C311&amp;"baseline",$B$3:$B$700&amp;$C$3:$C$700&amp;$D$3:$D$700,0))</f>
        <v>35.854611140971421</v>
      </c>
      <c r="T311">
        <f t="array" ref="T311">INDEX(I$3:I$700,MATCH($B311&amp;$C311&amp;"baseline",$B$3:$B$700&amp;$C$3:$C$700&amp;$D$3:$D$700,0))</f>
        <v>0.89752587232470527</v>
      </c>
      <c r="U311">
        <f t="array" ref="U311">INDEX(J$3:J$700,MATCH($B311&amp;$C311&amp;"baseline",$B$3:$B$700&amp;$C$3:$C$700&amp;$D$3:$D$700,0))</f>
        <v>2.7776878290049072</v>
      </c>
      <c r="V311">
        <f t="array" ref="V311">INDEX(K$3:K$700,MATCH($B311&amp;$C311&amp;"baseline",$B$3:$B$700&amp;$C$3:$C$700&amp;$D$3:$D$700,0))</f>
        <v>0</v>
      </c>
      <c r="W311">
        <f t="array" ref="W311">INDEX(L$3:L$700,MATCH($B311&amp;$C311&amp;"baseline",$B$3:$B$700&amp;$C$3:$C$700&amp;$D$3:$D$700,0))</f>
        <v>12.878169874944756</v>
      </c>
      <c r="X311">
        <f t="array" ref="X311">INDEX(M$3:M$700,MATCH($B311&amp;$C311&amp;"baseline",$B$3:$B$700&amp;$C$3:$C$700&amp;$D$3:$D$700,0))</f>
        <v>3.0838635268299606</v>
      </c>
      <c r="Y311">
        <f t="array" ref="Y311">INDEX(N$3:N$700,MATCH($B311&amp;$C311&amp;"baseline",$B$3:$B$700&amp;$C$3:$C$700&amp;$D$3:$D$700,0))</f>
        <v>0</v>
      </c>
      <c r="Z311">
        <f t="array" ref="Z311">INDEX(O$3:O$700,MATCH($B311&amp;$C311&amp;"baseline",$B$3:$B$700&amp;$C$3:$C$700&amp;$D$3:$D$700,0))</f>
        <v>6.2915237257047085</v>
      </c>
      <c r="AA311">
        <f t="array" ref="AA311">INDEX(P$3:P$700,MATCH($B311&amp;$C311&amp;"baseline",$B$3:$B$700&amp;$C$3:$C$700&amp;$D$3:$D$700,0))</f>
        <v>6.6319645738278721E-3</v>
      </c>
      <c r="AB311">
        <f t="array" ref="AB311">INDEX(Q$3:Q$700,MATCH($B311&amp;$C311&amp;"baseline",$B$3:$B$700&amp;$C$3:$C$700&amp;$D$3:$D$700,0))</f>
        <v>0</v>
      </c>
      <c r="AC311">
        <f t="shared" si="34"/>
        <v>62.108348233898013</v>
      </c>
      <c r="AD311">
        <f t="shared" si="35"/>
        <v>1.1771737118544507</v>
      </c>
      <c r="AE311">
        <f t="shared" si="36"/>
        <v>-0.63114196194262107</v>
      </c>
      <c r="AF311">
        <f t="shared" si="37"/>
        <v>0.8791599928812982</v>
      </c>
      <c r="AG311">
        <f>(S311+V311+Y311)*constants!$O$2+(R311+T311+U311+W311+X311+Z311+AA311+AB311)*constants!$N$2</f>
        <v>3.5475169919844438</v>
      </c>
      <c r="AH311">
        <f>((S311+V311+Y311)-(H311+K311+N311))*constants!$O$2</f>
        <v>1.9070214132042101E-2</v>
      </c>
      <c r="AI311">
        <f>((R311+T311+U311+W311+X311+Z311+AA311+AB311)-(G311+I311+J311+L311+M311+O311+P311+Q311))*constants!$N$2</f>
        <v>-7.1319041699516181E-2</v>
      </c>
      <c r="AJ311">
        <f t="shared" si="38"/>
        <v>-1.4728281128893659</v>
      </c>
      <c r="AK311">
        <f t="shared" si="39"/>
        <v>-5.2248827567474079E-2</v>
      </c>
      <c r="AL311">
        <f>COUNTIFS($B:$B,$B311,$AK:$AK,"&lt;"&amp;$AK311)+COUNTIFS($B$2:$B311,$B311,$AK$2:$AK311,$AK311)</f>
        <v>21</v>
      </c>
      <c r="AM311" s="191">
        <f>IF(AK311=0, "NA",IF(((sim_annual_output!F311/E311)/AK311)&lt;0,100,((sim_annual_output!F311/E311)/AK311)))</f>
        <v>100</v>
      </c>
      <c r="AN311">
        <f>(S311+V311)*constants!$F$2+(T311+U311+W311+X311+Y311+Z311+AA311+AB311)*constants!$G$2</f>
        <v>28981.775824476979</v>
      </c>
      <c r="AO311">
        <f>(AD311*constants!$F$2+AE311*constants!$G$2)</f>
        <v>-338.37941246813364</v>
      </c>
      <c r="AP311">
        <f t="shared" si="40"/>
        <v>-1.1675592776559618</v>
      </c>
    </row>
    <row r="312" spans="1:42">
      <c r="A312">
        <f>sim_annual_output!B312</f>
        <v>17</v>
      </c>
      <c r="B312" t="str">
        <f>sim_annual_output!C312</f>
        <v>Office-Small</v>
      </c>
      <c r="C312" t="str">
        <f>sim_annual_output!D312</f>
        <v>1980-2004</v>
      </c>
      <c r="D312" t="str">
        <f>sim_annual_output!E312</f>
        <v>hrv_enabled</v>
      </c>
      <c r="E312" s="45">
        <f t="array" ref="E312">IFERROR(INDEX(baseline!$J$3:$J$201,MATCH($B312&amp;$C312,baseline!$C$3:$C$201&amp;baseline!$D$3:$D$201,0)),"NA")</f>
        <v>584</v>
      </c>
      <c r="F312">
        <f>sim_annual_output!G312</f>
        <v>1211.46221507992</v>
      </c>
      <c r="G312">
        <f>$E312/$F312^2*sim_annual_output!I312</f>
        <v>0.6267206522267339</v>
      </c>
      <c r="H312">
        <f>$E312/$F312^2*sim_annual_output!J312</f>
        <v>34.637645641674006</v>
      </c>
      <c r="I312">
        <f>$E312/$F312^2*sim_annual_output!K312</f>
        <v>1.2744425256039227</v>
      </c>
      <c r="J312">
        <f>$E312/$F312^2*sim_annual_output!L312</f>
        <v>2.7787931564338786</v>
      </c>
      <c r="K312">
        <f>$E312/$F312^2*sim_annual_output!M312</f>
        <v>0</v>
      </c>
      <c r="L312">
        <f>$E312/$F312^2*sim_annual_output!N312</f>
        <v>12.878169874944756</v>
      </c>
      <c r="M312">
        <f>$E312/$F312^2*sim_annual_output!O312</f>
        <v>3.0838635268299606</v>
      </c>
      <c r="N312">
        <f>$E312/$F312^2*sim_annual_output!P312</f>
        <v>0</v>
      </c>
      <c r="O312">
        <f>$E312/$F312^2*sim_annual_output!Q312</f>
        <v>6.285997088559852</v>
      </c>
      <c r="P312">
        <f>$E312/$F312^2*sim_annual_output!R312</f>
        <v>6.6319645738278721E-3</v>
      </c>
      <c r="Q312">
        <f>$E312/$F312^2*sim_annual_output!S312</f>
        <v>0</v>
      </c>
      <c r="R312">
        <f t="array" ref="R312">INDEX(G$3:G$700,MATCH($B312&amp;$C312&amp;"baseline",$B$3:$B$700&amp;$C$3:$C$700&amp;$D$3:$D$700,0))</f>
        <v>0.31833429954373788</v>
      </c>
      <c r="S312">
        <f t="array" ref="S312">INDEX(H$3:H$700,MATCH($B312&amp;$C312&amp;"baseline",$B$3:$B$700&amp;$C$3:$C$700&amp;$D$3:$D$700,0))</f>
        <v>35.854611140971421</v>
      </c>
      <c r="T312">
        <f t="array" ref="T312">INDEX(I$3:I$700,MATCH($B312&amp;$C312&amp;"baseline",$B$3:$B$700&amp;$C$3:$C$700&amp;$D$3:$D$700,0))</f>
        <v>0.89752587232470527</v>
      </c>
      <c r="U312">
        <f t="array" ref="U312">INDEX(J$3:J$700,MATCH($B312&amp;$C312&amp;"baseline",$B$3:$B$700&amp;$C$3:$C$700&amp;$D$3:$D$700,0))</f>
        <v>2.7776878290049072</v>
      </c>
      <c r="V312">
        <f t="array" ref="V312">INDEX(K$3:K$700,MATCH($B312&amp;$C312&amp;"baseline",$B$3:$B$700&amp;$C$3:$C$700&amp;$D$3:$D$700,0))</f>
        <v>0</v>
      </c>
      <c r="W312">
        <f t="array" ref="W312">INDEX(L$3:L$700,MATCH($B312&amp;$C312&amp;"baseline",$B$3:$B$700&amp;$C$3:$C$700&amp;$D$3:$D$700,0))</f>
        <v>12.878169874944756</v>
      </c>
      <c r="X312">
        <f t="array" ref="X312">INDEX(M$3:M$700,MATCH($B312&amp;$C312&amp;"baseline",$B$3:$B$700&amp;$C$3:$C$700&amp;$D$3:$D$700,0))</f>
        <v>3.0838635268299606</v>
      </c>
      <c r="Y312">
        <f t="array" ref="Y312">INDEX(N$3:N$700,MATCH($B312&amp;$C312&amp;"baseline",$B$3:$B$700&amp;$C$3:$C$700&amp;$D$3:$D$700,0))</f>
        <v>0</v>
      </c>
      <c r="Z312">
        <f t="array" ref="Z312">INDEX(O$3:O$700,MATCH($B312&amp;$C312&amp;"baseline",$B$3:$B$700&amp;$C$3:$C$700&amp;$D$3:$D$700,0))</f>
        <v>6.2915237257047085</v>
      </c>
      <c r="AA312">
        <f t="array" ref="AA312">INDEX(P$3:P$700,MATCH($B312&amp;$C312&amp;"baseline",$B$3:$B$700&amp;$C$3:$C$700&amp;$D$3:$D$700,0))</f>
        <v>6.6319645738278721E-3</v>
      </c>
      <c r="AB312">
        <f t="array" ref="AB312">INDEX(Q$3:Q$700,MATCH($B312&amp;$C312&amp;"baseline",$B$3:$B$700&amp;$C$3:$C$700&amp;$D$3:$D$700,0))</f>
        <v>0</v>
      </c>
      <c r="AC312">
        <f t="shared" si="34"/>
        <v>62.108348233898013</v>
      </c>
      <c r="AD312">
        <f t="shared" si="35"/>
        <v>1.2169654992974159</v>
      </c>
      <c r="AE312">
        <f t="shared" si="36"/>
        <v>-0.68088169624632755</v>
      </c>
      <c r="AF312">
        <f t="shared" si="37"/>
        <v>0.86314290799074911</v>
      </c>
      <c r="AG312">
        <f>(S312+V312+Y312)*constants!$O$2+(R312+T312+U312+W312+X312+Z312+AA312+AB312)*constants!$N$2</f>
        <v>3.5475169919844438</v>
      </c>
      <c r="AH312">
        <f>((S312+V312+Y312)-(H312+K312+N312))*constants!$O$2</f>
        <v>1.9714841088618137E-2</v>
      </c>
      <c r="AI312">
        <f>((R312+T312+U312+W312+X312+Z312+AA312+AB312)-(G312+I312+J312+L312+M312+O312+P312+Q312))*constants!$N$2</f>
        <v>-7.6939631675835021E-2</v>
      </c>
      <c r="AJ312">
        <f t="shared" si="38"/>
        <v>-1.6130941928260061</v>
      </c>
      <c r="AK312">
        <f t="shared" si="39"/>
        <v>-5.7224790587216884E-2</v>
      </c>
      <c r="AL312">
        <f>COUNTIFS($B:$B,$B312,$AK:$AK,"&lt;"&amp;$AK312)+COUNTIFS($B$2:$B312,$B312,$AK$2:$AK312,$AK312)</f>
        <v>17</v>
      </c>
      <c r="AM312" s="191">
        <f>IF(AK312=0, "NA",IF(((sim_annual_output!F312/E312)/AK312)&lt;0,100,((sim_annual_output!F312/E312)/AK312)))</f>
        <v>100</v>
      </c>
      <c r="AN312">
        <f>(S312+V312)*constants!$F$2+(T312+U312+W312+X312+Y312+Z312+AA312+AB312)*constants!$G$2</f>
        <v>28981.775824476979</v>
      </c>
      <c r="AO312">
        <f>(AD312*constants!$F$2+AE312*constants!$G$2)</f>
        <v>-374.53025136006755</v>
      </c>
      <c r="AP312">
        <f t="shared" si="40"/>
        <v>-1.2922957296624749</v>
      </c>
    </row>
    <row r="313" spans="1:42">
      <c r="A313">
        <f>sim_annual_output!B313</f>
        <v>17</v>
      </c>
      <c r="B313" t="str">
        <f>sim_annual_output!C313</f>
        <v>Office-Small</v>
      </c>
      <c r="C313" t="str">
        <f>sim_annual_output!D313</f>
        <v>1980-2004</v>
      </c>
      <c r="D313" t="str">
        <f>sim_annual_output!E313</f>
        <v>infil_reduce</v>
      </c>
      <c r="E313" s="45">
        <f t="array" ref="E313">IFERROR(INDEX(baseline!$J$3:$J$201,MATCH($B313&amp;$C313,baseline!$C$3:$C$201&amp;baseline!$D$3:$D$201,0)),"NA")</f>
        <v>584</v>
      </c>
      <c r="F313">
        <f>sim_annual_output!G313</f>
        <v>1211.46221507992</v>
      </c>
      <c r="G313">
        <f>$E313/$F313^2*sim_annual_output!I313</f>
        <v>0.71514684654443894</v>
      </c>
      <c r="H313">
        <f>$E313/$F313^2*sim_annual_output!J313</f>
        <v>22.350825941228901</v>
      </c>
      <c r="I313">
        <f>$E313/$F313^2*sim_annual_output!K313</f>
        <v>1.4977186662561279</v>
      </c>
      <c r="J313">
        <f>$E313/$F313^2*sim_annual_output!L313</f>
        <v>2.7356853867039974</v>
      </c>
      <c r="K313">
        <f>$E313/$F313^2*sim_annual_output!M313</f>
        <v>0</v>
      </c>
      <c r="L313">
        <f>$E313/$F313^2*sim_annual_output!N313</f>
        <v>12.878169874944756</v>
      </c>
      <c r="M313">
        <f>$E313/$F313^2*sim_annual_output!O313</f>
        <v>3.0838635268299606</v>
      </c>
      <c r="N313">
        <f>$E313/$F313^2*sim_annual_output!P313</f>
        <v>0</v>
      </c>
      <c r="O313">
        <f>$E313/$F313^2*sim_annual_output!Q313</f>
        <v>5.132035252713802</v>
      </c>
      <c r="P313">
        <f>$E313/$F313^2*sim_annual_output!R313</f>
        <v>6.6319645738278721E-3</v>
      </c>
      <c r="Q313">
        <f>$E313/$F313^2*sim_annual_output!S313</f>
        <v>0</v>
      </c>
      <c r="R313">
        <f t="array" ref="R313">INDEX(G$3:G$700,MATCH($B313&amp;$C313&amp;"baseline",$B$3:$B$700&amp;$C$3:$C$700&amp;$D$3:$D$700,0))</f>
        <v>0.31833429954373788</v>
      </c>
      <c r="S313">
        <f t="array" ref="S313">INDEX(H$3:H$700,MATCH($B313&amp;$C313&amp;"baseline",$B$3:$B$700&amp;$C$3:$C$700&amp;$D$3:$D$700,0))</f>
        <v>35.854611140971421</v>
      </c>
      <c r="T313">
        <f t="array" ref="T313">INDEX(I$3:I$700,MATCH($B313&amp;$C313&amp;"baseline",$B$3:$B$700&amp;$C$3:$C$700&amp;$D$3:$D$700,0))</f>
        <v>0.89752587232470527</v>
      </c>
      <c r="U313">
        <f t="array" ref="U313">INDEX(J$3:J$700,MATCH($B313&amp;$C313&amp;"baseline",$B$3:$B$700&amp;$C$3:$C$700&amp;$D$3:$D$700,0))</f>
        <v>2.7776878290049072</v>
      </c>
      <c r="V313">
        <f t="array" ref="V313">INDEX(K$3:K$700,MATCH($B313&amp;$C313&amp;"baseline",$B$3:$B$700&amp;$C$3:$C$700&amp;$D$3:$D$700,0))</f>
        <v>0</v>
      </c>
      <c r="W313">
        <f t="array" ref="W313">INDEX(L$3:L$700,MATCH($B313&amp;$C313&amp;"baseline",$B$3:$B$700&amp;$C$3:$C$700&amp;$D$3:$D$700,0))</f>
        <v>12.878169874944756</v>
      </c>
      <c r="X313">
        <f t="array" ref="X313">INDEX(M$3:M$700,MATCH($B313&amp;$C313&amp;"baseline",$B$3:$B$700&amp;$C$3:$C$700&amp;$D$3:$D$700,0))</f>
        <v>3.0838635268299606</v>
      </c>
      <c r="Y313">
        <f t="array" ref="Y313">INDEX(N$3:N$700,MATCH($B313&amp;$C313&amp;"baseline",$B$3:$B$700&amp;$C$3:$C$700&amp;$D$3:$D$700,0))</f>
        <v>0</v>
      </c>
      <c r="Z313">
        <f t="array" ref="Z313">INDEX(O$3:O$700,MATCH($B313&amp;$C313&amp;"baseline",$B$3:$B$700&amp;$C$3:$C$700&amp;$D$3:$D$700,0))</f>
        <v>6.2915237257047085</v>
      </c>
      <c r="AA313">
        <f t="array" ref="AA313">INDEX(P$3:P$700,MATCH($B313&amp;$C313&amp;"baseline",$B$3:$B$700&amp;$C$3:$C$700&amp;$D$3:$D$700,0))</f>
        <v>6.6319645738278721E-3</v>
      </c>
      <c r="AB313">
        <f t="array" ref="AB313">INDEX(Q$3:Q$700,MATCH($B313&amp;$C313&amp;"baseline",$B$3:$B$700&amp;$C$3:$C$700&amp;$D$3:$D$700,0))</f>
        <v>0</v>
      </c>
      <c r="AC313">
        <f t="shared" si="34"/>
        <v>62.108348233898013</v>
      </c>
      <c r="AD313">
        <f t="shared" si="35"/>
        <v>13.50378519974252</v>
      </c>
      <c r="AE313">
        <f t="shared" si="36"/>
        <v>0.20448557435969406</v>
      </c>
      <c r="AF313">
        <f t="shared" si="37"/>
        <v>22.071542979177796</v>
      </c>
      <c r="AG313">
        <f>(S313+V313+Y313)*constants!$O$2+(R313+T313+U313+W313+X313+Z313+AA313+AB313)*constants!$N$2</f>
        <v>3.5475169919844438</v>
      </c>
      <c r="AH313">
        <f>((S313+V313+Y313)-(H313+K313+N313))*constants!$O$2</f>
        <v>0.21876132023582881</v>
      </c>
      <c r="AI313">
        <f>((R313+T313+U313+W313+X313+Z313+AA313+AB313)-(G313+I313+J313+L313+M313+O313+P313+Q313))*constants!$N$2</f>
        <v>2.3106869902645429E-2</v>
      </c>
      <c r="AJ313">
        <f t="shared" si="38"/>
        <v>6.8179571989358037</v>
      </c>
      <c r="AK313">
        <f t="shared" si="39"/>
        <v>0.24186819013847424</v>
      </c>
      <c r="AL313">
        <f>COUNTIFS($B:$B,$B313,$AK:$AK,"&lt;"&amp;$AK313)+COUNTIFS($B$2:$B313,$B313,$AK$2:$AK313,$AK313)</f>
        <v>49</v>
      </c>
      <c r="AM313" s="191">
        <f>IF(AK313=0, "NA",IF(((sim_annual_output!F313/E313)/AK313)&lt;0,100,((sim_annual_output!F313/E313)/AK313)))</f>
        <v>230.61609961277915</v>
      </c>
      <c r="AN313">
        <f>(S313+V313)*constants!$F$2+(T313+U313+W313+X313+Y313+Z313+AA313+AB313)*constants!$G$2</f>
        <v>28981.775824476979</v>
      </c>
      <c r="AO313">
        <f>(AD313*constants!$F$2+AE313*constants!$G$2)</f>
        <v>2595.0800004468447</v>
      </c>
      <c r="AP313">
        <f t="shared" si="40"/>
        <v>8.954178709280928</v>
      </c>
    </row>
    <row r="314" spans="1:42">
      <c r="A314">
        <f>sim_annual_output!B314</f>
        <v>17</v>
      </c>
      <c r="B314" t="str">
        <f>sim_annual_output!C314</f>
        <v>Office-Small</v>
      </c>
      <c r="C314" t="str">
        <f>sim_annual_output!D314</f>
        <v>1980-2004</v>
      </c>
      <c r="D314" t="str">
        <f>sim_annual_output!E314</f>
        <v>infil_reduce_plus_setback</v>
      </c>
      <c r="E314" s="45">
        <f t="array" ref="E314">IFERROR(INDEX(baseline!$J$3:$J$201,MATCH($B314&amp;$C314,baseline!$C$3:$C$201&amp;baseline!$D$3:$D$201,0)),"NA")</f>
        <v>584</v>
      </c>
      <c r="F314">
        <f>sim_annual_output!G314</f>
        <v>1211.46221507992</v>
      </c>
      <c r="G314">
        <f>$E314/$F314^2*sim_annual_output!I314</f>
        <v>0.57366493563611087</v>
      </c>
      <c r="H314">
        <f>$E314/$F314^2*sim_annual_output!J314</f>
        <v>18.387121780937775</v>
      </c>
      <c r="I314">
        <f>$E314/$F314^2*sim_annual_output!K314</f>
        <v>1.2689158884590661</v>
      </c>
      <c r="J314">
        <f>$E314/$F314^2*sim_annual_output!L314</f>
        <v>2.7434226787067963</v>
      </c>
      <c r="K314">
        <f>$E314/$F314^2*sim_annual_output!M314</f>
        <v>0</v>
      </c>
      <c r="L314">
        <f>$E314/$F314^2*sim_annual_output!N314</f>
        <v>12.878169874944756</v>
      </c>
      <c r="M314">
        <f>$E314/$F314^2*sim_annual_output!O314</f>
        <v>3.0838635268299606</v>
      </c>
      <c r="N314">
        <f>$E314/$F314^2*sim_annual_output!P314</f>
        <v>0</v>
      </c>
      <c r="O314">
        <f>$E314/$F314^2*sim_annual_output!Q314</f>
        <v>5.6714350380518024</v>
      </c>
      <c r="P314">
        <f>$E314/$F314^2*sim_annual_output!R314</f>
        <v>6.6319645738278721E-3</v>
      </c>
      <c r="Q314">
        <f>$E314/$F314^2*sim_annual_output!S314</f>
        <v>0</v>
      </c>
      <c r="R314">
        <f t="array" ref="R314">INDEX(G$3:G$700,MATCH($B314&amp;$C314&amp;"baseline",$B$3:$B$700&amp;$C$3:$C$700&amp;$D$3:$D$700,0))</f>
        <v>0.31833429954373788</v>
      </c>
      <c r="S314">
        <f t="array" ref="S314">INDEX(H$3:H$700,MATCH($B314&amp;$C314&amp;"baseline",$B$3:$B$700&amp;$C$3:$C$700&amp;$D$3:$D$700,0))</f>
        <v>35.854611140971421</v>
      </c>
      <c r="T314">
        <f t="array" ref="T314">INDEX(I$3:I$700,MATCH($B314&amp;$C314&amp;"baseline",$B$3:$B$700&amp;$C$3:$C$700&amp;$D$3:$D$700,0))</f>
        <v>0.89752587232470527</v>
      </c>
      <c r="U314">
        <f t="array" ref="U314">INDEX(J$3:J$700,MATCH($B314&amp;$C314&amp;"baseline",$B$3:$B$700&amp;$C$3:$C$700&amp;$D$3:$D$700,0))</f>
        <v>2.7776878290049072</v>
      </c>
      <c r="V314">
        <f t="array" ref="V314">INDEX(K$3:K$700,MATCH($B314&amp;$C314&amp;"baseline",$B$3:$B$700&amp;$C$3:$C$700&amp;$D$3:$D$700,0))</f>
        <v>0</v>
      </c>
      <c r="W314">
        <f t="array" ref="W314">INDEX(L$3:L$700,MATCH($B314&amp;$C314&amp;"baseline",$B$3:$B$700&amp;$C$3:$C$700&amp;$D$3:$D$700,0))</f>
        <v>12.878169874944756</v>
      </c>
      <c r="X314">
        <f t="array" ref="X314">INDEX(M$3:M$700,MATCH($B314&amp;$C314&amp;"baseline",$B$3:$B$700&amp;$C$3:$C$700&amp;$D$3:$D$700,0))</f>
        <v>3.0838635268299606</v>
      </c>
      <c r="Y314">
        <f t="array" ref="Y314">INDEX(N$3:N$700,MATCH($B314&amp;$C314&amp;"baseline",$B$3:$B$700&amp;$C$3:$C$700&amp;$D$3:$D$700,0))</f>
        <v>0</v>
      </c>
      <c r="Z314">
        <f t="array" ref="Z314">INDEX(O$3:O$700,MATCH($B314&amp;$C314&amp;"baseline",$B$3:$B$700&amp;$C$3:$C$700&amp;$D$3:$D$700,0))</f>
        <v>6.2915237257047085</v>
      </c>
      <c r="AA314">
        <f t="array" ref="AA314">INDEX(P$3:P$700,MATCH($B314&amp;$C314&amp;"baseline",$B$3:$B$700&amp;$C$3:$C$700&amp;$D$3:$D$700,0))</f>
        <v>6.6319645738278721E-3</v>
      </c>
      <c r="AB314">
        <f t="array" ref="AB314">INDEX(Q$3:Q$700,MATCH($B314&amp;$C314&amp;"baseline",$B$3:$B$700&amp;$C$3:$C$700&amp;$D$3:$D$700,0))</f>
        <v>0</v>
      </c>
      <c r="AC314">
        <f t="shared" si="34"/>
        <v>62.108348233898013</v>
      </c>
      <c r="AD314">
        <f t="shared" si="35"/>
        <v>17.467489360033646</v>
      </c>
      <c r="AE314">
        <f t="shared" si="36"/>
        <v>2.7633185724283749E-2</v>
      </c>
      <c r="AF314">
        <f t="shared" si="37"/>
        <v>28.168713294180471</v>
      </c>
      <c r="AG314">
        <f>(S314+V314+Y314)*constants!$O$2+(R314+T314+U314+W314+X314+Z314+AA314+AB314)*constants!$N$2</f>
        <v>3.5475169919844438</v>
      </c>
      <c r="AH314">
        <f>((S314+V314+Y314)-(H314+K314+N314))*constants!$O$2</f>
        <v>0.28297332763254507</v>
      </c>
      <c r="AI314">
        <f>((R314+T314+U314+W314+X314+Z314+AA314+AB314)-(G314+I314+J314+L314+M314+O314+P314+Q314))*constants!$N$2</f>
        <v>3.1225499868440636E-3</v>
      </c>
      <c r="AJ314">
        <f t="shared" si="38"/>
        <v>8.0646795565974188</v>
      </c>
      <c r="AK314">
        <f t="shared" si="39"/>
        <v>0.28609587761938915</v>
      </c>
      <c r="AL314">
        <f>COUNTIFS($B:$B,$B314,$AK:$AK,"&lt;"&amp;$AK314)+COUNTIFS($B$2:$B314,$B314,$AK$2:$AK314,$AK314)</f>
        <v>50</v>
      </c>
      <c r="AM314" s="191">
        <f>IF(AK314=0, "NA",IF(((sim_annual_output!F314/E314)/AK314)&lt;0,100,((sim_annual_output!F314/E314)/AK314)))</f>
        <v>240.59170335938836</v>
      </c>
      <c r="AN314">
        <f>(S314+V314)*constants!$F$2+(T314+U314+W314+X314+Y314+Z314+AA314+AB314)*constants!$G$2</f>
        <v>28981.775824476979</v>
      </c>
      <c r="AO314">
        <f>(AD314*constants!$F$2+AE314*constants!$G$2)</f>
        <v>3150.7214670261496</v>
      </c>
      <c r="AP314">
        <f t="shared" si="40"/>
        <v>10.871388579181412</v>
      </c>
    </row>
    <row r="315" spans="1:42">
      <c r="A315">
        <f>sim_annual_output!B315</f>
        <v>17</v>
      </c>
      <c r="B315" t="str">
        <f>sim_annual_output!C315</f>
        <v>Office-Small</v>
      </c>
      <c r="C315" t="str">
        <f>sim_annual_output!D315</f>
        <v>1980-2004</v>
      </c>
      <c r="D315" t="str">
        <f>sim_annual_output!E315</f>
        <v>lights_reduce_70p</v>
      </c>
      <c r="E315" s="45">
        <f t="array" ref="E315">IFERROR(INDEX(baseline!$J$3:$J$201,MATCH($B315&amp;$C315,baseline!$C$3:$C$201&amp;baseline!$D$3:$D$201,0)),"NA")</f>
        <v>584</v>
      </c>
      <c r="F315">
        <f>sim_annual_output!G315</f>
        <v>1211.46221507992</v>
      </c>
      <c r="G315">
        <f>$E315/$F315^2*sim_annual_output!I315</f>
        <v>0.5150825819006315</v>
      </c>
      <c r="H315">
        <f>$E315/$F315^2*sim_annual_output!J315</f>
        <v>37.299274090636928</v>
      </c>
      <c r="I315">
        <f>$E315/$F315^2*sim_annual_output!K315</f>
        <v>0.86768203174247993</v>
      </c>
      <c r="J315">
        <f>$E315/$F315^2*sim_annual_output!L315</f>
        <v>2.7810038112918209</v>
      </c>
      <c r="K315">
        <f>$E315/$F315^2*sim_annual_output!M315</f>
        <v>0</v>
      </c>
      <c r="L315">
        <f>$E315/$F315^2*sim_annual_output!N315</f>
        <v>9.0150505106900223</v>
      </c>
      <c r="M315">
        <f>$E315/$F315^2*sim_annual_output!O315</f>
        <v>3.0838635268299606</v>
      </c>
      <c r="N315">
        <f>$E315/$F315^2*sim_annual_output!P315</f>
        <v>0</v>
      </c>
      <c r="O315">
        <f>$E315/$F315^2*sim_annual_output!Q315</f>
        <v>6.3036823274233926</v>
      </c>
      <c r="P315">
        <f>$E315/$F315^2*sim_annual_output!R315</f>
        <v>6.6319645738278721E-3</v>
      </c>
      <c r="Q315">
        <f>$E315/$F315^2*sim_annual_output!S315</f>
        <v>0</v>
      </c>
      <c r="R315">
        <f t="array" ref="R315">INDEX(G$3:G$700,MATCH($B315&amp;$C315&amp;"baseline",$B$3:$B$700&amp;$C$3:$C$700&amp;$D$3:$D$700,0))</f>
        <v>0.31833429954373788</v>
      </c>
      <c r="S315">
        <f t="array" ref="S315">INDEX(H$3:H$700,MATCH($B315&amp;$C315&amp;"baseline",$B$3:$B$700&amp;$C$3:$C$700&amp;$D$3:$D$700,0))</f>
        <v>35.854611140971421</v>
      </c>
      <c r="T315">
        <f t="array" ref="T315">INDEX(I$3:I$700,MATCH($B315&amp;$C315&amp;"baseline",$B$3:$B$700&amp;$C$3:$C$700&amp;$D$3:$D$700,0))</f>
        <v>0.89752587232470527</v>
      </c>
      <c r="U315">
        <f t="array" ref="U315">INDEX(J$3:J$700,MATCH($B315&amp;$C315&amp;"baseline",$B$3:$B$700&amp;$C$3:$C$700&amp;$D$3:$D$700,0))</f>
        <v>2.7776878290049072</v>
      </c>
      <c r="V315">
        <f t="array" ref="V315">INDEX(K$3:K$700,MATCH($B315&amp;$C315&amp;"baseline",$B$3:$B$700&amp;$C$3:$C$700&amp;$D$3:$D$700,0))</f>
        <v>0</v>
      </c>
      <c r="W315">
        <f t="array" ref="W315">INDEX(L$3:L$700,MATCH($B315&amp;$C315&amp;"baseline",$B$3:$B$700&amp;$C$3:$C$700&amp;$D$3:$D$700,0))</f>
        <v>12.878169874944756</v>
      </c>
      <c r="X315">
        <f t="array" ref="X315">INDEX(M$3:M$700,MATCH($B315&amp;$C315&amp;"baseline",$B$3:$B$700&amp;$C$3:$C$700&amp;$D$3:$D$700,0))</f>
        <v>3.0838635268299606</v>
      </c>
      <c r="Y315">
        <f t="array" ref="Y315">INDEX(N$3:N$700,MATCH($B315&amp;$C315&amp;"baseline",$B$3:$B$700&amp;$C$3:$C$700&amp;$D$3:$D$700,0))</f>
        <v>0</v>
      </c>
      <c r="Z315">
        <f t="array" ref="Z315">INDEX(O$3:O$700,MATCH($B315&amp;$C315&amp;"baseline",$B$3:$B$700&amp;$C$3:$C$700&amp;$D$3:$D$700,0))</f>
        <v>6.2915237257047085</v>
      </c>
      <c r="AA315">
        <f t="array" ref="AA315">INDEX(P$3:P$700,MATCH($B315&amp;$C315&amp;"baseline",$B$3:$B$700&amp;$C$3:$C$700&amp;$D$3:$D$700,0))</f>
        <v>6.6319645738278721E-3</v>
      </c>
      <c r="AB315">
        <f t="array" ref="AB315">INDEX(Q$3:Q$700,MATCH($B315&amp;$C315&amp;"baseline",$B$3:$B$700&amp;$C$3:$C$700&amp;$D$3:$D$700,0))</f>
        <v>0</v>
      </c>
      <c r="AC315">
        <f t="shared" si="34"/>
        <v>62.108348233898013</v>
      </c>
      <c r="AD315">
        <f t="shared" si="35"/>
        <v>-1.4446629496655063</v>
      </c>
      <c r="AE315">
        <f t="shared" si="36"/>
        <v>3.6807403384744717</v>
      </c>
      <c r="AF315">
        <f t="shared" si="37"/>
        <v>3.6002847481758344</v>
      </c>
      <c r="AG315">
        <f>(S315+V315+Y315)*constants!$O$2+(R315+T315+U315+W315+X315+Z315+AA315+AB315)*constants!$N$2</f>
        <v>3.5475169919844438</v>
      </c>
      <c r="AH315">
        <f>((S315+V315+Y315)-(H315+K315+N315))*constants!$O$2</f>
        <v>-2.3403539784581203E-2</v>
      </c>
      <c r="AI315">
        <f>((R315+T315+U315+W315+X315+Z315+AA315+AB315)-(G315+I315+J315+L315+M315+O315+P315+Q315))*constants!$N$2</f>
        <v>0.41592365824761529</v>
      </c>
      <c r="AJ315">
        <f t="shared" si="38"/>
        <v>11.064643787469569</v>
      </c>
      <c r="AK315">
        <f t="shared" si="39"/>
        <v>0.39252011846303408</v>
      </c>
      <c r="AL315">
        <f>COUNTIFS($B:$B,$B315,$AK:$AK,"&lt;"&amp;$AK315)+COUNTIFS($B$2:$B315,$B315,$AK$2:$AK315,$AK315)</f>
        <v>54</v>
      </c>
      <c r="AM315" s="191">
        <f>IF(AK315=0, "NA",IF(((sim_annual_output!F315/E315)/AK315)&lt;0,100,((sim_annual_output!F315/E315)/AK315)))</f>
        <v>85.507221708640657</v>
      </c>
      <c r="AN315">
        <f>(S315+V315)*constants!$F$2+(T315+U315+W315+X315+Y315+Z315+AA315+AB315)*constants!$G$2</f>
        <v>28981.775824476979</v>
      </c>
      <c r="AO315">
        <f>(AD315*constants!$F$2+AE315*constants!$G$2)</f>
        <v>2943.6494264826647</v>
      </c>
      <c r="AP315">
        <f t="shared" si="40"/>
        <v>10.156898060044211</v>
      </c>
    </row>
    <row r="316" spans="1:42">
      <c r="A316">
        <f>sim_annual_output!B316</f>
        <v>17</v>
      </c>
      <c r="B316" t="str">
        <f>sim_annual_output!C316</f>
        <v>Office-Small</v>
      </c>
      <c r="C316" t="str">
        <f>sim_annual_output!D316</f>
        <v>1980-2004</v>
      </c>
      <c r="D316" t="str">
        <f>sim_annual_output!E316</f>
        <v>load_reduce</v>
      </c>
      <c r="E316" s="45">
        <f t="array" ref="E316">IFERROR(INDEX(baseline!$J$3:$J$201,MATCH($B316&amp;$C316,baseline!$C$3:$C$201&amp;baseline!$D$3:$D$201,0)),"NA")</f>
        <v>584</v>
      </c>
      <c r="F316">
        <f>sim_annual_output!G316</f>
        <v>1211.46221507992</v>
      </c>
      <c r="G316">
        <f>$E316/$F316^2*sim_annual_output!I316</f>
        <v>0.57366493563611087</v>
      </c>
      <c r="H316">
        <f>$E316/$F316^2*sim_annual_output!J316</f>
        <v>18.387121780937775</v>
      </c>
      <c r="I316">
        <f>$E316/$F316^2*sim_annual_output!K316</f>
        <v>1.2689158884590661</v>
      </c>
      <c r="J316">
        <f>$E316/$F316^2*sim_annual_output!L316</f>
        <v>2.7434226787067963</v>
      </c>
      <c r="K316">
        <f>$E316/$F316^2*sim_annual_output!M316</f>
        <v>0</v>
      </c>
      <c r="L316">
        <f>$E316/$F316^2*sim_annual_output!N316</f>
        <v>12.878169874944756</v>
      </c>
      <c r="M316">
        <f>$E316/$F316^2*sim_annual_output!O316</f>
        <v>3.0838635268299606</v>
      </c>
      <c r="N316">
        <f>$E316/$F316^2*sim_annual_output!P316</f>
        <v>0</v>
      </c>
      <c r="O316">
        <f>$E316/$F316^2*sim_annual_output!Q316</f>
        <v>5.6714350380518024</v>
      </c>
      <c r="P316">
        <f>$E316/$F316^2*sim_annual_output!R316</f>
        <v>6.6319645738278721E-3</v>
      </c>
      <c r="Q316">
        <f>$E316/$F316^2*sim_annual_output!S316</f>
        <v>0</v>
      </c>
      <c r="R316">
        <f t="array" ref="R316">INDEX(G$3:G$700,MATCH($B316&amp;$C316&amp;"baseline",$B$3:$B$700&amp;$C$3:$C$700&amp;$D$3:$D$700,0))</f>
        <v>0.31833429954373788</v>
      </c>
      <c r="S316">
        <f t="array" ref="S316">INDEX(H$3:H$700,MATCH($B316&amp;$C316&amp;"baseline",$B$3:$B$700&amp;$C$3:$C$700&amp;$D$3:$D$700,0))</f>
        <v>35.854611140971421</v>
      </c>
      <c r="T316">
        <f t="array" ref="T316">INDEX(I$3:I$700,MATCH($B316&amp;$C316&amp;"baseline",$B$3:$B$700&amp;$C$3:$C$700&amp;$D$3:$D$700,0))</f>
        <v>0.89752587232470527</v>
      </c>
      <c r="U316">
        <f t="array" ref="U316">INDEX(J$3:J$700,MATCH($B316&amp;$C316&amp;"baseline",$B$3:$B$700&amp;$C$3:$C$700&amp;$D$3:$D$700,0))</f>
        <v>2.7776878290049072</v>
      </c>
      <c r="V316">
        <f t="array" ref="V316">INDEX(K$3:K$700,MATCH($B316&amp;$C316&amp;"baseline",$B$3:$B$700&amp;$C$3:$C$700&amp;$D$3:$D$700,0))</f>
        <v>0</v>
      </c>
      <c r="W316">
        <f t="array" ref="W316">INDEX(L$3:L$700,MATCH($B316&amp;$C316&amp;"baseline",$B$3:$B$700&amp;$C$3:$C$700&amp;$D$3:$D$700,0))</f>
        <v>12.878169874944756</v>
      </c>
      <c r="X316">
        <f t="array" ref="X316">INDEX(M$3:M$700,MATCH($B316&amp;$C316&amp;"baseline",$B$3:$B$700&amp;$C$3:$C$700&amp;$D$3:$D$700,0))</f>
        <v>3.0838635268299606</v>
      </c>
      <c r="Y316">
        <f t="array" ref="Y316">INDEX(N$3:N$700,MATCH($B316&amp;$C316&amp;"baseline",$B$3:$B$700&amp;$C$3:$C$700&amp;$D$3:$D$700,0))</f>
        <v>0</v>
      </c>
      <c r="Z316">
        <f t="array" ref="Z316">INDEX(O$3:O$700,MATCH($B316&amp;$C316&amp;"baseline",$B$3:$B$700&amp;$C$3:$C$700&amp;$D$3:$D$700,0))</f>
        <v>6.2915237257047085</v>
      </c>
      <c r="AA316">
        <f t="array" ref="AA316">INDEX(P$3:P$700,MATCH($B316&amp;$C316&amp;"baseline",$B$3:$B$700&amp;$C$3:$C$700&amp;$D$3:$D$700,0))</f>
        <v>6.6319645738278721E-3</v>
      </c>
      <c r="AB316">
        <f t="array" ref="AB316">INDEX(Q$3:Q$700,MATCH($B316&amp;$C316&amp;"baseline",$B$3:$B$700&amp;$C$3:$C$700&amp;$D$3:$D$700,0))</f>
        <v>0</v>
      </c>
      <c r="AC316">
        <f t="shared" si="34"/>
        <v>62.108348233898013</v>
      </c>
      <c r="AD316">
        <f t="shared" si="35"/>
        <v>17.467489360033646</v>
      </c>
      <c r="AE316">
        <f t="shared" si="36"/>
        <v>2.7633185724283749E-2</v>
      </c>
      <c r="AF316">
        <f t="shared" si="37"/>
        <v>28.168713294180471</v>
      </c>
      <c r="AG316">
        <f>(S316+V316+Y316)*constants!$O$2+(R316+T316+U316+W316+X316+Z316+AA316+AB316)*constants!$N$2</f>
        <v>3.5475169919844438</v>
      </c>
      <c r="AH316">
        <f>((S316+V316+Y316)-(H316+K316+N316))*constants!$O$2</f>
        <v>0.28297332763254507</v>
      </c>
      <c r="AI316">
        <f>((R316+T316+U316+W316+X316+Z316+AA316+AB316)-(G316+I316+J316+L316+M316+O316+P316+Q316))*constants!$N$2</f>
        <v>3.1225499868440636E-3</v>
      </c>
      <c r="AJ316">
        <f t="shared" si="38"/>
        <v>8.0646795565974188</v>
      </c>
      <c r="AK316">
        <f t="shared" si="39"/>
        <v>0.28609587761938915</v>
      </c>
      <c r="AL316">
        <f>COUNTIFS($B:$B,$B316,$AK:$AK,"&lt;"&amp;$AK316)+COUNTIFS($B$2:$B316,$B316,$AK$2:$AK316,$AK316)</f>
        <v>51</v>
      </c>
      <c r="AM316" s="191">
        <f>IF(AK316=0, "NA",IF(((sim_annual_output!F316/E316)/AK316)&lt;0,100,((sim_annual_output!F316/E316)/AK316)))</f>
        <v>246.15263250435888</v>
      </c>
      <c r="AN316">
        <f>(S316+V316)*constants!$F$2+(T316+U316+W316+X316+Y316+Z316+AA316+AB316)*constants!$G$2</f>
        <v>28981.775824476979</v>
      </c>
      <c r="AO316">
        <f>(AD316*constants!$F$2+AE316*constants!$G$2)</f>
        <v>3150.7214670261496</v>
      </c>
      <c r="AP316">
        <f t="shared" si="40"/>
        <v>10.871388579181412</v>
      </c>
    </row>
    <row r="317" spans="1:42">
      <c r="A317">
        <f>sim_annual_output!B317</f>
        <v>17</v>
      </c>
      <c r="B317" t="str">
        <f>sim_annual_output!C317</f>
        <v>Office-Small</v>
      </c>
      <c r="C317" t="str">
        <f>sim_annual_output!D317</f>
        <v>1980-2004</v>
      </c>
      <c r="D317" t="str">
        <f>sim_annual_output!E317</f>
        <v>occupancy_setback</v>
      </c>
      <c r="E317" s="45">
        <f t="array" ref="E317">IFERROR(INDEX(baseline!$J$3:$J$201,MATCH($B317&amp;$C317,baseline!$C$3:$C$201&amp;baseline!$D$3:$D$201,0)),"NA")</f>
        <v>584</v>
      </c>
      <c r="F317">
        <f>sim_annual_output!G317</f>
        <v>1211.46221507992</v>
      </c>
      <c r="G317">
        <f>$E317/$F317^2*sim_annual_output!I317</f>
        <v>0.57808624535199615</v>
      </c>
      <c r="H317">
        <f>$E317/$F317^2*sim_annual_output!J317</f>
        <v>28.970631913338092</v>
      </c>
      <c r="I317">
        <f>$E317/$F317^2*sim_annual_output!K317</f>
        <v>1.0754835883890865</v>
      </c>
      <c r="J317">
        <f>$E317/$F317^2*sim_annual_output!L317</f>
        <v>2.7876357758656489</v>
      </c>
      <c r="K317">
        <f>$E317/$F317^2*sim_annual_output!M317</f>
        <v>0</v>
      </c>
      <c r="L317">
        <f>$E317/$F317^2*sim_annual_output!N317</f>
        <v>12.878169874944756</v>
      </c>
      <c r="M317">
        <f>$E317/$F317^2*sim_annual_output!O317</f>
        <v>3.0838635268299606</v>
      </c>
      <c r="N317">
        <f>$E317/$F317^2*sim_annual_output!P317</f>
        <v>0</v>
      </c>
      <c r="O317">
        <f>$E317/$F317^2*sim_annual_output!Q317</f>
        <v>7.0840434922771394</v>
      </c>
      <c r="P317">
        <f>$E317/$F317^2*sim_annual_output!R317</f>
        <v>6.6319645738278721E-3</v>
      </c>
      <c r="Q317">
        <f>$E317/$F317^2*sim_annual_output!S317</f>
        <v>0</v>
      </c>
      <c r="R317">
        <f t="array" ref="R317">INDEX(G$3:G$700,MATCH($B317&amp;$C317&amp;"baseline",$B$3:$B$700&amp;$C$3:$C$700&amp;$D$3:$D$700,0))</f>
        <v>0.31833429954373788</v>
      </c>
      <c r="S317">
        <f t="array" ref="S317">INDEX(H$3:H$700,MATCH($B317&amp;$C317&amp;"baseline",$B$3:$B$700&amp;$C$3:$C$700&amp;$D$3:$D$700,0))</f>
        <v>35.854611140971421</v>
      </c>
      <c r="T317">
        <f t="array" ref="T317">INDEX(I$3:I$700,MATCH($B317&amp;$C317&amp;"baseline",$B$3:$B$700&amp;$C$3:$C$700&amp;$D$3:$D$700,0))</f>
        <v>0.89752587232470527</v>
      </c>
      <c r="U317">
        <f t="array" ref="U317">INDEX(J$3:J$700,MATCH($B317&amp;$C317&amp;"baseline",$B$3:$B$700&amp;$C$3:$C$700&amp;$D$3:$D$700,0))</f>
        <v>2.7776878290049072</v>
      </c>
      <c r="V317">
        <f t="array" ref="V317">INDEX(K$3:K$700,MATCH($B317&amp;$C317&amp;"baseline",$B$3:$B$700&amp;$C$3:$C$700&amp;$D$3:$D$700,0))</f>
        <v>0</v>
      </c>
      <c r="W317">
        <f t="array" ref="W317">INDEX(L$3:L$700,MATCH($B317&amp;$C317&amp;"baseline",$B$3:$B$700&amp;$C$3:$C$700&amp;$D$3:$D$700,0))</f>
        <v>12.878169874944756</v>
      </c>
      <c r="X317">
        <f t="array" ref="X317">INDEX(M$3:M$700,MATCH($B317&amp;$C317&amp;"baseline",$B$3:$B$700&amp;$C$3:$C$700&amp;$D$3:$D$700,0))</f>
        <v>3.0838635268299606</v>
      </c>
      <c r="Y317">
        <f t="array" ref="Y317">INDEX(N$3:N$700,MATCH($B317&amp;$C317&amp;"baseline",$B$3:$B$700&amp;$C$3:$C$700&amp;$D$3:$D$700,0))</f>
        <v>0</v>
      </c>
      <c r="Z317">
        <f t="array" ref="Z317">INDEX(O$3:O$700,MATCH($B317&amp;$C317&amp;"baseline",$B$3:$B$700&amp;$C$3:$C$700&amp;$D$3:$D$700,0))</f>
        <v>6.2915237257047085</v>
      </c>
      <c r="AA317">
        <f t="array" ref="AA317">INDEX(P$3:P$700,MATCH($B317&amp;$C317&amp;"baseline",$B$3:$B$700&amp;$C$3:$C$700&amp;$D$3:$D$700,0))</f>
        <v>6.6319645738278721E-3</v>
      </c>
      <c r="AB317">
        <f t="array" ref="AB317">INDEX(Q$3:Q$700,MATCH($B317&amp;$C317&amp;"baseline",$B$3:$B$700&amp;$C$3:$C$700&amp;$D$3:$D$700,0))</f>
        <v>0</v>
      </c>
      <c r="AC317">
        <f t="shared" si="34"/>
        <v>62.108348233898013</v>
      </c>
      <c r="AD317">
        <f t="shared" si="35"/>
        <v>6.8839792276333291</v>
      </c>
      <c r="AE317">
        <f t="shared" si="36"/>
        <v>-1.2401773753058087</v>
      </c>
      <c r="AF317">
        <f t="shared" si="37"/>
        <v>9.0870261612386578</v>
      </c>
      <c r="AG317">
        <f>(S317+V317+Y317)*constants!$O$2+(R317+T317+U317+W317+X317+Z317+AA317+AB317)*constants!$N$2</f>
        <v>3.5475169919844438</v>
      </c>
      <c r="AH317">
        <f>((S317+V317+Y317)-(H317+K317+N317))*constants!$O$2</f>
        <v>0.11152046348765993</v>
      </c>
      <c r="AI317">
        <f>((R317+T317+U317+W317+X317+Z317+AA317+AB317)-(G317+I317+J317+L317+M317+O317+P317+Q317))*constants!$N$2</f>
        <v>-0.14014004340955638</v>
      </c>
      <c r="AJ317">
        <f t="shared" si="38"/>
        <v>-0.80674962196268329</v>
      </c>
      <c r="AK317">
        <f t="shared" si="39"/>
        <v>-2.8619579921896454E-2</v>
      </c>
      <c r="AL317">
        <f>COUNTIFS($B:$B,$B317,$AK:$AK,"&lt;"&amp;$AK317)+COUNTIFS($B$2:$B317,$B317,$AK$2:$AK317,$AK317)</f>
        <v>32</v>
      </c>
      <c r="AM317" s="191">
        <f>IF(AK317=0, "NA",IF(((sim_annual_output!F317/E317)/AK317)&lt;0,100,((sim_annual_output!F317/E317)/AK317)))</f>
        <v>100</v>
      </c>
      <c r="AN317">
        <f>(S317+V317)*constants!$F$2+(T317+U317+W317+X317+Y317+Z317+AA317+AB317)*constants!$G$2</f>
        <v>28981.775824476979</v>
      </c>
      <c r="AO317">
        <f>(AD317*constants!$F$2+AE317*constants!$G$2)</f>
        <v>153.27796523031247</v>
      </c>
      <c r="AP317">
        <f t="shared" si="40"/>
        <v>0.52887706453397976</v>
      </c>
    </row>
    <row r="318" spans="1:42">
      <c r="A318">
        <f>sim_annual_output!B318</f>
        <v>17</v>
      </c>
      <c r="B318" t="str">
        <f>sim_annual_output!C318</f>
        <v>Office-Small</v>
      </c>
      <c r="C318" t="str">
        <f>sim_annual_output!D318</f>
        <v>1980-2004</v>
      </c>
      <c r="D318" t="str">
        <f>sim_annual_output!E318</f>
        <v>payback_less_than_20</v>
      </c>
      <c r="E318" s="45">
        <f t="array" ref="E318">IFERROR(INDEX(baseline!$J$3:$J$201,MATCH($B318&amp;$C318,baseline!$C$3:$C$201&amp;baseline!$D$3:$D$201,0)),"NA")</f>
        <v>584</v>
      </c>
      <c r="F318">
        <f>sim_annual_output!G318</f>
        <v>1211.46221507992</v>
      </c>
      <c r="G318">
        <f>$E318/$F318^2*sim_annual_output!I318</f>
        <v>2.8760619701833541</v>
      </c>
      <c r="H318">
        <f>$E318/$F318^2*sim_annual_output!J318</f>
        <v>13.6817429158069</v>
      </c>
      <c r="I318">
        <f>$E318/$F318^2*sim_annual_output!K318</f>
        <v>1.8768459743932879</v>
      </c>
      <c r="J318">
        <f>$E318/$F318^2*sim_annual_output!L318</f>
        <v>2.7633185724282803</v>
      </c>
      <c r="K318">
        <f>$E318/$F318^2*sim_annual_output!M318</f>
        <v>0</v>
      </c>
      <c r="L318">
        <f>$E318/$F318^2*sim_annual_output!N318</f>
        <v>9.0150505106900223</v>
      </c>
      <c r="M318">
        <f>$E318/$F318^2*sim_annual_output!O318</f>
        <v>3.0838635268299606</v>
      </c>
      <c r="N318">
        <f>$E318/$F318^2*sim_annual_output!P318</f>
        <v>0</v>
      </c>
      <c r="O318">
        <f>$E318/$F318^2*sim_annual_output!Q318</f>
        <v>4.7086948474177897</v>
      </c>
      <c r="P318">
        <f>$E318/$F318^2*sim_annual_output!R318</f>
        <v>4.4213097158852478E-3</v>
      </c>
      <c r="Q318">
        <f>$E318/$F318^2*sim_annual_output!S318</f>
        <v>0</v>
      </c>
      <c r="R318">
        <f t="array" ref="R318">INDEX(G$3:G$700,MATCH($B318&amp;$C318&amp;"baseline",$B$3:$B$700&amp;$C$3:$C$700&amp;$D$3:$D$700,0))</f>
        <v>0.31833429954373788</v>
      </c>
      <c r="S318">
        <f t="array" ref="S318">INDEX(H$3:H$700,MATCH($B318&amp;$C318&amp;"baseline",$B$3:$B$700&amp;$C$3:$C$700&amp;$D$3:$D$700,0))</f>
        <v>35.854611140971421</v>
      </c>
      <c r="T318">
        <f t="array" ref="T318">INDEX(I$3:I$700,MATCH($B318&amp;$C318&amp;"baseline",$B$3:$B$700&amp;$C$3:$C$700&amp;$D$3:$D$700,0))</f>
        <v>0.89752587232470527</v>
      </c>
      <c r="U318">
        <f t="array" ref="U318">INDEX(J$3:J$700,MATCH($B318&amp;$C318&amp;"baseline",$B$3:$B$700&amp;$C$3:$C$700&amp;$D$3:$D$700,0))</f>
        <v>2.7776878290049072</v>
      </c>
      <c r="V318">
        <f t="array" ref="V318">INDEX(K$3:K$700,MATCH($B318&amp;$C318&amp;"baseline",$B$3:$B$700&amp;$C$3:$C$700&amp;$D$3:$D$700,0))</f>
        <v>0</v>
      </c>
      <c r="W318">
        <f t="array" ref="W318">INDEX(L$3:L$700,MATCH($B318&amp;$C318&amp;"baseline",$B$3:$B$700&amp;$C$3:$C$700&amp;$D$3:$D$700,0))</f>
        <v>12.878169874944756</v>
      </c>
      <c r="X318">
        <f t="array" ref="X318">INDEX(M$3:M$700,MATCH($B318&amp;$C318&amp;"baseline",$B$3:$B$700&amp;$C$3:$C$700&amp;$D$3:$D$700,0))</f>
        <v>3.0838635268299606</v>
      </c>
      <c r="Y318">
        <f t="array" ref="Y318">INDEX(N$3:N$700,MATCH($B318&amp;$C318&amp;"baseline",$B$3:$B$700&amp;$C$3:$C$700&amp;$D$3:$D$700,0))</f>
        <v>0</v>
      </c>
      <c r="Z318">
        <f t="array" ref="Z318">INDEX(O$3:O$700,MATCH($B318&amp;$C318&amp;"baseline",$B$3:$B$700&amp;$C$3:$C$700&amp;$D$3:$D$700,0))</f>
        <v>6.2915237257047085</v>
      </c>
      <c r="AA318">
        <f t="array" ref="AA318">INDEX(P$3:P$700,MATCH($B318&amp;$C318&amp;"baseline",$B$3:$B$700&amp;$C$3:$C$700&amp;$D$3:$D$700,0))</f>
        <v>6.6319645738278721E-3</v>
      </c>
      <c r="AB318">
        <f t="array" ref="AB318">INDEX(Q$3:Q$700,MATCH($B318&amp;$C318&amp;"baseline",$B$3:$B$700&amp;$C$3:$C$700&amp;$D$3:$D$700,0))</f>
        <v>0</v>
      </c>
      <c r="AC318">
        <f t="shared" si="34"/>
        <v>62.108348233898013</v>
      </c>
      <c r="AD318">
        <f t="shared" si="35"/>
        <v>22.172868225164521</v>
      </c>
      <c r="AE318">
        <f t="shared" si="36"/>
        <v>1.9254803812680272</v>
      </c>
      <c r="AF318">
        <f t="shared" si="37"/>
        <v>38.80049830930772</v>
      </c>
      <c r="AG318">
        <f>(S318+V318+Y318)*constants!$O$2+(R318+T318+U318+W318+X318+Z318+AA318+AB318)*constants!$N$2</f>
        <v>3.5475169919844438</v>
      </c>
      <c r="AH318">
        <f>((S318+V318+Y318)-(H318+K318+N318))*constants!$O$2</f>
        <v>0.35920046524766525</v>
      </c>
      <c r="AI318">
        <f>((R318+T318+U318+W318+X318+Z318+AA318+AB318)-(G318+I318+J318+L318+M318+O318+P318+Q318))*constants!$N$2</f>
        <v>0.21757928308328708</v>
      </c>
      <c r="AJ318">
        <f t="shared" si="38"/>
        <v>16.258688813448298</v>
      </c>
      <c r="AK318">
        <f t="shared" si="39"/>
        <v>0.57677974833095236</v>
      </c>
      <c r="AL318">
        <f>COUNTIFS($B:$B,$B318,$AK:$AK,"&lt;"&amp;$AK318)+COUNTIFS($B$2:$B318,$B318,$AK$2:$AK318,$AK318)</f>
        <v>60</v>
      </c>
      <c r="AM318" s="191">
        <f>IF(AK318=0, "NA",IF(((sim_annual_output!F318/E318)/AK318)&lt;0,100,((sim_annual_output!F318/E318)/AK318)))</f>
        <v>319.07404124022946</v>
      </c>
      <c r="AN318">
        <f>(S318+V318)*constants!$F$2+(T318+U318+W318+X318+Y318+Z318+AA318+AB318)*constants!$G$2</f>
        <v>28981.775824476979</v>
      </c>
      <c r="AO318">
        <f>(AD318*constants!$F$2+AE318*constants!$G$2)</f>
        <v>5644.1113440076333</v>
      </c>
      <c r="AP318">
        <f t="shared" si="40"/>
        <v>19.474691192804055</v>
      </c>
    </row>
    <row r="319" spans="1:42">
      <c r="A319">
        <f>sim_annual_output!B319</f>
        <v>17</v>
      </c>
      <c r="B319" t="str">
        <f>sim_annual_output!C319</f>
        <v>Office-Small</v>
      </c>
      <c r="C319" t="str">
        <f>sim_annual_output!D319</f>
        <v>1980-2004</v>
      </c>
      <c r="D319" t="str">
        <f>sim_annual_output!E319</f>
        <v>plug_loads_90_percent</v>
      </c>
      <c r="E319" s="45">
        <f t="array" ref="E319">IFERROR(INDEX(baseline!$J$3:$J$201,MATCH($B319&amp;$C319,baseline!$C$3:$C$201&amp;baseline!$D$3:$D$201,0)),"NA")</f>
        <v>584</v>
      </c>
      <c r="F319">
        <f>sim_annual_output!G319</f>
        <v>1211.46221507992</v>
      </c>
      <c r="G319">
        <f>$E319/$F319^2*sim_annual_output!I319</f>
        <v>0.62229934251084873</v>
      </c>
      <c r="H319">
        <f>$E319/$F319^2*sim_annual_output!J319</f>
        <v>34.642066951389893</v>
      </c>
      <c r="I319">
        <f>$E319/$F319^2*sim_annual_output!K319</f>
        <v>1.2357560655899269</v>
      </c>
      <c r="J319">
        <f>$E319/$F319^2*sim_annual_output!L319</f>
        <v>2.7776878290049072</v>
      </c>
      <c r="K319">
        <f>$E319/$F319^2*sim_annual_output!M319</f>
        <v>0</v>
      </c>
      <c r="L319">
        <f>$E319/$F319^2*sim_annual_output!N319</f>
        <v>12.878169874944756</v>
      </c>
      <c r="M319">
        <f>$E319/$F319^2*sim_annual_output!O319</f>
        <v>3.0838635268299606</v>
      </c>
      <c r="N319">
        <f>$E319/$F319^2*sim_annual_output!P319</f>
        <v>0</v>
      </c>
      <c r="O319">
        <f>$E319/$F319^2*sim_annual_output!Q319</f>
        <v>6.2926290531336795</v>
      </c>
      <c r="P319">
        <f>$E319/$F319^2*sim_annual_output!R319</f>
        <v>6.6319645738278721E-3</v>
      </c>
      <c r="Q319">
        <f>$E319/$F319^2*sim_annual_output!S319</f>
        <v>0</v>
      </c>
      <c r="R319">
        <f t="array" ref="R319">INDEX(G$3:G$700,MATCH($B319&amp;$C319&amp;"baseline",$B$3:$B$700&amp;$C$3:$C$700&amp;$D$3:$D$700,0))</f>
        <v>0.31833429954373788</v>
      </c>
      <c r="S319">
        <f t="array" ref="S319">INDEX(H$3:H$700,MATCH($B319&amp;$C319&amp;"baseline",$B$3:$B$700&amp;$C$3:$C$700&amp;$D$3:$D$700,0))</f>
        <v>35.854611140971421</v>
      </c>
      <c r="T319">
        <f t="array" ref="T319">INDEX(I$3:I$700,MATCH($B319&amp;$C319&amp;"baseline",$B$3:$B$700&amp;$C$3:$C$700&amp;$D$3:$D$700,0))</f>
        <v>0.89752587232470527</v>
      </c>
      <c r="U319">
        <f t="array" ref="U319">INDEX(J$3:J$700,MATCH($B319&amp;$C319&amp;"baseline",$B$3:$B$700&amp;$C$3:$C$700&amp;$D$3:$D$700,0))</f>
        <v>2.7776878290049072</v>
      </c>
      <c r="V319">
        <f t="array" ref="V319">INDEX(K$3:K$700,MATCH($B319&amp;$C319&amp;"baseline",$B$3:$B$700&amp;$C$3:$C$700&amp;$D$3:$D$700,0))</f>
        <v>0</v>
      </c>
      <c r="W319">
        <f t="array" ref="W319">INDEX(L$3:L$700,MATCH($B319&amp;$C319&amp;"baseline",$B$3:$B$700&amp;$C$3:$C$700&amp;$D$3:$D$700,0))</f>
        <v>12.878169874944756</v>
      </c>
      <c r="X319">
        <f t="array" ref="X319">INDEX(M$3:M$700,MATCH($B319&amp;$C319&amp;"baseline",$B$3:$B$700&amp;$C$3:$C$700&amp;$D$3:$D$700,0))</f>
        <v>3.0838635268299606</v>
      </c>
      <c r="Y319">
        <f t="array" ref="Y319">INDEX(N$3:N$700,MATCH($B319&amp;$C319&amp;"baseline",$B$3:$B$700&amp;$C$3:$C$700&amp;$D$3:$D$700,0))</f>
        <v>0</v>
      </c>
      <c r="Z319">
        <f t="array" ref="Z319">INDEX(O$3:O$700,MATCH($B319&amp;$C319&amp;"baseline",$B$3:$B$700&amp;$C$3:$C$700&amp;$D$3:$D$700,0))</f>
        <v>6.2915237257047085</v>
      </c>
      <c r="AA319">
        <f t="array" ref="AA319">INDEX(P$3:P$700,MATCH($B319&amp;$C319&amp;"baseline",$B$3:$B$700&amp;$C$3:$C$700&amp;$D$3:$D$700,0))</f>
        <v>6.6319645738278721E-3</v>
      </c>
      <c r="AB319">
        <f t="array" ref="AB319">INDEX(Q$3:Q$700,MATCH($B319&amp;$C319&amp;"baseline",$B$3:$B$700&amp;$C$3:$C$700&amp;$D$3:$D$700,0))</f>
        <v>0</v>
      </c>
      <c r="AC319">
        <f t="shared" si="34"/>
        <v>62.108348233898013</v>
      </c>
      <c r="AD319">
        <f t="shared" si="35"/>
        <v>1.2125441895815285</v>
      </c>
      <c r="AE319">
        <f t="shared" si="36"/>
        <v>-0.6433005636613025</v>
      </c>
      <c r="AF319">
        <f t="shared" si="37"/>
        <v>0.91653319095924612</v>
      </c>
      <c r="AG319">
        <f>(S319+V319+Y319)*constants!$O$2+(R319+T319+U319+W319+X319+Z319+AA319+AB319)*constants!$N$2</f>
        <v>3.5475169919844438</v>
      </c>
      <c r="AH319">
        <f>((S319+V319+Y319)-(H319+K319+N319))*constants!$O$2</f>
        <v>1.9643215871220761E-2</v>
      </c>
      <c r="AI319">
        <f>((R319+T319+U319+W319+X319+Z319+AA319+AB319)-(G319+I319+J319+L319+M319+O319+P319+Q319))*constants!$N$2</f>
        <v>-7.2692963693727186E-2</v>
      </c>
      <c r="AJ319">
        <f t="shared" si="38"/>
        <v>-1.4954050380131076</v>
      </c>
      <c r="AK319">
        <f t="shared" si="39"/>
        <v>-5.3049747822506425E-2</v>
      </c>
      <c r="AL319">
        <f>COUNTIFS($B:$B,$B319,$AK:$AK,"&lt;"&amp;$AK319)+COUNTIFS($B$2:$B319,$B319,$AK$2:$AK319,$AK319)</f>
        <v>20</v>
      </c>
      <c r="AM319" s="191">
        <f>IF(AK319=0, "NA",IF(((sim_annual_output!F319/E319)/AK319)&lt;0,100,((sim_annual_output!F319/E319)/AK319)))</f>
        <v>100</v>
      </c>
      <c r="AN319">
        <f>(S319+V319)*constants!$F$2+(T319+U319+W319+X319+Y319+Z319+AA319+AB319)*constants!$G$2</f>
        <v>28981.775824476979</v>
      </c>
      <c r="AO319">
        <f>(AD319*constants!$F$2+AE319*constants!$G$2)</f>
        <v>-342.62608045023956</v>
      </c>
      <c r="AP319">
        <f t="shared" si="40"/>
        <v>-1.1822121685202938</v>
      </c>
    </row>
    <row r="320" spans="1:42">
      <c r="A320">
        <f>sim_annual_output!B320</f>
        <v>17</v>
      </c>
      <c r="B320" t="str">
        <f>sim_annual_output!C320</f>
        <v>Office-Small</v>
      </c>
      <c r="C320" t="str">
        <f>sim_annual_output!D320</f>
        <v>1980-2004</v>
      </c>
      <c r="D320" t="str">
        <f>sim_annual_output!E320</f>
        <v>pump_fan_eff_</v>
      </c>
      <c r="E320" s="45">
        <f t="array" ref="E320">IFERROR(INDEX(baseline!$J$3:$J$201,MATCH($B320&amp;$C320,baseline!$C$3:$C$201&amp;baseline!$D$3:$D$201,0)),"NA")</f>
        <v>584</v>
      </c>
      <c r="F320">
        <f>sim_annual_output!G320</f>
        <v>1211.46221507992</v>
      </c>
      <c r="G320">
        <f>$E320/$F320^2*sim_annual_output!I320</f>
        <v>0.6267206522267339</v>
      </c>
      <c r="H320">
        <f>$E320/$F320^2*sim_annual_output!J320</f>
        <v>34.637645641674006</v>
      </c>
      <c r="I320">
        <f>$E320/$F320^2*sim_annual_output!K320</f>
        <v>1.2744425256039227</v>
      </c>
      <c r="J320">
        <f>$E320/$F320^2*sim_annual_output!L320</f>
        <v>2.7787931564338786</v>
      </c>
      <c r="K320">
        <f>$E320/$F320^2*sim_annual_output!M320</f>
        <v>0</v>
      </c>
      <c r="L320">
        <f>$E320/$F320^2*sim_annual_output!N320</f>
        <v>12.878169874944756</v>
      </c>
      <c r="M320">
        <f>$E320/$F320^2*sim_annual_output!O320</f>
        <v>3.0838635268299606</v>
      </c>
      <c r="N320">
        <f>$E320/$F320^2*sim_annual_output!P320</f>
        <v>0</v>
      </c>
      <c r="O320">
        <f>$E320/$F320^2*sim_annual_output!Q320</f>
        <v>6.285997088559852</v>
      </c>
      <c r="P320">
        <f>$E320/$F320^2*sim_annual_output!R320</f>
        <v>4.4213097158852478E-3</v>
      </c>
      <c r="Q320">
        <f>$E320/$F320^2*sim_annual_output!S320</f>
        <v>0</v>
      </c>
      <c r="R320">
        <f t="array" ref="R320">INDEX(G$3:G$700,MATCH($B320&amp;$C320&amp;"baseline",$B$3:$B$700&amp;$C$3:$C$700&amp;$D$3:$D$700,0))</f>
        <v>0.31833429954373788</v>
      </c>
      <c r="S320">
        <f t="array" ref="S320">INDEX(H$3:H$700,MATCH($B320&amp;$C320&amp;"baseline",$B$3:$B$700&amp;$C$3:$C$700&amp;$D$3:$D$700,0))</f>
        <v>35.854611140971421</v>
      </c>
      <c r="T320">
        <f t="array" ref="T320">INDEX(I$3:I$700,MATCH($B320&amp;$C320&amp;"baseline",$B$3:$B$700&amp;$C$3:$C$700&amp;$D$3:$D$700,0))</f>
        <v>0.89752587232470527</v>
      </c>
      <c r="U320">
        <f t="array" ref="U320">INDEX(J$3:J$700,MATCH($B320&amp;$C320&amp;"baseline",$B$3:$B$700&amp;$C$3:$C$700&amp;$D$3:$D$700,0))</f>
        <v>2.7776878290049072</v>
      </c>
      <c r="V320">
        <f t="array" ref="V320">INDEX(K$3:K$700,MATCH($B320&amp;$C320&amp;"baseline",$B$3:$B$700&amp;$C$3:$C$700&amp;$D$3:$D$700,0))</f>
        <v>0</v>
      </c>
      <c r="W320">
        <f t="array" ref="W320">INDEX(L$3:L$700,MATCH($B320&amp;$C320&amp;"baseline",$B$3:$B$700&amp;$C$3:$C$700&amp;$D$3:$D$700,0))</f>
        <v>12.878169874944756</v>
      </c>
      <c r="X320">
        <f t="array" ref="X320">INDEX(M$3:M$700,MATCH($B320&amp;$C320&amp;"baseline",$B$3:$B$700&amp;$C$3:$C$700&amp;$D$3:$D$700,0))</f>
        <v>3.0838635268299606</v>
      </c>
      <c r="Y320">
        <f t="array" ref="Y320">INDEX(N$3:N$700,MATCH($B320&amp;$C320&amp;"baseline",$B$3:$B$700&amp;$C$3:$C$700&amp;$D$3:$D$700,0))</f>
        <v>0</v>
      </c>
      <c r="Z320">
        <f t="array" ref="Z320">INDEX(O$3:O$700,MATCH($B320&amp;$C320&amp;"baseline",$B$3:$B$700&amp;$C$3:$C$700&amp;$D$3:$D$700,0))</f>
        <v>6.2915237257047085</v>
      </c>
      <c r="AA320">
        <f t="array" ref="AA320">INDEX(P$3:P$700,MATCH($B320&amp;$C320&amp;"baseline",$B$3:$B$700&amp;$C$3:$C$700&amp;$D$3:$D$700,0))</f>
        <v>6.6319645738278721E-3</v>
      </c>
      <c r="AB320">
        <f t="array" ref="AB320">INDEX(Q$3:Q$700,MATCH($B320&amp;$C320&amp;"baseline",$B$3:$B$700&amp;$C$3:$C$700&amp;$D$3:$D$700,0))</f>
        <v>0</v>
      </c>
      <c r="AC320">
        <f t="shared" si="34"/>
        <v>62.108348233898013</v>
      </c>
      <c r="AD320">
        <f t="shared" si="35"/>
        <v>1.2169654992974159</v>
      </c>
      <c r="AE320">
        <f t="shared" si="36"/>
        <v>-0.67867104138838386</v>
      </c>
      <c r="AF320">
        <f t="shared" si="37"/>
        <v>0.86670226018865071</v>
      </c>
      <c r="AG320">
        <f>(S320+V320+Y320)*constants!$O$2+(R320+T320+U320+W320+X320+Z320+AA320+AB320)*constants!$N$2</f>
        <v>3.5475169919844438</v>
      </c>
      <c r="AH320">
        <f>((S320+V320+Y320)-(H320+K320+N320))*constants!$O$2</f>
        <v>1.9714841088618137E-2</v>
      </c>
      <c r="AI320">
        <f>((R320+T320+U320+W320+X320+Z320+AA320+AB320)-(G320+I320+J320+L320+M320+O320+P320+Q320))*constants!$N$2</f>
        <v>-7.6689827676887382E-2</v>
      </c>
      <c r="AJ320">
        <f t="shared" si="38"/>
        <v>-1.6060525352522141</v>
      </c>
      <c r="AK320">
        <f t="shared" si="39"/>
        <v>-5.6974986588269244E-2</v>
      </c>
      <c r="AL320">
        <f>COUNTIFS($B:$B,$B320,$AK:$AK,"&lt;"&amp;$AK320)+COUNTIFS($B$2:$B320,$B320,$AK$2:$AK320,$AK320)</f>
        <v>19</v>
      </c>
      <c r="AM320" s="191">
        <f>IF(AK320=0, "NA",IF(((sim_annual_output!F320/E320)/AK320)&lt;0,100,((sim_annual_output!F320/E320)/AK320)))</f>
        <v>100</v>
      </c>
      <c r="AN320">
        <f>(S320+V320)*constants!$F$2+(T320+U320+W320+X320+Y320+Z320+AA320+AB320)*constants!$G$2</f>
        <v>28981.775824476979</v>
      </c>
      <c r="AO320">
        <f>(AD320*constants!$F$2+AE320*constants!$G$2)</f>
        <v>-372.60698163365652</v>
      </c>
      <c r="AP320">
        <f t="shared" si="40"/>
        <v>-1.2856595948098042</v>
      </c>
    </row>
    <row r="321" spans="1:42">
      <c r="A321">
        <f>sim_annual_output!B321</f>
        <v>18</v>
      </c>
      <c r="B321" t="str">
        <f>sim_annual_output!C321</f>
        <v>Office-Small</v>
      </c>
      <c r="C321" t="str">
        <f>sim_annual_output!D321</f>
        <v>2005-2014</v>
      </c>
      <c r="D321" t="str">
        <f>sim_annual_output!E321</f>
        <v>air_temp_reset_enabled</v>
      </c>
      <c r="E321" s="45">
        <f t="array" ref="E321">IFERROR(INDEX(baseline!$J$3:$J$201,MATCH($B321&amp;$C321,baseline!$C$3:$C$201&amp;baseline!$D$3:$D$201,0)),"NA")</f>
        <v>584</v>
      </c>
      <c r="F321">
        <f>sim_annual_output!G321</f>
        <v>1211.46221507992</v>
      </c>
      <c r="G321">
        <f>$E321/$F321^2*sim_annual_output!I321</f>
        <v>1.6303579577326852</v>
      </c>
      <c r="H321">
        <f>$E321/$F321^2*sim_annual_output!J321</f>
        <v>16.99883053014981</v>
      </c>
      <c r="I321">
        <f>$E321/$F321^2*sim_annual_output!K321</f>
        <v>1.7862091252176404</v>
      </c>
      <c r="J321">
        <f>$E321/$F321^2*sim_annual_output!L321</f>
        <v>2.7202108026983991</v>
      </c>
      <c r="K321">
        <f>$E321/$F321^2*sim_annual_output!M321</f>
        <v>0</v>
      </c>
      <c r="L321">
        <f>$E321/$F321^2*sim_annual_output!N321</f>
        <v>12.878169874944756</v>
      </c>
      <c r="M321">
        <f>$E321/$F321^2*sim_annual_output!O321</f>
        <v>3.0838635268299606</v>
      </c>
      <c r="N321">
        <f>$E321/$F321^2*sim_annual_output!P321</f>
        <v>0</v>
      </c>
      <c r="O321">
        <f>$E321/$F321^2*sim_annual_output!Q321</f>
        <v>4.589319485088887</v>
      </c>
      <c r="P321">
        <f>$E321/$F321^2*sim_annual_output!R321</f>
        <v>6.6319645738278721E-3</v>
      </c>
      <c r="Q321">
        <f>$E321/$F321^2*sim_annual_output!S321</f>
        <v>0</v>
      </c>
      <c r="R321">
        <f t="array" ref="R321">INDEX(G$3:G$700,MATCH($B321&amp;$C321&amp;"baseline",$B$3:$B$700&amp;$C$3:$C$700&amp;$D$3:$D$700,0))</f>
        <v>0.68751366082015608</v>
      </c>
      <c r="S321">
        <f t="array" ref="S321">INDEX(H$3:H$700,MATCH($B321&amp;$C321&amp;"baseline",$B$3:$B$700&amp;$C$3:$C$700&amp;$D$3:$D$700,0))</f>
        <v>18.538551638706846</v>
      </c>
      <c r="T321">
        <f t="array" ref="T321">INDEX(I$3:I$700,MATCH($B321&amp;$C321&amp;"baseline",$B$3:$B$700&amp;$C$3:$C$700&amp;$D$3:$D$700,0))</f>
        <v>1.0180065620825784</v>
      </c>
      <c r="U321">
        <f t="array" ref="U321">INDEX(J$3:J$700,MATCH($B321&amp;$C321&amp;"baseline",$B$3:$B$700&amp;$C$3:$C$700&amp;$D$3:$D$700,0))</f>
        <v>2.7124735106955997</v>
      </c>
      <c r="V321">
        <f t="array" ref="V321">INDEX(K$3:K$700,MATCH($B321&amp;$C321&amp;"baseline",$B$3:$B$700&amp;$C$3:$C$700&amp;$D$3:$D$700,0))</f>
        <v>0</v>
      </c>
      <c r="W321">
        <f t="array" ref="W321">INDEX(L$3:L$700,MATCH($B321&amp;$C321&amp;"baseline",$B$3:$B$700&amp;$C$3:$C$700&amp;$D$3:$D$700,0))</f>
        <v>12.878169874944756</v>
      </c>
      <c r="X321">
        <f t="array" ref="X321">INDEX(M$3:M$700,MATCH($B321&amp;$C321&amp;"baseline",$B$3:$B$700&amp;$C$3:$C$700&amp;$D$3:$D$700,0))</f>
        <v>3.0838635268299606</v>
      </c>
      <c r="Y321">
        <f t="array" ref="Y321">INDEX(N$3:N$700,MATCH($B321&amp;$C321&amp;"baseline",$B$3:$B$700&amp;$C$3:$C$700&amp;$D$3:$D$700,0))</f>
        <v>0</v>
      </c>
      <c r="Z321">
        <f t="array" ref="Z321">INDEX(O$3:O$700,MATCH($B321&amp;$C321&amp;"baseline",$B$3:$B$700&amp;$C$3:$C$700&amp;$D$3:$D$700,0))</f>
        <v>4.446732246751588</v>
      </c>
      <c r="AA321">
        <f t="array" ref="AA321">INDEX(P$3:P$700,MATCH($B321&amp;$C321&amp;"baseline",$B$3:$B$700&amp;$C$3:$C$700&amp;$D$3:$D$700,0))</f>
        <v>6.6319645738278721E-3</v>
      </c>
      <c r="AB321">
        <f t="array" ref="AB321">INDEX(Q$3:Q$700,MATCH($B321&amp;$C321&amp;"baseline",$B$3:$B$700&amp;$C$3:$C$700&amp;$D$3:$D$700,0))</f>
        <v>0</v>
      </c>
      <c r="AC321">
        <f t="shared" si="34"/>
        <v>43.371942985405305</v>
      </c>
      <c r="AD321">
        <f t="shared" si="35"/>
        <v>1.5397211085570355</v>
      </c>
      <c r="AE321">
        <f t="shared" si="36"/>
        <v>-1.8613713903876885</v>
      </c>
      <c r="AF321">
        <f t="shared" si="37"/>
        <v>-0.74160911338209734</v>
      </c>
      <c r="AG321">
        <f>(S321+V321+Y321)*constants!$O$2+(R321+T321+U321+W321+X321+Z321+AA321+AB321)*constants!$N$2</f>
        <v>3.1064977587239779</v>
      </c>
      <c r="AH321">
        <f>((S321+V321+Y321)-(H321+K321+N321))*constants!$O$2</f>
        <v>2.4943481958623972E-2</v>
      </c>
      <c r="AI321">
        <f>((R321+T321+U321+W321+X321+Z321+AA321+AB321)-(G321+I321+J321+L321+M321+O321+P321+Q321))*constants!$N$2</f>
        <v>-0.21033496711380881</v>
      </c>
      <c r="AJ321">
        <f t="shared" si="38"/>
        <v>-5.967861545515361</v>
      </c>
      <c r="AK321">
        <f t="shared" si="39"/>
        <v>-0.18539148515518483</v>
      </c>
      <c r="AL321">
        <f>COUNTIFS($B:$B,$B321,$AK:$AK,"&lt;"&amp;$AK321)+COUNTIFS($B$2:$B321,$B321,$AK$2:$AK321,$AK321)</f>
        <v>6</v>
      </c>
      <c r="AM321" s="191">
        <f>IF(AK321=0, "NA",IF(((sim_annual_output!F321/E321)/AK321)&lt;0,100,((sim_annual_output!F321/E321)/AK321)))</f>
        <v>100</v>
      </c>
      <c r="AN321">
        <f>(S321+V321)*constants!$F$2+(T321+U321+W321+X321+Y321+Z321+AA321+AB321)*constants!$G$2</f>
        <v>24325.314330042656</v>
      </c>
      <c r="AO321">
        <f>(AD321*constants!$F$2+AE321*constants!$G$2)</f>
        <v>-1343.7830312055796</v>
      </c>
      <c r="AP321">
        <f t="shared" si="40"/>
        <v>-5.5242165136010524</v>
      </c>
    </row>
    <row r="322" spans="1:42">
      <c r="A322">
        <f>sim_annual_output!B322</f>
        <v>18</v>
      </c>
      <c r="B322" t="str">
        <f>sim_annual_output!C322</f>
        <v>Office-Small</v>
      </c>
      <c r="C322" t="str">
        <f>sim_annual_output!D322</f>
        <v>2005-2014</v>
      </c>
      <c r="D322" t="str">
        <f>sim_annual_output!E322</f>
        <v>baseline</v>
      </c>
      <c r="E322" s="45">
        <f t="array" ref="E322">IFERROR(INDEX(baseline!$J$3:$J$201,MATCH($B322&amp;$C322,baseline!$C$3:$C$201&amp;baseline!$D$3:$D$201,0)),"NA")</f>
        <v>584</v>
      </c>
      <c r="F322">
        <f>sim_annual_output!G322</f>
        <v>1211.46221507992</v>
      </c>
      <c r="G322">
        <f>$E322/$F322^2*sim_annual_output!I322</f>
        <v>0.68751366082015608</v>
      </c>
      <c r="H322">
        <f>$E322/$F322^2*sim_annual_output!J322</f>
        <v>18.538551638706846</v>
      </c>
      <c r="I322">
        <f>$E322/$F322^2*sim_annual_output!K322</f>
        <v>1.0180065620825784</v>
      </c>
      <c r="J322">
        <f>$E322/$F322^2*sim_annual_output!L322</f>
        <v>2.7124735106955997</v>
      </c>
      <c r="K322">
        <f>$E322/$F322^2*sim_annual_output!M322</f>
        <v>0</v>
      </c>
      <c r="L322">
        <f>$E322/$F322^2*sim_annual_output!N322</f>
        <v>12.878169874944756</v>
      </c>
      <c r="M322">
        <f>$E322/$F322^2*sim_annual_output!O322</f>
        <v>3.0838635268299606</v>
      </c>
      <c r="N322">
        <f>$E322/$F322^2*sim_annual_output!P322</f>
        <v>0</v>
      </c>
      <c r="O322">
        <f>$E322/$F322^2*sim_annual_output!Q322</f>
        <v>4.446732246751588</v>
      </c>
      <c r="P322">
        <f>$E322/$F322^2*sim_annual_output!R322</f>
        <v>6.6319645738278721E-3</v>
      </c>
      <c r="Q322">
        <f>$E322/$F322^2*sim_annual_output!S322</f>
        <v>0</v>
      </c>
      <c r="R322">
        <f t="array" ref="R322">INDEX(G$3:G$700,MATCH($B322&amp;$C322&amp;"baseline",$B$3:$B$700&amp;$C$3:$C$700&amp;$D$3:$D$700,0))</f>
        <v>0.68751366082015608</v>
      </c>
      <c r="S322">
        <f t="array" ref="S322">INDEX(H$3:H$700,MATCH($B322&amp;$C322&amp;"baseline",$B$3:$B$700&amp;$C$3:$C$700&amp;$D$3:$D$700,0))</f>
        <v>18.538551638706846</v>
      </c>
      <c r="T322">
        <f t="array" ref="T322">INDEX(I$3:I$700,MATCH($B322&amp;$C322&amp;"baseline",$B$3:$B$700&amp;$C$3:$C$700&amp;$D$3:$D$700,0))</f>
        <v>1.0180065620825784</v>
      </c>
      <c r="U322">
        <f t="array" ref="U322">INDEX(J$3:J$700,MATCH($B322&amp;$C322&amp;"baseline",$B$3:$B$700&amp;$C$3:$C$700&amp;$D$3:$D$700,0))</f>
        <v>2.7124735106955997</v>
      </c>
      <c r="V322">
        <f t="array" ref="V322">INDEX(K$3:K$700,MATCH($B322&amp;$C322&amp;"baseline",$B$3:$B$700&amp;$C$3:$C$700&amp;$D$3:$D$700,0))</f>
        <v>0</v>
      </c>
      <c r="W322">
        <f t="array" ref="W322">INDEX(L$3:L$700,MATCH($B322&amp;$C322&amp;"baseline",$B$3:$B$700&amp;$C$3:$C$700&amp;$D$3:$D$700,0))</f>
        <v>12.878169874944756</v>
      </c>
      <c r="X322">
        <f t="array" ref="X322">INDEX(M$3:M$700,MATCH($B322&amp;$C322&amp;"baseline",$B$3:$B$700&amp;$C$3:$C$700&amp;$D$3:$D$700,0))</f>
        <v>3.0838635268299606</v>
      </c>
      <c r="Y322">
        <f t="array" ref="Y322">INDEX(N$3:N$700,MATCH($B322&amp;$C322&amp;"baseline",$B$3:$B$700&amp;$C$3:$C$700&amp;$D$3:$D$700,0))</f>
        <v>0</v>
      </c>
      <c r="Z322">
        <f t="array" ref="Z322">INDEX(O$3:O$700,MATCH($B322&amp;$C322&amp;"baseline",$B$3:$B$700&amp;$C$3:$C$700&amp;$D$3:$D$700,0))</f>
        <v>4.446732246751588</v>
      </c>
      <c r="AA322">
        <f t="array" ref="AA322">INDEX(P$3:P$700,MATCH($B322&amp;$C322&amp;"baseline",$B$3:$B$700&amp;$C$3:$C$700&amp;$D$3:$D$700,0))</f>
        <v>6.6319645738278721E-3</v>
      </c>
      <c r="AB322">
        <f t="array" ref="AB322">INDEX(Q$3:Q$700,MATCH($B322&amp;$C322&amp;"baseline",$B$3:$B$700&amp;$C$3:$C$700&amp;$D$3:$D$700,0))</f>
        <v>0</v>
      </c>
      <c r="AC322">
        <f t="shared" si="34"/>
        <v>43.371942985405305</v>
      </c>
      <c r="AD322">
        <f t="shared" si="35"/>
        <v>0</v>
      </c>
      <c r="AE322">
        <f t="shared" si="36"/>
        <v>0</v>
      </c>
      <c r="AF322">
        <f t="shared" si="37"/>
        <v>0</v>
      </c>
      <c r="AG322">
        <f>(S322+V322+Y322)*constants!$O$2+(R322+T322+U322+W322+X322+Z322+AA322+AB322)*constants!$N$2</f>
        <v>3.1064977587239779</v>
      </c>
      <c r="AH322">
        <f>((S322+V322+Y322)-(H322+K322+N322))*constants!$O$2</f>
        <v>0</v>
      </c>
      <c r="AI322">
        <f>((R322+T322+U322+W322+X322+Z322+AA322+AB322)-(G322+I322+J322+L322+M322+O322+P322+Q322))*constants!$N$2</f>
        <v>0</v>
      </c>
      <c r="AJ322">
        <f t="shared" si="38"/>
        <v>0</v>
      </c>
      <c r="AK322">
        <f t="shared" si="39"/>
        <v>0</v>
      </c>
      <c r="AL322">
        <f>COUNTIFS($B:$B,$B322,$AK:$AK,"&lt;"&amp;$AK322)+COUNTIFS($B$2:$B322,$B322,$AK$2:$AK322,$AK322)</f>
        <v>43</v>
      </c>
      <c r="AM322" s="191" t="str">
        <f>IF(AK322=0, "NA",IF(((sim_annual_output!F322/E322)/AK322)&lt;0,100,((sim_annual_output!F322/E322)/AK322)))</f>
        <v>NA</v>
      </c>
      <c r="AN322">
        <f>(S322+V322)*constants!$F$2+(T322+U322+W322+X322+Y322+Z322+AA322+AB322)*constants!$G$2</f>
        <v>24325.314330042656</v>
      </c>
      <c r="AO322">
        <f>(AD322*constants!$F$2+AE322*constants!$G$2)</f>
        <v>0</v>
      </c>
      <c r="AP322">
        <f t="shared" si="40"/>
        <v>0</v>
      </c>
    </row>
    <row r="323" spans="1:42">
      <c r="A323">
        <f>sim_annual_output!B323</f>
        <v>18</v>
      </c>
      <c r="B323" t="str">
        <f>sim_annual_output!C323</f>
        <v>Office-Small</v>
      </c>
      <c r="C323" t="str">
        <f>sim_annual_output!D323</f>
        <v>2005-2014</v>
      </c>
      <c r="D323" t="str">
        <f>sim_annual_output!E323</f>
        <v>boiler_reset</v>
      </c>
      <c r="E323" s="45">
        <f t="array" ref="E323">IFERROR(INDEX(baseline!$J$3:$J$201,MATCH($B323&amp;$C323,baseline!$C$3:$C$201&amp;baseline!$D$3:$D$201,0)),"NA")</f>
        <v>584</v>
      </c>
      <c r="F323">
        <f>sim_annual_output!G323</f>
        <v>1211.46221507992</v>
      </c>
      <c r="G323">
        <f>$E323/$F323^2*sim_annual_output!I323</f>
        <v>0.78920378428551685</v>
      </c>
      <c r="H323">
        <f>$E323/$F323^2*sim_annual_output!J323</f>
        <v>18.355067285497608</v>
      </c>
      <c r="I323">
        <f>$E323/$F323^2*sim_annual_output!K323</f>
        <v>1.3297088970524884</v>
      </c>
      <c r="J323">
        <f>$E323/$F323^2*sim_annual_output!L323</f>
        <v>2.7168948204114849</v>
      </c>
      <c r="K323">
        <f>$E323/$F323^2*sim_annual_output!M323</f>
        <v>0</v>
      </c>
      <c r="L323">
        <f>$E323/$F323^2*sim_annual_output!N323</f>
        <v>12.878169874944756</v>
      </c>
      <c r="M323">
        <f>$E323/$F323^2*sim_annual_output!O323</f>
        <v>3.0838635268299606</v>
      </c>
      <c r="N323">
        <f>$E323/$F323^2*sim_annual_output!P323</f>
        <v>0</v>
      </c>
      <c r="O323">
        <f>$E323/$F323^2*sim_annual_output!Q323</f>
        <v>4.6047940690944857</v>
      </c>
      <c r="P323">
        <f>$E323/$F323^2*sim_annual_output!R323</f>
        <v>6.6319645738278721E-3</v>
      </c>
      <c r="Q323">
        <f>$E323/$F323^2*sim_annual_output!S323</f>
        <v>0</v>
      </c>
      <c r="R323">
        <f t="array" ref="R323">INDEX(G$3:G$700,MATCH($B323&amp;$C323&amp;"baseline",$B$3:$B$700&amp;$C$3:$C$700&amp;$D$3:$D$700,0))</f>
        <v>0.68751366082015608</v>
      </c>
      <c r="S323">
        <f t="array" ref="S323">INDEX(H$3:H$700,MATCH($B323&amp;$C323&amp;"baseline",$B$3:$B$700&amp;$C$3:$C$700&amp;$D$3:$D$700,0))</f>
        <v>18.538551638706846</v>
      </c>
      <c r="T323">
        <f t="array" ref="T323">INDEX(I$3:I$700,MATCH($B323&amp;$C323&amp;"baseline",$B$3:$B$700&amp;$C$3:$C$700&amp;$D$3:$D$700,0))</f>
        <v>1.0180065620825784</v>
      </c>
      <c r="U323">
        <f t="array" ref="U323">INDEX(J$3:J$700,MATCH($B323&amp;$C323&amp;"baseline",$B$3:$B$700&amp;$C$3:$C$700&amp;$D$3:$D$700,0))</f>
        <v>2.7124735106955997</v>
      </c>
      <c r="V323">
        <f t="array" ref="V323">INDEX(K$3:K$700,MATCH($B323&amp;$C323&amp;"baseline",$B$3:$B$700&amp;$C$3:$C$700&amp;$D$3:$D$700,0))</f>
        <v>0</v>
      </c>
      <c r="W323">
        <f t="array" ref="W323">INDEX(L$3:L$700,MATCH($B323&amp;$C323&amp;"baseline",$B$3:$B$700&amp;$C$3:$C$700&amp;$D$3:$D$700,0))</f>
        <v>12.878169874944756</v>
      </c>
      <c r="X323">
        <f t="array" ref="X323">INDEX(M$3:M$700,MATCH($B323&amp;$C323&amp;"baseline",$B$3:$B$700&amp;$C$3:$C$700&amp;$D$3:$D$700,0))</f>
        <v>3.0838635268299606</v>
      </c>
      <c r="Y323">
        <f t="array" ref="Y323">INDEX(N$3:N$700,MATCH($B323&amp;$C323&amp;"baseline",$B$3:$B$700&amp;$C$3:$C$700&amp;$D$3:$D$700,0))</f>
        <v>0</v>
      </c>
      <c r="Z323">
        <f t="array" ref="Z323">INDEX(O$3:O$700,MATCH($B323&amp;$C323&amp;"baseline",$B$3:$B$700&amp;$C$3:$C$700&amp;$D$3:$D$700,0))</f>
        <v>4.446732246751588</v>
      </c>
      <c r="AA323">
        <f t="array" ref="AA323">INDEX(P$3:P$700,MATCH($B323&amp;$C323&amp;"baseline",$B$3:$B$700&amp;$C$3:$C$700&amp;$D$3:$D$700,0))</f>
        <v>6.6319645738278721E-3</v>
      </c>
      <c r="AB323">
        <f t="array" ref="AB323">INDEX(Q$3:Q$700,MATCH($B323&amp;$C323&amp;"baseline",$B$3:$B$700&amp;$C$3:$C$700&amp;$D$3:$D$700,0))</f>
        <v>0</v>
      </c>
      <c r="AC323">
        <f t="shared" ref="AC323:AC386" si="41">SUM(R323:AB323)</f>
        <v>43.371942985405305</v>
      </c>
      <c r="AD323">
        <f t="shared" ref="AD323:AD386" si="42">(S323+V323+Y323)-(H323+K323+N323)</f>
        <v>0.18348435320923784</v>
      </c>
      <c r="AE323">
        <f t="shared" ref="AE323:AE386" si="43">(R323+T323+U323+W323+X323+Z323+AA323+AB323)-(G323+I323+J323+L323+M323+O323+P323+Q323)</f>
        <v>-0.57587559049405357</v>
      </c>
      <c r="AF323">
        <f t="shared" ref="AF323:AF386" si="44">(AD323+AE323)/AC323*100</f>
        <v>-0.90471214862764093</v>
      </c>
      <c r="AG323">
        <f>(S323+V323+Y323)*constants!$O$2+(R323+T323+U323+W323+X323+Z323+AA323+AB323)*constants!$N$2</f>
        <v>3.1064977587239779</v>
      </c>
      <c r="AH323">
        <f>((S323+V323+Y323)-(H323+K323+N323))*constants!$O$2</f>
        <v>2.972446521989653E-3</v>
      </c>
      <c r="AI323">
        <f>((R323+T323+U323+W323+X323+Z323+AA323+AB323)-(G323+I323+J323+L323+M323+O323+P323+Q323))*constants!$N$2</f>
        <v>-6.5073941725828061E-2</v>
      </c>
      <c r="AJ323">
        <f t="shared" ref="AJ323:AJ386" si="45">(AH323+AI323)/AG323*100</f>
        <v>-1.9990838567141658</v>
      </c>
      <c r="AK323">
        <f t="shared" ref="AK323:AK386" si="46">AH323+AI323</f>
        <v>-6.2101495203838411E-2</v>
      </c>
      <c r="AL323">
        <f>COUNTIFS($B:$B,$B323,$AK:$AK,"&lt;"&amp;$AK323)+COUNTIFS($B$2:$B323,$B323,$AK$2:$AK323,$AK323)</f>
        <v>7</v>
      </c>
      <c r="AM323" s="191">
        <f>IF(AK323=0, "NA",IF(((sim_annual_output!F323/E323)/AK323)&lt;0,100,((sim_annual_output!F323/E323)/AK323)))</f>
        <v>100</v>
      </c>
      <c r="AN323">
        <f>(S323+V323)*constants!$F$2+(T323+U323+W323+X323+Y323+Z323+AA323+AB323)*constants!$G$2</f>
        <v>24325.314330042656</v>
      </c>
      <c r="AO323">
        <f>(AD323*constants!$F$2+AE323*constants!$G$2)</f>
        <v>-468.16806450537302</v>
      </c>
      <c r="AP323">
        <f t="shared" ref="AP323:AP386" si="47">AO323/AN323*100</f>
        <v>-1.9246125996701644</v>
      </c>
    </row>
    <row r="324" spans="1:42">
      <c r="A324">
        <f>sim_annual_output!B324</f>
        <v>18</v>
      </c>
      <c r="B324" t="str">
        <f>sim_annual_output!C324</f>
        <v>Office-Small</v>
      </c>
      <c r="C324" t="str">
        <f>sim_annual_output!D324</f>
        <v>2005-2014</v>
      </c>
      <c r="D324" t="str">
        <f>sim_annual_output!E324</f>
        <v>cooling_cop_3_0</v>
      </c>
      <c r="E324" s="45">
        <f t="array" ref="E324">IFERROR(INDEX(baseline!$J$3:$J$201,MATCH($B324&amp;$C324,baseline!$C$3:$C$201&amp;baseline!$D$3:$D$201,0)),"NA")</f>
        <v>584</v>
      </c>
      <c r="F324">
        <f>sim_annual_output!G324</f>
        <v>1211.46221507992</v>
      </c>
      <c r="G324">
        <f>$E324/$F324^2*sim_annual_output!I324</f>
        <v>0.78920378428551685</v>
      </c>
      <c r="H324">
        <f>$E324/$F324^2*sim_annual_output!J324</f>
        <v>18.355067285497608</v>
      </c>
      <c r="I324">
        <f>$E324/$F324^2*sim_annual_output!K324</f>
        <v>1.3297088970524884</v>
      </c>
      <c r="J324">
        <f>$E324/$F324^2*sim_annual_output!L324</f>
        <v>2.7168948204114849</v>
      </c>
      <c r="K324">
        <f>$E324/$F324^2*sim_annual_output!M324</f>
        <v>0</v>
      </c>
      <c r="L324">
        <f>$E324/$F324^2*sim_annual_output!N324</f>
        <v>12.878169874944756</v>
      </c>
      <c r="M324">
        <f>$E324/$F324^2*sim_annual_output!O324</f>
        <v>3.0838635268299606</v>
      </c>
      <c r="N324">
        <f>$E324/$F324^2*sim_annual_output!P324</f>
        <v>0</v>
      </c>
      <c r="O324">
        <f>$E324/$F324^2*sim_annual_output!Q324</f>
        <v>4.6047940690944857</v>
      </c>
      <c r="P324">
        <f>$E324/$F324^2*sim_annual_output!R324</f>
        <v>6.6319645738278721E-3</v>
      </c>
      <c r="Q324">
        <f>$E324/$F324^2*sim_annual_output!S324</f>
        <v>0</v>
      </c>
      <c r="R324">
        <f t="array" ref="R324">INDEX(G$3:G$700,MATCH($B324&amp;$C324&amp;"baseline",$B$3:$B$700&amp;$C$3:$C$700&amp;$D$3:$D$700,0))</f>
        <v>0.68751366082015608</v>
      </c>
      <c r="S324">
        <f t="array" ref="S324">INDEX(H$3:H$700,MATCH($B324&amp;$C324&amp;"baseline",$B$3:$B$700&amp;$C$3:$C$700&amp;$D$3:$D$700,0))</f>
        <v>18.538551638706846</v>
      </c>
      <c r="T324">
        <f t="array" ref="T324">INDEX(I$3:I$700,MATCH($B324&amp;$C324&amp;"baseline",$B$3:$B$700&amp;$C$3:$C$700&amp;$D$3:$D$700,0))</f>
        <v>1.0180065620825784</v>
      </c>
      <c r="U324">
        <f t="array" ref="U324">INDEX(J$3:J$700,MATCH($B324&amp;$C324&amp;"baseline",$B$3:$B$700&amp;$C$3:$C$700&amp;$D$3:$D$700,0))</f>
        <v>2.7124735106955997</v>
      </c>
      <c r="V324">
        <f t="array" ref="V324">INDEX(K$3:K$700,MATCH($B324&amp;$C324&amp;"baseline",$B$3:$B$700&amp;$C$3:$C$700&amp;$D$3:$D$700,0))</f>
        <v>0</v>
      </c>
      <c r="W324">
        <f t="array" ref="W324">INDEX(L$3:L$700,MATCH($B324&amp;$C324&amp;"baseline",$B$3:$B$700&amp;$C$3:$C$700&amp;$D$3:$D$700,0))</f>
        <v>12.878169874944756</v>
      </c>
      <c r="X324">
        <f t="array" ref="X324">INDEX(M$3:M$700,MATCH($B324&amp;$C324&amp;"baseline",$B$3:$B$700&amp;$C$3:$C$700&amp;$D$3:$D$700,0))</f>
        <v>3.0838635268299606</v>
      </c>
      <c r="Y324">
        <f t="array" ref="Y324">INDEX(N$3:N$700,MATCH($B324&amp;$C324&amp;"baseline",$B$3:$B$700&amp;$C$3:$C$700&amp;$D$3:$D$700,0))</f>
        <v>0</v>
      </c>
      <c r="Z324">
        <f t="array" ref="Z324">INDEX(O$3:O$700,MATCH($B324&amp;$C324&amp;"baseline",$B$3:$B$700&amp;$C$3:$C$700&amp;$D$3:$D$700,0))</f>
        <v>4.446732246751588</v>
      </c>
      <c r="AA324">
        <f t="array" ref="AA324">INDEX(P$3:P$700,MATCH($B324&amp;$C324&amp;"baseline",$B$3:$B$700&amp;$C$3:$C$700&amp;$D$3:$D$700,0))</f>
        <v>6.6319645738278721E-3</v>
      </c>
      <c r="AB324">
        <f t="array" ref="AB324">INDEX(Q$3:Q$700,MATCH($B324&amp;$C324&amp;"baseline",$B$3:$B$700&amp;$C$3:$C$700&amp;$D$3:$D$700,0))</f>
        <v>0</v>
      </c>
      <c r="AC324">
        <f t="shared" si="41"/>
        <v>43.371942985405305</v>
      </c>
      <c r="AD324">
        <f t="shared" si="42"/>
        <v>0.18348435320923784</v>
      </c>
      <c r="AE324">
        <f t="shared" si="43"/>
        <v>-0.57587559049405357</v>
      </c>
      <c r="AF324">
        <f t="shared" si="44"/>
        <v>-0.90471214862764093</v>
      </c>
      <c r="AG324">
        <f>(S324+V324+Y324)*constants!$O$2+(R324+T324+U324+W324+X324+Z324+AA324+AB324)*constants!$N$2</f>
        <v>3.1064977587239779</v>
      </c>
      <c r="AH324">
        <f>((S324+V324+Y324)-(H324+K324+N324))*constants!$O$2</f>
        <v>2.972446521989653E-3</v>
      </c>
      <c r="AI324">
        <f>((R324+T324+U324+W324+X324+Z324+AA324+AB324)-(G324+I324+J324+L324+M324+O324+P324+Q324))*constants!$N$2</f>
        <v>-6.5073941725828061E-2</v>
      </c>
      <c r="AJ324">
        <f t="shared" si="45"/>
        <v>-1.9990838567141658</v>
      </c>
      <c r="AK324">
        <f t="shared" si="46"/>
        <v>-6.2101495203838411E-2</v>
      </c>
      <c r="AL324">
        <f>COUNTIFS($B:$B,$B324,$AK:$AK,"&lt;"&amp;$AK324)+COUNTIFS($B$2:$B324,$B324,$AK$2:$AK324,$AK324)</f>
        <v>8</v>
      </c>
      <c r="AM324" s="191">
        <f>IF(AK324=0, "NA",IF(((sim_annual_output!F324/E324)/AK324)&lt;0,100,((sim_annual_output!F324/E324)/AK324)))</f>
        <v>100</v>
      </c>
      <c r="AN324">
        <f>(S324+V324)*constants!$F$2+(T324+U324+W324+X324+Y324+Z324+AA324+AB324)*constants!$G$2</f>
        <v>24325.314330042656</v>
      </c>
      <c r="AO324">
        <f>(AD324*constants!$F$2+AE324*constants!$G$2)</f>
        <v>-468.16806450537302</v>
      </c>
      <c r="AP324">
        <f t="shared" si="47"/>
        <v>-1.9246125996701644</v>
      </c>
    </row>
    <row r="325" spans="1:42">
      <c r="A325">
        <f>sim_annual_output!B325</f>
        <v>18</v>
      </c>
      <c r="B325" t="str">
        <f>sim_annual_output!C325</f>
        <v>Office-Small</v>
      </c>
      <c r="C325" t="str">
        <f>sim_annual_output!D325</f>
        <v>2005-2014</v>
      </c>
      <c r="D325" t="str">
        <f>sim_annual_output!E325</f>
        <v>dcv_enabled</v>
      </c>
      <c r="E325" s="45">
        <f t="array" ref="E325">IFERROR(INDEX(baseline!$J$3:$J$201,MATCH($B325&amp;$C325,baseline!$C$3:$C$201&amp;baseline!$D$3:$D$201,0)),"NA")</f>
        <v>584</v>
      </c>
      <c r="F325">
        <f>sim_annual_output!G325</f>
        <v>1211.46221507992</v>
      </c>
      <c r="G325">
        <f>$E325/$F325^2*sim_annual_output!I325</f>
        <v>0.78920378428551685</v>
      </c>
      <c r="H325">
        <f>$E325/$F325^2*sim_annual_output!J325</f>
        <v>18.355067285497608</v>
      </c>
      <c r="I325">
        <f>$E325/$F325^2*sim_annual_output!K325</f>
        <v>1.3297088970524884</v>
      </c>
      <c r="J325">
        <f>$E325/$F325^2*sim_annual_output!L325</f>
        <v>2.7168948204114849</v>
      </c>
      <c r="K325">
        <f>$E325/$F325^2*sim_annual_output!M325</f>
        <v>0</v>
      </c>
      <c r="L325">
        <f>$E325/$F325^2*sim_annual_output!N325</f>
        <v>12.878169874944756</v>
      </c>
      <c r="M325">
        <f>$E325/$F325^2*sim_annual_output!O325</f>
        <v>3.0838635268299606</v>
      </c>
      <c r="N325">
        <f>$E325/$F325^2*sim_annual_output!P325</f>
        <v>0</v>
      </c>
      <c r="O325">
        <f>$E325/$F325^2*sim_annual_output!Q325</f>
        <v>4.6047940690944857</v>
      </c>
      <c r="P325">
        <f>$E325/$F325^2*sim_annual_output!R325</f>
        <v>6.6319645738278721E-3</v>
      </c>
      <c r="Q325">
        <f>$E325/$F325^2*sim_annual_output!S325</f>
        <v>0</v>
      </c>
      <c r="R325">
        <f t="array" ref="R325">INDEX(G$3:G$700,MATCH($B325&amp;$C325&amp;"baseline",$B$3:$B$700&amp;$C$3:$C$700&amp;$D$3:$D$700,0))</f>
        <v>0.68751366082015608</v>
      </c>
      <c r="S325">
        <f t="array" ref="S325">INDEX(H$3:H$700,MATCH($B325&amp;$C325&amp;"baseline",$B$3:$B$700&amp;$C$3:$C$700&amp;$D$3:$D$700,0))</f>
        <v>18.538551638706846</v>
      </c>
      <c r="T325">
        <f t="array" ref="T325">INDEX(I$3:I$700,MATCH($B325&amp;$C325&amp;"baseline",$B$3:$B$700&amp;$C$3:$C$700&amp;$D$3:$D$700,0))</f>
        <v>1.0180065620825784</v>
      </c>
      <c r="U325">
        <f t="array" ref="U325">INDEX(J$3:J$700,MATCH($B325&amp;$C325&amp;"baseline",$B$3:$B$700&amp;$C$3:$C$700&amp;$D$3:$D$700,0))</f>
        <v>2.7124735106955997</v>
      </c>
      <c r="V325">
        <f t="array" ref="V325">INDEX(K$3:K$700,MATCH($B325&amp;$C325&amp;"baseline",$B$3:$B$700&amp;$C$3:$C$700&amp;$D$3:$D$700,0))</f>
        <v>0</v>
      </c>
      <c r="W325">
        <f t="array" ref="W325">INDEX(L$3:L$700,MATCH($B325&amp;$C325&amp;"baseline",$B$3:$B$700&amp;$C$3:$C$700&amp;$D$3:$D$700,0))</f>
        <v>12.878169874944756</v>
      </c>
      <c r="X325">
        <f t="array" ref="X325">INDEX(M$3:M$700,MATCH($B325&amp;$C325&amp;"baseline",$B$3:$B$700&amp;$C$3:$C$700&amp;$D$3:$D$700,0))</f>
        <v>3.0838635268299606</v>
      </c>
      <c r="Y325">
        <f t="array" ref="Y325">INDEX(N$3:N$700,MATCH($B325&amp;$C325&amp;"baseline",$B$3:$B$700&amp;$C$3:$C$700&amp;$D$3:$D$700,0))</f>
        <v>0</v>
      </c>
      <c r="Z325">
        <f t="array" ref="Z325">INDEX(O$3:O$700,MATCH($B325&amp;$C325&amp;"baseline",$B$3:$B$700&amp;$C$3:$C$700&amp;$D$3:$D$700,0))</f>
        <v>4.446732246751588</v>
      </c>
      <c r="AA325">
        <f t="array" ref="AA325">INDEX(P$3:P$700,MATCH($B325&amp;$C325&amp;"baseline",$B$3:$B$700&amp;$C$3:$C$700&amp;$D$3:$D$700,0))</f>
        <v>6.6319645738278721E-3</v>
      </c>
      <c r="AB325">
        <f t="array" ref="AB325">INDEX(Q$3:Q$700,MATCH($B325&amp;$C325&amp;"baseline",$B$3:$B$700&amp;$C$3:$C$700&amp;$D$3:$D$700,0))</f>
        <v>0</v>
      </c>
      <c r="AC325">
        <f t="shared" si="41"/>
        <v>43.371942985405305</v>
      </c>
      <c r="AD325">
        <f t="shared" si="42"/>
        <v>0.18348435320923784</v>
      </c>
      <c r="AE325">
        <f t="shared" si="43"/>
        <v>-0.57587559049405357</v>
      </c>
      <c r="AF325">
        <f t="shared" si="44"/>
        <v>-0.90471214862764093</v>
      </c>
      <c r="AG325">
        <f>(S325+V325+Y325)*constants!$O$2+(R325+T325+U325+W325+X325+Z325+AA325+AB325)*constants!$N$2</f>
        <v>3.1064977587239779</v>
      </c>
      <c r="AH325">
        <f>((S325+V325+Y325)-(H325+K325+N325))*constants!$O$2</f>
        <v>2.972446521989653E-3</v>
      </c>
      <c r="AI325">
        <f>((R325+T325+U325+W325+X325+Z325+AA325+AB325)-(G325+I325+J325+L325+M325+O325+P325+Q325))*constants!$N$2</f>
        <v>-6.5073941725828061E-2</v>
      </c>
      <c r="AJ325">
        <f t="shared" si="45"/>
        <v>-1.9990838567141658</v>
      </c>
      <c r="AK325">
        <f t="shared" si="46"/>
        <v>-6.2101495203838411E-2</v>
      </c>
      <c r="AL325">
        <f>COUNTIFS($B:$B,$B325,$AK:$AK,"&lt;"&amp;$AK325)+COUNTIFS($B$2:$B325,$B325,$AK$2:$AK325,$AK325)</f>
        <v>9</v>
      </c>
      <c r="AM325" s="191">
        <f>IF(AK325=0, "NA",IF(((sim_annual_output!F325/E325)/AK325)&lt;0,100,((sim_annual_output!F325/E325)/AK325)))</f>
        <v>100</v>
      </c>
      <c r="AN325">
        <f>(S325+V325)*constants!$F$2+(T325+U325+W325+X325+Y325+Z325+AA325+AB325)*constants!$G$2</f>
        <v>24325.314330042656</v>
      </c>
      <c r="AO325">
        <f>(AD325*constants!$F$2+AE325*constants!$G$2)</f>
        <v>-468.16806450537302</v>
      </c>
      <c r="AP325">
        <f t="shared" si="47"/>
        <v>-1.9246125996701644</v>
      </c>
    </row>
    <row r="326" spans="1:42">
      <c r="A326">
        <f>sim_annual_output!B326</f>
        <v>18</v>
      </c>
      <c r="B326" t="str">
        <f>sim_annual_output!C326</f>
        <v>Office-Small</v>
      </c>
      <c r="C326" t="str">
        <f>sim_annual_output!D326</f>
        <v>2005-2014</v>
      </c>
      <c r="D326" t="str">
        <f>sim_annual_output!E326</f>
        <v>ecm_cold_deck_reset_control</v>
      </c>
      <c r="E326" s="45">
        <f t="array" ref="E326">IFERROR(INDEX(baseline!$J$3:$J$201,MATCH($B326&amp;$C326,baseline!$C$3:$C$201&amp;baseline!$D$3:$D$201,0)),"NA")</f>
        <v>584</v>
      </c>
      <c r="F326">
        <f>sim_annual_output!G326</f>
        <v>1211.46221507992</v>
      </c>
      <c r="G326">
        <f>$E326/$F326^2*sim_annual_output!I326</f>
        <v>3.3789859503653008</v>
      </c>
      <c r="H326">
        <f>$E326/$F326^2*sim_annual_output!J326</f>
        <v>9.3344901376627298</v>
      </c>
      <c r="I326">
        <f>$E326/$F326^2*sim_annual_output!K326</f>
        <v>1.8536340983848902</v>
      </c>
      <c r="J326">
        <f>$E326/$F326^2*sim_annual_output!L326</f>
        <v>2.7390013689909116</v>
      </c>
      <c r="K326">
        <f>$E326/$F326^2*sim_annual_output!M326</f>
        <v>0</v>
      </c>
      <c r="L326">
        <f>$E326/$F326^2*sim_annual_output!N326</f>
        <v>12.878169874944756</v>
      </c>
      <c r="M326">
        <f>$E326/$F326^2*sim_annual_output!O326</f>
        <v>3.0838635268299606</v>
      </c>
      <c r="N326">
        <f>$E326/$F326^2*sim_annual_output!P326</f>
        <v>0</v>
      </c>
      <c r="O326">
        <f>$E326/$F326^2*sim_annual_output!Q326</f>
        <v>4.6335325822477405</v>
      </c>
      <c r="P326">
        <f>$E326/$F326^2*sim_annual_output!R326</f>
        <v>6.6319645738278721E-3</v>
      </c>
      <c r="Q326">
        <f>$E326/$F326^2*sim_annual_output!S326</f>
        <v>0</v>
      </c>
      <c r="R326">
        <f t="array" ref="R326">INDEX(G$3:G$700,MATCH($B326&amp;$C326&amp;"baseline",$B$3:$B$700&amp;$C$3:$C$700&amp;$D$3:$D$700,0))</f>
        <v>0.68751366082015608</v>
      </c>
      <c r="S326">
        <f t="array" ref="S326">INDEX(H$3:H$700,MATCH($B326&amp;$C326&amp;"baseline",$B$3:$B$700&amp;$C$3:$C$700&amp;$D$3:$D$700,0))</f>
        <v>18.538551638706846</v>
      </c>
      <c r="T326">
        <f t="array" ref="T326">INDEX(I$3:I$700,MATCH($B326&amp;$C326&amp;"baseline",$B$3:$B$700&amp;$C$3:$C$700&amp;$D$3:$D$700,0))</f>
        <v>1.0180065620825784</v>
      </c>
      <c r="U326">
        <f t="array" ref="U326">INDEX(J$3:J$700,MATCH($B326&amp;$C326&amp;"baseline",$B$3:$B$700&amp;$C$3:$C$700&amp;$D$3:$D$700,0))</f>
        <v>2.7124735106955997</v>
      </c>
      <c r="V326">
        <f t="array" ref="V326">INDEX(K$3:K$700,MATCH($B326&amp;$C326&amp;"baseline",$B$3:$B$700&amp;$C$3:$C$700&amp;$D$3:$D$700,0))</f>
        <v>0</v>
      </c>
      <c r="W326">
        <f t="array" ref="W326">INDEX(L$3:L$700,MATCH($B326&amp;$C326&amp;"baseline",$B$3:$B$700&amp;$C$3:$C$700&amp;$D$3:$D$700,0))</f>
        <v>12.878169874944756</v>
      </c>
      <c r="X326">
        <f t="array" ref="X326">INDEX(M$3:M$700,MATCH($B326&amp;$C326&amp;"baseline",$B$3:$B$700&amp;$C$3:$C$700&amp;$D$3:$D$700,0))</f>
        <v>3.0838635268299606</v>
      </c>
      <c r="Y326">
        <f t="array" ref="Y326">INDEX(N$3:N$700,MATCH($B326&amp;$C326&amp;"baseline",$B$3:$B$700&amp;$C$3:$C$700&amp;$D$3:$D$700,0))</f>
        <v>0</v>
      </c>
      <c r="Z326">
        <f t="array" ref="Z326">INDEX(O$3:O$700,MATCH($B326&amp;$C326&amp;"baseline",$B$3:$B$700&amp;$C$3:$C$700&amp;$D$3:$D$700,0))</f>
        <v>4.446732246751588</v>
      </c>
      <c r="AA326">
        <f t="array" ref="AA326">INDEX(P$3:P$700,MATCH($B326&amp;$C326&amp;"baseline",$B$3:$B$700&amp;$C$3:$C$700&amp;$D$3:$D$700,0))</f>
        <v>6.6319645738278721E-3</v>
      </c>
      <c r="AB326">
        <f t="array" ref="AB326">INDEX(Q$3:Q$700,MATCH($B326&amp;$C326&amp;"baseline",$B$3:$B$700&amp;$C$3:$C$700&amp;$D$3:$D$700,0))</f>
        <v>0</v>
      </c>
      <c r="AC326">
        <f t="shared" si="41"/>
        <v>43.371942985405305</v>
      </c>
      <c r="AD326">
        <f t="shared" si="42"/>
        <v>9.2040615010441158</v>
      </c>
      <c r="AE326">
        <f t="shared" si="43"/>
        <v>-3.740428019638923</v>
      </c>
      <c r="AF326">
        <f t="shared" si="44"/>
        <v>12.597160987792755</v>
      </c>
      <c r="AG326">
        <f>(S326+V326+Y326)*constants!$O$2+(R326+T326+U326+W326+X326+Z326+AA326+AB326)*constants!$N$2</f>
        <v>3.1064977587239779</v>
      </c>
      <c r="AH326">
        <f>((S326+V326+Y326)-(H326+K326+N326))*constants!$O$2</f>
        <v>0.14910579631691467</v>
      </c>
      <c r="AI326">
        <f>((R326+T326+U326+W326+X326+Z326+AA326+AB326)-(G326+I326+J326+L326+M326+O326+P326+Q326))*constants!$N$2</f>
        <v>-0.42266836621919829</v>
      </c>
      <c r="AJ326">
        <f t="shared" si="45"/>
        <v>-8.8061409068793886</v>
      </c>
      <c r="AK326">
        <f t="shared" si="46"/>
        <v>-0.27356256990228361</v>
      </c>
      <c r="AL326">
        <f>COUNTIFS($B:$B,$B326,$AK:$AK,"&lt;"&amp;$AK326)+COUNTIFS($B$2:$B326,$B326,$AK$2:$AK326,$AK326)</f>
        <v>5</v>
      </c>
      <c r="AM326" s="191">
        <f>IF(AK326=0, "NA",IF(((sim_annual_output!F326/E326)/AK326)&lt;0,100,((sim_annual_output!F326/E326)/AK326)))</f>
        <v>100</v>
      </c>
      <c r="AN326">
        <f>(S326+V326)*constants!$F$2+(T326+U326+W326+X326+Y326+Z326+AA326+AB326)*constants!$G$2</f>
        <v>24325.314330042656</v>
      </c>
      <c r="AO326">
        <f>(AD326*constants!$F$2+AE326*constants!$G$2)</f>
        <v>-1606.6453683989662</v>
      </c>
      <c r="AP326">
        <f t="shared" si="47"/>
        <v>-6.604828807555017</v>
      </c>
    </row>
    <row r="327" spans="1:42">
      <c r="A327">
        <f>sim_annual_output!B327</f>
        <v>18</v>
      </c>
      <c r="B327" t="str">
        <f>sim_annual_output!C327</f>
        <v>Office-Small</v>
      </c>
      <c r="C327" t="str">
        <f>sim_annual_output!D327</f>
        <v>2005-2014</v>
      </c>
      <c r="D327" t="str">
        <f>sim_annual_output!E327</f>
        <v>economizers_enabled</v>
      </c>
      <c r="E327" s="45">
        <f t="array" ref="E327">IFERROR(INDEX(baseline!$J$3:$J$201,MATCH($B327&amp;$C327,baseline!$C$3:$C$201&amp;baseline!$D$3:$D$201,0)),"NA")</f>
        <v>584</v>
      </c>
      <c r="F327">
        <f>sim_annual_output!G327</f>
        <v>1211.46221507992</v>
      </c>
      <c r="G327">
        <f>$E327/$F327^2*sim_annual_output!I327</f>
        <v>0.78920378428551685</v>
      </c>
      <c r="H327">
        <f>$E327/$F327^2*sim_annual_output!J327</f>
        <v>18.355067285497608</v>
      </c>
      <c r="I327">
        <f>$E327/$F327^2*sim_annual_output!K327</f>
        <v>1.3297088970524884</v>
      </c>
      <c r="J327">
        <f>$E327/$F327^2*sim_annual_output!L327</f>
        <v>2.7168948204114849</v>
      </c>
      <c r="K327">
        <f>$E327/$F327^2*sim_annual_output!M327</f>
        <v>0</v>
      </c>
      <c r="L327">
        <f>$E327/$F327^2*sim_annual_output!N327</f>
        <v>12.878169874944756</v>
      </c>
      <c r="M327">
        <f>$E327/$F327^2*sim_annual_output!O327</f>
        <v>3.0838635268299606</v>
      </c>
      <c r="N327">
        <f>$E327/$F327^2*sim_annual_output!P327</f>
        <v>0</v>
      </c>
      <c r="O327">
        <f>$E327/$F327^2*sim_annual_output!Q327</f>
        <v>4.6047940690944857</v>
      </c>
      <c r="P327">
        <f>$E327/$F327^2*sim_annual_output!R327</f>
        <v>6.6319645738278721E-3</v>
      </c>
      <c r="Q327">
        <f>$E327/$F327^2*sim_annual_output!S327</f>
        <v>0</v>
      </c>
      <c r="R327">
        <f t="array" ref="R327">INDEX(G$3:G$700,MATCH($B327&amp;$C327&amp;"baseline",$B$3:$B$700&amp;$C$3:$C$700&amp;$D$3:$D$700,0))</f>
        <v>0.68751366082015608</v>
      </c>
      <c r="S327">
        <f t="array" ref="S327">INDEX(H$3:H$700,MATCH($B327&amp;$C327&amp;"baseline",$B$3:$B$700&amp;$C$3:$C$700&amp;$D$3:$D$700,0))</f>
        <v>18.538551638706846</v>
      </c>
      <c r="T327">
        <f t="array" ref="T327">INDEX(I$3:I$700,MATCH($B327&amp;$C327&amp;"baseline",$B$3:$B$700&amp;$C$3:$C$700&amp;$D$3:$D$700,0))</f>
        <v>1.0180065620825784</v>
      </c>
      <c r="U327">
        <f t="array" ref="U327">INDEX(J$3:J$700,MATCH($B327&amp;$C327&amp;"baseline",$B$3:$B$700&amp;$C$3:$C$700&amp;$D$3:$D$700,0))</f>
        <v>2.7124735106955997</v>
      </c>
      <c r="V327">
        <f t="array" ref="V327">INDEX(K$3:K$700,MATCH($B327&amp;$C327&amp;"baseline",$B$3:$B$700&amp;$C$3:$C$700&amp;$D$3:$D$700,0))</f>
        <v>0</v>
      </c>
      <c r="W327">
        <f t="array" ref="W327">INDEX(L$3:L$700,MATCH($B327&amp;$C327&amp;"baseline",$B$3:$B$700&amp;$C$3:$C$700&amp;$D$3:$D$700,0))</f>
        <v>12.878169874944756</v>
      </c>
      <c r="X327">
        <f t="array" ref="X327">INDEX(M$3:M$700,MATCH($B327&amp;$C327&amp;"baseline",$B$3:$B$700&amp;$C$3:$C$700&amp;$D$3:$D$700,0))</f>
        <v>3.0838635268299606</v>
      </c>
      <c r="Y327">
        <f t="array" ref="Y327">INDEX(N$3:N$700,MATCH($B327&amp;$C327&amp;"baseline",$B$3:$B$700&amp;$C$3:$C$700&amp;$D$3:$D$700,0))</f>
        <v>0</v>
      </c>
      <c r="Z327">
        <f t="array" ref="Z327">INDEX(O$3:O$700,MATCH($B327&amp;$C327&amp;"baseline",$B$3:$B$700&amp;$C$3:$C$700&amp;$D$3:$D$700,0))</f>
        <v>4.446732246751588</v>
      </c>
      <c r="AA327">
        <f t="array" ref="AA327">INDEX(P$3:P$700,MATCH($B327&amp;$C327&amp;"baseline",$B$3:$B$700&amp;$C$3:$C$700&amp;$D$3:$D$700,0))</f>
        <v>6.6319645738278721E-3</v>
      </c>
      <c r="AB327">
        <f t="array" ref="AB327">INDEX(Q$3:Q$700,MATCH($B327&amp;$C327&amp;"baseline",$B$3:$B$700&amp;$C$3:$C$700&amp;$D$3:$D$700,0))</f>
        <v>0</v>
      </c>
      <c r="AC327">
        <f t="shared" si="41"/>
        <v>43.371942985405305</v>
      </c>
      <c r="AD327">
        <f t="shared" si="42"/>
        <v>0.18348435320923784</v>
      </c>
      <c r="AE327">
        <f t="shared" si="43"/>
        <v>-0.57587559049405357</v>
      </c>
      <c r="AF327">
        <f t="shared" si="44"/>
        <v>-0.90471214862764093</v>
      </c>
      <c r="AG327">
        <f>(S327+V327+Y327)*constants!$O$2+(R327+T327+U327+W327+X327+Z327+AA327+AB327)*constants!$N$2</f>
        <v>3.1064977587239779</v>
      </c>
      <c r="AH327">
        <f>((S327+V327+Y327)-(H327+K327+N327))*constants!$O$2</f>
        <v>2.972446521989653E-3</v>
      </c>
      <c r="AI327">
        <f>((R327+T327+U327+W327+X327+Z327+AA327+AB327)-(G327+I327+J327+L327+M327+O327+P327+Q327))*constants!$N$2</f>
        <v>-6.5073941725828061E-2</v>
      </c>
      <c r="AJ327">
        <f t="shared" si="45"/>
        <v>-1.9990838567141658</v>
      </c>
      <c r="AK327">
        <f t="shared" si="46"/>
        <v>-6.2101495203838411E-2</v>
      </c>
      <c r="AL327">
        <f>COUNTIFS($B:$B,$B327,$AK:$AK,"&lt;"&amp;$AK327)+COUNTIFS($B$2:$B327,$B327,$AK$2:$AK327,$AK327)</f>
        <v>10</v>
      </c>
      <c r="AM327" s="191">
        <f>IF(AK327=0, "NA",IF(((sim_annual_output!F327/E327)/AK327)&lt;0,100,((sim_annual_output!F327/E327)/AK327)))</f>
        <v>100</v>
      </c>
      <c r="AN327">
        <f>(S327+V327)*constants!$F$2+(T327+U327+W327+X327+Y327+Z327+AA327+AB327)*constants!$G$2</f>
        <v>24325.314330042656</v>
      </c>
      <c r="AO327">
        <f>(AD327*constants!$F$2+AE327*constants!$G$2)</f>
        <v>-468.16806450537302</v>
      </c>
      <c r="AP327">
        <f t="shared" si="47"/>
        <v>-1.9246125996701644</v>
      </c>
    </row>
    <row r="328" spans="1:42">
      <c r="A328">
        <f>sim_annual_output!B328</f>
        <v>18</v>
      </c>
      <c r="B328" t="str">
        <f>sim_annual_output!C328</f>
        <v>Office-Small</v>
      </c>
      <c r="C328" t="str">
        <f>sim_annual_output!D328</f>
        <v>2005-2014</v>
      </c>
      <c r="D328" t="str">
        <f>sim_annual_output!E328</f>
        <v>elec_reduce</v>
      </c>
      <c r="E328" s="45">
        <f t="array" ref="E328">IFERROR(INDEX(baseline!$J$3:$J$201,MATCH($B328&amp;$C328,baseline!$C$3:$C$201&amp;baseline!$D$3:$D$201,0)),"NA")</f>
        <v>584</v>
      </c>
      <c r="F328">
        <f>sim_annual_output!G328</f>
        <v>1211.46221507992</v>
      </c>
      <c r="G328">
        <f>$E328/$F328^2*sim_annual_output!I328</f>
        <v>0.58361288249685284</v>
      </c>
      <c r="H328">
        <f>$E328/$F328^2*sim_annual_output!J328</f>
        <v>20.724889293212101</v>
      </c>
      <c r="I328">
        <f>$E328/$F328^2*sim_annual_output!K328</f>
        <v>0.85220744773688162</v>
      </c>
      <c r="J328">
        <f>$E328/$F328^2*sim_annual_output!L328</f>
        <v>2.7191054752694277</v>
      </c>
      <c r="K328">
        <f>$E328/$F328^2*sim_annual_output!M328</f>
        <v>0</v>
      </c>
      <c r="L328">
        <f>$E328/$F328^2*sim_annual_output!N328</f>
        <v>9.0150505106900223</v>
      </c>
      <c r="M328">
        <f>$E328/$F328^2*sim_annual_output!O328</f>
        <v>3.0838635268299606</v>
      </c>
      <c r="N328">
        <f>$E328/$F328^2*sim_annual_output!P328</f>
        <v>0</v>
      </c>
      <c r="O328">
        <f>$E328/$F328^2*sim_annual_output!Q328</f>
        <v>3.4088297909475265</v>
      </c>
      <c r="P328">
        <f>$E328/$F328^2*sim_annual_output!R328</f>
        <v>4.4213097158852478E-3</v>
      </c>
      <c r="Q328">
        <f>$E328/$F328^2*sim_annual_output!S328</f>
        <v>0</v>
      </c>
      <c r="R328">
        <f t="array" ref="R328">INDEX(G$3:G$700,MATCH($B328&amp;$C328&amp;"baseline",$B$3:$B$700&amp;$C$3:$C$700&amp;$D$3:$D$700,0))</f>
        <v>0.68751366082015608</v>
      </c>
      <c r="S328">
        <f t="array" ref="S328">INDEX(H$3:H$700,MATCH($B328&amp;$C328&amp;"baseline",$B$3:$B$700&amp;$C$3:$C$700&amp;$D$3:$D$700,0))</f>
        <v>18.538551638706846</v>
      </c>
      <c r="T328">
        <f t="array" ref="T328">INDEX(I$3:I$700,MATCH($B328&amp;$C328&amp;"baseline",$B$3:$B$700&amp;$C$3:$C$700&amp;$D$3:$D$700,0))</f>
        <v>1.0180065620825784</v>
      </c>
      <c r="U328">
        <f t="array" ref="U328">INDEX(J$3:J$700,MATCH($B328&amp;$C328&amp;"baseline",$B$3:$B$700&amp;$C$3:$C$700&amp;$D$3:$D$700,0))</f>
        <v>2.7124735106955997</v>
      </c>
      <c r="V328">
        <f t="array" ref="V328">INDEX(K$3:K$700,MATCH($B328&amp;$C328&amp;"baseline",$B$3:$B$700&amp;$C$3:$C$700&amp;$D$3:$D$700,0))</f>
        <v>0</v>
      </c>
      <c r="W328">
        <f t="array" ref="W328">INDEX(L$3:L$700,MATCH($B328&amp;$C328&amp;"baseline",$B$3:$B$700&amp;$C$3:$C$700&amp;$D$3:$D$700,0))</f>
        <v>12.878169874944756</v>
      </c>
      <c r="X328">
        <f t="array" ref="X328">INDEX(M$3:M$700,MATCH($B328&amp;$C328&amp;"baseline",$B$3:$B$700&amp;$C$3:$C$700&amp;$D$3:$D$700,0))</f>
        <v>3.0838635268299606</v>
      </c>
      <c r="Y328">
        <f t="array" ref="Y328">INDEX(N$3:N$700,MATCH($B328&amp;$C328&amp;"baseline",$B$3:$B$700&amp;$C$3:$C$700&amp;$D$3:$D$700,0))</f>
        <v>0</v>
      </c>
      <c r="Z328">
        <f t="array" ref="Z328">INDEX(O$3:O$700,MATCH($B328&amp;$C328&amp;"baseline",$B$3:$B$700&amp;$C$3:$C$700&amp;$D$3:$D$700,0))</f>
        <v>4.446732246751588</v>
      </c>
      <c r="AA328">
        <f t="array" ref="AA328">INDEX(P$3:P$700,MATCH($B328&amp;$C328&amp;"baseline",$B$3:$B$700&amp;$C$3:$C$700&amp;$D$3:$D$700,0))</f>
        <v>6.6319645738278721E-3</v>
      </c>
      <c r="AB328">
        <f t="array" ref="AB328">INDEX(Q$3:Q$700,MATCH($B328&amp;$C328&amp;"baseline",$B$3:$B$700&amp;$C$3:$C$700&amp;$D$3:$D$700,0))</f>
        <v>0</v>
      </c>
      <c r="AC328">
        <f t="shared" si="41"/>
        <v>43.371942985405305</v>
      </c>
      <c r="AD328">
        <f t="shared" si="42"/>
        <v>-2.1863376545052553</v>
      </c>
      <c r="AE328">
        <f t="shared" si="43"/>
        <v>5.1663004030119097</v>
      </c>
      <c r="AF328">
        <f t="shared" si="44"/>
        <v>6.8707153597186421</v>
      </c>
      <c r="AG328">
        <f>(S328+V328+Y328)*constants!$O$2+(R328+T328+U328+W328+X328+Z328+AA328+AB328)*constants!$N$2</f>
        <v>3.1064977587239779</v>
      </c>
      <c r="AH328">
        <f>((S328+V328+Y328)-(H328+K328+N328))*constants!$O$2</f>
        <v>-3.5418670002985132E-2</v>
      </c>
      <c r="AI328">
        <f>((R328+T328+U328+W328+X328+Z328+AA328+AB328)-(G328+I328+J328+L328+M328+O328+P328+Q328))*constants!$N$2</f>
        <v>0.58379194554034586</v>
      </c>
      <c r="AJ328">
        <f t="shared" si="45"/>
        <v>17.652460041130368</v>
      </c>
      <c r="AK328">
        <f t="shared" si="46"/>
        <v>0.5483732755373607</v>
      </c>
      <c r="AL328">
        <f>COUNTIFS($B:$B,$B328,$AK:$AK,"&lt;"&amp;$AK328)+COUNTIFS($B$2:$B328,$B328,$AK$2:$AK328,$AK328)</f>
        <v>59</v>
      </c>
      <c r="AM328" s="191">
        <f>IF(AK328=0, "NA",IF(((sim_annual_output!F328/E328)/AK328)&lt;0,100,((sim_annual_output!F328/E328)/AK328)))</f>
        <v>126.40003402246235</v>
      </c>
      <c r="AN328">
        <f>(S328+V328)*constants!$F$2+(T328+U328+W328+X328+Y328+Z328+AA328+AB328)*constants!$G$2</f>
        <v>24325.314330042656</v>
      </c>
      <c r="AO328">
        <f>(AD328*constants!$F$2+AE328*constants!$G$2)</f>
        <v>4103.3269104639212</v>
      </c>
      <c r="AP328">
        <f t="shared" si="47"/>
        <v>16.868546300329452</v>
      </c>
    </row>
    <row r="329" spans="1:42">
      <c r="A329">
        <f>sim_annual_output!B329</f>
        <v>18</v>
      </c>
      <c r="B329" t="str">
        <f>sim_annual_output!C329</f>
        <v>Office-Small</v>
      </c>
      <c r="C329" t="str">
        <f>sim_annual_output!D329</f>
        <v>2005-2014</v>
      </c>
      <c r="D329" t="str">
        <f>sim_annual_output!E329</f>
        <v>envelope_ecm_roof</v>
      </c>
      <c r="E329" s="45">
        <f t="array" ref="E329">IFERROR(INDEX(baseline!$J$3:$J$201,MATCH($B329&amp;$C329,baseline!$C$3:$C$201&amp;baseline!$D$3:$D$201,0)),"NA")</f>
        <v>584</v>
      </c>
      <c r="F329">
        <f>sim_annual_output!G329</f>
        <v>1211.46221507992</v>
      </c>
      <c r="G329">
        <f>$E329/$F329^2*sim_annual_output!I329</f>
        <v>0.77372920027991843</v>
      </c>
      <c r="H329">
        <f>$E329/$F329^2*sim_annual_output!J329</f>
        <v>16.187520197284865</v>
      </c>
      <c r="I329">
        <f>$E329/$F329^2*sim_annual_output!K329</f>
        <v>1.3540261004898573</v>
      </c>
      <c r="J329">
        <f>$E329/$F329^2*sim_annual_output!L329</f>
        <v>2.7113681832666283</v>
      </c>
      <c r="K329">
        <f>$E329/$F329^2*sim_annual_output!M329</f>
        <v>0</v>
      </c>
      <c r="L329">
        <f>$E329/$F329^2*sim_annual_output!N329</f>
        <v>12.878169874944756</v>
      </c>
      <c r="M329">
        <f>$E329/$F329^2*sim_annual_output!O329</f>
        <v>3.0838635268299606</v>
      </c>
      <c r="N329">
        <f>$E329/$F329^2*sim_annual_output!P329</f>
        <v>0</v>
      </c>
      <c r="O329">
        <f>$E329/$F329^2*sim_annual_output!Q329</f>
        <v>4.4345736450329039</v>
      </c>
      <c r="P329">
        <f>$E329/$F329^2*sim_annual_output!R329</f>
        <v>6.6319645738278721E-3</v>
      </c>
      <c r="Q329">
        <f>$E329/$F329^2*sim_annual_output!S329</f>
        <v>0</v>
      </c>
      <c r="R329">
        <f t="array" ref="R329">INDEX(G$3:G$700,MATCH($B329&amp;$C329&amp;"baseline",$B$3:$B$700&amp;$C$3:$C$700&amp;$D$3:$D$700,0))</f>
        <v>0.68751366082015608</v>
      </c>
      <c r="S329">
        <f t="array" ref="S329">INDEX(H$3:H$700,MATCH($B329&amp;$C329&amp;"baseline",$B$3:$B$700&amp;$C$3:$C$700&amp;$D$3:$D$700,0))</f>
        <v>18.538551638706846</v>
      </c>
      <c r="T329">
        <f t="array" ref="T329">INDEX(I$3:I$700,MATCH($B329&amp;$C329&amp;"baseline",$B$3:$B$700&amp;$C$3:$C$700&amp;$D$3:$D$700,0))</f>
        <v>1.0180065620825784</v>
      </c>
      <c r="U329">
        <f t="array" ref="U329">INDEX(J$3:J$700,MATCH($B329&amp;$C329&amp;"baseline",$B$3:$B$700&amp;$C$3:$C$700&amp;$D$3:$D$700,0))</f>
        <v>2.7124735106955997</v>
      </c>
      <c r="V329">
        <f t="array" ref="V329">INDEX(K$3:K$700,MATCH($B329&amp;$C329&amp;"baseline",$B$3:$B$700&amp;$C$3:$C$700&amp;$D$3:$D$700,0))</f>
        <v>0</v>
      </c>
      <c r="W329">
        <f t="array" ref="W329">INDEX(L$3:L$700,MATCH($B329&amp;$C329&amp;"baseline",$B$3:$B$700&amp;$C$3:$C$700&amp;$D$3:$D$700,0))</f>
        <v>12.878169874944756</v>
      </c>
      <c r="X329">
        <f t="array" ref="X329">INDEX(M$3:M$700,MATCH($B329&amp;$C329&amp;"baseline",$B$3:$B$700&amp;$C$3:$C$700&amp;$D$3:$D$700,0))</f>
        <v>3.0838635268299606</v>
      </c>
      <c r="Y329">
        <f t="array" ref="Y329">INDEX(N$3:N$700,MATCH($B329&amp;$C329&amp;"baseline",$B$3:$B$700&amp;$C$3:$C$700&amp;$D$3:$D$700,0))</f>
        <v>0</v>
      </c>
      <c r="Z329">
        <f t="array" ref="Z329">INDEX(O$3:O$700,MATCH($B329&amp;$C329&amp;"baseline",$B$3:$B$700&amp;$C$3:$C$700&amp;$D$3:$D$700,0))</f>
        <v>4.446732246751588</v>
      </c>
      <c r="AA329">
        <f t="array" ref="AA329">INDEX(P$3:P$700,MATCH($B329&amp;$C329&amp;"baseline",$B$3:$B$700&amp;$C$3:$C$700&amp;$D$3:$D$700,0))</f>
        <v>6.6319645738278721E-3</v>
      </c>
      <c r="AB329">
        <f t="array" ref="AB329">INDEX(Q$3:Q$700,MATCH($B329&amp;$C329&amp;"baseline",$B$3:$B$700&amp;$C$3:$C$700&amp;$D$3:$D$700,0))</f>
        <v>0</v>
      </c>
      <c r="AC329">
        <f t="shared" si="41"/>
        <v>43.371942985405305</v>
      </c>
      <c r="AD329">
        <f t="shared" si="42"/>
        <v>2.3510314414219806</v>
      </c>
      <c r="AE329">
        <f t="shared" si="43"/>
        <v>-0.40897114871938456</v>
      </c>
      <c r="AF329">
        <f t="shared" si="44"/>
        <v>4.4776880144753974</v>
      </c>
      <c r="AG329">
        <f>(S329+V329+Y329)*constants!$O$2+(R329+T329+U329+W329+X329+Z329+AA329+AB329)*constants!$N$2</f>
        <v>3.1064977587239779</v>
      </c>
      <c r="AH329">
        <f>((S329+V329+Y329)-(H329+K329+N329))*constants!$O$2</f>
        <v>3.8086709351036085E-2</v>
      </c>
      <c r="AI329">
        <f>((R329+T329+U329+W329+X329+Z329+AA329+AB329)-(G329+I329+J329+L329+M329+O329+P329+Q329))*constants!$N$2</f>
        <v>-4.6213739805290456E-2</v>
      </c>
      <c r="AJ329">
        <f t="shared" si="45"/>
        <v>-0.26161391655381788</v>
      </c>
      <c r="AK329">
        <f t="shared" si="46"/>
        <v>-8.1270304542543706E-3</v>
      </c>
      <c r="AL329">
        <f>COUNTIFS($B:$B,$B329,$AK:$AK,"&lt;"&amp;$AK329)+COUNTIFS($B$2:$B329,$B329,$AK$2:$AK329,$AK329)</f>
        <v>35</v>
      </c>
      <c r="AM329" s="191">
        <f>IF(AK329=0, "NA",IF(((sim_annual_output!F329/E329)/AK329)&lt;0,100,((sim_annual_output!F329/E329)/AK329)))</f>
        <v>0</v>
      </c>
      <c r="AN329">
        <f>(S329+V329)*constants!$F$2+(T329+U329+W329+X329+Y329+Z329+AA329+AB329)*constants!$G$2</f>
        <v>24325.314330042656</v>
      </c>
      <c r="AO329">
        <f>(AD329*constants!$F$2+AE329*constants!$G$2)</f>
        <v>65.029728628669943</v>
      </c>
      <c r="AP329">
        <f t="shared" si="47"/>
        <v>0.26733355937915199</v>
      </c>
    </row>
    <row r="330" spans="1:42">
      <c r="A330">
        <f>sim_annual_output!B330</f>
        <v>18</v>
      </c>
      <c r="B330" t="str">
        <f>sim_annual_output!C330</f>
        <v>Office-Small</v>
      </c>
      <c r="C330" t="str">
        <f>sim_annual_output!D330</f>
        <v>2005-2014</v>
      </c>
      <c r="D330" t="str">
        <f>sim_annual_output!E330</f>
        <v>envelope_ecm_wall</v>
      </c>
      <c r="E330" s="45">
        <f t="array" ref="E330">IFERROR(INDEX(baseline!$J$3:$J$201,MATCH($B330&amp;$C330,baseline!$C$3:$C$201&amp;baseline!$D$3:$D$201,0)),"NA")</f>
        <v>584</v>
      </c>
      <c r="F330">
        <f>sim_annual_output!G330</f>
        <v>1211.46221507992</v>
      </c>
      <c r="G330">
        <f>$E330/$F330^2*sim_annual_output!I330</f>
        <v>0.779255837424775</v>
      </c>
      <c r="H330">
        <f>$E330/$F330^2*sim_annual_output!J330</f>
        <v>17.491806563471012</v>
      </c>
      <c r="I330">
        <f>$E330/$F330^2*sim_annual_output!K330</f>
        <v>1.3507101182029435</v>
      </c>
      <c r="J330">
        <f>$E330/$F330^2*sim_annual_output!L330</f>
        <v>2.7102628558376574</v>
      </c>
      <c r="K330">
        <f>$E330/$F330^2*sim_annual_output!M330</f>
        <v>0</v>
      </c>
      <c r="L330">
        <f>$E330/$F330^2*sim_annual_output!N330</f>
        <v>12.878169874944756</v>
      </c>
      <c r="M330">
        <f>$E330/$F330^2*sim_annual_output!O330</f>
        <v>3.0838635268299606</v>
      </c>
      <c r="N330">
        <f>$E330/$F330^2*sim_annual_output!P330</f>
        <v>0</v>
      </c>
      <c r="O330">
        <f>$E330/$F330^2*sim_annual_output!Q330</f>
        <v>4.5406850782141497</v>
      </c>
      <c r="P330">
        <f>$E330/$F330^2*sim_annual_output!R330</f>
        <v>6.6319645738278721E-3</v>
      </c>
      <c r="Q330">
        <f>$E330/$F330^2*sim_annual_output!S330</f>
        <v>0</v>
      </c>
      <c r="R330">
        <f t="array" ref="R330">INDEX(G$3:G$700,MATCH($B330&amp;$C330&amp;"baseline",$B$3:$B$700&amp;$C$3:$C$700&amp;$D$3:$D$700,0))</f>
        <v>0.68751366082015608</v>
      </c>
      <c r="S330">
        <f t="array" ref="S330">INDEX(H$3:H$700,MATCH($B330&amp;$C330&amp;"baseline",$B$3:$B$700&amp;$C$3:$C$700&amp;$D$3:$D$700,0))</f>
        <v>18.538551638706846</v>
      </c>
      <c r="T330">
        <f t="array" ref="T330">INDEX(I$3:I$700,MATCH($B330&amp;$C330&amp;"baseline",$B$3:$B$700&amp;$C$3:$C$700&amp;$D$3:$D$700,0))</f>
        <v>1.0180065620825784</v>
      </c>
      <c r="U330">
        <f t="array" ref="U330">INDEX(J$3:J$700,MATCH($B330&amp;$C330&amp;"baseline",$B$3:$B$700&amp;$C$3:$C$700&amp;$D$3:$D$700,0))</f>
        <v>2.7124735106955997</v>
      </c>
      <c r="V330">
        <f t="array" ref="V330">INDEX(K$3:K$700,MATCH($B330&amp;$C330&amp;"baseline",$B$3:$B$700&amp;$C$3:$C$700&amp;$D$3:$D$700,0))</f>
        <v>0</v>
      </c>
      <c r="W330">
        <f t="array" ref="W330">INDEX(L$3:L$700,MATCH($B330&amp;$C330&amp;"baseline",$B$3:$B$700&amp;$C$3:$C$700&amp;$D$3:$D$700,0))</f>
        <v>12.878169874944756</v>
      </c>
      <c r="X330">
        <f t="array" ref="X330">INDEX(M$3:M$700,MATCH($B330&amp;$C330&amp;"baseline",$B$3:$B$700&amp;$C$3:$C$700&amp;$D$3:$D$700,0))</f>
        <v>3.0838635268299606</v>
      </c>
      <c r="Y330">
        <f t="array" ref="Y330">INDEX(N$3:N$700,MATCH($B330&amp;$C330&amp;"baseline",$B$3:$B$700&amp;$C$3:$C$700&amp;$D$3:$D$700,0))</f>
        <v>0</v>
      </c>
      <c r="Z330">
        <f t="array" ref="Z330">INDEX(O$3:O$700,MATCH($B330&amp;$C330&amp;"baseline",$B$3:$B$700&amp;$C$3:$C$700&amp;$D$3:$D$700,0))</f>
        <v>4.446732246751588</v>
      </c>
      <c r="AA330">
        <f t="array" ref="AA330">INDEX(P$3:P$700,MATCH($B330&amp;$C330&amp;"baseline",$B$3:$B$700&amp;$C$3:$C$700&amp;$D$3:$D$700,0))</f>
        <v>6.6319645738278721E-3</v>
      </c>
      <c r="AB330">
        <f t="array" ref="AB330">INDEX(Q$3:Q$700,MATCH($B330&amp;$C330&amp;"baseline",$B$3:$B$700&amp;$C$3:$C$700&amp;$D$3:$D$700,0))</f>
        <v>0</v>
      </c>
      <c r="AC330">
        <f t="shared" si="41"/>
        <v>43.371942985405305</v>
      </c>
      <c r="AD330">
        <f t="shared" si="42"/>
        <v>1.0467450752358332</v>
      </c>
      <c r="AE330">
        <f t="shared" si="43"/>
        <v>-0.51618790932960579</v>
      </c>
      <c r="AF330">
        <f t="shared" si="44"/>
        <v>1.2232727643415935</v>
      </c>
      <c r="AG330">
        <f>(S330+V330+Y330)*constants!$O$2+(R330+T330+U330+W330+X330+Z330+AA330+AB330)*constants!$N$2</f>
        <v>3.1064977587239779</v>
      </c>
      <c r="AH330">
        <f>((S330+V330+Y330)-(H330+K330+N330))*constants!$O$2</f>
        <v>1.6957270218820496E-2</v>
      </c>
      <c r="AI330">
        <f>((R330+T330+U330+W330+X330+Z330+AA330+AB330)-(G330+I330+J330+L330+M330+O330+P330+Q330))*constants!$N$2</f>
        <v>-5.8329233754245459E-2</v>
      </c>
      <c r="AJ330">
        <f t="shared" si="45"/>
        <v>-1.3317879731037976</v>
      </c>
      <c r="AK330">
        <f t="shared" si="46"/>
        <v>-4.1371963535424966E-2</v>
      </c>
      <c r="AL330">
        <f>COUNTIFS($B:$B,$B330,$AK:$AK,"&lt;"&amp;$AK330)+COUNTIFS($B$2:$B330,$B330,$AK$2:$AK330,$AK330)</f>
        <v>29</v>
      </c>
      <c r="AM330" s="191">
        <f>IF(AK330=0, "NA",IF(((sim_annual_output!F330/E330)/AK330)&lt;0,100,((sim_annual_output!F330/E330)/AK330)))</f>
        <v>0</v>
      </c>
      <c r="AN330">
        <f>(S330+V330)*constants!$F$2+(T330+U330+W330+X330+Y330+Z330+AA330+AB330)*constants!$G$2</f>
        <v>24325.314330042656</v>
      </c>
      <c r="AO330">
        <f>(AD330*constants!$F$2+AE330*constants!$G$2)</f>
        <v>-261.71611264954288</v>
      </c>
      <c r="AP330">
        <f t="shared" si="47"/>
        <v>-1.0759002292780813</v>
      </c>
    </row>
    <row r="331" spans="1:42">
      <c r="A331">
        <f>sim_annual_output!B331</f>
        <v>18</v>
      </c>
      <c r="B331" t="str">
        <f>sim_annual_output!C331</f>
        <v>Office-Small</v>
      </c>
      <c r="C331" t="str">
        <f>sim_annual_output!D331</f>
        <v>2005-2014</v>
      </c>
      <c r="D331" t="str">
        <f>sim_annual_output!E331</f>
        <v>envelope_ecm_windows</v>
      </c>
      <c r="E331" s="45">
        <f t="array" ref="E331">IFERROR(INDEX(baseline!$J$3:$J$201,MATCH($B331&amp;$C331,baseline!$C$3:$C$201&amp;baseline!$D$3:$D$201,0)),"NA")</f>
        <v>584</v>
      </c>
      <c r="F331">
        <f>sim_annual_output!G331</f>
        <v>1211.46221507992</v>
      </c>
      <c r="G331">
        <f>$E331/$F331^2*sim_annual_output!I331</f>
        <v>0.817942297438771</v>
      </c>
      <c r="H331">
        <f>$E331/$F331^2*sim_annual_output!J331</f>
        <v>17.033095680447918</v>
      </c>
      <c r="I331">
        <f>$E331/$F331^2*sim_annual_output!K331</f>
        <v>1.3783433039272261</v>
      </c>
      <c r="J331">
        <f>$E331/$F331^2*sim_annual_output!L331</f>
        <v>2.7168948204114849</v>
      </c>
      <c r="K331">
        <f>$E331/$F331^2*sim_annual_output!M331</f>
        <v>0</v>
      </c>
      <c r="L331">
        <f>$E331/$F331^2*sim_annual_output!N331</f>
        <v>12.878169874944756</v>
      </c>
      <c r="M331">
        <f>$E331/$F331^2*sim_annual_output!O331</f>
        <v>3.0838635268299606</v>
      </c>
      <c r="N331">
        <f>$E331/$F331^2*sim_annual_output!P331</f>
        <v>0</v>
      </c>
      <c r="O331">
        <f>$E331/$F331^2*sim_annual_output!Q331</f>
        <v>4.5329477862113503</v>
      </c>
      <c r="P331">
        <f>$E331/$F331^2*sim_annual_output!R331</f>
        <v>6.6319645738278721E-3</v>
      </c>
      <c r="Q331">
        <f>$E331/$F331^2*sim_annual_output!S331</f>
        <v>0</v>
      </c>
      <c r="R331">
        <f t="array" ref="R331">INDEX(G$3:G$700,MATCH($B331&amp;$C331&amp;"baseline",$B$3:$B$700&amp;$C$3:$C$700&amp;$D$3:$D$700,0))</f>
        <v>0.68751366082015608</v>
      </c>
      <c r="S331">
        <f t="array" ref="S331">INDEX(H$3:H$700,MATCH($B331&amp;$C331&amp;"baseline",$B$3:$B$700&amp;$C$3:$C$700&amp;$D$3:$D$700,0))</f>
        <v>18.538551638706846</v>
      </c>
      <c r="T331">
        <f t="array" ref="T331">INDEX(I$3:I$700,MATCH($B331&amp;$C331&amp;"baseline",$B$3:$B$700&amp;$C$3:$C$700&amp;$D$3:$D$700,0))</f>
        <v>1.0180065620825784</v>
      </c>
      <c r="U331">
        <f t="array" ref="U331">INDEX(J$3:J$700,MATCH($B331&amp;$C331&amp;"baseline",$B$3:$B$700&amp;$C$3:$C$700&amp;$D$3:$D$700,0))</f>
        <v>2.7124735106955997</v>
      </c>
      <c r="V331">
        <f t="array" ref="V331">INDEX(K$3:K$700,MATCH($B331&amp;$C331&amp;"baseline",$B$3:$B$700&amp;$C$3:$C$700&amp;$D$3:$D$700,0))</f>
        <v>0</v>
      </c>
      <c r="W331">
        <f t="array" ref="W331">INDEX(L$3:L$700,MATCH($B331&amp;$C331&amp;"baseline",$B$3:$B$700&amp;$C$3:$C$700&amp;$D$3:$D$700,0))</f>
        <v>12.878169874944756</v>
      </c>
      <c r="X331">
        <f t="array" ref="X331">INDEX(M$3:M$700,MATCH($B331&amp;$C331&amp;"baseline",$B$3:$B$700&amp;$C$3:$C$700&amp;$D$3:$D$700,0))</f>
        <v>3.0838635268299606</v>
      </c>
      <c r="Y331">
        <f t="array" ref="Y331">INDEX(N$3:N$700,MATCH($B331&amp;$C331&amp;"baseline",$B$3:$B$700&amp;$C$3:$C$700&amp;$D$3:$D$700,0))</f>
        <v>0</v>
      </c>
      <c r="Z331">
        <f t="array" ref="Z331">INDEX(O$3:O$700,MATCH($B331&amp;$C331&amp;"baseline",$B$3:$B$700&amp;$C$3:$C$700&amp;$D$3:$D$700,0))</f>
        <v>4.446732246751588</v>
      </c>
      <c r="AA331">
        <f t="array" ref="AA331">INDEX(P$3:P$700,MATCH($B331&amp;$C331&amp;"baseline",$B$3:$B$700&amp;$C$3:$C$700&amp;$D$3:$D$700,0))</f>
        <v>6.6319645738278721E-3</v>
      </c>
      <c r="AB331">
        <f t="array" ref="AB331">INDEX(Q$3:Q$700,MATCH($B331&amp;$C331&amp;"baseline",$B$3:$B$700&amp;$C$3:$C$700&amp;$D$3:$D$700,0))</f>
        <v>0</v>
      </c>
      <c r="AC331">
        <f t="shared" si="41"/>
        <v>43.371942985405305</v>
      </c>
      <c r="AD331">
        <f t="shared" si="42"/>
        <v>1.5054559582589278</v>
      </c>
      <c r="AE331">
        <f t="shared" si="43"/>
        <v>-0.58140222763891458</v>
      </c>
      <c r="AF331">
        <f t="shared" si="44"/>
        <v>2.1305333978949434</v>
      </c>
      <c r="AG331">
        <f>(S331+V331+Y331)*constants!$O$2+(R331+T331+U331+W331+X331+Z331+AA331+AB331)*constants!$N$2</f>
        <v>3.1064977587239779</v>
      </c>
      <c r="AH331">
        <f>((S331+V331+Y331)-(H331+K331+N331))*constants!$O$2</f>
        <v>2.4388386523794627E-2</v>
      </c>
      <c r="AI331">
        <f>((R331+T331+U331+W331+X331+Z331+AA331+AB331)-(G331+I331+J331+L331+M331+O331+P331+Q331))*constants!$N$2</f>
        <v>-6.5698451723197354E-2</v>
      </c>
      <c r="AJ331">
        <f t="shared" si="45"/>
        <v>-1.329795429061285</v>
      </c>
      <c r="AK331">
        <f t="shared" si="46"/>
        <v>-4.1310065199402723E-2</v>
      </c>
      <c r="AL331">
        <f>COUNTIFS($B:$B,$B331,$AK:$AK,"&lt;"&amp;$AK331)+COUNTIFS($B$2:$B331,$B331,$AK$2:$AK331,$AK331)</f>
        <v>30</v>
      </c>
      <c r="AM331" s="191">
        <f>IF(AK331=0, "NA",IF(((sim_annual_output!F331/E331)/AK331)&lt;0,100,((sim_annual_output!F331/E331)/AK331)))</f>
        <v>100</v>
      </c>
      <c r="AN331">
        <f>(S331+V331)*constants!$F$2+(T331+U331+W331+X331+Y331+Z331+AA331+AB331)*constants!$G$2</f>
        <v>24325.314330042656</v>
      </c>
      <c r="AO331">
        <f>(AD331*constants!$F$2+AE331*constants!$G$2)</f>
        <v>-236.3433215175076</v>
      </c>
      <c r="AP331">
        <f t="shared" si="47"/>
        <v>-0.97159411101880366</v>
      </c>
    </row>
    <row r="332" spans="1:42">
      <c r="A332">
        <f>sim_annual_output!B332</f>
        <v>18</v>
      </c>
      <c r="B332" t="str">
        <f>sim_annual_output!C332</f>
        <v>Office-Small</v>
      </c>
      <c r="C332" t="str">
        <f>sim_annual_output!D332</f>
        <v>2005-2014</v>
      </c>
      <c r="D332" t="str">
        <f>sim_annual_output!E332</f>
        <v>exhaust_fans_occ_control</v>
      </c>
      <c r="E332" s="45">
        <f t="array" ref="E332">IFERROR(INDEX(baseline!$J$3:$J$201,MATCH($B332&amp;$C332,baseline!$C$3:$C$201&amp;baseline!$D$3:$D$201,0)),"NA")</f>
        <v>584</v>
      </c>
      <c r="F332">
        <f>sim_annual_output!G332</f>
        <v>1211.46221507992</v>
      </c>
      <c r="G332">
        <f>$E332/$F332^2*sim_annual_output!I332</f>
        <v>0.78920378428551685</v>
      </c>
      <c r="H332">
        <f>$E332/$F332^2*sim_annual_output!J332</f>
        <v>18.355067285497608</v>
      </c>
      <c r="I332">
        <f>$E332/$F332^2*sim_annual_output!K332</f>
        <v>1.3374461890552876</v>
      </c>
      <c r="J332">
        <f>$E332/$F332^2*sim_annual_output!L332</f>
        <v>2.7168948204114849</v>
      </c>
      <c r="K332">
        <f>$E332/$F332^2*sim_annual_output!M332</f>
        <v>0</v>
      </c>
      <c r="L332">
        <f>$E332/$F332^2*sim_annual_output!N332</f>
        <v>12.878169874944756</v>
      </c>
      <c r="M332">
        <f>$E332/$F332^2*sim_annual_output!O332</f>
        <v>3.0838635268299606</v>
      </c>
      <c r="N332">
        <f>$E332/$F332^2*sim_annual_output!P332</f>
        <v>0</v>
      </c>
      <c r="O332">
        <f>$E332/$F332^2*sim_annual_output!Q332</f>
        <v>3.5945247990147071</v>
      </c>
      <c r="P332">
        <f>$E332/$F332^2*sim_annual_output!R332</f>
        <v>6.6319645738278721E-3</v>
      </c>
      <c r="Q332">
        <f>$E332/$F332^2*sim_annual_output!S332</f>
        <v>0</v>
      </c>
      <c r="R332">
        <f t="array" ref="R332">INDEX(G$3:G$700,MATCH($B332&amp;$C332&amp;"baseline",$B$3:$B$700&amp;$C$3:$C$700&amp;$D$3:$D$700,0))</f>
        <v>0.68751366082015608</v>
      </c>
      <c r="S332">
        <f t="array" ref="S332">INDEX(H$3:H$700,MATCH($B332&amp;$C332&amp;"baseline",$B$3:$B$700&amp;$C$3:$C$700&amp;$D$3:$D$700,0))</f>
        <v>18.538551638706846</v>
      </c>
      <c r="T332">
        <f t="array" ref="T332">INDEX(I$3:I$700,MATCH($B332&amp;$C332&amp;"baseline",$B$3:$B$700&amp;$C$3:$C$700&amp;$D$3:$D$700,0))</f>
        <v>1.0180065620825784</v>
      </c>
      <c r="U332">
        <f t="array" ref="U332">INDEX(J$3:J$700,MATCH($B332&amp;$C332&amp;"baseline",$B$3:$B$700&amp;$C$3:$C$700&amp;$D$3:$D$700,0))</f>
        <v>2.7124735106955997</v>
      </c>
      <c r="V332">
        <f t="array" ref="V332">INDEX(K$3:K$700,MATCH($B332&amp;$C332&amp;"baseline",$B$3:$B$700&amp;$C$3:$C$700&amp;$D$3:$D$700,0))</f>
        <v>0</v>
      </c>
      <c r="W332">
        <f t="array" ref="W332">INDEX(L$3:L$700,MATCH($B332&amp;$C332&amp;"baseline",$B$3:$B$700&amp;$C$3:$C$700&amp;$D$3:$D$700,0))</f>
        <v>12.878169874944756</v>
      </c>
      <c r="X332">
        <f t="array" ref="X332">INDEX(M$3:M$700,MATCH($B332&amp;$C332&amp;"baseline",$B$3:$B$700&amp;$C$3:$C$700&amp;$D$3:$D$700,0))</f>
        <v>3.0838635268299606</v>
      </c>
      <c r="Y332">
        <f t="array" ref="Y332">INDEX(N$3:N$700,MATCH($B332&amp;$C332&amp;"baseline",$B$3:$B$700&amp;$C$3:$C$700&amp;$D$3:$D$700,0))</f>
        <v>0</v>
      </c>
      <c r="Z332">
        <f t="array" ref="Z332">INDEX(O$3:O$700,MATCH($B332&amp;$C332&amp;"baseline",$B$3:$B$700&amp;$C$3:$C$700&amp;$D$3:$D$700,0))</f>
        <v>4.446732246751588</v>
      </c>
      <c r="AA332">
        <f t="array" ref="AA332">INDEX(P$3:P$700,MATCH($B332&amp;$C332&amp;"baseline",$B$3:$B$700&amp;$C$3:$C$700&amp;$D$3:$D$700,0))</f>
        <v>6.6319645738278721E-3</v>
      </c>
      <c r="AB332">
        <f t="array" ref="AB332">INDEX(Q$3:Q$700,MATCH($B332&amp;$C332&amp;"baseline",$B$3:$B$700&amp;$C$3:$C$700&amp;$D$3:$D$700,0))</f>
        <v>0</v>
      </c>
      <c r="AC332">
        <f t="shared" si="41"/>
        <v>43.371942985405305</v>
      </c>
      <c r="AD332">
        <f t="shared" si="42"/>
        <v>0.18348435320923784</v>
      </c>
      <c r="AE332">
        <f t="shared" si="43"/>
        <v>0.42665638758292346</v>
      </c>
      <c r="AF332">
        <f t="shared" si="44"/>
        <v>1.4067636789928322</v>
      </c>
      <c r="AG332">
        <f>(S332+V332+Y332)*constants!$O$2+(R332+T332+U332+W332+X332+Z332+AA332+AB332)*constants!$N$2</f>
        <v>3.1064977587239779</v>
      </c>
      <c r="AH332">
        <f>((S332+V332+Y332)-(H332+K332+N332))*constants!$O$2</f>
        <v>2.972446521989653E-3</v>
      </c>
      <c r="AI332">
        <f>((R332+T332+U332+W332+X332+Z332+AA332+AB332)-(G332+I332+J332+L332+M332+O332+P332+Q332))*constants!$N$2</f>
        <v>4.8212171796870353E-2</v>
      </c>
      <c r="AJ332">
        <f t="shared" si="45"/>
        <v>1.6476631336725815</v>
      </c>
      <c r="AK332">
        <f t="shared" si="46"/>
        <v>5.1184618318860009E-2</v>
      </c>
      <c r="AL332">
        <f>COUNTIFS($B:$B,$B332,$AK:$AK,"&lt;"&amp;$AK332)+COUNTIFS($B$2:$B332,$B332,$AK$2:$AK332,$AK332)</f>
        <v>44</v>
      </c>
      <c r="AM332" s="191">
        <f>IF(AK332=0, "NA",IF(((sim_annual_output!F332/E332)/AK332)&lt;0,100,((sim_annual_output!F332/E332)/AK332)))</f>
        <v>48.979290726607076</v>
      </c>
      <c r="AN332">
        <f>(S332+V332)*constants!$F$2+(T332+U332+W332+X332+Y332+Z332+AA332+AB332)*constants!$G$2</f>
        <v>24325.314330042656</v>
      </c>
      <c r="AO332">
        <f>(AD332*constants!$F$2+AE332*constants!$G$2)</f>
        <v>404.03475642159702</v>
      </c>
      <c r="AP332">
        <f t="shared" si="47"/>
        <v>1.6609641747675148</v>
      </c>
    </row>
    <row r="333" spans="1:42">
      <c r="A333">
        <f>sim_annual_output!B333</f>
        <v>18</v>
      </c>
      <c r="B333" t="str">
        <f>sim_annual_output!C333</f>
        <v>Office-Small</v>
      </c>
      <c r="C333" t="str">
        <f>sim_annual_output!D333</f>
        <v>2005-2014</v>
      </c>
      <c r="D333" t="str">
        <f>sim_annual_output!E333</f>
        <v>fans_to_variable</v>
      </c>
      <c r="E333" s="45">
        <f t="array" ref="E333">IFERROR(INDEX(baseline!$J$3:$J$201,MATCH($B333&amp;$C333,baseline!$C$3:$C$201&amp;baseline!$D$3:$D$201,0)),"NA")</f>
        <v>584</v>
      </c>
      <c r="F333">
        <f>sim_annual_output!G333</f>
        <v>1211.46221507992</v>
      </c>
      <c r="G333">
        <f>$E333/$F333^2*sim_annual_output!I333</f>
        <v>0.78920378428551685</v>
      </c>
      <c r="H333">
        <f>$E333/$F333^2*sim_annual_output!J333</f>
        <v>18.377173834077034</v>
      </c>
      <c r="I333">
        <f>$E333/$F333^2*sim_annual_output!K333</f>
        <v>1.3274982421945458</v>
      </c>
      <c r="J333">
        <f>$E333/$F333^2*sim_annual_output!L333</f>
        <v>2.7168948204114849</v>
      </c>
      <c r="K333">
        <f>$E333/$F333^2*sim_annual_output!M333</f>
        <v>0</v>
      </c>
      <c r="L333">
        <f>$E333/$F333^2*sim_annual_output!N333</f>
        <v>12.878169874944756</v>
      </c>
      <c r="M333">
        <f>$E333/$F333^2*sim_annual_output!O333</f>
        <v>3.0838635268299606</v>
      </c>
      <c r="N333">
        <f>$E333/$F333^2*sim_annual_output!P333</f>
        <v>0</v>
      </c>
      <c r="O333">
        <f>$E333/$F333^2*sim_annual_output!Q333</f>
        <v>4.5738449010832891</v>
      </c>
      <c r="P333">
        <f>$E333/$F333^2*sim_annual_output!R333</f>
        <v>6.6319645738278721E-3</v>
      </c>
      <c r="Q333">
        <f>$E333/$F333^2*sim_annual_output!S333</f>
        <v>0</v>
      </c>
      <c r="R333">
        <f t="array" ref="R333">INDEX(G$3:G$700,MATCH($B333&amp;$C333&amp;"baseline",$B$3:$B$700&amp;$C$3:$C$700&amp;$D$3:$D$700,0))</f>
        <v>0.68751366082015608</v>
      </c>
      <c r="S333">
        <f t="array" ref="S333">INDEX(H$3:H$700,MATCH($B333&amp;$C333&amp;"baseline",$B$3:$B$700&amp;$C$3:$C$700&amp;$D$3:$D$700,0))</f>
        <v>18.538551638706846</v>
      </c>
      <c r="T333">
        <f t="array" ref="T333">INDEX(I$3:I$700,MATCH($B333&amp;$C333&amp;"baseline",$B$3:$B$700&amp;$C$3:$C$700&amp;$D$3:$D$700,0))</f>
        <v>1.0180065620825784</v>
      </c>
      <c r="U333">
        <f t="array" ref="U333">INDEX(J$3:J$700,MATCH($B333&amp;$C333&amp;"baseline",$B$3:$B$700&amp;$C$3:$C$700&amp;$D$3:$D$700,0))</f>
        <v>2.7124735106955997</v>
      </c>
      <c r="V333">
        <f t="array" ref="V333">INDEX(K$3:K$700,MATCH($B333&amp;$C333&amp;"baseline",$B$3:$B$700&amp;$C$3:$C$700&amp;$D$3:$D$700,0))</f>
        <v>0</v>
      </c>
      <c r="W333">
        <f t="array" ref="W333">INDEX(L$3:L$700,MATCH($B333&amp;$C333&amp;"baseline",$B$3:$B$700&amp;$C$3:$C$700&amp;$D$3:$D$700,0))</f>
        <v>12.878169874944756</v>
      </c>
      <c r="X333">
        <f t="array" ref="X333">INDEX(M$3:M$700,MATCH($B333&amp;$C333&amp;"baseline",$B$3:$B$700&amp;$C$3:$C$700&amp;$D$3:$D$700,0))</f>
        <v>3.0838635268299606</v>
      </c>
      <c r="Y333">
        <f t="array" ref="Y333">INDEX(N$3:N$700,MATCH($B333&amp;$C333&amp;"baseline",$B$3:$B$700&amp;$C$3:$C$700&amp;$D$3:$D$700,0))</f>
        <v>0</v>
      </c>
      <c r="Z333">
        <f t="array" ref="Z333">INDEX(O$3:O$700,MATCH($B333&amp;$C333&amp;"baseline",$B$3:$B$700&amp;$C$3:$C$700&amp;$D$3:$D$700,0))</f>
        <v>4.446732246751588</v>
      </c>
      <c r="AA333">
        <f t="array" ref="AA333">INDEX(P$3:P$700,MATCH($B333&amp;$C333&amp;"baseline",$B$3:$B$700&amp;$C$3:$C$700&amp;$D$3:$D$700,0))</f>
        <v>6.6319645738278721E-3</v>
      </c>
      <c r="AB333">
        <f t="array" ref="AB333">INDEX(Q$3:Q$700,MATCH($B333&amp;$C333&amp;"baseline",$B$3:$B$700&amp;$C$3:$C$700&amp;$D$3:$D$700,0))</f>
        <v>0</v>
      </c>
      <c r="AC333">
        <f t="shared" si="41"/>
        <v>43.371942985405305</v>
      </c>
      <c r="AD333">
        <f t="shared" si="42"/>
        <v>0.16137780462981155</v>
      </c>
      <c r="AE333">
        <f t="shared" si="43"/>
        <v>-0.54271576762491591</v>
      </c>
      <c r="AF333">
        <f t="shared" si="44"/>
        <v>-0.87922729937052835</v>
      </c>
      <c r="AG333">
        <f>(S333+V333+Y333)*constants!$O$2+(R333+T333+U333+W333+X333+Z333+AA333+AB333)*constants!$N$2</f>
        <v>3.1064977587239779</v>
      </c>
      <c r="AH333">
        <f>((S333+V333+Y333)-(H333+K333+N333))*constants!$O$2</f>
        <v>2.6143204350029471E-3</v>
      </c>
      <c r="AI333">
        <f>((R333+T333+U333+W333+X333+Z333+AA333+AB333)-(G333+I333+J333+L333+M333+O333+P333+Q333))*constants!$N$2</f>
        <v>-6.1326881741615498E-2</v>
      </c>
      <c r="AJ333">
        <f t="shared" si="45"/>
        <v>-1.8899920703863398</v>
      </c>
      <c r="AK333">
        <f t="shared" si="46"/>
        <v>-5.8712561306612551E-2</v>
      </c>
      <c r="AL333">
        <f>COUNTIFS($B:$B,$B333,$AK:$AK,"&lt;"&amp;$AK333)+COUNTIFS($B$2:$B333,$B333,$AK$2:$AK333,$AK333)</f>
        <v>13</v>
      </c>
      <c r="AM333" s="191">
        <f>IF(AK333=0, "NA",IF(((sim_annual_output!F333/E333)/AK333)&lt;0,100,((sim_annual_output!F333/E333)/AK333)))</f>
        <v>100</v>
      </c>
      <c r="AN333">
        <f>(S333+V333)*constants!$F$2+(T333+U333+W333+X333+Y333+Z333+AA333+AB333)*constants!$G$2</f>
        <v>24325.314330042656</v>
      </c>
      <c r="AO333">
        <f>(AD333*constants!$F$2+AE333*constants!$G$2)</f>
        <v>-443.27609080494057</v>
      </c>
      <c r="AP333">
        <f t="shared" si="47"/>
        <v>-1.8222830948477338</v>
      </c>
    </row>
    <row r="334" spans="1:42">
      <c r="A334">
        <f>sim_annual_output!B334</f>
        <v>18</v>
      </c>
      <c r="B334" t="str">
        <f>sim_annual_output!C334</f>
        <v>Office-Small</v>
      </c>
      <c r="C334" t="str">
        <f>sim_annual_output!D334</f>
        <v>2005-2014</v>
      </c>
      <c r="D334" t="str">
        <f>sim_annual_output!E334</f>
        <v>hrv_enabled</v>
      </c>
      <c r="E334" s="45">
        <f t="array" ref="E334">IFERROR(INDEX(baseline!$J$3:$J$201,MATCH($B334&amp;$C334,baseline!$C$3:$C$201&amp;baseline!$D$3:$D$201,0)),"NA")</f>
        <v>584</v>
      </c>
      <c r="F334">
        <f>sim_annual_output!G334</f>
        <v>1211.46221507992</v>
      </c>
      <c r="G334">
        <f>$E334/$F334^2*sim_annual_output!I334</f>
        <v>0.78920378428551685</v>
      </c>
      <c r="H334">
        <f>$E334/$F334^2*sim_annual_output!J334</f>
        <v>18.355067285497608</v>
      </c>
      <c r="I334">
        <f>$E334/$F334^2*sim_annual_output!K334</f>
        <v>1.3297088970524884</v>
      </c>
      <c r="J334">
        <f>$E334/$F334^2*sim_annual_output!L334</f>
        <v>2.7168948204114849</v>
      </c>
      <c r="K334">
        <f>$E334/$F334^2*sim_annual_output!M334</f>
        <v>0</v>
      </c>
      <c r="L334">
        <f>$E334/$F334^2*sim_annual_output!N334</f>
        <v>12.878169874944756</v>
      </c>
      <c r="M334">
        <f>$E334/$F334^2*sim_annual_output!O334</f>
        <v>3.0838635268299606</v>
      </c>
      <c r="N334">
        <f>$E334/$F334^2*sim_annual_output!P334</f>
        <v>0</v>
      </c>
      <c r="O334">
        <f>$E334/$F334^2*sim_annual_output!Q334</f>
        <v>4.6047940690944857</v>
      </c>
      <c r="P334">
        <f>$E334/$F334^2*sim_annual_output!R334</f>
        <v>6.6319645738278721E-3</v>
      </c>
      <c r="Q334">
        <f>$E334/$F334^2*sim_annual_output!S334</f>
        <v>0</v>
      </c>
      <c r="R334">
        <f t="array" ref="R334">INDEX(G$3:G$700,MATCH($B334&amp;$C334&amp;"baseline",$B$3:$B$700&amp;$C$3:$C$700&amp;$D$3:$D$700,0))</f>
        <v>0.68751366082015608</v>
      </c>
      <c r="S334">
        <f t="array" ref="S334">INDEX(H$3:H$700,MATCH($B334&amp;$C334&amp;"baseline",$B$3:$B$700&amp;$C$3:$C$700&amp;$D$3:$D$700,0))</f>
        <v>18.538551638706846</v>
      </c>
      <c r="T334">
        <f t="array" ref="T334">INDEX(I$3:I$700,MATCH($B334&amp;$C334&amp;"baseline",$B$3:$B$700&amp;$C$3:$C$700&amp;$D$3:$D$700,0))</f>
        <v>1.0180065620825784</v>
      </c>
      <c r="U334">
        <f t="array" ref="U334">INDEX(J$3:J$700,MATCH($B334&amp;$C334&amp;"baseline",$B$3:$B$700&amp;$C$3:$C$700&amp;$D$3:$D$700,0))</f>
        <v>2.7124735106955997</v>
      </c>
      <c r="V334">
        <f t="array" ref="V334">INDEX(K$3:K$700,MATCH($B334&amp;$C334&amp;"baseline",$B$3:$B$700&amp;$C$3:$C$700&amp;$D$3:$D$700,0))</f>
        <v>0</v>
      </c>
      <c r="W334">
        <f t="array" ref="W334">INDEX(L$3:L$700,MATCH($B334&amp;$C334&amp;"baseline",$B$3:$B$700&amp;$C$3:$C$700&amp;$D$3:$D$700,0))</f>
        <v>12.878169874944756</v>
      </c>
      <c r="X334">
        <f t="array" ref="X334">INDEX(M$3:M$700,MATCH($B334&amp;$C334&amp;"baseline",$B$3:$B$700&amp;$C$3:$C$700&amp;$D$3:$D$700,0))</f>
        <v>3.0838635268299606</v>
      </c>
      <c r="Y334">
        <f t="array" ref="Y334">INDEX(N$3:N$700,MATCH($B334&amp;$C334&amp;"baseline",$B$3:$B$700&amp;$C$3:$C$700&amp;$D$3:$D$700,0))</f>
        <v>0</v>
      </c>
      <c r="Z334">
        <f t="array" ref="Z334">INDEX(O$3:O$700,MATCH($B334&amp;$C334&amp;"baseline",$B$3:$B$700&amp;$C$3:$C$700&amp;$D$3:$D$700,0))</f>
        <v>4.446732246751588</v>
      </c>
      <c r="AA334">
        <f t="array" ref="AA334">INDEX(P$3:P$700,MATCH($B334&amp;$C334&amp;"baseline",$B$3:$B$700&amp;$C$3:$C$700&amp;$D$3:$D$700,0))</f>
        <v>6.6319645738278721E-3</v>
      </c>
      <c r="AB334">
        <f t="array" ref="AB334">INDEX(Q$3:Q$700,MATCH($B334&amp;$C334&amp;"baseline",$B$3:$B$700&amp;$C$3:$C$700&amp;$D$3:$D$700,0))</f>
        <v>0</v>
      </c>
      <c r="AC334">
        <f t="shared" si="41"/>
        <v>43.371942985405305</v>
      </c>
      <c r="AD334">
        <f t="shared" si="42"/>
        <v>0.18348435320923784</v>
      </c>
      <c r="AE334">
        <f t="shared" si="43"/>
        <v>-0.57587559049405357</v>
      </c>
      <c r="AF334">
        <f t="shared" si="44"/>
        <v>-0.90471214862764093</v>
      </c>
      <c r="AG334">
        <f>(S334+V334+Y334)*constants!$O$2+(R334+T334+U334+W334+X334+Z334+AA334+AB334)*constants!$N$2</f>
        <v>3.1064977587239779</v>
      </c>
      <c r="AH334">
        <f>((S334+V334+Y334)-(H334+K334+N334))*constants!$O$2</f>
        <v>2.972446521989653E-3</v>
      </c>
      <c r="AI334">
        <f>((R334+T334+U334+W334+X334+Z334+AA334+AB334)-(G334+I334+J334+L334+M334+O334+P334+Q334))*constants!$N$2</f>
        <v>-6.5073941725828061E-2</v>
      </c>
      <c r="AJ334">
        <f t="shared" si="45"/>
        <v>-1.9990838567141658</v>
      </c>
      <c r="AK334">
        <f t="shared" si="46"/>
        <v>-6.2101495203838411E-2</v>
      </c>
      <c r="AL334">
        <f>COUNTIFS($B:$B,$B334,$AK:$AK,"&lt;"&amp;$AK334)+COUNTIFS($B$2:$B334,$B334,$AK$2:$AK334,$AK334)</f>
        <v>11</v>
      </c>
      <c r="AM334" s="191">
        <f>IF(AK334=0, "NA",IF(((sim_annual_output!F334/E334)/AK334)&lt;0,100,((sim_annual_output!F334/E334)/AK334)))</f>
        <v>100</v>
      </c>
      <c r="AN334">
        <f>(S334+V334)*constants!$F$2+(T334+U334+W334+X334+Y334+Z334+AA334+AB334)*constants!$G$2</f>
        <v>24325.314330042656</v>
      </c>
      <c r="AO334">
        <f>(AD334*constants!$F$2+AE334*constants!$G$2)</f>
        <v>-468.16806450537302</v>
      </c>
      <c r="AP334">
        <f t="shared" si="47"/>
        <v>-1.9246125996701644</v>
      </c>
    </row>
    <row r="335" spans="1:42">
      <c r="A335">
        <f>sim_annual_output!B335</f>
        <v>18</v>
      </c>
      <c r="B335" t="str">
        <f>sim_annual_output!C335</f>
        <v>Office-Small</v>
      </c>
      <c r="C335" t="str">
        <f>sim_annual_output!D335</f>
        <v>2005-2014</v>
      </c>
      <c r="D335" t="str">
        <f>sim_annual_output!E335</f>
        <v>lights_reduce_70p</v>
      </c>
      <c r="E335" s="45">
        <f t="array" ref="E335">IFERROR(INDEX(baseline!$J$3:$J$201,MATCH($B335&amp;$C335,baseline!$C$3:$C$201&amp;baseline!$D$3:$D$201,0)),"NA")</f>
        <v>584</v>
      </c>
      <c r="F335">
        <f>sim_annual_output!G335</f>
        <v>1211.46221507992</v>
      </c>
      <c r="G335">
        <f>$E335/$F335^2*sim_annual_output!I335</f>
        <v>0.58361288249685284</v>
      </c>
      <c r="H335">
        <f>$E335/$F335^2*sim_annual_output!J335</f>
        <v>20.723783965783131</v>
      </c>
      <c r="I335">
        <f>$E335/$F335^2*sim_annual_output!K335</f>
        <v>0.87652465117425049</v>
      </c>
      <c r="J335">
        <f>$E335/$F335^2*sim_annual_output!L335</f>
        <v>2.7202108026983991</v>
      </c>
      <c r="K335">
        <f>$E335/$F335^2*sim_annual_output!M335</f>
        <v>0</v>
      </c>
      <c r="L335">
        <f>$E335/$F335^2*sim_annual_output!N335</f>
        <v>9.0150505106900223</v>
      </c>
      <c r="M335">
        <f>$E335/$F335^2*sim_annual_output!O335</f>
        <v>3.0838635268299606</v>
      </c>
      <c r="N335">
        <f>$E335/$F335^2*sim_annual_output!P335</f>
        <v>0</v>
      </c>
      <c r="O335">
        <f>$E335/$F335^2*sim_annual_output!Q335</f>
        <v>4.4168884061693632</v>
      </c>
      <c r="P335">
        <f>$E335/$F335^2*sim_annual_output!R335</f>
        <v>6.6319645738278721E-3</v>
      </c>
      <c r="Q335">
        <f>$E335/$F335^2*sim_annual_output!S335</f>
        <v>0</v>
      </c>
      <c r="R335">
        <f t="array" ref="R335">INDEX(G$3:G$700,MATCH($B335&amp;$C335&amp;"baseline",$B$3:$B$700&amp;$C$3:$C$700&amp;$D$3:$D$700,0))</f>
        <v>0.68751366082015608</v>
      </c>
      <c r="S335">
        <f t="array" ref="S335">INDEX(H$3:H$700,MATCH($B335&amp;$C335&amp;"baseline",$B$3:$B$700&amp;$C$3:$C$700&amp;$D$3:$D$700,0))</f>
        <v>18.538551638706846</v>
      </c>
      <c r="T335">
        <f t="array" ref="T335">INDEX(I$3:I$700,MATCH($B335&amp;$C335&amp;"baseline",$B$3:$B$700&amp;$C$3:$C$700&amp;$D$3:$D$700,0))</f>
        <v>1.0180065620825784</v>
      </c>
      <c r="U335">
        <f t="array" ref="U335">INDEX(J$3:J$700,MATCH($B335&amp;$C335&amp;"baseline",$B$3:$B$700&amp;$C$3:$C$700&amp;$D$3:$D$700,0))</f>
        <v>2.7124735106955997</v>
      </c>
      <c r="V335">
        <f t="array" ref="V335">INDEX(K$3:K$700,MATCH($B335&amp;$C335&amp;"baseline",$B$3:$B$700&amp;$C$3:$C$700&amp;$D$3:$D$700,0))</f>
        <v>0</v>
      </c>
      <c r="W335">
        <f t="array" ref="W335">INDEX(L$3:L$700,MATCH($B335&amp;$C335&amp;"baseline",$B$3:$B$700&amp;$C$3:$C$700&amp;$D$3:$D$700,0))</f>
        <v>12.878169874944756</v>
      </c>
      <c r="X335">
        <f t="array" ref="X335">INDEX(M$3:M$700,MATCH($B335&amp;$C335&amp;"baseline",$B$3:$B$700&amp;$C$3:$C$700&amp;$D$3:$D$700,0))</f>
        <v>3.0838635268299606</v>
      </c>
      <c r="Y335">
        <f t="array" ref="Y335">INDEX(N$3:N$700,MATCH($B335&amp;$C335&amp;"baseline",$B$3:$B$700&amp;$C$3:$C$700&amp;$D$3:$D$700,0))</f>
        <v>0</v>
      </c>
      <c r="Z335">
        <f t="array" ref="Z335">INDEX(O$3:O$700,MATCH($B335&amp;$C335&amp;"baseline",$B$3:$B$700&amp;$C$3:$C$700&amp;$D$3:$D$700,0))</f>
        <v>4.446732246751588</v>
      </c>
      <c r="AA335">
        <f t="array" ref="AA335">INDEX(P$3:P$700,MATCH($B335&amp;$C335&amp;"baseline",$B$3:$B$700&amp;$C$3:$C$700&amp;$D$3:$D$700,0))</f>
        <v>6.6319645738278721E-3</v>
      </c>
      <c r="AB335">
        <f t="array" ref="AB335">INDEX(Q$3:Q$700,MATCH($B335&amp;$C335&amp;"baseline",$B$3:$B$700&amp;$C$3:$C$700&amp;$D$3:$D$700,0))</f>
        <v>0</v>
      </c>
      <c r="AC335">
        <f t="shared" si="41"/>
        <v>43.371942985405305</v>
      </c>
      <c r="AD335">
        <f t="shared" si="42"/>
        <v>-2.1852323270762852</v>
      </c>
      <c r="AE335">
        <f t="shared" si="43"/>
        <v>4.1306086020657879</v>
      </c>
      <c r="AF335">
        <f t="shared" si="44"/>
        <v>4.4853334692525149</v>
      </c>
      <c r="AG335">
        <f>(S335+V335+Y335)*constants!$O$2+(R335+T335+U335+W335+X335+Z335+AA335+AB335)*constants!$N$2</f>
        <v>3.1064977587239779</v>
      </c>
      <c r="AH335">
        <f>((S335+V335+Y335)-(H335+K335+N335))*constants!$O$2</f>
        <v>-3.5400763698635818E-2</v>
      </c>
      <c r="AI335">
        <f>((R335+T335+U335+W335+X335+Z335+AA335+AB335)-(G335+I335+J335+L335+M335+O335+P335+Q335))*constants!$N$2</f>
        <v>0.46675877203343408</v>
      </c>
      <c r="AJ335">
        <f t="shared" si="45"/>
        <v>13.885669388410648</v>
      </c>
      <c r="AK335">
        <f t="shared" si="46"/>
        <v>0.43135800833479826</v>
      </c>
      <c r="AL335">
        <f>COUNTIFS($B:$B,$B335,$AK:$AK,"&lt;"&amp;$AK335)+COUNTIFS($B$2:$B335,$B335,$AK$2:$AK335,$AK335)</f>
        <v>56</v>
      </c>
      <c r="AM335" s="191">
        <f>IF(AK335=0, "NA",IF(((sim_annual_output!F335/E335)/AK335)&lt;0,100,((sim_annual_output!F335/E335)/AK335)))</f>
        <v>77.808465696712901</v>
      </c>
      <c r="AN335">
        <f>(S335+V335)*constants!$F$2+(T335+U335+W335+X335+Y335+Z335+AA335+AB335)*constants!$G$2</f>
        <v>24325.314330042656</v>
      </c>
      <c r="AO335">
        <f>(AD335*constants!$F$2+AE335*constants!$G$2)</f>
        <v>3202.4728972505804</v>
      </c>
      <c r="AP335">
        <f t="shared" si="47"/>
        <v>13.165186084750442</v>
      </c>
    </row>
    <row r="336" spans="1:42">
      <c r="A336">
        <f>sim_annual_output!B336</f>
        <v>18</v>
      </c>
      <c r="B336" t="str">
        <f>sim_annual_output!C336</f>
        <v>Office-Small</v>
      </c>
      <c r="C336" t="str">
        <f>sim_annual_output!D336</f>
        <v>2005-2014</v>
      </c>
      <c r="D336" t="str">
        <f>sim_annual_output!E336</f>
        <v>load_reduce</v>
      </c>
      <c r="E336" s="45">
        <f t="array" ref="E336">IFERROR(INDEX(baseline!$J$3:$J$201,MATCH($B336&amp;$C336,baseline!$C$3:$C$201&amp;baseline!$D$3:$D$201,0)),"NA")</f>
        <v>584</v>
      </c>
      <c r="F336">
        <f>sim_annual_output!G336</f>
        <v>1211.46221507992</v>
      </c>
      <c r="G336">
        <f>$E336/$F336^2*sim_annual_output!I336</f>
        <v>0.68088169624632822</v>
      </c>
      <c r="H336">
        <f>$E336/$F336^2*sim_annual_output!J336</f>
        <v>14.747278557335246</v>
      </c>
      <c r="I336">
        <f>$E336/$F336^2*sim_annual_output!K336</f>
        <v>1.1097487386871971</v>
      </c>
      <c r="J336">
        <f>$E336/$F336^2*sim_annual_output!L336</f>
        <v>2.7257374398432557</v>
      </c>
      <c r="K336">
        <f>$E336/$F336^2*sim_annual_output!M336</f>
        <v>0</v>
      </c>
      <c r="L336">
        <f>$E336/$F336^2*sim_annual_output!N336</f>
        <v>12.878169874944756</v>
      </c>
      <c r="M336">
        <f>$E336/$F336^2*sim_annual_output!O336</f>
        <v>3.0838635268299606</v>
      </c>
      <c r="N336">
        <f>$E336/$F336^2*sim_annual_output!P336</f>
        <v>0</v>
      </c>
      <c r="O336">
        <f>$E336/$F336^2*sim_annual_output!Q336</f>
        <v>4.9087591120615963</v>
      </c>
      <c r="P336">
        <f>$E336/$F336^2*sim_annual_output!R336</f>
        <v>6.6319645738278721E-3</v>
      </c>
      <c r="Q336">
        <f>$E336/$F336^2*sim_annual_output!S336</f>
        <v>0</v>
      </c>
      <c r="R336">
        <f t="array" ref="R336">INDEX(G$3:G$700,MATCH($B336&amp;$C336&amp;"baseline",$B$3:$B$700&amp;$C$3:$C$700&amp;$D$3:$D$700,0))</f>
        <v>0.68751366082015608</v>
      </c>
      <c r="S336">
        <f t="array" ref="S336">INDEX(H$3:H$700,MATCH($B336&amp;$C336&amp;"baseline",$B$3:$B$700&amp;$C$3:$C$700&amp;$D$3:$D$700,0))</f>
        <v>18.538551638706846</v>
      </c>
      <c r="T336">
        <f t="array" ref="T336">INDEX(I$3:I$700,MATCH($B336&amp;$C336&amp;"baseline",$B$3:$B$700&amp;$C$3:$C$700&amp;$D$3:$D$700,0))</f>
        <v>1.0180065620825784</v>
      </c>
      <c r="U336">
        <f t="array" ref="U336">INDEX(J$3:J$700,MATCH($B336&amp;$C336&amp;"baseline",$B$3:$B$700&amp;$C$3:$C$700&amp;$D$3:$D$700,0))</f>
        <v>2.7124735106955997</v>
      </c>
      <c r="V336">
        <f t="array" ref="V336">INDEX(K$3:K$700,MATCH($B336&amp;$C336&amp;"baseline",$B$3:$B$700&amp;$C$3:$C$700&amp;$D$3:$D$700,0))</f>
        <v>0</v>
      </c>
      <c r="W336">
        <f t="array" ref="W336">INDEX(L$3:L$700,MATCH($B336&amp;$C336&amp;"baseline",$B$3:$B$700&amp;$C$3:$C$700&amp;$D$3:$D$700,0))</f>
        <v>12.878169874944756</v>
      </c>
      <c r="X336">
        <f t="array" ref="X336">INDEX(M$3:M$700,MATCH($B336&amp;$C336&amp;"baseline",$B$3:$B$700&amp;$C$3:$C$700&amp;$D$3:$D$700,0))</f>
        <v>3.0838635268299606</v>
      </c>
      <c r="Y336">
        <f t="array" ref="Y336">INDEX(N$3:N$700,MATCH($B336&amp;$C336&amp;"baseline",$B$3:$B$700&amp;$C$3:$C$700&amp;$D$3:$D$700,0))</f>
        <v>0</v>
      </c>
      <c r="Z336">
        <f t="array" ref="Z336">INDEX(O$3:O$700,MATCH($B336&amp;$C336&amp;"baseline",$B$3:$B$700&amp;$C$3:$C$700&amp;$D$3:$D$700,0))</f>
        <v>4.446732246751588</v>
      </c>
      <c r="AA336">
        <f t="array" ref="AA336">INDEX(P$3:P$700,MATCH($B336&amp;$C336&amp;"baseline",$B$3:$B$700&amp;$C$3:$C$700&amp;$D$3:$D$700,0))</f>
        <v>6.6319645738278721E-3</v>
      </c>
      <c r="AB336">
        <f t="array" ref="AB336">INDEX(Q$3:Q$700,MATCH($B336&amp;$C336&amp;"baseline",$B$3:$B$700&amp;$C$3:$C$700&amp;$D$3:$D$700,0))</f>
        <v>0</v>
      </c>
      <c r="AC336">
        <f t="shared" si="41"/>
        <v>43.371942985405305</v>
      </c>
      <c r="AD336">
        <f t="shared" si="42"/>
        <v>3.7912730813715996</v>
      </c>
      <c r="AE336">
        <f t="shared" si="43"/>
        <v>-0.56040100648845481</v>
      </c>
      <c r="AF336">
        <f t="shared" si="44"/>
        <v>7.4492214378551953</v>
      </c>
      <c r="AG336">
        <f>(S336+V336+Y336)*constants!$O$2+(R336+T336+U336+W336+X336+Z336+AA336+AB336)*constants!$N$2</f>
        <v>3.1064977587239779</v>
      </c>
      <c r="AH336">
        <f>((S336+V336+Y336)-(H336+K336+N336))*constants!$O$2</f>
        <v>6.1418623918219908E-2</v>
      </c>
      <c r="AI336">
        <f>((R336+T336+U336+W336+X336+Z336+AA336+AB336)-(G336+I336+J336+L336+M336+O336+P336+Q336))*constants!$N$2</f>
        <v>-6.3325313733195401E-2</v>
      </c>
      <c r="AJ336">
        <f t="shared" si="45"/>
        <v>-6.1377472738260823E-2</v>
      </c>
      <c r="AK336">
        <f t="shared" si="46"/>
        <v>-1.9066898149754929E-3</v>
      </c>
      <c r="AL336">
        <f>COUNTIFS($B:$B,$B336,$AK:$AK,"&lt;"&amp;$AK336)+COUNTIFS($B$2:$B336,$B336,$AK$2:$AK336,$AK336)</f>
        <v>39</v>
      </c>
      <c r="AM336" s="191">
        <f>IF(AK336=0, "NA",IF(((sim_annual_output!F336/E336)/AK336)&lt;0,100,((sim_annual_output!F336/E336)/AK336)))</f>
        <v>100</v>
      </c>
      <c r="AN336">
        <f>(S336+V336)*constants!$F$2+(T336+U336+W336+X336+Y336+Z336+AA336+AB336)*constants!$G$2</f>
        <v>24325.314330042656</v>
      </c>
      <c r="AO336">
        <f>(AD336*constants!$F$2+AE336*constants!$G$2)</f>
        <v>191.08900592056062</v>
      </c>
      <c r="AP336">
        <f t="shared" si="47"/>
        <v>0.78555616313068022</v>
      </c>
    </row>
    <row r="337" spans="1:42">
      <c r="A337">
        <f>sim_annual_output!B337</f>
        <v>18</v>
      </c>
      <c r="B337" t="str">
        <f>sim_annual_output!C337</f>
        <v>Office-Small</v>
      </c>
      <c r="C337" t="str">
        <f>sim_annual_output!D337</f>
        <v>2005-2014</v>
      </c>
      <c r="D337" t="str">
        <f>sim_annual_output!E337</f>
        <v>occupancy_setback</v>
      </c>
      <c r="E337" s="45">
        <f t="array" ref="E337">IFERROR(INDEX(baseline!$J$3:$J$201,MATCH($B337&amp;$C337,baseline!$C$3:$C$201&amp;baseline!$D$3:$D$201,0)),"NA")</f>
        <v>584</v>
      </c>
      <c r="F337">
        <f>sim_annual_output!G337</f>
        <v>1211.46221507992</v>
      </c>
      <c r="G337">
        <f>$E337/$F337^2*sim_annual_output!I337</f>
        <v>0.68088169624632822</v>
      </c>
      <c r="H337">
        <f>$E337/$F337^2*sim_annual_output!J337</f>
        <v>14.747278557335246</v>
      </c>
      <c r="I337">
        <f>$E337/$F337^2*sim_annual_output!K337</f>
        <v>1.1097487386871971</v>
      </c>
      <c r="J337">
        <f>$E337/$F337^2*sim_annual_output!L337</f>
        <v>2.7257374398432557</v>
      </c>
      <c r="K337">
        <f>$E337/$F337^2*sim_annual_output!M337</f>
        <v>0</v>
      </c>
      <c r="L337">
        <f>$E337/$F337^2*sim_annual_output!N337</f>
        <v>12.878169874944756</v>
      </c>
      <c r="M337">
        <f>$E337/$F337^2*sim_annual_output!O337</f>
        <v>3.0838635268299606</v>
      </c>
      <c r="N337">
        <f>$E337/$F337^2*sim_annual_output!P337</f>
        <v>0</v>
      </c>
      <c r="O337">
        <f>$E337/$F337^2*sim_annual_output!Q337</f>
        <v>4.9087591120615963</v>
      </c>
      <c r="P337">
        <f>$E337/$F337^2*sim_annual_output!R337</f>
        <v>6.6319645738278721E-3</v>
      </c>
      <c r="Q337">
        <f>$E337/$F337^2*sim_annual_output!S337</f>
        <v>0</v>
      </c>
      <c r="R337">
        <f t="array" ref="R337">INDEX(G$3:G$700,MATCH($B337&amp;$C337&amp;"baseline",$B$3:$B$700&amp;$C$3:$C$700&amp;$D$3:$D$700,0))</f>
        <v>0.68751366082015608</v>
      </c>
      <c r="S337">
        <f t="array" ref="S337">INDEX(H$3:H$700,MATCH($B337&amp;$C337&amp;"baseline",$B$3:$B$700&amp;$C$3:$C$700&amp;$D$3:$D$700,0))</f>
        <v>18.538551638706846</v>
      </c>
      <c r="T337">
        <f t="array" ref="T337">INDEX(I$3:I$700,MATCH($B337&amp;$C337&amp;"baseline",$B$3:$B$700&amp;$C$3:$C$700&amp;$D$3:$D$700,0))</f>
        <v>1.0180065620825784</v>
      </c>
      <c r="U337">
        <f t="array" ref="U337">INDEX(J$3:J$700,MATCH($B337&amp;$C337&amp;"baseline",$B$3:$B$700&amp;$C$3:$C$700&amp;$D$3:$D$700,0))</f>
        <v>2.7124735106955997</v>
      </c>
      <c r="V337">
        <f t="array" ref="V337">INDEX(K$3:K$700,MATCH($B337&amp;$C337&amp;"baseline",$B$3:$B$700&amp;$C$3:$C$700&amp;$D$3:$D$700,0))</f>
        <v>0</v>
      </c>
      <c r="W337">
        <f t="array" ref="W337">INDEX(L$3:L$700,MATCH($B337&amp;$C337&amp;"baseline",$B$3:$B$700&amp;$C$3:$C$700&amp;$D$3:$D$700,0))</f>
        <v>12.878169874944756</v>
      </c>
      <c r="X337">
        <f t="array" ref="X337">INDEX(M$3:M$700,MATCH($B337&amp;$C337&amp;"baseline",$B$3:$B$700&amp;$C$3:$C$700&amp;$D$3:$D$700,0))</f>
        <v>3.0838635268299606</v>
      </c>
      <c r="Y337">
        <f t="array" ref="Y337">INDEX(N$3:N$700,MATCH($B337&amp;$C337&amp;"baseline",$B$3:$B$700&amp;$C$3:$C$700&amp;$D$3:$D$700,0))</f>
        <v>0</v>
      </c>
      <c r="Z337">
        <f t="array" ref="Z337">INDEX(O$3:O$700,MATCH($B337&amp;$C337&amp;"baseline",$B$3:$B$700&amp;$C$3:$C$700&amp;$D$3:$D$700,0))</f>
        <v>4.446732246751588</v>
      </c>
      <c r="AA337">
        <f t="array" ref="AA337">INDEX(P$3:P$700,MATCH($B337&amp;$C337&amp;"baseline",$B$3:$B$700&amp;$C$3:$C$700&amp;$D$3:$D$700,0))</f>
        <v>6.6319645738278721E-3</v>
      </c>
      <c r="AB337">
        <f t="array" ref="AB337">INDEX(Q$3:Q$700,MATCH($B337&amp;$C337&amp;"baseline",$B$3:$B$700&amp;$C$3:$C$700&amp;$D$3:$D$700,0))</f>
        <v>0</v>
      </c>
      <c r="AC337">
        <f t="shared" si="41"/>
        <v>43.371942985405305</v>
      </c>
      <c r="AD337">
        <f t="shared" si="42"/>
        <v>3.7912730813715996</v>
      </c>
      <c r="AE337">
        <f t="shared" si="43"/>
        <v>-0.56040100648845481</v>
      </c>
      <c r="AF337">
        <f t="shared" si="44"/>
        <v>7.4492214378551953</v>
      </c>
      <c r="AG337">
        <f>(S337+V337+Y337)*constants!$O$2+(R337+T337+U337+W337+X337+Z337+AA337+AB337)*constants!$N$2</f>
        <v>3.1064977587239779</v>
      </c>
      <c r="AH337">
        <f>((S337+V337+Y337)-(H337+K337+N337))*constants!$O$2</f>
        <v>6.1418623918219908E-2</v>
      </c>
      <c r="AI337">
        <f>((R337+T337+U337+W337+X337+Z337+AA337+AB337)-(G337+I337+J337+L337+M337+O337+P337+Q337))*constants!$N$2</f>
        <v>-6.3325313733195401E-2</v>
      </c>
      <c r="AJ337">
        <f t="shared" si="45"/>
        <v>-6.1377472738260823E-2</v>
      </c>
      <c r="AK337">
        <f t="shared" si="46"/>
        <v>-1.9066898149754929E-3</v>
      </c>
      <c r="AL337">
        <f>COUNTIFS($B:$B,$B337,$AK:$AK,"&lt;"&amp;$AK337)+COUNTIFS($B$2:$B337,$B337,$AK$2:$AK337,$AK337)</f>
        <v>40</v>
      </c>
      <c r="AM337" s="191">
        <f>IF(AK337=0, "NA",IF(((sim_annual_output!F337/E337)/AK337)&lt;0,100,((sim_annual_output!F337/E337)/AK337)))</f>
        <v>100</v>
      </c>
      <c r="AN337">
        <f>(S337+V337)*constants!$F$2+(T337+U337+W337+X337+Y337+Z337+AA337+AB337)*constants!$G$2</f>
        <v>24325.314330042656</v>
      </c>
      <c r="AO337">
        <f>(AD337*constants!$F$2+AE337*constants!$G$2)</f>
        <v>191.08900592056062</v>
      </c>
      <c r="AP337">
        <f t="shared" si="47"/>
        <v>0.78555616313068022</v>
      </c>
    </row>
    <row r="338" spans="1:42">
      <c r="A338">
        <f>sim_annual_output!B338</f>
        <v>18</v>
      </c>
      <c r="B338" t="str">
        <f>sim_annual_output!C338</f>
        <v>Office-Small</v>
      </c>
      <c r="C338" t="str">
        <f>sim_annual_output!D338</f>
        <v>2005-2014</v>
      </c>
      <c r="D338" t="str">
        <f>sim_annual_output!E338</f>
        <v>payback_less_than_20</v>
      </c>
      <c r="E338" s="45">
        <f t="array" ref="E338">IFERROR(INDEX(baseline!$J$3:$J$201,MATCH($B338&amp;$C338,baseline!$C$3:$C$201&amp;baseline!$D$3:$D$201,0)),"NA")</f>
        <v>584</v>
      </c>
      <c r="F338">
        <f>sim_annual_output!G338</f>
        <v>1211.46221507992</v>
      </c>
      <c r="G338">
        <f>$E338/$F338^2*sim_annual_output!I338</f>
        <v>2.5588329980685875</v>
      </c>
      <c r="H338">
        <f>$E338/$F338^2*sim_annual_output!J338</f>
        <v>11.184808253760707</v>
      </c>
      <c r="I338">
        <f>$E338/$F338^2*sim_annual_output!K338</f>
        <v>1.5308784891252671</v>
      </c>
      <c r="J338">
        <f>$E338/$F338^2*sim_annual_output!L338</f>
        <v>2.7456333335647392</v>
      </c>
      <c r="K338">
        <f>$E338/$F338^2*sim_annual_output!M338</f>
        <v>0</v>
      </c>
      <c r="L338">
        <f>$E338/$F338^2*sim_annual_output!N338</f>
        <v>9.0150505106900223</v>
      </c>
      <c r="M338">
        <f>$E338/$F338^2*sim_annual_output!O338</f>
        <v>3.0838635268299606</v>
      </c>
      <c r="N338">
        <f>$E338/$F338^2*sim_annual_output!P338</f>
        <v>0</v>
      </c>
      <c r="O338">
        <f>$E338/$F338^2*sim_annual_output!Q338</f>
        <v>3.9338603197088995</v>
      </c>
      <c r="P338">
        <f>$E338/$F338^2*sim_annual_output!R338</f>
        <v>4.4213097158852478E-3</v>
      </c>
      <c r="Q338">
        <f>$E338/$F338^2*sim_annual_output!S338</f>
        <v>0</v>
      </c>
      <c r="R338">
        <f t="array" ref="R338">INDEX(G$3:G$700,MATCH($B338&amp;$C338&amp;"baseline",$B$3:$B$700&amp;$C$3:$C$700&amp;$D$3:$D$700,0))</f>
        <v>0.68751366082015608</v>
      </c>
      <c r="S338">
        <f t="array" ref="S338">INDEX(H$3:H$700,MATCH($B338&amp;$C338&amp;"baseline",$B$3:$B$700&amp;$C$3:$C$700&amp;$D$3:$D$700,0))</f>
        <v>18.538551638706846</v>
      </c>
      <c r="T338">
        <f t="array" ref="T338">INDEX(I$3:I$700,MATCH($B338&amp;$C338&amp;"baseline",$B$3:$B$700&amp;$C$3:$C$700&amp;$D$3:$D$700,0))</f>
        <v>1.0180065620825784</v>
      </c>
      <c r="U338">
        <f t="array" ref="U338">INDEX(J$3:J$700,MATCH($B338&amp;$C338&amp;"baseline",$B$3:$B$700&amp;$C$3:$C$700&amp;$D$3:$D$700,0))</f>
        <v>2.7124735106955997</v>
      </c>
      <c r="V338">
        <f t="array" ref="V338">INDEX(K$3:K$700,MATCH($B338&amp;$C338&amp;"baseline",$B$3:$B$700&amp;$C$3:$C$700&amp;$D$3:$D$700,0))</f>
        <v>0</v>
      </c>
      <c r="W338">
        <f t="array" ref="W338">INDEX(L$3:L$700,MATCH($B338&amp;$C338&amp;"baseline",$B$3:$B$700&amp;$C$3:$C$700&amp;$D$3:$D$700,0))</f>
        <v>12.878169874944756</v>
      </c>
      <c r="X338">
        <f t="array" ref="X338">INDEX(M$3:M$700,MATCH($B338&amp;$C338&amp;"baseline",$B$3:$B$700&amp;$C$3:$C$700&amp;$D$3:$D$700,0))</f>
        <v>3.0838635268299606</v>
      </c>
      <c r="Y338">
        <f t="array" ref="Y338">INDEX(N$3:N$700,MATCH($B338&amp;$C338&amp;"baseline",$B$3:$B$700&amp;$C$3:$C$700&amp;$D$3:$D$700,0))</f>
        <v>0</v>
      </c>
      <c r="Z338">
        <f t="array" ref="Z338">INDEX(O$3:O$700,MATCH($B338&amp;$C338&amp;"baseline",$B$3:$B$700&amp;$C$3:$C$700&amp;$D$3:$D$700,0))</f>
        <v>4.446732246751588</v>
      </c>
      <c r="AA338">
        <f t="array" ref="AA338">INDEX(P$3:P$700,MATCH($B338&amp;$C338&amp;"baseline",$B$3:$B$700&amp;$C$3:$C$700&amp;$D$3:$D$700,0))</f>
        <v>6.6319645738278721E-3</v>
      </c>
      <c r="AB338">
        <f t="array" ref="AB338">INDEX(Q$3:Q$700,MATCH($B338&amp;$C338&amp;"baseline",$B$3:$B$700&amp;$C$3:$C$700&amp;$D$3:$D$700,0))</f>
        <v>0</v>
      </c>
      <c r="AC338">
        <f t="shared" si="41"/>
        <v>43.371942985405305</v>
      </c>
      <c r="AD338">
        <f t="shared" si="42"/>
        <v>7.3537433849461387</v>
      </c>
      <c r="AE338">
        <f t="shared" si="43"/>
        <v>1.960850858995105</v>
      </c>
      <c r="AF338">
        <f t="shared" si="44"/>
        <v>21.476082468972194</v>
      </c>
      <c r="AG338">
        <f>(S338+V338+Y338)*constants!$O$2+(R338+T338+U338+W338+X338+Z338+AA338+AB338)*constants!$N$2</f>
        <v>3.1064977587239779</v>
      </c>
      <c r="AH338">
        <f>((S338+V338+Y338)-(H338+K338+N338))*constants!$O$2</f>
        <v>0.11913064283612744</v>
      </c>
      <c r="AI338">
        <f>((R338+T338+U338+W338+X338+Z338+AA338+AB338)-(G338+I338+J338+L338+M338+O338+P338+Q338))*constants!$N$2</f>
        <v>0.22157614706644688</v>
      </c>
      <c r="AJ338">
        <f t="shared" si="45"/>
        <v>10.967553057000199</v>
      </c>
      <c r="AK338">
        <f t="shared" si="46"/>
        <v>0.3407067899025743</v>
      </c>
      <c r="AL338">
        <f>COUNTIFS($B:$B,$B338,$AK:$AK,"&lt;"&amp;$AK338)+COUNTIFS($B$2:$B338,$B338,$AK$2:$AK338,$AK338)</f>
        <v>53</v>
      </c>
      <c r="AM338" s="191">
        <f>IF(AK338=0, "NA",IF(((sim_annual_output!F338/E338)/AK338)&lt;0,100,((sim_annual_output!F338/E338)/AK338)))</f>
        <v>376.44317746651808</v>
      </c>
      <c r="AN338">
        <f>(S338+V338)*constants!$F$2+(T338+U338+W338+X338+Y338+Z338+AA338+AB338)*constants!$G$2</f>
        <v>24325.314330042656</v>
      </c>
      <c r="AO338">
        <f>(AD338*constants!$F$2+AE338*constants!$G$2)</f>
        <v>3022.2603132311006</v>
      </c>
      <c r="AP338">
        <f t="shared" si="47"/>
        <v>12.424342280742898</v>
      </c>
    </row>
    <row r="339" spans="1:42">
      <c r="A339">
        <f>sim_annual_output!B339</f>
        <v>18</v>
      </c>
      <c r="B339" t="str">
        <f>sim_annual_output!C339</f>
        <v>Office-Small</v>
      </c>
      <c r="C339" t="str">
        <f>sim_annual_output!D339</f>
        <v>2005-2014</v>
      </c>
      <c r="D339" t="str">
        <f>sim_annual_output!E339</f>
        <v>plug_loads_90_percent</v>
      </c>
      <c r="E339" s="45">
        <f t="array" ref="E339">IFERROR(INDEX(baseline!$J$3:$J$201,MATCH($B339&amp;$C339,baseline!$C$3:$C$201&amp;baseline!$D$3:$D$201,0)),"NA")</f>
        <v>584</v>
      </c>
      <c r="F339">
        <f>sim_annual_output!G339</f>
        <v>1211.46221507992</v>
      </c>
      <c r="G339">
        <f>$E339/$F339^2*sim_annual_output!I339</f>
        <v>0.78588780199860286</v>
      </c>
      <c r="H339">
        <f>$E339/$F339^2*sim_annual_output!J339</f>
        <v>18.328539427202298</v>
      </c>
      <c r="I339">
        <f>$E339/$F339^2*sim_annual_output!K339</f>
        <v>1.2921277644674638</v>
      </c>
      <c r="J339">
        <f>$E339/$F339^2*sim_annual_output!L339</f>
        <v>2.7168948204114849</v>
      </c>
      <c r="K339">
        <f>$E339/$F339^2*sim_annual_output!M339</f>
        <v>0</v>
      </c>
      <c r="L339">
        <f>$E339/$F339^2*sim_annual_output!N339</f>
        <v>12.878169874944756</v>
      </c>
      <c r="M339">
        <f>$E339/$F339^2*sim_annual_output!O339</f>
        <v>3.0838635268299606</v>
      </c>
      <c r="N339">
        <f>$E339/$F339^2*sim_annual_output!P339</f>
        <v>0</v>
      </c>
      <c r="O339">
        <f>$E339/$F339^2*sim_annual_output!Q339</f>
        <v>4.6047940690944857</v>
      </c>
      <c r="P339">
        <f>$E339/$F339^2*sim_annual_output!R339</f>
        <v>6.6319645738278721E-3</v>
      </c>
      <c r="Q339">
        <f>$E339/$F339^2*sim_annual_output!S339</f>
        <v>0</v>
      </c>
      <c r="R339">
        <f t="array" ref="R339">INDEX(G$3:G$700,MATCH($B339&amp;$C339&amp;"baseline",$B$3:$B$700&amp;$C$3:$C$700&amp;$D$3:$D$700,0))</f>
        <v>0.68751366082015608</v>
      </c>
      <c r="S339">
        <f t="array" ref="S339">INDEX(H$3:H$700,MATCH($B339&amp;$C339&amp;"baseline",$B$3:$B$700&amp;$C$3:$C$700&amp;$D$3:$D$700,0))</f>
        <v>18.538551638706846</v>
      </c>
      <c r="T339">
        <f t="array" ref="T339">INDEX(I$3:I$700,MATCH($B339&amp;$C339&amp;"baseline",$B$3:$B$700&amp;$C$3:$C$700&amp;$D$3:$D$700,0))</f>
        <v>1.0180065620825784</v>
      </c>
      <c r="U339">
        <f t="array" ref="U339">INDEX(J$3:J$700,MATCH($B339&amp;$C339&amp;"baseline",$B$3:$B$700&amp;$C$3:$C$700&amp;$D$3:$D$700,0))</f>
        <v>2.7124735106955997</v>
      </c>
      <c r="V339">
        <f t="array" ref="V339">INDEX(K$3:K$700,MATCH($B339&amp;$C339&amp;"baseline",$B$3:$B$700&amp;$C$3:$C$700&amp;$D$3:$D$700,0))</f>
        <v>0</v>
      </c>
      <c r="W339">
        <f t="array" ref="W339">INDEX(L$3:L$700,MATCH($B339&amp;$C339&amp;"baseline",$B$3:$B$700&amp;$C$3:$C$700&amp;$D$3:$D$700,0))</f>
        <v>12.878169874944756</v>
      </c>
      <c r="X339">
        <f t="array" ref="X339">INDEX(M$3:M$700,MATCH($B339&amp;$C339&amp;"baseline",$B$3:$B$700&amp;$C$3:$C$700&amp;$D$3:$D$700,0))</f>
        <v>3.0838635268299606</v>
      </c>
      <c r="Y339">
        <f t="array" ref="Y339">INDEX(N$3:N$700,MATCH($B339&amp;$C339&amp;"baseline",$B$3:$B$700&amp;$C$3:$C$700&amp;$D$3:$D$700,0))</f>
        <v>0</v>
      </c>
      <c r="Z339">
        <f t="array" ref="Z339">INDEX(O$3:O$700,MATCH($B339&amp;$C339&amp;"baseline",$B$3:$B$700&amp;$C$3:$C$700&amp;$D$3:$D$700,0))</f>
        <v>4.446732246751588</v>
      </c>
      <c r="AA339">
        <f t="array" ref="AA339">INDEX(P$3:P$700,MATCH($B339&amp;$C339&amp;"baseline",$B$3:$B$700&amp;$C$3:$C$700&amp;$D$3:$D$700,0))</f>
        <v>6.6319645738278721E-3</v>
      </c>
      <c r="AB339">
        <f t="array" ref="AB339">INDEX(Q$3:Q$700,MATCH($B339&amp;$C339&amp;"baseline",$B$3:$B$700&amp;$C$3:$C$700&amp;$D$3:$D$700,0))</f>
        <v>0</v>
      </c>
      <c r="AC339">
        <f t="shared" si="41"/>
        <v>43.371942985405305</v>
      </c>
      <c r="AD339">
        <f t="shared" si="42"/>
        <v>0.21001221150454796</v>
      </c>
      <c r="AE339">
        <f t="shared" si="43"/>
        <v>-0.53497847562211476</v>
      </c>
      <c r="AF339">
        <f t="shared" si="44"/>
        <v>-0.74925456815923186</v>
      </c>
      <c r="AG339">
        <f>(S339+V339+Y339)*constants!$O$2+(R339+T339+U339+W339+X339+Z339+AA339+AB339)*constants!$N$2</f>
        <v>3.1064977587239779</v>
      </c>
      <c r="AH339">
        <f>((S339+V339+Y339)-(H339+K339+N339))*constants!$O$2</f>
        <v>3.402197826373677E-3</v>
      </c>
      <c r="AI339">
        <f>((R339+T339+U339+W339+X339+Z339+AA339+AB339)-(G339+I339+J339+L339+M339+O339+P339+Q339))*constants!$N$2</f>
        <v>-6.0452567745298967E-2</v>
      </c>
      <c r="AJ339">
        <f t="shared" si="45"/>
        <v>-1.8364851466160157</v>
      </c>
      <c r="AK339">
        <f t="shared" si="46"/>
        <v>-5.7050369918925287E-2</v>
      </c>
      <c r="AL339">
        <f>COUNTIFS($B:$B,$B339,$AK:$AK,"&lt;"&amp;$AK339)+COUNTIFS($B$2:$B339,$B339,$AK$2:$AK339,$AK339)</f>
        <v>18</v>
      </c>
      <c r="AM339" s="191">
        <f>IF(AK339=0, "NA",IF(((sim_annual_output!F339/E339)/AK339)&lt;0,100,((sim_annual_output!F339/E339)/AK339)))</f>
        <v>100</v>
      </c>
      <c r="AN339">
        <f>(S339+V339)*constants!$F$2+(T339+U339+W339+X339+Y339+Z339+AA339+AB339)*constants!$G$2</f>
        <v>24325.314330042656</v>
      </c>
      <c r="AO339">
        <f>(AD339*constants!$F$2+AE339*constants!$G$2)</f>
        <v>-427.83908793192575</v>
      </c>
      <c r="AP339">
        <f t="shared" si="47"/>
        <v>-1.7588224436776496</v>
      </c>
    </row>
    <row r="340" spans="1:42">
      <c r="A340">
        <f>sim_annual_output!B340</f>
        <v>18</v>
      </c>
      <c r="B340" t="str">
        <f>sim_annual_output!C340</f>
        <v>Office-Small</v>
      </c>
      <c r="C340" t="str">
        <f>sim_annual_output!D340</f>
        <v>2005-2014</v>
      </c>
      <c r="D340" t="str">
        <f>sim_annual_output!E340</f>
        <v>pump_fan_eff_</v>
      </c>
      <c r="E340" s="45">
        <f t="array" ref="E340">IFERROR(INDEX(baseline!$J$3:$J$201,MATCH($B340&amp;$C340,baseline!$C$3:$C$201&amp;baseline!$D$3:$D$201,0)),"NA")</f>
        <v>584</v>
      </c>
      <c r="F340">
        <f>sim_annual_output!G340</f>
        <v>1211.46221507992</v>
      </c>
      <c r="G340">
        <f>$E340/$F340^2*sim_annual_output!I340</f>
        <v>0.78920378428551685</v>
      </c>
      <c r="H340">
        <f>$E340/$F340^2*sim_annual_output!J340</f>
        <v>18.355067285497608</v>
      </c>
      <c r="I340">
        <f>$E340/$F340^2*sim_annual_output!K340</f>
        <v>1.3297088970524884</v>
      </c>
      <c r="J340">
        <f>$E340/$F340^2*sim_annual_output!L340</f>
        <v>2.7168948204114849</v>
      </c>
      <c r="K340">
        <f>$E340/$F340^2*sim_annual_output!M340</f>
        <v>0</v>
      </c>
      <c r="L340">
        <f>$E340/$F340^2*sim_annual_output!N340</f>
        <v>12.878169874944756</v>
      </c>
      <c r="M340">
        <f>$E340/$F340^2*sim_annual_output!O340</f>
        <v>3.0838635268299606</v>
      </c>
      <c r="N340">
        <f>$E340/$F340^2*sim_annual_output!P340</f>
        <v>0</v>
      </c>
      <c r="O340">
        <f>$E340/$F340^2*sim_annual_output!Q340</f>
        <v>4.6047940690944857</v>
      </c>
      <c r="P340">
        <f>$E340/$F340^2*sim_annual_output!R340</f>
        <v>4.4213097158852478E-3</v>
      </c>
      <c r="Q340">
        <f>$E340/$F340^2*sim_annual_output!S340</f>
        <v>0</v>
      </c>
      <c r="R340">
        <f t="array" ref="R340">INDEX(G$3:G$700,MATCH($B340&amp;$C340&amp;"baseline",$B$3:$B$700&amp;$C$3:$C$700&amp;$D$3:$D$700,0))</f>
        <v>0.68751366082015608</v>
      </c>
      <c r="S340">
        <f t="array" ref="S340">INDEX(H$3:H$700,MATCH($B340&amp;$C340&amp;"baseline",$B$3:$B$700&amp;$C$3:$C$700&amp;$D$3:$D$700,0))</f>
        <v>18.538551638706846</v>
      </c>
      <c r="T340">
        <f t="array" ref="T340">INDEX(I$3:I$700,MATCH($B340&amp;$C340&amp;"baseline",$B$3:$B$700&amp;$C$3:$C$700&amp;$D$3:$D$700,0))</f>
        <v>1.0180065620825784</v>
      </c>
      <c r="U340">
        <f t="array" ref="U340">INDEX(J$3:J$700,MATCH($B340&amp;$C340&amp;"baseline",$B$3:$B$700&amp;$C$3:$C$700&amp;$D$3:$D$700,0))</f>
        <v>2.7124735106955997</v>
      </c>
      <c r="V340">
        <f t="array" ref="V340">INDEX(K$3:K$700,MATCH($B340&amp;$C340&amp;"baseline",$B$3:$B$700&amp;$C$3:$C$700&amp;$D$3:$D$700,0))</f>
        <v>0</v>
      </c>
      <c r="W340">
        <f t="array" ref="W340">INDEX(L$3:L$700,MATCH($B340&amp;$C340&amp;"baseline",$B$3:$B$700&amp;$C$3:$C$700&amp;$D$3:$D$700,0))</f>
        <v>12.878169874944756</v>
      </c>
      <c r="X340">
        <f t="array" ref="X340">INDEX(M$3:M$700,MATCH($B340&amp;$C340&amp;"baseline",$B$3:$B$700&amp;$C$3:$C$700&amp;$D$3:$D$700,0))</f>
        <v>3.0838635268299606</v>
      </c>
      <c r="Y340">
        <f t="array" ref="Y340">INDEX(N$3:N$700,MATCH($B340&amp;$C340&amp;"baseline",$B$3:$B$700&amp;$C$3:$C$700&amp;$D$3:$D$700,0))</f>
        <v>0</v>
      </c>
      <c r="Z340">
        <f t="array" ref="Z340">INDEX(O$3:O$700,MATCH($B340&amp;$C340&amp;"baseline",$B$3:$B$700&amp;$C$3:$C$700&amp;$D$3:$D$700,0))</f>
        <v>4.446732246751588</v>
      </c>
      <c r="AA340">
        <f t="array" ref="AA340">INDEX(P$3:P$700,MATCH($B340&amp;$C340&amp;"baseline",$B$3:$B$700&amp;$C$3:$C$700&amp;$D$3:$D$700,0))</f>
        <v>6.6319645738278721E-3</v>
      </c>
      <c r="AB340">
        <f t="array" ref="AB340">INDEX(Q$3:Q$700,MATCH($B340&amp;$C340&amp;"baseline",$B$3:$B$700&amp;$C$3:$C$700&amp;$D$3:$D$700,0))</f>
        <v>0</v>
      </c>
      <c r="AC340">
        <f t="shared" si="41"/>
        <v>43.371942985405305</v>
      </c>
      <c r="AD340">
        <f t="shared" si="42"/>
        <v>0.18348435320923784</v>
      </c>
      <c r="AE340">
        <f t="shared" si="43"/>
        <v>-0.57366493563610987</v>
      </c>
      <c r="AF340">
        <f t="shared" si="44"/>
        <v>-0.89961517877621511</v>
      </c>
      <c r="AG340">
        <f>(S340+V340+Y340)*constants!$O$2+(R340+T340+U340+W340+X340+Z340+AA340+AB340)*constants!$N$2</f>
        <v>3.1064977587239779</v>
      </c>
      <c r="AH340">
        <f>((S340+V340+Y340)-(H340+K340+N340))*constants!$O$2</f>
        <v>2.972446521989653E-3</v>
      </c>
      <c r="AI340">
        <f>((R340+T340+U340+W340+X340+Z340+AA340+AB340)-(G340+I340+J340+L340+M340+O340+P340+Q340))*constants!$N$2</f>
        <v>-6.4824137726880421E-2</v>
      </c>
      <c r="AJ340">
        <f t="shared" si="45"/>
        <v>-1.9910425182568587</v>
      </c>
      <c r="AK340">
        <f t="shared" si="46"/>
        <v>-6.1851691204890771E-2</v>
      </c>
      <c r="AL340">
        <f>COUNTIFS($B:$B,$B340,$AK:$AK,"&lt;"&amp;$AK340)+COUNTIFS($B$2:$B340,$B340,$AK$2:$AK340,$AK340)</f>
        <v>12</v>
      </c>
      <c r="AM340" s="191">
        <f>IF(AK340=0, "NA",IF(((sim_annual_output!F340/E340)/AK340)&lt;0,100,((sim_annual_output!F340/E340)/AK340)))</f>
        <v>100</v>
      </c>
      <c r="AN340">
        <f>(S340+V340)*constants!$F$2+(T340+U340+W340+X340+Y340+Z340+AA340+AB340)*constants!$G$2</f>
        <v>24325.314330042656</v>
      </c>
      <c r="AO340">
        <f>(AD340*constants!$F$2+AE340*constants!$G$2)</f>
        <v>-466.24479477896199</v>
      </c>
      <c r="AP340">
        <f t="shared" si="47"/>
        <v>-1.9167061459227788</v>
      </c>
    </row>
    <row r="341" spans="1:42">
      <c r="A341">
        <f>sim_annual_output!B341</f>
        <v>13</v>
      </c>
      <c r="B341" t="str">
        <f>sim_annual_output!C341</f>
        <v>Office</v>
      </c>
      <c r="C341" t="str">
        <f>sim_annual_output!D341</f>
        <v>1959-pre</v>
      </c>
      <c r="D341" t="str">
        <f>sim_annual_output!E341</f>
        <v>air_temp_reset_enabled</v>
      </c>
      <c r="E341" s="45">
        <f t="array" ref="E341">IFERROR(INDEX(baseline!$J$3:$J$201,MATCH($B341&amp;$C341,baseline!$C$3:$C$201&amp;baseline!$D$3:$D$201,0)),"NA")</f>
        <v>3418.6207140000001</v>
      </c>
      <c r="F341">
        <f>sim_annual_output!G341</f>
        <v>3418.6207139712501</v>
      </c>
      <c r="G341">
        <f>$E341/$F341^2*sim_annual_output!I341</f>
        <v>0</v>
      </c>
      <c r="H341">
        <f>$E341/$F341^2*sim_annual_output!J341</f>
        <v>358.38881441370904</v>
      </c>
      <c r="I341">
        <f>$E341/$F341^2*sim_annual_output!K341</f>
        <v>3.5207534696411029</v>
      </c>
      <c r="J341">
        <f>$E341/$F341^2*sim_annual_output!L341</f>
        <v>0</v>
      </c>
      <c r="K341">
        <f>$E341/$F341^2*sim_annual_output!M341</f>
        <v>45.387899390879845</v>
      </c>
      <c r="L341">
        <f>$E341/$F341^2*sim_annual_output!N341</f>
        <v>37.749985101789981</v>
      </c>
      <c r="M341">
        <f>$E341/$F341^2*sim_annual_output!O341</f>
        <v>11.425994758849107</v>
      </c>
      <c r="N341">
        <f>$E341/$F341^2*sim_annual_output!P341</f>
        <v>0</v>
      </c>
      <c r="O341">
        <f>$E341/$F341^2*sim_annual_output!Q341</f>
        <v>30.971742442259384</v>
      </c>
      <c r="P341">
        <f>$E341/$F341^2*sim_annual_output!R341</f>
        <v>12.733378172800768</v>
      </c>
      <c r="Q341">
        <f>$E341/$F341^2*sim_annual_output!S341</f>
        <v>0</v>
      </c>
      <c r="R341">
        <f t="array" ref="R341">INDEX(G$3:G$700,MATCH($B341&amp;$C341&amp;"baseline",$B$3:$B$700&amp;$C$3:$C$700&amp;$D$3:$D$700,0))</f>
        <v>0</v>
      </c>
      <c r="S341">
        <f t="array" ref="S341">INDEX(H$3:H$700,MATCH($B341&amp;$C341&amp;"baseline",$B$3:$B$700&amp;$C$3:$C$700&amp;$D$3:$D$700,0))</f>
        <v>440.8685382069998</v>
      </c>
      <c r="T341">
        <f t="array" ref="T341">INDEX(I$3:I$700,MATCH($B341&amp;$C341&amp;"baseline",$B$3:$B$700&amp;$C$3:$C$700&amp;$D$3:$D$700,0))</f>
        <v>20.910009182493454</v>
      </c>
      <c r="U341">
        <f t="array" ref="U341">INDEX(J$3:J$700,MATCH($B341&amp;$C341&amp;"baseline",$B$3:$B$700&amp;$C$3:$C$700&amp;$D$3:$D$700,0))</f>
        <v>0</v>
      </c>
      <c r="V341">
        <f t="array" ref="V341">INDEX(K$3:K$700,MATCH($B341&amp;$C341&amp;"baseline",$B$3:$B$700&amp;$C$3:$C$700&amp;$D$3:$D$700,0))</f>
        <v>45.391962111246379</v>
      </c>
      <c r="W341">
        <f t="array" ref="W341">INDEX(L$3:L$700,MATCH($B341&amp;$C341&amp;"baseline",$B$3:$B$700&amp;$C$3:$C$700&amp;$D$3:$D$700,0))</f>
        <v>37.749985101789981</v>
      </c>
      <c r="X341">
        <f t="array" ref="X341">INDEX(M$3:M$700,MATCH($B341&amp;$C341&amp;"baseline",$B$3:$B$700&amp;$C$3:$C$700&amp;$D$3:$D$700,0))</f>
        <v>11.425994758849107</v>
      </c>
      <c r="Y341">
        <f t="array" ref="Y341">INDEX(N$3:N$700,MATCH($B341&amp;$C341&amp;"baseline",$B$3:$B$700&amp;$C$3:$C$700&amp;$D$3:$D$700,0))</f>
        <v>0</v>
      </c>
      <c r="Z341">
        <f t="array" ref="Z341">INDEX(O$3:O$700,MATCH($B341&amp;$C341&amp;"baseline",$B$3:$B$700&amp;$C$3:$C$700&amp;$D$3:$D$700,0))</f>
        <v>30.927865062300786</v>
      </c>
      <c r="AA341">
        <f t="array" ref="AA341">INDEX(P$3:P$700,MATCH($B341&amp;$C341&amp;"baseline",$B$3:$B$700&amp;$C$3:$C$700&amp;$D$3:$D$700,0))</f>
        <v>12.67568754359594</v>
      </c>
      <c r="AB341">
        <f t="array" ref="AB341">INDEX(Q$3:Q$700,MATCH($B341&amp;$C341&amp;"baseline",$B$3:$B$700&amp;$C$3:$C$700&amp;$D$3:$D$700,0))</f>
        <v>0</v>
      </c>
      <c r="AC341">
        <f t="shared" si="41"/>
        <v>599.95004196727552</v>
      </c>
      <c r="AD341">
        <f t="shared" si="42"/>
        <v>82.483786513657265</v>
      </c>
      <c r="AE341">
        <f t="shared" si="43"/>
        <v>17.287687703688917</v>
      </c>
      <c r="AF341">
        <f t="shared" si="44"/>
        <v>16.629963703342526</v>
      </c>
      <c r="AG341">
        <f>(S341+V341+Y341)*constants!$O$2+(R341+T341+U341+W341+X341+Z341+AA341+AB341)*constants!$N$2</f>
        <v>20.724338311495895</v>
      </c>
      <c r="AH341">
        <f>((S341+V341+Y341)-(H341+K341+N341))*constants!$O$2</f>
        <v>1.3362373415212476</v>
      </c>
      <c r="AI341">
        <f>((R341+T341+U341+W341+X341+Z341+AA341+AB341)-(G341+I341+J341+L341+M341+O341+P341+Q341))*constants!$N$2</f>
        <v>1.9535087105168476</v>
      </c>
      <c r="AJ341">
        <f t="shared" si="45"/>
        <v>15.873829130714665</v>
      </c>
      <c r="AK341">
        <f t="shared" si="46"/>
        <v>3.2897460520380952</v>
      </c>
      <c r="AL341">
        <f>COUNTIFS($B:$B,$B341,$AK:$AK,"&lt;"&amp;$AK341)+COUNTIFS($B$2:$B341,$B341,$AK$2:$AK341,$AK341)</f>
        <v>60</v>
      </c>
      <c r="AM341" s="191">
        <f>IF(AK341=0, "NA",IF(((sim_annual_output!F341/E341)/AK341)&lt;0,100,((sim_annual_output!F341/E341)/AK341)))</f>
        <v>1.5630467867500171</v>
      </c>
      <c r="AN341">
        <f>(S341+V341)*constants!$F$2+(T341+U341+W341+X341+Y341+Z341+AA341+AB341)*constants!$G$2</f>
        <v>185950.53079162154</v>
      </c>
      <c r="AO341">
        <f>(AD341*constants!$F$2+AE341*constants!$G$2)</f>
        <v>29804.886088154009</v>
      </c>
      <c r="AP341">
        <f t="shared" si="47"/>
        <v>16.028395273339516</v>
      </c>
    </row>
    <row r="342" spans="1:42">
      <c r="A342">
        <f>sim_annual_output!B342</f>
        <v>13</v>
      </c>
      <c r="B342" t="str">
        <f>sim_annual_output!C342</f>
        <v>Office</v>
      </c>
      <c r="C342" t="str">
        <f>sim_annual_output!D342</f>
        <v>1959-pre</v>
      </c>
      <c r="D342" t="str">
        <f>sim_annual_output!E342</f>
        <v>baseline</v>
      </c>
      <c r="E342" s="45">
        <f t="array" ref="E342">IFERROR(INDEX(baseline!$J$3:$J$201,MATCH($B342&amp;$C342,baseline!$C$3:$C$201&amp;baseline!$D$3:$D$201,0)),"NA")</f>
        <v>3418.6207140000001</v>
      </c>
      <c r="F342">
        <f>sim_annual_output!G342</f>
        <v>3418.6207139712501</v>
      </c>
      <c r="G342">
        <f>$E342/$F342^2*sim_annual_output!I342</f>
        <v>0</v>
      </c>
      <c r="H342">
        <f>$E342/$F342^2*sim_annual_output!J342</f>
        <v>440.8685382069998</v>
      </c>
      <c r="I342">
        <f>$E342/$F342^2*sim_annual_output!K342</f>
        <v>20.910009182493454</v>
      </c>
      <c r="J342">
        <f>$E342/$F342^2*sim_annual_output!L342</f>
        <v>0</v>
      </c>
      <c r="K342">
        <f>$E342/$F342^2*sim_annual_output!M342</f>
        <v>45.391962111246379</v>
      </c>
      <c r="L342">
        <f>$E342/$F342^2*sim_annual_output!N342</f>
        <v>37.749985101789981</v>
      </c>
      <c r="M342">
        <f>$E342/$F342^2*sim_annual_output!O342</f>
        <v>11.425994758849107</v>
      </c>
      <c r="N342">
        <f>$E342/$F342^2*sim_annual_output!P342</f>
        <v>0</v>
      </c>
      <c r="O342">
        <f>$E342/$F342^2*sim_annual_output!Q342</f>
        <v>30.927865062300786</v>
      </c>
      <c r="P342">
        <f>$E342/$F342^2*sim_annual_output!R342</f>
        <v>12.67568754359594</v>
      </c>
      <c r="Q342">
        <f>$E342/$F342^2*sim_annual_output!S342</f>
        <v>0</v>
      </c>
      <c r="R342">
        <f t="array" ref="R342">INDEX(G$3:G$700,MATCH($B342&amp;$C342&amp;"baseline",$B$3:$B$700&amp;$C$3:$C$700&amp;$D$3:$D$700,0))</f>
        <v>0</v>
      </c>
      <c r="S342">
        <f t="array" ref="S342">INDEX(H$3:H$700,MATCH($B342&amp;$C342&amp;"baseline",$B$3:$B$700&amp;$C$3:$C$700&amp;$D$3:$D$700,0))</f>
        <v>440.8685382069998</v>
      </c>
      <c r="T342">
        <f t="array" ref="T342">INDEX(I$3:I$700,MATCH($B342&amp;$C342&amp;"baseline",$B$3:$B$700&amp;$C$3:$C$700&amp;$D$3:$D$700,0))</f>
        <v>20.910009182493454</v>
      </c>
      <c r="U342">
        <f t="array" ref="U342">INDEX(J$3:J$700,MATCH($B342&amp;$C342&amp;"baseline",$B$3:$B$700&amp;$C$3:$C$700&amp;$D$3:$D$700,0))</f>
        <v>0</v>
      </c>
      <c r="V342">
        <f t="array" ref="V342">INDEX(K$3:K$700,MATCH($B342&amp;$C342&amp;"baseline",$B$3:$B$700&amp;$C$3:$C$700&amp;$D$3:$D$700,0))</f>
        <v>45.391962111246379</v>
      </c>
      <c r="W342">
        <f t="array" ref="W342">INDEX(L$3:L$700,MATCH($B342&amp;$C342&amp;"baseline",$B$3:$B$700&amp;$C$3:$C$700&amp;$D$3:$D$700,0))</f>
        <v>37.749985101789981</v>
      </c>
      <c r="X342">
        <f t="array" ref="X342">INDEX(M$3:M$700,MATCH($B342&amp;$C342&amp;"baseline",$B$3:$B$700&amp;$C$3:$C$700&amp;$D$3:$D$700,0))</f>
        <v>11.425994758849107</v>
      </c>
      <c r="Y342">
        <f t="array" ref="Y342">INDEX(N$3:N$700,MATCH($B342&amp;$C342&amp;"baseline",$B$3:$B$700&amp;$C$3:$C$700&amp;$D$3:$D$700,0))</f>
        <v>0</v>
      </c>
      <c r="Z342">
        <f t="array" ref="Z342">INDEX(O$3:O$700,MATCH($B342&amp;$C342&amp;"baseline",$B$3:$B$700&amp;$C$3:$C$700&amp;$D$3:$D$700,0))</f>
        <v>30.927865062300786</v>
      </c>
      <c r="AA342">
        <f t="array" ref="AA342">INDEX(P$3:P$700,MATCH($B342&amp;$C342&amp;"baseline",$B$3:$B$700&amp;$C$3:$C$700&amp;$D$3:$D$700,0))</f>
        <v>12.67568754359594</v>
      </c>
      <c r="AB342">
        <f t="array" ref="AB342">INDEX(Q$3:Q$700,MATCH($B342&amp;$C342&amp;"baseline",$B$3:$B$700&amp;$C$3:$C$700&amp;$D$3:$D$700,0))</f>
        <v>0</v>
      </c>
      <c r="AC342">
        <f t="shared" si="41"/>
        <v>599.95004196727552</v>
      </c>
      <c r="AD342">
        <f t="shared" si="42"/>
        <v>0</v>
      </c>
      <c r="AE342">
        <f t="shared" si="43"/>
        <v>0</v>
      </c>
      <c r="AF342">
        <f t="shared" si="44"/>
        <v>0</v>
      </c>
      <c r="AG342">
        <f>(S342+V342+Y342)*constants!$O$2+(R342+T342+U342+W342+X342+Z342+AA342+AB342)*constants!$N$2</f>
        <v>20.724338311495895</v>
      </c>
      <c r="AH342">
        <f>((S342+V342+Y342)-(H342+K342+N342))*constants!$O$2</f>
        <v>0</v>
      </c>
      <c r="AI342">
        <f>((R342+T342+U342+W342+X342+Z342+AA342+AB342)-(G342+I342+J342+L342+M342+O342+P342+Q342))*constants!$N$2</f>
        <v>0</v>
      </c>
      <c r="AJ342">
        <f t="shared" si="45"/>
        <v>0</v>
      </c>
      <c r="AK342">
        <f t="shared" si="46"/>
        <v>0</v>
      </c>
      <c r="AL342">
        <f>COUNTIFS($B:$B,$B342,$AK:$AK,"&lt;"&amp;$AK342)+COUNTIFS($B$2:$B342,$B342,$AK$2:$AK342,$AK342)</f>
        <v>17</v>
      </c>
      <c r="AM342" s="191" t="str">
        <f>IF(AK342=0, "NA",IF(((sim_annual_output!F342/E342)/AK342)&lt;0,100,((sim_annual_output!F342/E342)/AK342)))</f>
        <v>NA</v>
      </c>
      <c r="AN342">
        <f>(S342+V342)*constants!$F$2+(T342+U342+W342+X342+Y342+Z342+AA342+AB342)*constants!$G$2</f>
        <v>185950.53079162154</v>
      </c>
      <c r="AO342">
        <f>(AD342*constants!$F$2+AE342*constants!$G$2)</f>
        <v>0</v>
      </c>
      <c r="AP342">
        <f t="shared" si="47"/>
        <v>0</v>
      </c>
    </row>
    <row r="343" spans="1:42">
      <c r="A343">
        <f>sim_annual_output!B343</f>
        <v>13</v>
      </c>
      <c r="B343" t="str">
        <f>sim_annual_output!C343</f>
        <v>Office</v>
      </c>
      <c r="C343" t="str">
        <f>sim_annual_output!D343</f>
        <v>1959-pre</v>
      </c>
      <c r="D343" t="str">
        <f>sim_annual_output!E343</f>
        <v>boiler_eff_upgrade</v>
      </c>
      <c r="E343" s="45">
        <f t="array" ref="E343">IFERROR(INDEX(baseline!$J$3:$J$201,MATCH($B343&amp;$C343,baseline!$C$3:$C$201&amp;baseline!$D$3:$D$201,0)),"NA")</f>
        <v>3418.6207140000001</v>
      </c>
      <c r="F343">
        <f>sim_annual_output!G343</f>
        <v>3418.6207139712501</v>
      </c>
      <c r="G343">
        <f>$E343/$F343^2*sim_annual_output!I343</f>
        <v>0</v>
      </c>
      <c r="H343">
        <f>$E343/$F343^2*sim_annual_output!J343</f>
        <v>433.49632582988147</v>
      </c>
      <c r="I343">
        <f>$E343/$F343^2*sim_annual_output!K343</f>
        <v>21.35772096688585</v>
      </c>
      <c r="J343">
        <f>$E343/$F343^2*sim_annual_output!L343</f>
        <v>0</v>
      </c>
      <c r="K343">
        <f>$E343/$F343^2*sim_annual_output!M343</f>
        <v>45.391962111246379</v>
      </c>
      <c r="L343">
        <f>$E343/$F343^2*sim_annual_output!N343</f>
        <v>37.749985101789981</v>
      </c>
      <c r="M343">
        <f>$E343/$F343^2*sim_annual_output!O343</f>
        <v>11.425994758849107</v>
      </c>
      <c r="N343">
        <f>$E343/$F343^2*sim_annual_output!P343</f>
        <v>0</v>
      </c>
      <c r="O343">
        <f>$E343/$F343^2*sim_annual_output!Q343</f>
        <v>30.867736800876031</v>
      </c>
      <c r="P343">
        <f>$E343/$F343^2*sim_annual_output!R343</f>
        <v>12.743941245753764</v>
      </c>
      <c r="Q343">
        <f>$E343/$F343^2*sim_annual_output!S343</f>
        <v>0</v>
      </c>
      <c r="R343">
        <f t="array" ref="R343">INDEX(G$3:G$700,MATCH($B343&amp;$C343&amp;"baseline",$B$3:$B$700&amp;$C$3:$C$700&amp;$D$3:$D$700,0))</f>
        <v>0</v>
      </c>
      <c r="S343">
        <f t="array" ref="S343">INDEX(H$3:H$700,MATCH($B343&amp;$C343&amp;"baseline",$B$3:$B$700&amp;$C$3:$C$700&amp;$D$3:$D$700,0))</f>
        <v>440.8685382069998</v>
      </c>
      <c r="T343">
        <f t="array" ref="T343">INDEX(I$3:I$700,MATCH($B343&amp;$C343&amp;"baseline",$B$3:$B$700&amp;$C$3:$C$700&amp;$D$3:$D$700,0))</f>
        <v>20.910009182493454</v>
      </c>
      <c r="U343">
        <f t="array" ref="U343">INDEX(J$3:J$700,MATCH($B343&amp;$C343&amp;"baseline",$B$3:$B$700&amp;$C$3:$C$700&amp;$D$3:$D$700,0))</f>
        <v>0</v>
      </c>
      <c r="V343">
        <f t="array" ref="V343">INDEX(K$3:K$700,MATCH($B343&amp;$C343&amp;"baseline",$B$3:$B$700&amp;$C$3:$C$700&amp;$D$3:$D$700,0))</f>
        <v>45.391962111246379</v>
      </c>
      <c r="W343">
        <f t="array" ref="W343">INDEX(L$3:L$700,MATCH($B343&amp;$C343&amp;"baseline",$B$3:$B$700&amp;$C$3:$C$700&amp;$D$3:$D$700,0))</f>
        <v>37.749985101789981</v>
      </c>
      <c r="X343">
        <f t="array" ref="X343">INDEX(M$3:M$700,MATCH($B343&amp;$C343&amp;"baseline",$B$3:$B$700&amp;$C$3:$C$700&amp;$D$3:$D$700,0))</f>
        <v>11.425994758849107</v>
      </c>
      <c r="Y343">
        <f t="array" ref="Y343">INDEX(N$3:N$700,MATCH($B343&amp;$C343&amp;"baseline",$B$3:$B$700&amp;$C$3:$C$700&amp;$D$3:$D$700,0))</f>
        <v>0</v>
      </c>
      <c r="Z343">
        <f t="array" ref="Z343">INDEX(O$3:O$700,MATCH($B343&amp;$C343&amp;"baseline",$B$3:$B$700&amp;$C$3:$C$700&amp;$D$3:$D$700,0))</f>
        <v>30.927865062300786</v>
      </c>
      <c r="AA343">
        <f t="array" ref="AA343">INDEX(P$3:P$700,MATCH($B343&amp;$C343&amp;"baseline",$B$3:$B$700&amp;$C$3:$C$700&amp;$D$3:$D$700,0))</f>
        <v>12.67568754359594</v>
      </c>
      <c r="AB343">
        <f t="array" ref="AB343">INDEX(Q$3:Q$700,MATCH($B343&amp;$C343&amp;"baseline",$B$3:$B$700&amp;$C$3:$C$700&amp;$D$3:$D$700,0))</f>
        <v>0</v>
      </c>
      <c r="AC343">
        <f t="shared" si="41"/>
        <v>599.95004196727552</v>
      </c>
      <c r="AD343">
        <f t="shared" si="42"/>
        <v>7.3722123771183306</v>
      </c>
      <c r="AE343">
        <f t="shared" si="43"/>
        <v>-0.45583722512546387</v>
      </c>
      <c r="AF343">
        <f t="shared" si="44"/>
        <v>1.1528251801289353</v>
      </c>
      <c r="AG343">
        <f>(S343+V343+Y343)*constants!$O$2+(R343+T343+U343+W343+X343+Z343+AA343+AB343)*constants!$N$2</f>
        <v>20.724338311495895</v>
      </c>
      <c r="AH343">
        <f>((S343+V343+Y343)-(H343+K343+N343))*constants!$O$2</f>
        <v>0.11942984050931695</v>
      </c>
      <c r="AI343">
        <f>((R343+T343+U343+W343+X343+Z343+AA343+AB343)-(G343+I343+J343+L343+M343+O343+P343+Q343))*constants!$N$2</f>
        <v>-5.1509606439177416E-2</v>
      </c>
      <c r="AJ343">
        <f t="shared" si="45"/>
        <v>0.32773173767610148</v>
      </c>
      <c r="AK343">
        <f t="shared" si="46"/>
        <v>6.7920234070139529E-2</v>
      </c>
      <c r="AL343">
        <f>COUNTIFS($B:$B,$B343,$AK:$AK,"&lt;"&amp;$AK343)+COUNTIFS($B$2:$B343,$B343,$AK$2:$AK343,$AK343)</f>
        <v>21</v>
      </c>
      <c r="AM343" s="191">
        <f>IF(AK343=0, "NA",IF(((sim_annual_output!F343/E343)/AK343)&lt;0,100,((sim_annual_output!F343/E343)/AK343)))</f>
        <v>731.8802896162432</v>
      </c>
      <c r="AN343">
        <f>(S343+V343)*constants!$F$2+(T343+U343+W343+X343+Y343+Z343+AA343+AB343)*constants!$G$2</f>
        <v>185950.53079162154</v>
      </c>
      <c r="AO343">
        <f>(AD343*constants!$F$2+AE343*constants!$G$2)</f>
        <v>923.04762964502765</v>
      </c>
      <c r="AP343">
        <f t="shared" si="47"/>
        <v>0.49639418920476558</v>
      </c>
    </row>
    <row r="344" spans="1:42">
      <c r="A344">
        <f>sim_annual_output!B344</f>
        <v>13</v>
      </c>
      <c r="B344" t="str">
        <f>sim_annual_output!C344</f>
        <v>Office</v>
      </c>
      <c r="C344" t="str">
        <f>sim_annual_output!D344</f>
        <v>1959-pre</v>
      </c>
      <c r="D344" t="str">
        <f>sim_annual_output!E344</f>
        <v>boiler_reset</v>
      </c>
      <c r="E344" s="45">
        <f t="array" ref="E344">IFERROR(INDEX(baseline!$J$3:$J$201,MATCH($B344&amp;$C344,baseline!$C$3:$C$201&amp;baseline!$D$3:$D$201,0)),"NA")</f>
        <v>3418.6207140000001</v>
      </c>
      <c r="F344">
        <f>sim_annual_output!G344</f>
        <v>3418.6207139712501</v>
      </c>
      <c r="G344">
        <f>$E344/$F344^2*sim_annual_output!I344</f>
        <v>0</v>
      </c>
      <c r="H344">
        <f>$E344/$F344^2*sim_annual_output!J344</f>
        <v>306.02441160941157</v>
      </c>
      <c r="I344">
        <f>$E344/$F344^2*sim_annual_output!K344</f>
        <v>21.35772096688585</v>
      </c>
      <c r="J344">
        <f>$E344/$F344^2*sim_annual_output!L344</f>
        <v>0</v>
      </c>
      <c r="K344">
        <f>$E344/$F344^2*sim_annual_output!M344</f>
        <v>45.391962111246379</v>
      </c>
      <c r="L344">
        <f>$E344/$F344^2*sim_annual_output!N344</f>
        <v>37.749985101789981</v>
      </c>
      <c r="M344">
        <f>$E344/$F344^2*sim_annual_output!O344</f>
        <v>11.425994758849107</v>
      </c>
      <c r="N344">
        <f>$E344/$F344^2*sim_annual_output!P344</f>
        <v>0</v>
      </c>
      <c r="O344">
        <f>$E344/$F344^2*sim_annual_output!Q344</f>
        <v>30.867736800876031</v>
      </c>
      <c r="P344">
        <f>$E344/$F344^2*sim_annual_output!R344</f>
        <v>10.599637436295449</v>
      </c>
      <c r="Q344">
        <f>$E344/$F344^2*sim_annual_output!S344</f>
        <v>0</v>
      </c>
      <c r="R344">
        <f t="array" ref="R344">INDEX(G$3:G$700,MATCH($B344&amp;$C344&amp;"baseline",$B$3:$B$700&amp;$C$3:$C$700&amp;$D$3:$D$700,0))</f>
        <v>0</v>
      </c>
      <c r="S344">
        <f t="array" ref="S344">INDEX(H$3:H$700,MATCH($B344&amp;$C344&amp;"baseline",$B$3:$B$700&amp;$C$3:$C$700&amp;$D$3:$D$700,0))</f>
        <v>440.8685382069998</v>
      </c>
      <c r="T344">
        <f t="array" ref="T344">INDEX(I$3:I$700,MATCH($B344&amp;$C344&amp;"baseline",$B$3:$B$700&amp;$C$3:$C$700&amp;$D$3:$D$700,0))</f>
        <v>20.910009182493454</v>
      </c>
      <c r="U344">
        <f t="array" ref="U344">INDEX(J$3:J$700,MATCH($B344&amp;$C344&amp;"baseline",$B$3:$B$700&amp;$C$3:$C$700&amp;$D$3:$D$700,0))</f>
        <v>0</v>
      </c>
      <c r="V344">
        <f t="array" ref="V344">INDEX(K$3:K$700,MATCH($B344&amp;$C344&amp;"baseline",$B$3:$B$700&amp;$C$3:$C$700&amp;$D$3:$D$700,0))</f>
        <v>45.391962111246379</v>
      </c>
      <c r="W344">
        <f t="array" ref="W344">INDEX(L$3:L$700,MATCH($B344&amp;$C344&amp;"baseline",$B$3:$B$700&amp;$C$3:$C$700&amp;$D$3:$D$700,0))</f>
        <v>37.749985101789981</v>
      </c>
      <c r="X344">
        <f t="array" ref="X344">INDEX(M$3:M$700,MATCH($B344&amp;$C344&amp;"baseline",$B$3:$B$700&amp;$C$3:$C$700&amp;$D$3:$D$700,0))</f>
        <v>11.425994758849107</v>
      </c>
      <c r="Y344">
        <f t="array" ref="Y344">INDEX(N$3:N$700,MATCH($B344&amp;$C344&amp;"baseline",$B$3:$B$700&amp;$C$3:$C$700&amp;$D$3:$D$700,0))</f>
        <v>0</v>
      </c>
      <c r="Z344">
        <f t="array" ref="Z344">INDEX(O$3:O$700,MATCH($B344&amp;$C344&amp;"baseline",$B$3:$B$700&amp;$C$3:$C$700&amp;$D$3:$D$700,0))</f>
        <v>30.927865062300786</v>
      </c>
      <c r="AA344">
        <f t="array" ref="AA344">INDEX(P$3:P$700,MATCH($B344&amp;$C344&amp;"baseline",$B$3:$B$700&amp;$C$3:$C$700&amp;$D$3:$D$700,0))</f>
        <v>12.67568754359594</v>
      </c>
      <c r="AB344">
        <f t="array" ref="AB344">INDEX(Q$3:Q$700,MATCH($B344&amp;$C344&amp;"baseline",$B$3:$B$700&amp;$C$3:$C$700&amp;$D$3:$D$700,0))</f>
        <v>0</v>
      </c>
      <c r="AC344">
        <f t="shared" si="41"/>
        <v>599.95004196727552</v>
      </c>
      <c r="AD344">
        <f t="shared" si="42"/>
        <v>134.84412659758823</v>
      </c>
      <c r="AE344">
        <f t="shared" si="43"/>
        <v>1.6884665843328435</v>
      </c>
      <c r="AF344">
        <f t="shared" si="44"/>
        <v>22.757327049135917</v>
      </c>
      <c r="AG344">
        <f>(S344+V344+Y344)*constants!$O$2+(R344+T344+U344+W344+X344+Z344+AA344+AB344)*constants!$N$2</f>
        <v>20.724338311495895</v>
      </c>
      <c r="AH344">
        <f>((S344+V344+Y344)-(H344+K344+N344))*constants!$O$2</f>
        <v>2.1844748508809291</v>
      </c>
      <c r="AI344">
        <f>((R344+T344+U344+W344+X344+Z344+AA344+AB344)-(G344+I344+J344+L344+M344+O344+P344+Q344))*constants!$N$2</f>
        <v>0.19079672402961131</v>
      </c>
      <c r="AJ344">
        <f t="shared" si="45"/>
        <v>11.461266165458055</v>
      </c>
      <c r="AK344">
        <f t="shared" si="46"/>
        <v>2.3752715749105402</v>
      </c>
      <c r="AL344">
        <f>COUNTIFS($B:$B,$B344,$AK:$AK,"&lt;"&amp;$AK344)+COUNTIFS($B$2:$B344,$B344,$AK$2:$AK344,$AK344)</f>
        <v>56</v>
      </c>
      <c r="AM344" s="191">
        <f>IF(AK344=0, "NA",IF(((sim_annual_output!F344/E344)/AK344)&lt;0,100,((sim_annual_output!F344/E344)/AK344)))</f>
        <v>0.11442272638537915</v>
      </c>
      <c r="AN344">
        <f>(S344+V344)*constants!$F$2+(T344+U344+W344+X344+Y344+Z344+AA344+AB344)*constants!$G$2</f>
        <v>185950.53079162154</v>
      </c>
      <c r="AO344">
        <f>(AD344*constants!$F$2+AE344*constants!$G$2)</f>
        <v>25606.064589337864</v>
      </c>
      <c r="AP344">
        <f t="shared" si="47"/>
        <v>13.770363806077185</v>
      </c>
    </row>
    <row r="345" spans="1:42">
      <c r="A345">
        <f>sim_annual_output!B345</f>
        <v>13</v>
      </c>
      <c r="B345" t="str">
        <f>sim_annual_output!C345</f>
        <v>Office</v>
      </c>
      <c r="C345" t="str">
        <f>sim_annual_output!D345</f>
        <v>1959-pre</v>
      </c>
      <c r="D345" t="str">
        <f>sim_annual_output!E345</f>
        <v>cooling_cop_3_0</v>
      </c>
      <c r="E345" s="45">
        <f t="array" ref="E345">IFERROR(INDEX(baseline!$J$3:$J$201,MATCH($B345&amp;$C345,baseline!$C$3:$C$201&amp;baseline!$D$3:$D$201,0)),"NA")</f>
        <v>3418.6207140000001</v>
      </c>
      <c r="F345">
        <f>sim_annual_output!G345</f>
        <v>3418.6207139712501</v>
      </c>
      <c r="G345">
        <f>$E345/$F345^2*sim_annual_output!I345</f>
        <v>0</v>
      </c>
      <c r="H345">
        <f>$E345/$F345^2*sim_annual_output!J345</f>
        <v>433.49632582988147</v>
      </c>
      <c r="I345">
        <f>$E345/$F345^2*sim_annual_output!K345</f>
        <v>15.255514976347035</v>
      </c>
      <c r="J345">
        <f>$E345/$F345^2*sim_annual_output!L345</f>
        <v>0</v>
      </c>
      <c r="K345">
        <f>$E345/$F345^2*sim_annual_output!M345</f>
        <v>45.391962111246379</v>
      </c>
      <c r="L345">
        <f>$E345/$F345^2*sim_annual_output!N345</f>
        <v>37.749985101789981</v>
      </c>
      <c r="M345">
        <f>$E345/$F345^2*sim_annual_output!O345</f>
        <v>11.425994758849107</v>
      </c>
      <c r="N345">
        <f>$E345/$F345^2*sim_annual_output!P345</f>
        <v>0</v>
      </c>
      <c r="O345">
        <f>$E345/$F345^2*sim_annual_output!Q345</f>
        <v>30.867736800876031</v>
      </c>
      <c r="P345">
        <f>$E345/$F345^2*sim_annual_output!R345</f>
        <v>12.743941245753764</v>
      </c>
      <c r="Q345">
        <f>$E345/$F345^2*sim_annual_output!S345</f>
        <v>0</v>
      </c>
      <c r="R345">
        <f t="array" ref="R345">INDEX(G$3:G$700,MATCH($B345&amp;$C345&amp;"baseline",$B$3:$B$700&amp;$C$3:$C$700&amp;$D$3:$D$700,0))</f>
        <v>0</v>
      </c>
      <c r="S345">
        <f t="array" ref="S345">INDEX(H$3:H$700,MATCH($B345&amp;$C345&amp;"baseline",$B$3:$B$700&amp;$C$3:$C$700&amp;$D$3:$D$700,0))</f>
        <v>440.8685382069998</v>
      </c>
      <c r="T345">
        <f t="array" ref="T345">INDEX(I$3:I$700,MATCH($B345&amp;$C345&amp;"baseline",$B$3:$B$700&amp;$C$3:$C$700&amp;$D$3:$D$700,0))</f>
        <v>20.910009182493454</v>
      </c>
      <c r="U345">
        <f t="array" ref="U345">INDEX(J$3:J$700,MATCH($B345&amp;$C345&amp;"baseline",$B$3:$B$700&amp;$C$3:$C$700&amp;$D$3:$D$700,0))</f>
        <v>0</v>
      </c>
      <c r="V345">
        <f t="array" ref="V345">INDEX(K$3:K$700,MATCH($B345&amp;$C345&amp;"baseline",$B$3:$B$700&amp;$C$3:$C$700&amp;$D$3:$D$700,0))</f>
        <v>45.391962111246379</v>
      </c>
      <c r="W345">
        <f t="array" ref="W345">INDEX(L$3:L$700,MATCH($B345&amp;$C345&amp;"baseline",$B$3:$B$700&amp;$C$3:$C$700&amp;$D$3:$D$700,0))</f>
        <v>37.749985101789981</v>
      </c>
      <c r="X345">
        <f t="array" ref="X345">INDEX(M$3:M$700,MATCH($B345&amp;$C345&amp;"baseline",$B$3:$B$700&amp;$C$3:$C$700&amp;$D$3:$D$700,0))</f>
        <v>11.425994758849107</v>
      </c>
      <c r="Y345">
        <f t="array" ref="Y345">INDEX(N$3:N$700,MATCH($B345&amp;$C345&amp;"baseline",$B$3:$B$700&amp;$C$3:$C$700&amp;$D$3:$D$700,0))</f>
        <v>0</v>
      </c>
      <c r="Z345">
        <f t="array" ref="Z345">INDEX(O$3:O$700,MATCH($B345&amp;$C345&amp;"baseline",$B$3:$B$700&amp;$C$3:$C$700&amp;$D$3:$D$700,0))</f>
        <v>30.927865062300786</v>
      </c>
      <c r="AA345">
        <f t="array" ref="AA345">INDEX(P$3:P$700,MATCH($B345&amp;$C345&amp;"baseline",$B$3:$B$700&amp;$C$3:$C$700&amp;$D$3:$D$700,0))</f>
        <v>12.67568754359594</v>
      </c>
      <c r="AB345">
        <f t="array" ref="AB345">INDEX(Q$3:Q$700,MATCH($B345&amp;$C345&amp;"baseline",$B$3:$B$700&amp;$C$3:$C$700&amp;$D$3:$D$700,0))</f>
        <v>0</v>
      </c>
      <c r="AC345">
        <f t="shared" si="41"/>
        <v>599.95004196727552</v>
      </c>
      <c r="AD345">
        <f t="shared" si="42"/>
        <v>7.3722123771183306</v>
      </c>
      <c r="AE345">
        <f t="shared" si="43"/>
        <v>5.6463687654133423</v>
      </c>
      <c r="AF345">
        <f t="shared" si="44"/>
        <v>2.1699442006609235</v>
      </c>
      <c r="AG345">
        <f>(S345+V345+Y345)*constants!$O$2+(R345+T345+U345+W345+X345+Z345+AA345+AB345)*constants!$N$2</f>
        <v>20.724338311495895</v>
      </c>
      <c r="AH345">
        <f>((S345+V345+Y345)-(H345+K345+N345))*constants!$O$2</f>
        <v>0.11942984050931695</v>
      </c>
      <c r="AI345">
        <f>((R345+T345+U345+W345+X345+Z345+AA345+AB345)-(G345+I345+J345+L345+M345+O345+P345+Q345))*constants!$N$2</f>
        <v>0.63803967049170773</v>
      </c>
      <c r="AJ345">
        <f t="shared" si="45"/>
        <v>3.654975611843069</v>
      </c>
      <c r="AK345">
        <f t="shared" si="46"/>
        <v>0.75746951100102466</v>
      </c>
      <c r="AL345">
        <f>COUNTIFS($B:$B,$B345,$AK:$AK,"&lt;"&amp;$AK345)+COUNTIFS($B$2:$B345,$B345,$AK$2:$AK345,$AK345)</f>
        <v>39</v>
      </c>
      <c r="AM345" s="191">
        <f>IF(AK345=0, "NA",IF(((sim_annual_output!F345/E345)/AK345)&lt;0,100,((sim_annual_output!F345/E345)/AK345)))</f>
        <v>7.7609895907799231</v>
      </c>
      <c r="AN345">
        <f>(S345+V345)*constants!$F$2+(T345+U345+W345+X345+Y345+Z345+AA345+AB345)*constants!$G$2</f>
        <v>185950.53079162154</v>
      </c>
      <c r="AO345">
        <f>(AD345*constants!$F$2+AE345*constants!$G$2)</f>
        <v>6231.9668414137886</v>
      </c>
      <c r="AP345">
        <f t="shared" si="47"/>
        <v>3.3514111602065864</v>
      </c>
    </row>
    <row r="346" spans="1:42">
      <c r="A346">
        <f>sim_annual_output!B346</f>
        <v>13</v>
      </c>
      <c r="B346" t="str">
        <f>sim_annual_output!C346</f>
        <v>Office</v>
      </c>
      <c r="C346" t="str">
        <f>sim_annual_output!D346</f>
        <v>1959-pre</v>
      </c>
      <c r="D346" t="str">
        <f>sim_annual_output!E346</f>
        <v>dcv_enabled</v>
      </c>
      <c r="E346" s="45">
        <f t="array" ref="E346">IFERROR(INDEX(baseline!$J$3:$J$201,MATCH($B346&amp;$C346,baseline!$C$3:$C$201&amp;baseline!$D$3:$D$201,0)),"NA")</f>
        <v>3418.6207140000001</v>
      </c>
      <c r="F346">
        <f>sim_annual_output!G346</f>
        <v>3418.6207139712501</v>
      </c>
      <c r="G346">
        <f>$E346/$F346^2*sim_annual_output!I346</f>
        <v>0</v>
      </c>
      <c r="H346">
        <f>$E346/$F346^2*sim_annual_output!J346</f>
        <v>372.61971131361537</v>
      </c>
      <c r="I346">
        <f>$E346/$F346^2*sim_annual_output!K346</f>
        <v>21.434912653850056</v>
      </c>
      <c r="J346">
        <f>$E346/$F346^2*sim_annual_output!L346</f>
        <v>0</v>
      </c>
      <c r="K346">
        <f>$E346/$F346^2*sim_annual_output!M346</f>
        <v>45.391962111246379</v>
      </c>
      <c r="L346">
        <f>$E346/$F346^2*sim_annual_output!N346</f>
        <v>37.749985101789981</v>
      </c>
      <c r="M346">
        <f>$E346/$F346^2*sim_annual_output!O346</f>
        <v>11.425994758849107</v>
      </c>
      <c r="N346">
        <f>$E346/$F346^2*sim_annual_output!P346</f>
        <v>0</v>
      </c>
      <c r="O346">
        <f>$E346/$F346^2*sim_annual_output!Q346</f>
        <v>30.867736800876031</v>
      </c>
      <c r="P346">
        <f>$E346/$F346^2*sim_annual_output!R346</f>
        <v>12.704939130235006</v>
      </c>
      <c r="Q346">
        <f>$E346/$F346^2*sim_annual_output!S346</f>
        <v>0</v>
      </c>
      <c r="R346">
        <f t="array" ref="R346">INDEX(G$3:G$700,MATCH($B346&amp;$C346&amp;"baseline",$B$3:$B$700&amp;$C$3:$C$700&amp;$D$3:$D$700,0))</f>
        <v>0</v>
      </c>
      <c r="S346">
        <f t="array" ref="S346">INDEX(H$3:H$700,MATCH($B346&amp;$C346&amp;"baseline",$B$3:$B$700&amp;$C$3:$C$700&amp;$D$3:$D$700,0))</f>
        <v>440.8685382069998</v>
      </c>
      <c r="T346">
        <f t="array" ref="T346">INDEX(I$3:I$700,MATCH($B346&amp;$C346&amp;"baseline",$B$3:$B$700&amp;$C$3:$C$700&amp;$D$3:$D$700,0))</f>
        <v>20.910009182493454</v>
      </c>
      <c r="U346">
        <f t="array" ref="U346">INDEX(J$3:J$700,MATCH($B346&amp;$C346&amp;"baseline",$B$3:$B$700&amp;$C$3:$C$700&amp;$D$3:$D$700,0))</f>
        <v>0</v>
      </c>
      <c r="V346">
        <f t="array" ref="V346">INDEX(K$3:K$700,MATCH($B346&amp;$C346&amp;"baseline",$B$3:$B$700&amp;$C$3:$C$700&amp;$D$3:$D$700,0))</f>
        <v>45.391962111246379</v>
      </c>
      <c r="W346">
        <f t="array" ref="W346">INDEX(L$3:L$700,MATCH($B346&amp;$C346&amp;"baseline",$B$3:$B$700&amp;$C$3:$C$700&amp;$D$3:$D$700,0))</f>
        <v>37.749985101789981</v>
      </c>
      <c r="X346">
        <f t="array" ref="X346">INDEX(M$3:M$700,MATCH($B346&amp;$C346&amp;"baseline",$B$3:$B$700&amp;$C$3:$C$700&amp;$D$3:$D$700,0))</f>
        <v>11.425994758849107</v>
      </c>
      <c r="Y346">
        <f t="array" ref="Y346">INDEX(N$3:N$700,MATCH($B346&amp;$C346&amp;"baseline",$B$3:$B$700&amp;$C$3:$C$700&amp;$D$3:$D$700,0))</f>
        <v>0</v>
      </c>
      <c r="Z346">
        <f t="array" ref="Z346">INDEX(O$3:O$700,MATCH($B346&amp;$C346&amp;"baseline",$B$3:$B$700&amp;$C$3:$C$700&amp;$D$3:$D$700,0))</f>
        <v>30.927865062300786</v>
      </c>
      <c r="AA346">
        <f t="array" ref="AA346">INDEX(P$3:P$700,MATCH($B346&amp;$C346&amp;"baseline",$B$3:$B$700&amp;$C$3:$C$700&amp;$D$3:$D$700,0))</f>
        <v>12.67568754359594</v>
      </c>
      <c r="AB346">
        <f t="array" ref="AB346">INDEX(Q$3:Q$700,MATCH($B346&amp;$C346&amp;"baseline",$B$3:$B$700&amp;$C$3:$C$700&amp;$D$3:$D$700,0))</f>
        <v>0</v>
      </c>
      <c r="AC346">
        <f t="shared" si="41"/>
        <v>599.95004196727552</v>
      </c>
      <c r="AD346">
        <f t="shared" si="42"/>
        <v>68.248826893384432</v>
      </c>
      <c r="AE346">
        <f t="shared" si="43"/>
        <v>-0.49402679657090687</v>
      </c>
      <c r="AF346">
        <f t="shared" si="44"/>
        <v>11.293407010130558</v>
      </c>
      <c r="AG346">
        <f>(S346+V346+Y346)*constants!$O$2+(R346+T346+U346+W346+X346+Z346+AA346+AB346)*constants!$N$2</f>
        <v>20.724338311495895</v>
      </c>
      <c r="AH346">
        <f>((S346+V346+Y346)-(H346+K346+N346))*constants!$O$2</f>
        <v>1.1056309956728279</v>
      </c>
      <c r="AI346">
        <f>((R346+T346+U346+W346+X346+Z346+AA346+AB346)-(G346+I346+J346+L346+M346+O346+P346+Q346))*constants!$N$2</f>
        <v>-5.5825028012512476E-2</v>
      </c>
      <c r="AJ346">
        <f t="shared" si="45"/>
        <v>5.0655704991940924</v>
      </c>
      <c r="AK346">
        <f t="shared" si="46"/>
        <v>1.0498059676603153</v>
      </c>
      <c r="AL346">
        <f>COUNTIFS($B:$B,$B346,$AK:$AK,"&lt;"&amp;$AK346)+COUNTIFS($B$2:$B346,$B346,$AK$2:$AK346,$AK346)</f>
        <v>45</v>
      </c>
      <c r="AM346" s="191">
        <f>IF(AK346=0, "NA",IF(((sim_annual_output!F346/E346)/AK346)&lt;0,100,((sim_annual_output!F346/E346)/AK346)))</f>
        <v>11.823711120139258</v>
      </c>
      <c r="AN346">
        <f>(S346+V346)*constants!$F$2+(T346+U346+W346+X346+Y346+Z346+AA346+AB346)*constants!$G$2</f>
        <v>185950.53079162154</v>
      </c>
      <c r="AO346">
        <f>(AD346*constants!$F$2+AE346*constants!$G$2)</f>
        <v>11786.736700899124</v>
      </c>
      <c r="AP346">
        <f t="shared" si="47"/>
        <v>6.3386410626100798</v>
      </c>
    </row>
    <row r="347" spans="1:42">
      <c r="A347">
        <f>sim_annual_output!B347</f>
        <v>13</v>
      </c>
      <c r="B347" t="str">
        <f>sim_annual_output!C347</f>
        <v>Office</v>
      </c>
      <c r="C347" t="str">
        <f>sim_annual_output!D347</f>
        <v>1959-pre</v>
      </c>
      <c r="D347" t="str">
        <f>sim_annual_output!E347</f>
        <v>ecm_cold_deck_reset_control</v>
      </c>
      <c r="E347" s="45">
        <f t="array" ref="E347">IFERROR(INDEX(baseline!$J$3:$J$201,MATCH($B347&amp;$C347,baseline!$C$3:$C$201&amp;baseline!$D$3:$D$201,0)),"NA")</f>
        <v>3418.6207140000001</v>
      </c>
      <c r="F347">
        <f>sim_annual_output!G347</f>
        <v>3418.6207139712501</v>
      </c>
      <c r="G347">
        <f>$E347/$F347^2*sim_annual_output!I347</f>
        <v>0</v>
      </c>
      <c r="H347">
        <f>$E347/$F347^2*sim_annual_output!J347</f>
        <v>342.1566214612464</v>
      </c>
      <c r="I347">
        <f>$E347/$F347^2*sim_annual_output!K347</f>
        <v>2.4449451165820628</v>
      </c>
      <c r="J347">
        <f>$E347/$F347^2*sim_annual_output!L347</f>
        <v>0</v>
      </c>
      <c r="K347">
        <f>$E347/$F347^2*sim_annual_output!M347</f>
        <v>45.391962111246379</v>
      </c>
      <c r="L347">
        <f>$E347/$F347^2*sim_annual_output!N347</f>
        <v>37.749985101789981</v>
      </c>
      <c r="M347">
        <f>$E347/$F347^2*sim_annual_output!O347</f>
        <v>11.425994758849107</v>
      </c>
      <c r="N347">
        <f>$E347/$F347^2*sim_annual_output!P347</f>
        <v>0</v>
      </c>
      <c r="O347">
        <f>$E347/$F347^2*sim_annual_output!Q347</f>
        <v>30.898613475661715</v>
      </c>
      <c r="P347">
        <f>$E347/$F347^2*sim_annual_output!R347</f>
        <v>12.612309105877959</v>
      </c>
      <c r="Q347">
        <f>$E347/$F347^2*sim_annual_output!S347</f>
        <v>0</v>
      </c>
      <c r="R347">
        <f t="array" ref="R347">INDEX(G$3:G$700,MATCH($B347&amp;$C347&amp;"baseline",$B$3:$B$700&amp;$C$3:$C$700&amp;$D$3:$D$700,0))</f>
        <v>0</v>
      </c>
      <c r="S347">
        <f t="array" ref="S347">INDEX(H$3:H$700,MATCH($B347&amp;$C347&amp;"baseline",$B$3:$B$700&amp;$C$3:$C$700&amp;$D$3:$D$700,0))</f>
        <v>440.8685382069998</v>
      </c>
      <c r="T347">
        <f t="array" ref="T347">INDEX(I$3:I$700,MATCH($B347&amp;$C347&amp;"baseline",$B$3:$B$700&amp;$C$3:$C$700&amp;$D$3:$D$700,0))</f>
        <v>20.910009182493454</v>
      </c>
      <c r="U347">
        <f t="array" ref="U347">INDEX(J$3:J$700,MATCH($B347&amp;$C347&amp;"baseline",$B$3:$B$700&amp;$C$3:$C$700&amp;$D$3:$D$700,0))</f>
        <v>0</v>
      </c>
      <c r="V347">
        <f t="array" ref="V347">INDEX(K$3:K$700,MATCH($B347&amp;$C347&amp;"baseline",$B$3:$B$700&amp;$C$3:$C$700&amp;$D$3:$D$700,0))</f>
        <v>45.391962111246379</v>
      </c>
      <c r="W347">
        <f t="array" ref="W347">INDEX(L$3:L$700,MATCH($B347&amp;$C347&amp;"baseline",$B$3:$B$700&amp;$C$3:$C$700&amp;$D$3:$D$700,0))</f>
        <v>37.749985101789981</v>
      </c>
      <c r="X347">
        <f t="array" ref="X347">INDEX(M$3:M$700,MATCH($B347&amp;$C347&amp;"baseline",$B$3:$B$700&amp;$C$3:$C$700&amp;$D$3:$D$700,0))</f>
        <v>11.425994758849107</v>
      </c>
      <c r="Y347">
        <f t="array" ref="Y347">INDEX(N$3:N$700,MATCH($B347&amp;$C347&amp;"baseline",$B$3:$B$700&amp;$C$3:$C$700&amp;$D$3:$D$700,0))</f>
        <v>0</v>
      </c>
      <c r="Z347">
        <f t="array" ref="Z347">INDEX(O$3:O$700,MATCH($B347&amp;$C347&amp;"baseline",$B$3:$B$700&amp;$C$3:$C$700&amp;$D$3:$D$700,0))</f>
        <v>30.927865062300786</v>
      </c>
      <c r="AA347">
        <f t="array" ref="AA347">INDEX(P$3:P$700,MATCH($B347&amp;$C347&amp;"baseline",$B$3:$B$700&amp;$C$3:$C$700&amp;$D$3:$D$700,0))</f>
        <v>12.67568754359594</v>
      </c>
      <c r="AB347">
        <f t="array" ref="AB347">INDEX(Q$3:Q$700,MATCH($B347&amp;$C347&amp;"baseline",$B$3:$B$700&amp;$C$3:$C$700&amp;$D$3:$D$700,0))</f>
        <v>0</v>
      </c>
      <c r="AC347">
        <f t="shared" si="41"/>
        <v>599.95004196727552</v>
      </c>
      <c r="AD347">
        <f t="shared" si="42"/>
        <v>98.711916745753399</v>
      </c>
      <c r="AE347">
        <f t="shared" si="43"/>
        <v>18.557694090268441</v>
      </c>
      <c r="AF347">
        <f t="shared" si="44"/>
        <v>19.546562652364702</v>
      </c>
      <c r="AG347">
        <f>(S347+V347+Y347)*constants!$O$2+(R347+T347+U347+W347+X347+Z347+AA347+AB347)*constants!$N$2</f>
        <v>20.724338311495895</v>
      </c>
      <c r="AH347">
        <f>((S347+V347+Y347)-(H347+K347+N347))*constants!$O$2</f>
        <v>1.599133051281205</v>
      </c>
      <c r="AI347">
        <f>((R347+T347+U347+W347+X347+Z347+AA347+AB347)-(G347+I347+J347+L347+M347+O347+P347+Q347))*constants!$N$2</f>
        <v>2.0970194322003337</v>
      </c>
      <c r="AJ347">
        <f t="shared" si="45"/>
        <v>17.834839539515066</v>
      </c>
      <c r="AK347">
        <f t="shared" si="46"/>
        <v>3.6961524834815389</v>
      </c>
      <c r="AL347">
        <f>COUNTIFS($B:$B,$B347,$AK:$AK,"&lt;"&amp;$AK347)+COUNTIFS($B$2:$B347,$B347,$AK$2:$AK347,$AK347)</f>
        <v>62</v>
      </c>
      <c r="AM347" s="191">
        <f>IF(AK347=0, "NA",IF(((sim_annual_output!F347/E347)/AK347)&lt;0,100,((sim_annual_output!F347/E347)/AK347)))</f>
        <v>1.3911836751437914</v>
      </c>
      <c r="AN347">
        <f>(S347+V347)*constants!$F$2+(T347+U347+W347+X347+Y347+Z347+AA347+AB347)*constants!$G$2</f>
        <v>185950.53079162154</v>
      </c>
      <c r="AO347">
        <f>(AD347*constants!$F$2+AE347*constants!$G$2)</f>
        <v>33814.626956023407</v>
      </c>
      <c r="AP347">
        <f t="shared" si="47"/>
        <v>18.184743443360478</v>
      </c>
    </row>
    <row r="348" spans="1:42">
      <c r="A348">
        <f>sim_annual_output!B348</f>
        <v>13</v>
      </c>
      <c r="B348" t="str">
        <f>sim_annual_output!C348</f>
        <v>Office</v>
      </c>
      <c r="C348" t="str">
        <f>sim_annual_output!D348</f>
        <v>1959-pre</v>
      </c>
      <c r="D348" t="str">
        <f>sim_annual_output!E348</f>
        <v>economizers_enabled</v>
      </c>
      <c r="E348" s="45">
        <f t="array" ref="E348">IFERROR(INDEX(baseline!$J$3:$J$201,MATCH($B348&amp;$C348,baseline!$C$3:$C$201&amp;baseline!$D$3:$D$201,0)),"NA")</f>
        <v>3418.6207140000001</v>
      </c>
      <c r="F348">
        <f>sim_annual_output!G348</f>
        <v>3418.6207139712501</v>
      </c>
      <c r="G348">
        <f>$E348/$F348^2*sim_annual_output!I348</f>
        <v>0</v>
      </c>
      <c r="H348">
        <f>$E348/$F348^2*sim_annual_output!J348</f>
        <v>433.51826451986079</v>
      </c>
      <c r="I348">
        <f>$E348/$F348^2*sim_annual_output!K348</f>
        <v>21.207400313323976</v>
      </c>
      <c r="J348">
        <f>$E348/$F348^2*sim_annual_output!L348</f>
        <v>0</v>
      </c>
      <c r="K348">
        <f>$E348/$F348^2*sim_annual_output!M348</f>
        <v>45.391962111246379</v>
      </c>
      <c r="L348">
        <f>$E348/$F348^2*sim_annual_output!N348</f>
        <v>37.749985101789981</v>
      </c>
      <c r="M348">
        <f>$E348/$F348^2*sim_annual_output!O348</f>
        <v>11.425994758849107</v>
      </c>
      <c r="N348">
        <f>$E348/$F348^2*sim_annual_output!P348</f>
        <v>0</v>
      </c>
      <c r="O348">
        <f>$E348/$F348^2*sim_annual_output!Q348</f>
        <v>30.867736800876031</v>
      </c>
      <c r="P348">
        <f>$E348/$F348^2*sim_annual_output!R348</f>
        <v>12.744753789827071</v>
      </c>
      <c r="Q348">
        <f>$E348/$F348^2*sim_annual_output!S348</f>
        <v>0</v>
      </c>
      <c r="R348">
        <f t="array" ref="R348">INDEX(G$3:G$700,MATCH($B348&amp;$C348&amp;"baseline",$B$3:$B$700&amp;$C$3:$C$700&amp;$D$3:$D$700,0))</f>
        <v>0</v>
      </c>
      <c r="S348">
        <f t="array" ref="S348">INDEX(H$3:H$700,MATCH($B348&amp;$C348&amp;"baseline",$B$3:$B$700&amp;$C$3:$C$700&amp;$D$3:$D$700,0))</f>
        <v>440.8685382069998</v>
      </c>
      <c r="T348">
        <f t="array" ref="T348">INDEX(I$3:I$700,MATCH($B348&amp;$C348&amp;"baseline",$B$3:$B$700&amp;$C$3:$C$700&amp;$D$3:$D$700,0))</f>
        <v>20.910009182493454</v>
      </c>
      <c r="U348">
        <f t="array" ref="U348">INDEX(J$3:J$700,MATCH($B348&amp;$C348&amp;"baseline",$B$3:$B$700&amp;$C$3:$C$700&amp;$D$3:$D$700,0))</f>
        <v>0</v>
      </c>
      <c r="V348">
        <f t="array" ref="V348">INDEX(K$3:K$700,MATCH($B348&amp;$C348&amp;"baseline",$B$3:$B$700&amp;$C$3:$C$700&amp;$D$3:$D$700,0))</f>
        <v>45.391962111246379</v>
      </c>
      <c r="W348">
        <f t="array" ref="W348">INDEX(L$3:L$700,MATCH($B348&amp;$C348&amp;"baseline",$B$3:$B$700&amp;$C$3:$C$700&amp;$D$3:$D$700,0))</f>
        <v>37.749985101789981</v>
      </c>
      <c r="X348">
        <f t="array" ref="X348">INDEX(M$3:M$700,MATCH($B348&amp;$C348&amp;"baseline",$B$3:$B$700&amp;$C$3:$C$700&amp;$D$3:$D$700,0))</f>
        <v>11.425994758849107</v>
      </c>
      <c r="Y348">
        <f t="array" ref="Y348">INDEX(N$3:N$700,MATCH($B348&amp;$C348&amp;"baseline",$B$3:$B$700&amp;$C$3:$C$700&amp;$D$3:$D$700,0))</f>
        <v>0</v>
      </c>
      <c r="Z348">
        <f t="array" ref="Z348">INDEX(O$3:O$700,MATCH($B348&amp;$C348&amp;"baseline",$B$3:$B$700&amp;$C$3:$C$700&amp;$D$3:$D$700,0))</f>
        <v>30.927865062300786</v>
      </c>
      <c r="AA348">
        <f t="array" ref="AA348">INDEX(P$3:P$700,MATCH($B348&amp;$C348&amp;"baseline",$B$3:$B$700&amp;$C$3:$C$700&amp;$D$3:$D$700,0))</f>
        <v>12.67568754359594</v>
      </c>
      <c r="AB348">
        <f t="array" ref="AB348">INDEX(Q$3:Q$700,MATCH($B348&amp;$C348&amp;"baseline",$B$3:$B$700&amp;$C$3:$C$700&amp;$D$3:$D$700,0))</f>
        <v>0</v>
      </c>
      <c r="AC348">
        <f t="shared" si="41"/>
        <v>599.95004196727552</v>
      </c>
      <c r="AD348">
        <f t="shared" si="42"/>
        <v>7.3502736871390084</v>
      </c>
      <c r="AE348">
        <f t="shared" si="43"/>
        <v>-0.30632911563691323</v>
      </c>
      <c r="AF348">
        <f t="shared" si="44"/>
        <v>1.1740885205048972</v>
      </c>
      <c r="AG348">
        <f>(S348+V348+Y348)*constants!$O$2+(R348+T348+U348+W348+X348+Z348+AA348+AB348)*constants!$N$2</f>
        <v>20.724338311495895</v>
      </c>
      <c r="AH348">
        <f>((S348+V348+Y348)-(H348+K348+N348))*constants!$O$2</f>
        <v>0.11907443373165193</v>
      </c>
      <c r="AI348">
        <f>((R348+T348+U348+W348+X348+Z348+AA348+AB348)-(G348+I348+J348+L348+M348+O348+P348+Q348))*constants!$N$2</f>
        <v>-3.4615190066971196E-2</v>
      </c>
      <c r="AJ348">
        <f t="shared" si="45"/>
        <v>0.40753650319359419</v>
      </c>
      <c r="AK348">
        <f t="shared" si="46"/>
        <v>8.445924366468073E-2</v>
      </c>
      <c r="AL348">
        <f>COUNTIFS($B:$B,$B348,$AK:$AK,"&lt;"&amp;$AK348)+COUNTIFS($B$2:$B348,$B348,$AK$2:$AK348,$AK348)</f>
        <v>24</v>
      </c>
      <c r="AM348" s="191">
        <f>IF(AK348=0, "NA",IF(((sim_annual_output!F348/E348)/AK348)&lt;0,100,((sim_annual_output!F348/E348)/AK348)))</f>
        <v>23.789810510910648</v>
      </c>
      <c r="AN348">
        <f>(S348+V348)*constants!$F$2+(T348+U348+W348+X348+Y348+Z348+AA348+AB348)*constants!$G$2</f>
        <v>185950.53079162154</v>
      </c>
      <c r="AO348">
        <f>(AD348*constants!$F$2+AE348*constants!$G$2)</f>
        <v>1049.1926593937681</v>
      </c>
      <c r="AP348">
        <f t="shared" si="47"/>
        <v>0.56423214008972433</v>
      </c>
    </row>
    <row r="349" spans="1:42">
      <c r="A349">
        <f>sim_annual_output!B349</f>
        <v>13</v>
      </c>
      <c r="B349" t="str">
        <f>sim_annual_output!C349</f>
        <v>Office</v>
      </c>
      <c r="C349" t="str">
        <f>sim_annual_output!D349</f>
        <v>1959-pre</v>
      </c>
      <c r="D349" t="str">
        <f>sim_annual_output!E349</f>
        <v>elec_reduce</v>
      </c>
      <c r="E349" s="45">
        <f t="array" ref="E349">IFERROR(INDEX(baseline!$J$3:$J$201,MATCH($B349&amp;$C349,baseline!$C$3:$C$201&amp;baseline!$D$3:$D$201,0)),"NA")</f>
        <v>3418.6207140000001</v>
      </c>
      <c r="F349">
        <f>sim_annual_output!G349</f>
        <v>3418.6207139712501</v>
      </c>
      <c r="G349">
        <f>$E349/$F349^2*sim_annual_output!I349</f>
        <v>0</v>
      </c>
      <c r="H349">
        <f>$E349/$F349^2*sim_annual_output!J349</f>
        <v>387.38363712561141</v>
      </c>
      <c r="I349">
        <f>$E349/$F349^2*sim_annual_output!K349</f>
        <v>21.232589179596506</v>
      </c>
      <c r="J349">
        <f>$E349/$F349^2*sim_annual_output!L349</f>
        <v>0</v>
      </c>
      <c r="K349">
        <f>$E349/$F349^2*sim_annual_output!M349</f>
        <v>45.391962111246379</v>
      </c>
      <c r="L349">
        <f>$E349/$F349^2*sim_annual_output!N349</f>
        <v>26.425558352104304</v>
      </c>
      <c r="M349">
        <f>$E349/$F349^2*sim_annual_output!O349</f>
        <v>11.425994758849107</v>
      </c>
      <c r="N349">
        <f>$E349/$F349^2*sim_annual_output!P349</f>
        <v>0</v>
      </c>
      <c r="O349">
        <f>$E349/$F349^2*sim_annual_output!Q349</f>
        <v>14.910996289264684</v>
      </c>
      <c r="P349">
        <f>$E349/$F349^2*sim_annual_output!R349</f>
        <v>9.9869792050216457</v>
      </c>
      <c r="Q349">
        <f>$E349/$F349^2*sim_annual_output!S349</f>
        <v>0</v>
      </c>
      <c r="R349">
        <f t="array" ref="R349">INDEX(G$3:G$700,MATCH($B349&amp;$C349&amp;"baseline",$B$3:$B$700&amp;$C$3:$C$700&amp;$D$3:$D$700,0))</f>
        <v>0</v>
      </c>
      <c r="S349">
        <f t="array" ref="S349">INDEX(H$3:H$700,MATCH($B349&amp;$C349&amp;"baseline",$B$3:$B$700&amp;$C$3:$C$700&amp;$D$3:$D$700,0))</f>
        <v>440.8685382069998</v>
      </c>
      <c r="T349">
        <f t="array" ref="T349">INDEX(I$3:I$700,MATCH($B349&amp;$C349&amp;"baseline",$B$3:$B$700&amp;$C$3:$C$700&amp;$D$3:$D$700,0))</f>
        <v>20.910009182493454</v>
      </c>
      <c r="U349">
        <f t="array" ref="U349">INDEX(J$3:J$700,MATCH($B349&amp;$C349&amp;"baseline",$B$3:$B$700&amp;$C$3:$C$700&amp;$D$3:$D$700,0))</f>
        <v>0</v>
      </c>
      <c r="V349">
        <f t="array" ref="V349">INDEX(K$3:K$700,MATCH($B349&amp;$C349&amp;"baseline",$B$3:$B$700&amp;$C$3:$C$700&amp;$D$3:$D$700,0))</f>
        <v>45.391962111246379</v>
      </c>
      <c r="W349">
        <f t="array" ref="W349">INDEX(L$3:L$700,MATCH($B349&amp;$C349&amp;"baseline",$B$3:$B$700&amp;$C$3:$C$700&amp;$D$3:$D$700,0))</f>
        <v>37.749985101789981</v>
      </c>
      <c r="X349">
        <f t="array" ref="X349">INDEX(M$3:M$700,MATCH($B349&amp;$C349&amp;"baseline",$B$3:$B$700&amp;$C$3:$C$700&amp;$D$3:$D$700,0))</f>
        <v>11.425994758849107</v>
      </c>
      <c r="Y349">
        <f t="array" ref="Y349">INDEX(N$3:N$700,MATCH($B349&amp;$C349&amp;"baseline",$B$3:$B$700&amp;$C$3:$C$700&amp;$D$3:$D$700,0))</f>
        <v>0</v>
      </c>
      <c r="Z349">
        <f t="array" ref="Z349">INDEX(O$3:O$700,MATCH($B349&amp;$C349&amp;"baseline",$B$3:$B$700&amp;$C$3:$C$700&amp;$D$3:$D$700,0))</f>
        <v>30.927865062300786</v>
      </c>
      <c r="AA349">
        <f t="array" ref="AA349">INDEX(P$3:P$700,MATCH($B349&amp;$C349&amp;"baseline",$B$3:$B$700&amp;$C$3:$C$700&amp;$D$3:$D$700,0))</f>
        <v>12.67568754359594</v>
      </c>
      <c r="AB349">
        <f t="array" ref="AB349">INDEX(Q$3:Q$700,MATCH($B349&amp;$C349&amp;"baseline",$B$3:$B$700&amp;$C$3:$C$700&amp;$D$3:$D$700,0))</f>
        <v>0</v>
      </c>
      <c r="AC349">
        <f t="shared" si="41"/>
        <v>599.95004196727552</v>
      </c>
      <c r="AD349">
        <f t="shared" si="42"/>
        <v>53.484901081388387</v>
      </c>
      <c r="AE349">
        <f t="shared" si="43"/>
        <v>29.707423864193032</v>
      </c>
      <c r="AF349">
        <f t="shared" si="44"/>
        <v>13.866542066200768</v>
      </c>
      <c r="AG349">
        <f>(S349+V349+Y349)*constants!$O$2+(R349+T349+U349+W349+X349+Z349+AA349+AB349)*constants!$N$2</f>
        <v>20.724338311495895</v>
      </c>
      <c r="AH349">
        <f>((S349+V349+Y349)-(H349+K349+N349))*constants!$O$2</f>
        <v>0.86645539751849177</v>
      </c>
      <c r="AI349">
        <f>((R349+T349+U349+W349+X349+Z349+AA349+AB349)-(G349+I349+J349+L349+M349+O349+P349+Q349))*constants!$N$2</f>
        <v>3.3569388966538125</v>
      </c>
      <c r="AJ349">
        <f t="shared" si="45"/>
        <v>20.378910200619366</v>
      </c>
      <c r="AK349">
        <f t="shared" si="46"/>
        <v>4.2233942941723042</v>
      </c>
      <c r="AL349">
        <f>COUNTIFS($B:$B,$B349,$AK:$AK,"&lt;"&amp;$AK349)+COUNTIFS($B$2:$B349,$B349,$AK$2:$AK349,$AK349)</f>
        <v>65</v>
      </c>
      <c r="AM349" s="191">
        <f>IF(AK349=0, "NA",IF(((sim_annual_output!F349/E349)/AK349)&lt;0,100,((sim_annual_output!F349/E349)/AK349)))</f>
        <v>10.416419277618413</v>
      </c>
      <c r="AN349">
        <f>(S349+V349)*constants!$F$2+(T349+U349+W349+X349+Y349+Z349+AA349+AB349)*constants!$G$2</f>
        <v>185950.53079162154</v>
      </c>
      <c r="AO349">
        <f>(AD349*constants!$F$2+AE349*constants!$G$2)</f>
        <v>35419.256055416459</v>
      </c>
      <c r="AP349">
        <f t="shared" si="47"/>
        <v>19.047676768993853</v>
      </c>
    </row>
    <row r="350" spans="1:42">
      <c r="A350">
        <f>sim_annual_output!B350</f>
        <v>13</v>
      </c>
      <c r="B350" t="str">
        <f>sim_annual_output!C350</f>
        <v>Office</v>
      </c>
      <c r="C350" t="str">
        <f>sim_annual_output!D350</f>
        <v>1959-pre</v>
      </c>
      <c r="D350" t="str">
        <f>sim_annual_output!E350</f>
        <v>envelope_ecm_roof</v>
      </c>
      <c r="E350" s="45">
        <f t="array" ref="E350">IFERROR(INDEX(baseline!$J$3:$J$201,MATCH($B350&amp;$C350,baseline!$C$3:$C$201&amp;baseline!$D$3:$D$201,0)),"NA")</f>
        <v>3418.6207140000001</v>
      </c>
      <c r="F350">
        <f>sim_annual_output!G350</f>
        <v>3418.6207139712501</v>
      </c>
      <c r="G350">
        <f>$E350/$F350^2*sim_annual_output!I350</f>
        <v>0</v>
      </c>
      <c r="H350">
        <f>$E350/$F350^2*sim_annual_output!J350</f>
        <v>405.70488089054737</v>
      </c>
      <c r="I350">
        <f>$E350/$F350^2*sim_annual_output!K350</f>
        <v>19.592062695588798</v>
      </c>
      <c r="J350">
        <f>$E350/$F350^2*sim_annual_output!L350</f>
        <v>0</v>
      </c>
      <c r="K350">
        <f>$E350/$F350^2*sim_annual_output!M350</f>
        <v>45.391962111246379</v>
      </c>
      <c r="L350">
        <f>$E350/$F350^2*sim_annual_output!N350</f>
        <v>37.749985101789981</v>
      </c>
      <c r="M350">
        <f>$E350/$F350^2*sim_annual_output!O350</f>
        <v>11.425994758849107</v>
      </c>
      <c r="N350">
        <f>$E350/$F350^2*sim_annual_output!P350</f>
        <v>0</v>
      </c>
      <c r="O350">
        <f>$E350/$F350^2*sim_annual_output!Q350</f>
        <v>30.275392171434916</v>
      </c>
      <c r="P350">
        <f>$E350/$F350^2*sim_annual_output!R350</f>
        <v>12.028089917169915</v>
      </c>
      <c r="Q350">
        <f>$E350/$F350^2*sim_annual_output!S350</f>
        <v>0</v>
      </c>
      <c r="R350">
        <f t="array" ref="R350">INDEX(G$3:G$700,MATCH($B350&amp;$C350&amp;"baseline",$B$3:$B$700&amp;$C$3:$C$700&amp;$D$3:$D$700,0))</f>
        <v>0</v>
      </c>
      <c r="S350">
        <f t="array" ref="S350">INDEX(H$3:H$700,MATCH($B350&amp;$C350&amp;"baseline",$B$3:$B$700&amp;$C$3:$C$700&amp;$D$3:$D$700,0))</f>
        <v>440.8685382069998</v>
      </c>
      <c r="T350">
        <f t="array" ref="T350">INDEX(I$3:I$700,MATCH($B350&amp;$C350&amp;"baseline",$B$3:$B$700&amp;$C$3:$C$700&amp;$D$3:$D$700,0))</f>
        <v>20.910009182493454</v>
      </c>
      <c r="U350">
        <f t="array" ref="U350">INDEX(J$3:J$700,MATCH($B350&amp;$C350&amp;"baseline",$B$3:$B$700&amp;$C$3:$C$700&amp;$D$3:$D$700,0))</f>
        <v>0</v>
      </c>
      <c r="V350">
        <f t="array" ref="V350">INDEX(K$3:K$700,MATCH($B350&amp;$C350&amp;"baseline",$B$3:$B$700&amp;$C$3:$C$700&amp;$D$3:$D$700,0))</f>
        <v>45.391962111246379</v>
      </c>
      <c r="W350">
        <f t="array" ref="W350">INDEX(L$3:L$700,MATCH($B350&amp;$C350&amp;"baseline",$B$3:$B$700&amp;$C$3:$C$700&amp;$D$3:$D$700,0))</f>
        <v>37.749985101789981</v>
      </c>
      <c r="X350">
        <f t="array" ref="X350">INDEX(M$3:M$700,MATCH($B350&amp;$C350&amp;"baseline",$B$3:$B$700&amp;$C$3:$C$700&amp;$D$3:$D$700,0))</f>
        <v>11.425994758849107</v>
      </c>
      <c r="Y350">
        <f t="array" ref="Y350">INDEX(N$3:N$700,MATCH($B350&amp;$C350&amp;"baseline",$B$3:$B$700&amp;$C$3:$C$700&amp;$D$3:$D$700,0))</f>
        <v>0</v>
      </c>
      <c r="Z350">
        <f t="array" ref="Z350">INDEX(O$3:O$700,MATCH($B350&amp;$C350&amp;"baseline",$B$3:$B$700&amp;$C$3:$C$700&amp;$D$3:$D$700,0))</f>
        <v>30.927865062300786</v>
      </c>
      <c r="AA350">
        <f t="array" ref="AA350">INDEX(P$3:P$700,MATCH($B350&amp;$C350&amp;"baseline",$B$3:$B$700&amp;$C$3:$C$700&amp;$D$3:$D$700,0))</f>
        <v>12.67568754359594</v>
      </c>
      <c r="AB350">
        <f t="array" ref="AB350">INDEX(Q$3:Q$700,MATCH($B350&amp;$C350&amp;"baseline",$B$3:$B$700&amp;$C$3:$C$700&amp;$D$3:$D$700,0))</f>
        <v>0</v>
      </c>
      <c r="AC350">
        <f t="shared" si="41"/>
        <v>599.95004196727552</v>
      </c>
      <c r="AD350">
        <f t="shared" si="42"/>
        <v>35.163657316452429</v>
      </c>
      <c r="AE350">
        <f t="shared" si="43"/>
        <v>2.6180170041965454</v>
      </c>
      <c r="AF350">
        <f t="shared" si="44"/>
        <v>6.2974700688011271</v>
      </c>
      <c r="AG350">
        <f>(S350+V350+Y350)*constants!$O$2+(R350+T350+U350+W350+X350+Z350+AA350+AB350)*constants!$N$2</f>
        <v>20.724338311495895</v>
      </c>
      <c r="AH350">
        <f>((S350+V350+Y350)-(H350+K350+N350))*constants!$O$2</f>
        <v>0.56965124852652937</v>
      </c>
      <c r="AI350">
        <f>((R350+T350+U350+W350+X350+Z350+AA350+AB350)-(G350+I350+J350+L350+M350+O350+P350+Q350))*constants!$N$2</f>
        <v>0.29583592147420962</v>
      </c>
      <c r="AJ350">
        <f t="shared" si="45"/>
        <v>4.1761872296817737</v>
      </c>
      <c r="AK350">
        <f t="shared" si="46"/>
        <v>0.86548717000073894</v>
      </c>
      <c r="AL350">
        <f>COUNTIFS($B:$B,$B350,$AK:$AK,"&lt;"&amp;$AK350)+COUNTIFS($B$2:$B350,$B350,$AK$2:$AK350,$AK350)</f>
        <v>41</v>
      </c>
      <c r="AM350" s="191">
        <f>IF(AK350=0, "NA",IF(((sim_annual_output!F350/E350)/AK350)&lt;0,100,((sim_annual_output!F350/E350)/AK350)))</f>
        <v>304.93032517223929</v>
      </c>
      <c r="AN350">
        <f>(S350+V350)*constants!$F$2+(T350+U350+W350+X350+Y350+Z350+AA350+AB350)*constants!$G$2</f>
        <v>185950.53079162154</v>
      </c>
      <c r="AO350">
        <f>(AD350*constants!$F$2+AE350*constants!$G$2)</f>
        <v>8571.9694532959802</v>
      </c>
      <c r="AP350">
        <f t="shared" si="47"/>
        <v>4.6098117691859857</v>
      </c>
    </row>
    <row r="351" spans="1:42">
      <c r="A351">
        <f>sim_annual_output!B351</f>
        <v>13</v>
      </c>
      <c r="B351" t="str">
        <f>sim_annual_output!C351</f>
        <v>Office</v>
      </c>
      <c r="C351" t="str">
        <f>sim_annual_output!D351</f>
        <v>1959-pre</v>
      </c>
      <c r="D351" t="str">
        <f>sim_annual_output!E351</f>
        <v>envelope_ecm_wall</v>
      </c>
      <c r="E351" s="45">
        <f t="array" ref="E351">IFERROR(INDEX(baseline!$J$3:$J$201,MATCH($B351&amp;$C351,baseline!$C$3:$C$201&amp;baseline!$D$3:$D$201,0)),"NA")</f>
        <v>3418.6207140000001</v>
      </c>
      <c r="F351">
        <f>sim_annual_output!G351</f>
        <v>3418.6207139712501</v>
      </c>
      <c r="G351">
        <f>$E351/$F351^2*sim_annual_output!I351</f>
        <v>0</v>
      </c>
      <c r="H351">
        <f>$E351/$F351^2*sim_annual_output!J351</f>
        <v>413.02590299104736</v>
      </c>
      <c r="I351">
        <f>$E351/$F351^2*sim_annual_output!K351</f>
        <v>20.230722337208441</v>
      </c>
      <c r="J351">
        <f>$E351/$F351^2*sim_annual_output!L351</f>
        <v>0</v>
      </c>
      <c r="K351">
        <f>$E351/$F351^2*sim_annual_output!M351</f>
        <v>45.391962111246379</v>
      </c>
      <c r="L351">
        <f>$E351/$F351^2*sim_annual_output!N351</f>
        <v>37.749985101789981</v>
      </c>
      <c r="M351">
        <f>$E351/$F351^2*sim_annual_output!O351</f>
        <v>11.425994758849107</v>
      </c>
      <c r="N351">
        <f>$E351/$F351^2*sim_annual_output!P351</f>
        <v>0</v>
      </c>
      <c r="O351">
        <f>$E351/$F351^2*sim_annual_output!Q351</f>
        <v>30.359896755058887</v>
      </c>
      <c r="P351">
        <f>$E351/$F351^2*sim_annual_output!R351</f>
        <v>12.151596616312645</v>
      </c>
      <c r="Q351">
        <f>$E351/$F351^2*sim_annual_output!S351</f>
        <v>0</v>
      </c>
      <c r="R351">
        <f t="array" ref="R351">INDEX(G$3:G$700,MATCH($B351&amp;$C351&amp;"baseline",$B$3:$B$700&amp;$C$3:$C$700&amp;$D$3:$D$700,0))</f>
        <v>0</v>
      </c>
      <c r="S351">
        <f t="array" ref="S351">INDEX(H$3:H$700,MATCH($B351&amp;$C351&amp;"baseline",$B$3:$B$700&amp;$C$3:$C$700&amp;$D$3:$D$700,0))</f>
        <v>440.8685382069998</v>
      </c>
      <c r="T351">
        <f t="array" ref="T351">INDEX(I$3:I$700,MATCH($B351&amp;$C351&amp;"baseline",$B$3:$B$700&amp;$C$3:$C$700&amp;$D$3:$D$700,0))</f>
        <v>20.910009182493454</v>
      </c>
      <c r="U351">
        <f t="array" ref="U351">INDEX(J$3:J$700,MATCH($B351&amp;$C351&amp;"baseline",$B$3:$B$700&amp;$C$3:$C$700&amp;$D$3:$D$700,0))</f>
        <v>0</v>
      </c>
      <c r="V351">
        <f t="array" ref="V351">INDEX(K$3:K$700,MATCH($B351&amp;$C351&amp;"baseline",$B$3:$B$700&amp;$C$3:$C$700&amp;$D$3:$D$700,0))</f>
        <v>45.391962111246379</v>
      </c>
      <c r="W351">
        <f t="array" ref="W351">INDEX(L$3:L$700,MATCH($B351&amp;$C351&amp;"baseline",$B$3:$B$700&amp;$C$3:$C$700&amp;$D$3:$D$700,0))</f>
        <v>37.749985101789981</v>
      </c>
      <c r="X351">
        <f t="array" ref="X351">INDEX(M$3:M$700,MATCH($B351&amp;$C351&amp;"baseline",$B$3:$B$700&amp;$C$3:$C$700&amp;$D$3:$D$700,0))</f>
        <v>11.425994758849107</v>
      </c>
      <c r="Y351">
        <f t="array" ref="Y351">INDEX(N$3:N$700,MATCH($B351&amp;$C351&amp;"baseline",$B$3:$B$700&amp;$C$3:$C$700&amp;$D$3:$D$700,0))</f>
        <v>0</v>
      </c>
      <c r="Z351">
        <f t="array" ref="Z351">INDEX(O$3:O$700,MATCH($B351&amp;$C351&amp;"baseline",$B$3:$B$700&amp;$C$3:$C$700&amp;$D$3:$D$700,0))</f>
        <v>30.927865062300786</v>
      </c>
      <c r="AA351">
        <f t="array" ref="AA351">INDEX(P$3:P$700,MATCH($B351&amp;$C351&amp;"baseline",$B$3:$B$700&amp;$C$3:$C$700&amp;$D$3:$D$700,0))</f>
        <v>12.67568754359594</v>
      </c>
      <c r="AB351">
        <f t="array" ref="AB351">INDEX(Q$3:Q$700,MATCH($B351&amp;$C351&amp;"baseline",$B$3:$B$700&amp;$C$3:$C$700&amp;$D$3:$D$700,0))</f>
        <v>0</v>
      </c>
      <c r="AC351">
        <f t="shared" si="41"/>
        <v>599.95004196727552</v>
      </c>
      <c r="AD351">
        <f t="shared" si="42"/>
        <v>27.842635215952441</v>
      </c>
      <c r="AE351">
        <f t="shared" si="43"/>
        <v>1.7713460798102147</v>
      </c>
      <c r="AF351">
        <f t="shared" si="44"/>
        <v>4.9360745435830733</v>
      </c>
      <c r="AG351">
        <f>(S351+V351+Y351)*constants!$O$2+(R351+T351+U351+W351+X351+Z351+AA351+AB351)*constants!$N$2</f>
        <v>20.724338311495895</v>
      </c>
      <c r="AH351">
        <f>((S351+V351+Y351)-(H351+K351+N351))*constants!$O$2</f>
        <v>0.45105069049842955</v>
      </c>
      <c r="AI351">
        <f>((R351+T351+U351+W351+X351+Z351+AA351+AB351)-(G351+I351+J351+L351+M351+O351+P351+Q351))*constants!$N$2</f>
        <v>0.20016210701855428</v>
      </c>
      <c r="AJ351">
        <f t="shared" si="45"/>
        <v>3.1422609867150877</v>
      </c>
      <c r="AK351">
        <f t="shared" si="46"/>
        <v>0.6512127975169838</v>
      </c>
      <c r="AL351">
        <f>COUNTIFS($B:$B,$B351,$AK:$AK,"&lt;"&amp;$AK351)+COUNTIFS($B$2:$B351,$B351,$AK$2:$AK351,$AK351)</f>
        <v>37</v>
      </c>
      <c r="AM351" s="191">
        <f>IF(AK351=0, "NA",IF(((sim_annual_output!F351/E351)/AK351)&lt;0,100,((sim_annual_output!F351/E351)/AK351)))</f>
        <v>173.13457894874693</v>
      </c>
      <c r="AN351">
        <f>(S351+V351)*constants!$F$2+(T351+U351+W351+X351+Y351+Z351+AA351+AB351)*constants!$G$2</f>
        <v>185950.53079162154</v>
      </c>
      <c r="AO351">
        <f>(AD351*constants!$F$2+AE351*constants!$G$2)</f>
        <v>6524.902793090374</v>
      </c>
      <c r="AP351">
        <f t="shared" si="47"/>
        <v>3.5089455057282199</v>
      </c>
    </row>
    <row r="352" spans="1:42">
      <c r="A352">
        <f>sim_annual_output!B352</f>
        <v>13</v>
      </c>
      <c r="B352" t="str">
        <f>sim_annual_output!C352</f>
        <v>Office</v>
      </c>
      <c r="C352" t="str">
        <f>sim_annual_output!D352</f>
        <v>1959-pre</v>
      </c>
      <c r="D352" t="str">
        <f>sim_annual_output!E352</f>
        <v>envelope_ecm_windows</v>
      </c>
      <c r="E352" s="45">
        <f t="array" ref="E352">IFERROR(INDEX(baseline!$J$3:$J$201,MATCH($B352&amp;$C352,baseline!$C$3:$C$201&amp;baseline!$D$3:$D$201,0)),"NA")</f>
        <v>3418.6207140000001</v>
      </c>
      <c r="F352">
        <f>sim_annual_output!G352</f>
        <v>3418.6207139712501</v>
      </c>
      <c r="G352">
        <f>$E352/$F352^2*sim_annual_output!I352</f>
        <v>0</v>
      </c>
      <c r="H352">
        <f>$E352/$F352^2*sim_annual_output!J352</f>
        <v>431.31708262527098</v>
      </c>
      <c r="I352">
        <f>$E352/$F352^2*sim_annual_output!K352</f>
        <v>21.362596231325693</v>
      </c>
      <c r="J352">
        <f>$E352/$F352^2*sim_annual_output!L352</f>
        <v>0</v>
      </c>
      <c r="K352">
        <f>$E352/$F352^2*sim_annual_output!M352</f>
        <v>45.391962111246379</v>
      </c>
      <c r="L352">
        <f>$E352/$F352^2*sim_annual_output!N352</f>
        <v>37.749985101789981</v>
      </c>
      <c r="M352">
        <f>$E352/$F352^2*sim_annual_output!O352</f>
        <v>11.425994758849107</v>
      </c>
      <c r="N352">
        <f>$E352/$F352^2*sim_annual_output!P352</f>
        <v>0</v>
      </c>
      <c r="O352">
        <f>$E352/$F352^2*sim_annual_output!Q352</f>
        <v>30.773481688372371</v>
      </c>
      <c r="P352">
        <f>$E352/$F352^2*sim_annual_output!R352</f>
        <v>12.643998324736948</v>
      </c>
      <c r="Q352">
        <f>$E352/$F352^2*sim_annual_output!S352</f>
        <v>0</v>
      </c>
      <c r="R352">
        <f t="array" ref="R352">INDEX(G$3:G$700,MATCH($B352&amp;$C352&amp;"baseline",$B$3:$B$700&amp;$C$3:$C$700&amp;$D$3:$D$700,0))</f>
        <v>0</v>
      </c>
      <c r="S352">
        <f t="array" ref="S352">INDEX(H$3:H$700,MATCH($B352&amp;$C352&amp;"baseline",$B$3:$B$700&amp;$C$3:$C$700&amp;$D$3:$D$700,0))</f>
        <v>440.8685382069998</v>
      </c>
      <c r="T352">
        <f t="array" ref="T352">INDEX(I$3:I$700,MATCH($B352&amp;$C352&amp;"baseline",$B$3:$B$700&amp;$C$3:$C$700&amp;$D$3:$D$700,0))</f>
        <v>20.910009182493454</v>
      </c>
      <c r="U352">
        <f t="array" ref="U352">INDEX(J$3:J$700,MATCH($B352&amp;$C352&amp;"baseline",$B$3:$B$700&amp;$C$3:$C$700&amp;$D$3:$D$700,0))</f>
        <v>0</v>
      </c>
      <c r="V352">
        <f t="array" ref="V352">INDEX(K$3:K$700,MATCH($B352&amp;$C352&amp;"baseline",$B$3:$B$700&amp;$C$3:$C$700&amp;$D$3:$D$700,0))</f>
        <v>45.391962111246379</v>
      </c>
      <c r="W352">
        <f t="array" ref="W352">INDEX(L$3:L$700,MATCH($B352&amp;$C352&amp;"baseline",$B$3:$B$700&amp;$C$3:$C$700&amp;$D$3:$D$700,0))</f>
        <v>37.749985101789981</v>
      </c>
      <c r="X352">
        <f t="array" ref="X352">INDEX(M$3:M$700,MATCH($B352&amp;$C352&amp;"baseline",$B$3:$B$700&amp;$C$3:$C$700&amp;$D$3:$D$700,0))</f>
        <v>11.425994758849107</v>
      </c>
      <c r="Y352">
        <f t="array" ref="Y352">INDEX(N$3:N$700,MATCH($B352&amp;$C352&amp;"baseline",$B$3:$B$700&amp;$C$3:$C$700&amp;$D$3:$D$700,0))</f>
        <v>0</v>
      </c>
      <c r="Z352">
        <f t="array" ref="Z352">INDEX(O$3:O$700,MATCH($B352&amp;$C352&amp;"baseline",$B$3:$B$700&amp;$C$3:$C$700&amp;$D$3:$D$700,0))</f>
        <v>30.927865062300786</v>
      </c>
      <c r="AA352">
        <f t="array" ref="AA352">INDEX(P$3:P$700,MATCH($B352&amp;$C352&amp;"baseline",$B$3:$B$700&amp;$C$3:$C$700&amp;$D$3:$D$700,0))</f>
        <v>12.67568754359594</v>
      </c>
      <c r="AB352">
        <f t="array" ref="AB352">INDEX(Q$3:Q$700,MATCH($B352&amp;$C352&amp;"baseline",$B$3:$B$700&amp;$C$3:$C$700&amp;$D$3:$D$700,0))</f>
        <v>0</v>
      </c>
      <c r="AC352">
        <f t="shared" si="41"/>
        <v>599.95004196727552</v>
      </c>
      <c r="AD352">
        <f t="shared" si="42"/>
        <v>9.5514555817288169</v>
      </c>
      <c r="AE352">
        <f t="shared" si="43"/>
        <v>-0.26651445604484536</v>
      </c>
      <c r="AF352">
        <f t="shared" si="44"/>
        <v>1.5476190476190386</v>
      </c>
      <c r="AG352">
        <f>(S352+V352+Y352)*constants!$O$2+(R352+T352+U352+W352+X352+Z352+AA352+AB352)*constants!$N$2</f>
        <v>20.724338311495895</v>
      </c>
      <c r="AH352">
        <f>((S352+V352+Y352)-(H352+K352+N352))*constants!$O$2</f>
        <v>0.15473358042400684</v>
      </c>
      <c r="AI352">
        <f>((R352+T352+U352+W352+X352+Z352+AA352+AB352)-(G352+I352+J352+L352+M352+O352+P352+Q352))*constants!$N$2</f>
        <v>-3.0116133533067527E-2</v>
      </c>
      <c r="AJ352">
        <f t="shared" si="45"/>
        <v>0.60130965349959276</v>
      </c>
      <c r="AK352">
        <f t="shared" si="46"/>
        <v>0.12461744689093932</v>
      </c>
      <c r="AL352">
        <f>COUNTIFS($B:$B,$B352,$AK:$AK,"&lt;"&amp;$AK352)+COUNTIFS($B$2:$B352,$B352,$AK$2:$AK352,$AK352)</f>
        <v>28</v>
      </c>
      <c r="AM352" s="191">
        <f>IF(AK352=0, "NA",IF(((sim_annual_output!F352/E352)/AK352)&lt;0,100,((sim_annual_output!F352/E352)/AK352)))</f>
        <v>7121.1538405370356</v>
      </c>
      <c r="AN352">
        <f>(S352+V352)*constants!$F$2+(T352+U352+W352+X352+Y352+Z352+AA352+AB352)*constants!$G$2</f>
        <v>185950.53079162154</v>
      </c>
      <c r="AO352">
        <f>(AD352*constants!$F$2+AE352*constants!$G$2)</f>
        <v>1477.8429723704428</v>
      </c>
      <c r="AP352">
        <f t="shared" si="47"/>
        <v>0.79475060709911716</v>
      </c>
    </row>
    <row r="353" spans="1:42">
      <c r="A353">
        <f>sim_annual_output!B353</f>
        <v>13</v>
      </c>
      <c r="B353" t="str">
        <f>sim_annual_output!C353</f>
        <v>Office</v>
      </c>
      <c r="C353" t="str">
        <f>sim_annual_output!D353</f>
        <v>1959-pre</v>
      </c>
      <c r="D353" t="str">
        <f>sim_annual_output!E353</f>
        <v>exhaust_fans_occ_control</v>
      </c>
      <c r="E353" s="45">
        <f t="array" ref="E353">IFERROR(INDEX(baseline!$J$3:$J$201,MATCH($B353&amp;$C353,baseline!$C$3:$C$201&amp;baseline!$D$3:$D$201,0)),"NA")</f>
        <v>3418.6207140000001</v>
      </c>
      <c r="F353">
        <f>sim_annual_output!G353</f>
        <v>3418.6207139712501</v>
      </c>
      <c r="G353">
        <f>$E353/$F353^2*sim_annual_output!I353</f>
        <v>0</v>
      </c>
      <c r="H353">
        <f>$E353/$F353^2*sim_annual_output!J353</f>
        <v>433.49632582988147</v>
      </c>
      <c r="I353">
        <f>$E353/$F353^2*sim_annual_output!K353</f>
        <v>21.35772096688585</v>
      </c>
      <c r="J353">
        <f>$E353/$F353^2*sim_annual_output!L353</f>
        <v>0</v>
      </c>
      <c r="K353">
        <f>$E353/$F353^2*sim_annual_output!M353</f>
        <v>45.391962111246379</v>
      </c>
      <c r="L353">
        <f>$E353/$F353^2*sim_annual_output!N353</f>
        <v>37.749985101789981</v>
      </c>
      <c r="M353">
        <f>$E353/$F353^2*sim_annual_output!O353</f>
        <v>11.425994758849107</v>
      </c>
      <c r="N353">
        <f>$E353/$F353^2*sim_annual_output!P353</f>
        <v>0</v>
      </c>
      <c r="O353">
        <f>$E353/$F353^2*sim_annual_output!Q353</f>
        <v>14.751737650896427</v>
      </c>
      <c r="P353">
        <f>$E353/$F353^2*sim_annual_output!R353</f>
        <v>12.743941245753764</v>
      </c>
      <c r="Q353">
        <f>$E353/$F353^2*sim_annual_output!S353</f>
        <v>0</v>
      </c>
      <c r="R353">
        <f t="array" ref="R353">INDEX(G$3:G$700,MATCH($B353&amp;$C353&amp;"baseline",$B$3:$B$700&amp;$C$3:$C$700&amp;$D$3:$D$700,0))</f>
        <v>0</v>
      </c>
      <c r="S353">
        <f t="array" ref="S353">INDEX(H$3:H$700,MATCH($B353&amp;$C353&amp;"baseline",$B$3:$B$700&amp;$C$3:$C$700&amp;$D$3:$D$700,0))</f>
        <v>440.8685382069998</v>
      </c>
      <c r="T353">
        <f t="array" ref="T353">INDEX(I$3:I$700,MATCH($B353&amp;$C353&amp;"baseline",$B$3:$B$700&amp;$C$3:$C$700&amp;$D$3:$D$700,0))</f>
        <v>20.910009182493454</v>
      </c>
      <c r="U353">
        <f t="array" ref="U353">INDEX(J$3:J$700,MATCH($B353&amp;$C353&amp;"baseline",$B$3:$B$700&amp;$C$3:$C$700&amp;$D$3:$D$700,0))</f>
        <v>0</v>
      </c>
      <c r="V353">
        <f t="array" ref="V353">INDEX(K$3:K$700,MATCH($B353&amp;$C353&amp;"baseline",$B$3:$B$700&amp;$C$3:$C$700&amp;$D$3:$D$700,0))</f>
        <v>45.391962111246379</v>
      </c>
      <c r="W353">
        <f t="array" ref="W353">INDEX(L$3:L$700,MATCH($B353&amp;$C353&amp;"baseline",$B$3:$B$700&amp;$C$3:$C$700&amp;$D$3:$D$700,0))</f>
        <v>37.749985101789981</v>
      </c>
      <c r="X353">
        <f t="array" ref="X353">INDEX(M$3:M$700,MATCH($B353&amp;$C353&amp;"baseline",$B$3:$B$700&amp;$C$3:$C$700&amp;$D$3:$D$700,0))</f>
        <v>11.425994758849107</v>
      </c>
      <c r="Y353">
        <f t="array" ref="Y353">INDEX(N$3:N$700,MATCH($B353&amp;$C353&amp;"baseline",$B$3:$B$700&amp;$C$3:$C$700&amp;$D$3:$D$700,0))</f>
        <v>0</v>
      </c>
      <c r="Z353">
        <f t="array" ref="Z353">INDEX(O$3:O$700,MATCH($B353&amp;$C353&amp;"baseline",$B$3:$B$700&amp;$C$3:$C$700&amp;$D$3:$D$700,0))</f>
        <v>30.927865062300786</v>
      </c>
      <c r="AA353">
        <f t="array" ref="AA353">INDEX(P$3:P$700,MATCH($B353&amp;$C353&amp;"baseline",$B$3:$B$700&amp;$C$3:$C$700&amp;$D$3:$D$700,0))</f>
        <v>12.67568754359594</v>
      </c>
      <c r="AB353">
        <f t="array" ref="AB353">INDEX(Q$3:Q$700,MATCH($B353&amp;$C353&amp;"baseline",$B$3:$B$700&amp;$C$3:$C$700&amp;$D$3:$D$700,0))</f>
        <v>0</v>
      </c>
      <c r="AC353">
        <f t="shared" si="41"/>
        <v>599.95004196727552</v>
      </c>
      <c r="AD353">
        <f t="shared" si="42"/>
        <v>7.3722123771183306</v>
      </c>
      <c r="AE353">
        <f t="shared" si="43"/>
        <v>15.660161924854137</v>
      </c>
      <c r="AF353">
        <f t="shared" si="44"/>
        <v>3.8390487025299311</v>
      </c>
      <c r="AG353">
        <f>(S353+V353+Y353)*constants!$O$2+(R353+T353+U353+W353+X353+Z353+AA353+AB353)*constants!$N$2</f>
        <v>20.724338311495895</v>
      </c>
      <c r="AH353">
        <f>((S353+V353+Y353)-(H353+K353+N353))*constants!$O$2</f>
        <v>0.11942984050931695</v>
      </c>
      <c r="AI353">
        <f>((R353+T353+U353+W353+X353+Z353+AA353+AB353)-(G353+I353+J353+L353+M353+O353+P353+Q353))*constants!$N$2</f>
        <v>1.7695982975085176</v>
      </c>
      <c r="AJ353">
        <f t="shared" si="45"/>
        <v>9.1150226831125476</v>
      </c>
      <c r="AK353">
        <f t="shared" si="46"/>
        <v>1.8890281380178346</v>
      </c>
      <c r="AL353">
        <f>COUNTIFS($B:$B,$B353,$AK:$AK,"&lt;"&amp;$AK353)+COUNTIFS($B$2:$B353,$B353,$AK$2:$AK353,$AK353)</f>
        <v>53</v>
      </c>
      <c r="AM353" s="191">
        <f>IF(AK353=0, "NA",IF(((sim_annual_output!F353/E353)/AK353)&lt;0,100,((sim_annual_output!F353/E353)/AK353)))</f>
        <v>0.79319178418734659</v>
      </c>
      <c r="AN353">
        <f>(S353+V353)*constants!$F$2+(T353+U353+W353+X353+Y353+Z353+AA353+AB353)*constants!$G$2</f>
        <v>185950.53079162154</v>
      </c>
      <c r="AO353">
        <f>(AD353*constants!$F$2+AE353*constants!$G$2)</f>
        <v>14943.966890127282</v>
      </c>
      <c r="AP353">
        <f t="shared" si="47"/>
        <v>8.0365282242047886</v>
      </c>
    </row>
    <row r="354" spans="1:42">
      <c r="A354">
        <f>sim_annual_output!B354</f>
        <v>13</v>
      </c>
      <c r="B354" t="str">
        <f>sim_annual_output!C354</f>
        <v>Office</v>
      </c>
      <c r="C354" t="str">
        <f>sim_annual_output!D354</f>
        <v>1959-pre</v>
      </c>
      <c r="D354" t="str">
        <f>sim_annual_output!E354</f>
        <v>fans_to_variable</v>
      </c>
      <c r="E354" s="45">
        <f t="array" ref="E354">IFERROR(INDEX(baseline!$J$3:$J$201,MATCH($B354&amp;$C354,baseline!$C$3:$C$201&amp;baseline!$D$3:$D$201,0)),"NA")</f>
        <v>3418.6207140000001</v>
      </c>
      <c r="F354">
        <f>sim_annual_output!G354</f>
        <v>3418.6207139712501</v>
      </c>
      <c r="G354">
        <f>$E354/$F354^2*sim_annual_output!I354</f>
        <v>0</v>
      </c>
      <c r="H354">
        <f>$E354/$F354^2*sim_annual_output!J354</f>
        <v>433.57433006091901</v>
      </c>
      <c r="I354">
        <f>$E354/$F354^2*sim_annual_output!K354</f>
        <v>21.356095878739236</v>
      </c>
      <c r="J354">
        <f>$E354/$F354^2*sim_annual_output!L354</f>
        <v>0</v>
      </c>
      <c r="K354">
        <f>$E354/$F354^2*sim_annual_output!M354</f>
        <v>45.391962111246379</v>
      </c>
      <c r="L354">
        <f>$E354/$F354^2*sim_annual_output!N354</f>
        <v>37.749985101789981</v>
      </c>
      <c r="M354">
        <f>$E354/$F354^2*sim_annual_output!O354</f>
        <v>11.425994758849107</v>
      </c>
      <c r="N354">
        <f>$E354/$F354^2*sim_annual_output!P354</f>
        <v>0</v>
      </c>
      <c r="O354">
        <f>$E354/$F354^2*sim_annual_output!Q354</f>
        <v>30.808421083524589</v>
      </c>
      <c r="P354">
        <f>$E354/$F354^2*sim_annual_output!R354</f>
        <v>12.743941245753764</v>
      </c>
      <c r="Q354">
        <f>$E354/$F354^2*sim_annual_output!S354</f>
        <v>0</v>
      </c>
      <c r="R354">
        <f t="array" ref="R354">INDEX(G$3:G$700,MATCH($B354&amp;$C354&amp;"baseline",$B$3:$B$700&amp;$C$3:$C$700&amp;$D$3:$D$700,0))</f>
        <v>0</v>
      </c>
      <c r="S354">
        <f t="array" ref="S354">INDEX(H$3:H$700,MATCH($B354&amp;$C354&amp;"baseline",$B$3:$B$700&amp;$C$3:$C$700&amp;$D$3:$D$700,0))</f>
        <v>440.8685382069998</v>
      </c>
      <c r="T354">
        <f t="array" ref="T354">INDEX(I$3:I$700,MATCH($B354&amp;$C354&amp;"baseline",$B$3:$B$700&amp;$C$3:$C$700&amp;$D$3:$D$700,0))</f>
        <v>20.910009182493454</v>
      </c>
      <c r="U354">
        <f t="array" ref="U354">INDEX(J$3:J$700,MATCH($B354&amp;$C354&amp;"baseline",$B$3:$B$700&amp;$C$3:$C$700&amp;$D$3:$D$700,0))</f>
        <v>0</v>
      </c>
      <c r="V354">
        <f t="array" ref="V354">INDEX(K$3:K$700,MATCH($B354&amp;$C354&amp;"baseline",$B$3:$B$700&amp;$C$3:$C$700&amp;$D$3:$D$700,0))</f>
        <v>45.391962111246379</v>
      </c>
      <c r="W354">
        <f t="array" ref="W354">INDEX(L$3:L$700,MATCH($B354&amp;$C354&amp;"baseline",$B$3:$B$700&amp;$C$3:$C$700&amp;$D$3:$D$700,0))</f>
        <v>37.749985101789981</v>
      </c>
      <c r="X354">
        <f t="array" ref="X354">INDEX(M$3:M$700,MATCH($B354&amp;$C354&amp;"baseline",$B$3:$B$700&amp;$C$3:$C$700&amp;$D$3:$D$700,0))</f>
        <v>11.425994758849107</v>
      </c>
      <c r="Y354">
        <f t="array" ref="Y354">INDEX(N$3:N$700,MATCH($B354&amp;$C354&amp;"baseline",$B$3:$B$700&amp;$C$3:$C$700&amp;$D$3:$D$700,0))</f>
        <v>0</v>
      </c>
      <c r="Z354">
        <f t="array" ref="Z354">INDEX(O$3:O$700,MATCH($B354&amp;$C354&amp;"baseline",$B$3:$B$700&amp;$C$3:$C$700&amp;$D$3:$D$700,0))</f>
        <v>30.927865062300786</v>
      </c>
      <c r="AA354">
        <f t="array" ref="AA354">INDEX(P$3:P$700,MATCH($B354&amp;$C354&amp;"baseline",$B$3:$B$700&amp;$C$3:$C$700&amp;$D$3:$D$700,0))</f>
        <v>12.67568754359594</v>
      </c>
      <c r="AB354">
        <f t="array" ref="AB354">INDEX(Q$3:Q$700,MATCH($B354&amp;$C354&amp;"baseline",$B$3:$B$700&amp;$C$3:$C$700&amp;$D$3:$D$700,0))</f>
        <v>0</v>
      </c>
      <c r="AC354">
        <f t="shared" si="41"/>
        <v>599.95004196727552</v>
      </c>
      <c r="AD354">
        <f t="shared" si="42"/>
        <v>7.2942081460807913</v>
      </c>
      <c r="AE354">
        <f t="shared" si="43"/>
        <v>-0.39489641962740052</v>
      </c>
      <c r="AF354">
        <f t="shared" si="44"/>
        <v>1.1499810390595349</v>
      </c>
      <c r="AG354">
        <f>(S354+V354+Y354)*constants!$O$2+(R354+T354+U354+W354+X354+Z354+AA354+AB354)*constants!$N$2</f>
        <v>20.724338311495895</v>
      </c>
      <c r="AH354">
        <f>((S354+V354+Y354)-(H354+K354+N354))*constants!$O$2</f>
        <v>0.11816617196650882</v>
      </c>
      <c r="AI354">
        <f>((R354+T354+U354+W354+X354+Z354+AA354+AB354)-(G354+I354+J354+L354+M354+O354+P354+Q354))*constants!$N$2</f>
        <v>-4.462329541789626E-2</v>
      </c>
      <c r="AJ354">
        <f t="shared" si="45"/>
        <v>0.35486236251903852</v>
      </c>
      <c r="AK354">
        <f t="shared" si="46"/>
        <v>7.3542876548612551E-2</v>
      </c>
      <c r="AL354">
        <f>COUNTIFS($B:$B,$B354,$AK:$AK,"&lt;"&amp;$AK354)+COUNTIFS($B$2:$B354,$B354,$AK$2:$AK354,$AK354)</f>
        <v>22</v>
      </c>
      <c r="AM354" s="191">
        <f>IF(AK354=0, "NA",IF(((sim_annual_output!F354/E354)/AK354)&lt;0,100,((sim_annual_output!F354/E354)/AK354)))</f>
        <v>20.080488280676395</v>
      </c>
      <c r="AN354">
        <f>(S354+V354)*constants!$F$2+(T354+U354+W354+X354+Y354+Z354+AA354+AB354)*constants!$G$2</f>
        <v>185950.53079162154</v>
      </c>
      <c r="AO354">
        <f>(AD354*constants!$F$2+AE354*constants!$G$2)</f>
        <v>962.10337307262319</v>
      </c>
      <c r="AP354">
        <f t="shared" si="47"/>
        <v>0.51739748683523146</v>
      </c>
    </row>
    <row r="355" spans="1:42">
      <c r="A355">
        <f>sim_annual_output!B355</f>
        <v>13</v>
      </c>
      <c r="B355" t="str">
        <f>sim_annual_output!C355</f>
        <v>Office</v>
      </c>
      <c r="C355" t="str">
        <f>sim_annual_output!D355</f>
        <v>1959-pre</v>
      </c>
      <c r="D355" t="str">
        <f>sim_annual_output!E355</f>
        <v>hrv_enabled</v>
      </c>
      <c r="E355" s="45">
        <f t="array" ref="E355">IFERROR(INDEX(baseline!$J$3:$J$201,MATCH($B355&amp;$C355,baseline!$C$3:$C$201&amp;baseline!$D$3:$D$201,0)),"NA")</f>
        <v>3418.6207140000001</v>
      </c>
      <c r="F355">
        <f>sim_annual_output!G355</f>
        <v>3418.6207139712501</v>
      </c>
      <c r="G355">
        <f>$E355/$F355^2*sim_annual_output!I355</f>
        <v>0</v>
      </c>
      <c r="H355">
        <f>$E355/$F355^2*sim_annual_output!J355</f>
        <v>368.71218686507996</v>
      </c>
      <c r="I355">
        <f>$E355/$F355^2*sim_annual_output!K355</f>
        <v>21.682738596208821</v>
      </c>
      <c r="J355">
        <f>$E355/$F355^2*sim_annual_output!L355</f>
        <v>0</v>
      </c>
      <c r="K355">
        <f>$E355/$F355^2*sim_annual_output!M355</f>
        <v>45.391962111246379</v>
      </c>
      <c r="L355">
        <f>$E355/$F355^2*sim_annual_output!N355</f>
        <v>37.749985101789981</v>
      </c>
      <c r="M355">
        <f>$E355/$F355^2*sim_annual_output!O355</f>
        <v>11.425994758849107</v>
      </c>
      <c r="N355">
        <f>$E355/$F355^2*sim_annual_output!P355</f>
        <v>0</v>
      </c>
      <c r="O355">
        <f>$E355/$F355^2*sim_annual_output!Q355</f>
        <v>30.86854934494934</v>
      </c>
      <c r="P355">
        <f>$E355/$F355^2*sim_annual_output!R355</f>
        <v>12.711439482821467</v>
      </c>
      <c r="Q355">
        <f>$E355/$F355^2*sim_annual_output!S355</f>
        <v>6.4052849298824865</v>
      </c>
      <c r="R355">
        <f t="array" ref="R355">INDEX(G$3:G$700,MATCH($B355&amp;$C355&amp;"baseline",$B$3:$B$700&amp;$C$3:$C$700&amp;$D$3:$D$700,0))</f>
        <v>0</v>
      </c>
      <c r="S355">
        <f t="array" ref="S355">INDEX(H$3:H$700,MATCH($B355&amp;$C355&amp;"baseline",$B$3:$B$700&amp;$C$3:$C$700&amp;$D$3:$D$700,0))</f>
        <v>440.8685382069998</v>
      </c>
      <c r="T355">
        <f t="array" ref="T355">INDEX(I$3:I$700,MATCH($B355&amp;$C355&amp;"baseline",$B$3:$B$700&amp;$C$3:$C$700&amp;$D$3:$D$700,0))</f>
        <v>20.910009182493454</v>
      </c>
      <c r="U355">
        <f t="array" ref="U355">INDEX(J$3:J$700,MATCH($B355&amp;$C355&amp;"baseline",$B$3:$B$700&amp;$C$3:$C$700&amp;$D$3:$D$700,0))</f>
        <v>0</v>
      </c>
      <c r="V355">
        <f t="array" ref="V355">INDEX(K$3:K$700,MATCH($B355&amp;$C355&amp;"baseline",$B$3:$B$700&amp;$C$3:$C$700&amp;$D$3:$D$700,0))</f>
        <v>45.391962111246379</v>
      </c>
      <c r="W355">
        <f t="array" ref="W355">INDEX(L$3:L$700,MATCH($B355&amp;$C355&amp;"baseline",$B$3:$B$700&amp;$C$3:$C$700&amp;$D$3:$D$700,0))</f>
        <v>37.749985101789981</v>
      </c>
      <c r="X355">
        <f t="array" ref="X355">INDEX(M$3:M$700,MATCH($B355&amp;$C355&amp;"baseline",$B$3:$B$700&amp;$C$3:$C$700&amp;$D$3:$D$700,0))</f>
        <v>11.425994758849107</v>
      </c>
      <c r="Y355">
        <f t="array" ref="Y355">INDEX(N$3:N$700,MATCH($B355&amp;$C355&amp;"baseline",$B$3:$B$700&amp;$C$3:$C$700&amp;$D$3:$D$700,0))</f>
        <v>0</v>
      </c>
      <c r="Z355">
        <f t="array" ref="Z355">INDEX(O$3:O$700,MATCH($B355&amp;$C355&amp;"baseline",$B$3:$B$700&amp;$C$3:$C$700&amp;$D$3:$D$700,0))</f>
        <v>30.927865062300786</v>
      </c>
      <c r="AA355">
        <f t="array" ref="AA355">INDEX(P$3:P$700,MATCH($B355&amp;$C355&amp;"baseline",$B$3:$B$700&amp;$C$3:$C$700&amp;$D$3:$D$700,0))</f>
        <v>12.67568754359594</v>
      </c>
      <c r="AB355">
        <f t="array" ref="AB355">INDEX(Q$3:Q$700,MATCH($B355&amp;$C355&amp;"baseline",$B$3:$B$700&amp;$C$3:$C$700&amp;$D$3:$D$700,0))</f>
        <v>0</v>
      </c>
      <c r="AC355">
        <f t="shared" si="41"/>
        <v>599.95004196727552</v>
      </c>
      <c r="AD355">
        <f t="shared" si="42"/>
        <v>72.156351341919844</v>
      </c>
      <c r="AE355">
        <f t="shared" si="43"/>
        <v>-7.154450565471933</v>
      </c>
      <c r="AF355">
        <f t="shared" si="44"/>
        <v>10.834552250934497</v>
      </c>
      <c r="AG355">
        <f>(S355+V355+Y355)*constants!$O$2+(R355+T355+U355+W355+X355+Z355+AA355+AB355)*constants!$N$2</f>
        <v>20.724338311495895</v>
      </c>
      <c r="AH355">
        <f>((S355+V355+Y355)-(H355+K355+N355))*constants!$O$2</f>
        <v>1.1689328917391013</v>
      </c>
      <c r="AI355">
        <f>((R355+T355+U355+W355+X355+Z355+AA355+AB355)-(G355+I355+J355+L355+M355+O355+P355+Q355))*constants!$N$2</f>
        <v>-0.80845291389832841</v>
      </c>
      <c r="AJ355">
        <f t="shared" si="45"/>
        <v>1.739404039938939</v>
      </c>
      <c r="AK355">
        <f t="shared" si="46"/>
        <v>0.3604799778407729</v>
      </c>
      <c r="AL355">
        <f>COUNTIFS($B:$B,$B355,$AK:$AK,"&lt;"&amp;$AK355)+COUNTIFS($B$2:$B355,$B355,$AK$2:$AK355,$AK355)</f>
        <v>31</v>
      </c>
      <c r="AM355" s="191">
        <f>IF(AK355=0, "NA",IF(((sim_annual_output!F355/E355)/AK355)&lt;0,100,((sim_annual_output!F355/E355)/AK355)))</f>
        <v>247.00731382484886</v>
      </c>
      <c r="AN355">
        <f>(S355+V355)*constants!$F$2+(T355+U355+W355+X355+Y355+Z355+AA355+AB355)*constants!$G$2</f>
        <v>185950.53079162154</v>
      </c>
      <c r="AO355">
        <f>(AD355*constants!$F$2+AE355*constants!$G$2)</f>
        <v>6691.6148982430705</v>
      </c>
      <c r="AP355">
        <f t="shared" si="47"/>
        <v>3.5985995144815028</v>
      </c>
    </row>
    <row r="356" spans="1:42">
      <c r="A356">
        <f>sim_annual_output!B356</f>
        <v>13</v>
      </c>
      <c r="B356" t="str">
        <f>sim_annual_output!C356</f>
        <v>Office</v>
      </c>
      <c r="C356" t="str">
        <f>sim_annual_output!D356</f>
        <v>1959-pre</v>
      </c>
      <c r="D356" t="str">
        <f>sim_annual_output!E356</f>
        <v>infil_reduce</v>
      </c>
      <c r="E356" s="45">
        <f t="array" ref="E356">IFERROR(INDEX(baseline!$J$3:$J$201,MATCH($B356&amp;$C356,baseline!$C$3:$C$201&amp;baseline!$D$3:$D$201,0)),"NA")</f>
        <v>3418.6207140000001</v>
      </c>
      <c r="F356">
        <f>sim_annual_output!G356</f>
        <v>3418.6207139712501</v>
      </c>
      <c r="G356">
        <f>$E356/$F356^2*sim_annual_output!I356</f>
        <v>0</v>
      </c>
      <c r="H356">
        <f>$E356/$F356^2*sim_annual_output!J356</f>
        <v>261.98696046836869</v>
      </c>
      <c r="I356">
        <f>$E356/$F356^2*sim_annual_output!K356</f>
        <v>17.824779336145134</v>
      </c>
      <c r="J356">
        <f>$E356/$F356^2*sim_annual_output!L356</f>
        <v>0</v>
      </c>
      <c r="K356">
        <f>$E356/$F356^2*sim_annual_output!M356</f>
        <v>45.389524479026456</v>
      </c>
      <c r="L356">
        <f>$E356/$F356^2*sim_annual_output!N356</f>
        <v>37.749985101789981</v>
      </c>
      <c r="M356">
        <f>$E356/$F356^2*sim_annual_output!O356</f>
        <v>11.425994758849107</v>
      </c>
      <c r="N356">
        <f>$E356/$F356^2*sim_annual_output!P356</f>
        <v>0</v>
      </c>
      <c r="O356">
        <f>$E356/$F356^2*sim_annual_output!Q356</f>
        <v>27.186099604720059</v>
      </c>
      <c r="P356">
        <f>$E356/$F356^2*sim_annual_output!R356</f>
        <v>8.4195816876116112</v>
      </c>
      <c r="Q356">
        <f>$E356/$F356^2*sim_annual_output!S356</f>
        <v>0</v>
      </c>
      <c r="R356">
        <f t="array" ref="R356">INDEX(G$3:G$700,MATCH($B356&amp;$C356&amp;"baseline",$B$3:$B$700&amp;$C$3:$C$700&amp;$D$3:$D$700,0))</f>
        <v>0</v>
      </c>
      <c r="S356">
        <f t="array" ref="S356">INDEX(H$3:H$700,MATCH($B356&amp;$C356&amp;"baseline",$B$3:$B$700&amp;$C$3:$C$700&amp;$D$3:$D$700,0))</f>
        <v>440.8685382069998</v>
      </c>
      <c r="T356">
        <f t="array" ref="T356">INDEX(I$3:I$700,MATCH($B356&amp;$C356&amp;"baseline",$B$3:$B$700&amp;$C$3:$C$700&amp;$D$3:$D$700,0))</f>
        <v>20.910009182493454</v>
      </c>
      <c r="U356">
        <f t="array" ref="U356">INDEX(J$3:J$700,MATCH($B356&amp;$C356&amp;"baseline",$B$3:$B$700&amp;$C$3:$C$700&amp;$D$3:$D$700,0))</f>
        <v>0</v>
      </c>
      <c r="V356">
        <f t="array" ref="V356">INDEX(K$3:K$700,MATCH($B356&amp;$C356&amp;"baseline",$B$3:$B$700&amp;$C$3:$C$700&amp;$D$3:$D$700,0))</f>
        <v>45.391962111246379</v>
      </c>
      <c r="W356">
        <f t="array" ref="W356">INDEX(L$3:L$700,MATCH($B356&amp;$C356&amp;"baseline",$B$3:$B$700&amp;$C$3:$C$700&amp;$D$3:$D$700,0))</f>
        <v>37.749985101789981</v>
      </c>
      <c r="X356">
        <f t="array" ref="X356">INDEX(M$3:M$700,MATCH($B356&amp;$C356&amp;"baseline",$B$3:$B$700&amp;$C$3:$C$700&amp;$D$3:$D$700,0))</f>
        <v>11.425994758849107</v>
      </c>
      <c r="Y356">
        <f t="array" ref="Y356">INDEX(N$3:N$700,MATCH($B356&amp;$C356&amp;"baseline",$B$3:$B$700&amp;$C$3:$C$700&amp;$D$3:$D$700,0))</f>
        <v>0</v>
      </c>
      <c r="Z356">
        <f t="array" ref="Z356">INDEX(O$3:O$700,MATCH($B356&amp;$C356&amp;"baseline",$B$3:$B$700&amp;$C$3:$C$700&amp;$D$3:$D$700,0))</f>
        <v>30.927865062300786</v>
      </c>
      <c r="AA356">
        <f t="array" ref="AA356">INDEX(P$3:P$700,MATCH($B356&amp;$C356&amp;"baseline",$B$3:$B$700&amp;$C$3:$C$700&amp;$D$3:$D$700,0))</f>
        <v>12.67568754359594</v>
      </c>
      <c r="AB356">
        <f t="array" ref="AB356">INDEX(Q$3:Q$700,MATCH($B356&amp;$C356&amp;"baseline",$B$3:$B$700&amp;$C$3:$C$700&amp;$D$3:$D$700,0))</f>
        <v>0</v>
      </c>
      <c r="AC356">
        <f t="shared" si="41"/>
        <v>599.95004196727552</v>
      </c>
      <c r="AD356">
        <f t="shared" si="42"/>
        <v>178.88401537085099</v>
      </c>
      <c r="AE356">
        <f t="shared" si="43"/>
        <v>11.083101159913369</v>
      </c>
      <c r="AF356">
        <f t="shared" si="44"/>
        <v>31.663822525597258</v>
      </c>
      <c r="AG356">
        <f>(S356+V356+Y356)*constants!$O$2+(R356+T356+U356+W356+X356+Z356+AA356+AB356)*constants!$N$2</f>
        <v>20.724338311495895</v>
      </c>
      <c r="AH356">
        <f>((S356+V356+Y356)-(H356+K356+N356))*constants!$O$2</f>
        <v>2.897921049007786</v>
      </c>
      <c r="AI356">
        <f>((R356+T356+U356+W356+X356+Z356+AA356+AB356)-(G356+I356+J356+L356+M356+O356+P356+Q356))*constants!$N$2</f>
        <v>1.2523904310702108</v>
      </c>
      <c r="AJ356">
        <f t="shared" si="45"/>
        <v>20.026267751939749</v>
      </c>
      <c r="AK356">
        <f t="shared" si="46"/>
        <v>4.1503114800779972</v>
      </c>
      <c r="AL356">
        <f>COUNTIFS($B:$B,$B356,$AK:$AK,"&lt;"&amp;$AK356)+COUNTIFS($B$2:$B356,$B356,$AK$2:$AK356,$AK356)</f>
        <v>64</v>
      </c>
      <c r="AM356" s="191">
        <f>IF(AK356=0, "NA",IF(((sim_annual_output!F356/E356)/AK356)&lt;0,100,((sim_annual_output!F356/E356)/AK356)))</f>
        <v>3.728686867836648</v>
      </c>
      <c r="AN356">
        <f>(S356+V356)*constants!$F$2+(T356+U356+W356+X356+Y356+Z356+AA356+AB356)*constants!$G$2</f>
        <v>185950.53079162154</v>
      </c>
      <c r="AO356">
        <f>(AD356*constants!$F$2+AE356*constants!$G$2)</f>
        <v>41662.536760506962</v>
      </c>
      <c r="AP356">
        <f t="shared" si="47"/>
        <v>22.405172269819719</v>
      </c>
    </row>
    <row r="357" spans="1:42">
      <c r="A357">
        <f>sim_annual_output!B357</f>
        <v>13</v>
      </c>
      <c r="B357" t="str">
        <f>sim_annual_output!C357</f>
        <v>Office</v>
      </c>
      <c r="C357" t="str">
        <f>sim_annual_output!D357</f>
        <v>1959-pre</v>
      </c>
      <c r="D357" t="str">
        <f>sim_annual_output!E357</f>
        <v>infil_reduce_plus_setback</v>
      </c>
      <c r="E357" s="45">
        <f t="array" ref="E357">IFERROR(INDEX(baseline!$J$3:$J$201,MATCH($B357&amp;$C357,baseline!$C$3:$C$201&amp;baseline!$D$3:$D$201,0)),"NA")</f>
        <v>3418.6207140000001</v>
      </c>
      <c r="F357">
        <f>sim_annual_output!G357</f>
        <v>3418.6207139712501</v>
      </c>
      <c r="G357">
        <f>$E357/$F357^2*sim_annual_output!I357</f>
        <v>0</v>
      </c>
      <c r="H357">
        <f>$E357/$F357^2*sim_annual_output!J357</f>
        <v>236.47063893429538</v>
      </c>
      <c r="I357">
        <f>$E357/$F357^2*sim_annual_output!K357</f>
        <v>17.510324779775157</v>
      </c>
      <c r="J357">
        <f>$E357/$F357^2*sim_annual_output!L357</f>
        <v>0</v>
      </c>
      <c r="K357">
        <f>$E357/$F357^2*sim_annual_output!M357</f>
        <v>45.388711934953143</v>
      </c>
      <c r="L357">
        <f>$E357/$F357^2*sim_annual_output!N357</f>
        <v>37.749985101789981</v>
      </c>
      <c r="M357">
        <f>$E357/$F357^2*sim_annual_output!O357</f>
        <v>11.425994758849107</v>
      </c>
      <c r="N357">
        <f>$E357/$F357^2*sim_annual_output!P357</f>
        <v>0</v>
      </c>
      <c r="O357">
        <f>$E357/$F357^2*sim_annual_output!Q357</f>
        <v>27.149535121421227</v>
      </c>
      <c r="P357">
        <f>$E357/$F357^2*sim_annual_output!R357</f>
        <v>8.6194675296452381</v>
      </c>
      <c r="Q357">
        <f>$E357/$F357^2*sim_annual_output!S357</f>
        <v>0</v>
      </c>
      <c r="R357">
        <f t="array" ref="R357">INDEX(G$3:G$700,MATCH($B357&amp;$C357&amp;"baseline",$B$3:$B$700&amp;$C$3:$C$700&amp;$D$3:$D$700,0))</f>
        <v>0</v>
      </c>
      <c r="S357">
        <f t="array" ref="S357">INDEX(H$3:H$700,MATCH($B357&amp;$C357&amp;"baseline",$B$3:$B$700&amp;$C$3:$C$700&amp;$D$3:$D$700,0))</f>
        <v>440.8685382069998</v>
      </c>
      <c r="T357">
        <f t="array" ref="T357">INDEX(I$3:I$700,MATCH($B357&amp;$C357&amp;"baseline",$B$3:$B$700&amp;$C$3:$C$700&amp;$D$3:$D$700,0))</f>
        <v>20.910009182493454</v>
      </c>
      <c r="U357">
        <f t="array" ref="U357">INDEX(J$3:J$700,MATCH($B357&amp;$C357&amp;"baseline",$B$3:$B$700&amp;$C$3:$C$700&amp;$D$3:$D$700,0))</f>
        <v>0</v>
      </c>
      <c r="V357">
        <f t="array" ref="V357">INDEX(K$3:K$700,MATCH($B357&amp;$C357&amp;"baseline",$B$3:$B$700&amp;$C$3:$C$700&amp;$D$3:$D$700,0))</f>
        <v>45.391962111246379</v>
      </c>
      <c r="W357">
        <f t="array" ref="W357">INDEX(L$3:L$700,MATCH($B357&amp;$C357&amp;"baseline",$B$3:$B$700&amp;$C$3:$C$700&amp;$D$3:$D$700,0))</f>
        <v>37.749985101789981</v>
      </c>
      <c r="X357">
        <f t="array" ref="X357">INDEX(M$3:M$700,MATCH($B357&amp;$C357&amp;"baseline",$B$3:$B$700&amp;$C$3:$C$700&amp;$D$3:$D$700,0))</f>
        <v>11.425994758849107</v>
      </c>
      <c r="Y357">
        <f t="array" ref="Y357">INDEX(N$3:N$700,MATCH($B357&amp;$C357&amp;"baseline",$B$3:$B$700&amp;$C$3:$C$700&amp;$D$3:$D$700,0))</f>
        <v>0</v>
      </c>
      <c r="Z357">
        <f t="array" ref="Z357">INDEX(O$3:O$700,MATCH($B357&amp;$C357&amp;"baseline",$B$3:$B$700&amp;$C$3:$C$700&amp;$D$3:$D$700,0))</f>
        <v>30.927865062300786</v>
      </c>
      <c r="AA357">
        <f t="array" ref="AA357">INDEX(P$3:P$700,MATCH($B357&amp;$C357&amp;"baseline",$B$3:$B$700&amp;$C$3:$C$700&amp;$D$3:$D$700,0))</f>
        <v>12.67568754359594</v>
      </c>
      <c r="AB357">
        <f t="array" ref="AB357">INDEX(Q$3:Q$700,MATCH($B357&amp;$C357&amp;"baseline",$B$3:$B$700&amp;$C$3:$C$700&amp;$D$3:$D$700,0))</f>
        <v>0</v>
      </c>
      <c r="AC357">
        <f t="shared" si="41"/>
        <v>599.95004196727552</v>
      </c>
      <c r="AD357">
        <f t="shared" si="42"/>
        <v>204.40114944899761</v>
      </c>
      <c r="AE357">
        <f t="shared" si="43"/>
        <v>11.234234357548559</v>
      </c>
      <c r="AF357">
        <f t="shared" si="44"/>
        <v>35.942223305704523</v>
      </c>
      <c r="AG357">
        <f>(S357+V357+Y357)*constants!$O$2+(R357+T357+U357+W357+X357+Z357+AA357+AB357)*constants!$N$2</f>
        <v>20.724338311495895</v>
      </c>
      <c r="AH357">
        <f>((S357+V357+Y357)-(H357+K357+N357))*constants!$O$2</f>
        <v>3.3112986210737612</v>
      </c>
      <c r="AI357">
        <f>((R357+T357+U357+W357+X357+Z357+AA357+AB357)-(G357+I357+J357+L357+M357+O357+P357+Q357))*constants!$N$2</f>
        <v>1.2694684824029872</v>
      </c>
      <c r="AJ357">
        <f t="shared" si="45"/>
        <v>22.103321392585904</v>
      </c>
      <c r="AK357">
        <f t="shared" si="46"/>
        <v>4.5807671034767488</v>
      </c>
      <c r="AL357">
        <f>COUNTIFS($B:$B,$B357,$AK:$AK,"&lt;"&amp;$AK357)+COUNTIFS($B$2:$B357,$B357,$AK$2:$AK357,$AK357)</f>
        <v>68</v>
      </c>
      <c r="AM357" s="191">
        <f>IF(AK357=0, "NA",IF(((sim_annual_output!F357/E357)/AK357)&lt;0,100,((sim_annual_output!F357/E357)/AK357)))</f>
        <v>4.9299729782299551</v>
      </c>
      <c r="AN357">
        <f>(S357+V357)*constants!$F$2+(T357+U357+W357+X357+Y357+Z357+AA357+AB357)*constants!$G$2</f>
        <v>185950.53079162154</v>
      </c>
      <c r="AO357">
        <f>(AD357*constants!$F$2+AE357*constants!$G$2)</f>
        <v>46361.589642437815</v>
      </c>
      <c r="AP357">
        <f t="shared" si="47"/>
        <v>24.932216888582687</v>
      </c>
    </row>
    <row r="358" spans="1:42">
      <c r="A358">
        <f>sim_annual_output!B358</f>
        <v>13</v>
      </c>
      <c r="B358" t="str">
        <f>sim_annual_output!C358</f>
        <v>Office</v>
      </c>
      <c r="C358" t="str">
        <f>sim_annual_output!D358</f>
        <v>1959-pre</v>
      </c>
      <c r="D358" t="str">
        <f>sim_annual_output!E358</f>
        <v>lights_reduce_70p</v>
      </c>
      <c r="E358" s="45">
        <f t="array" ref="E358">IFERROR(INDEX(baseline!$J$3:$J$201,MATCH($B358&amp;$C358,baseline!$C$3:$C$201&amp;baseline!$D$3:$D$201,0)),"NA")</f>
        <v>3418.6207140000001</v>
      </c>
      <c r="F358">
        <f>sim_annual_output!G358</f>
        <v>3418.6207139712501</v>
      </c>
      <c r="G358">
        <f>$E358/$F358^2*sim_annual_output!I358</f>
        <v>0</v>
      </c>
      <c r="H358">
        <f>$E358/$F358^2*sim_annual_output!J358</f>
        <v>447.41358071749119</v>
      </c>
      <c r="I358">
        <f>$E358/$F358^2*sim_annual_output!K358</f>
        <v>21.156210036705605</v>
      </c>
      <c r="J358">
        <f>$E358/$F358^2*sim_annual_output!L358</f>
        <v>0</v>
      </c>
      <c r="K358">
        <f>$E358/$F358^2*sim_annual_output!M358</f>
        <v>45.391962111246379</v>
      </c>
      <c r="L358">
        <f>$E358/$F358^2*sim_annual_output!N358</f>
        <v>26.425558352104304</v>
      </c>
      <c r="M358">
        <f>$E358/$F358^2*sim_annual_output!O358</f>
        <v>11.425994758849107</v>
      </c>
      <c r="N358">
        <f>$E358/$F358^2*sim_annual_output!P358</f>
        <v>0</v>
      </c>
      <c r="O358">
        <f>$E358/$F358^2*sim_annual_output!Q358</f>
        <v>31.018869998511214</v>
      </c>
      <c r="P358">
        <f>$E358/$F358^2*sim_annual_output!R358</f>
        <v>12.795131522372131</v>
      </c>
      <c r="Q358">
        <f>$E358/$F358^2*sim_annual_output!S358</f>
        <v>0</v>
      </c>
      <c r="R358">
        <f t="array" ref="R358">INDEX(G$3:G$700,MATCH($B358&amp;$C358&amp;"baseline",$B$3:$B$700&amp;$C$3:$C$700&amp;$D$3:$D$700,0))</f>
        <v>0</v>
      </c>
      <c r="S358">
        <f t="array" ref="S358">INDEX(H$3:H$700,MATCH($B358&amp;$C358&amp;"baseline",$B$3:$B$700&amp;$C$3:$C$700&amp;$D$3:$D$700,0))</f>
        <v>440.8685382069998</v>
      </c>
      <c r="T358">
        <f t="array" ref="T358">INDEX(I$3:I$700,MATCH($B358&amp;$C358&amp;"baseline",$B$3:$B$700&amp;$C$3:$C$700&amp;$D$3:$D$700,0))</f>
        <v>20.910009182493454</v>
      </c>
      <c r="U358">
        <f t="array" ref="U358">INDEX(J$3:J$700,MATCH($B358&amp;$C358&amp;"baseline",$B$3:$B$700&amp;$C$3:$C$700&amp;$D$3:$D$700,0))</f>
        <v>0</v>
      </c>
      <c r="V358">
        <f t="array" ref="V358">INDEX(K$3:K$700,MATCH($B358&amp;$C358&amp;"baseline",$B$3:$B$700&amp;$C$3:$C$700&amp;$D$3:$D$700,0))</f>
        <v>45.391962111246379</v>
      </c>
      <c r="W358">
        <f t="array" ref="W358">INDEX(L$3:L$700,MATCH($B358&amp;$C358&amp;"baseline",$B$3:$B$700&amp;$C$3:$C$700&amp;$D$3:$D$700,0))</f>
        <v>37.749985101789981</v>
      </c>
      <c r="X358">
        <f t="array" ref="X358">INDEX(M$3:M$700,MATCH($B358&amp;$C358&amp;"baseline",$B$3:$B$700&amp;$C$3:$C$700&amp;$D$3:$D$700,0))</f>
        <v>11.425994758849107</v>
      </c>
      <c r="Y358">
        <f t="array" ref="Y358">INDEX(N$3:N$700,MATCH($B358&amp;$C358&amp;"baseline",$B$3:$B$700&amp;$C$3:$C$700&amp;$D$3:$D$700,0))</f>
        <v>0</v>
      </c>
      <c r="Z358">
        <f t="array" ref="Z358">INDEX(O$3:O$700,MATCH($B358&amp;$C358&amp;"baseline",$B$3:$B$700&amp;$C$3:$C$700&amp;$D$3:$D$700,0))</f>
        <v>30.927865062300786</v>
      </c>
      <c r="AA358">
        <f t="array" ref="AA358">INDEX(P$3:P$700,MATCH($B358&amp;$C358&amp;"baseline",$B$3:$B$700&amp;$C$3:$C$700&amp;$D$3:$D$700,0))</f>
        <v>12.67568754359594</v>
      </c>
      <c r="AB358">
        <f t="array" ref="AB358">INDEX(Q$3:Q$700,MATCH($B358&amp;$C358&amp;"baseline",$B$3:$B$700&amp;$C$3:$C$700&amp;$D$3:$D$700,0))</f>
        <v>0</v>
      </c>
      <c r="AC358">
        <f t="shared" si="41"/>
        <v>599.95004196727552</v>
      </c>
      <c r="AD358">
        <f t="shared" si="42"/>
        <v>-6.5450425104913847</v>
      </c>
      <c r="AE358">
        <f t="shared" si="43"/>
        <v>10.867776980486909</v>
      </c>
      <c r="AF358">
        <f t="shared" si="44"/>
        <v>0.72051573758058152</v>
      </c>
      <c r="AG358">
        <f>(S358+V358+Y358)*constants!$O$2+(R358+T358+U358+W358+X358+Z358+AA358+AB358)*constants!$N$2</f>
        <v>20.724338311495895</v>
      </c>
      <c r="AH358">
        <f>((S358+V358+Y358)-(H358+K358+N358))*constants!$O$2</f>
        <v>-0.10602968866996043</v>
      </c>
      <c r="AI358">
        <f>((R358+T358+U358+W358+X358+Z358+AA358+AB358)-(G358+I358+J358+L358+M358+O358+P358+Q358))*constants!$N$2</f>
        <v>1.2280587987950207</v>
      </c>
      <c r="AJ358">
        <f t="shared" si="45"/>
        <v>5.4140648220486964</v>
      </c>
      <c r="AK358">
        <f t="shared" si="46"/>
        <v>1.1220291101250601</v>
      </c>
      <c r="AL358">
        <f>COUNTIFS($B:$B,$B358,$AK:$AK,"&lt;"&amp;$AK358)+COUNTIFS($B$2:$B358,$B358,$AK$2:$AK358,$AK358)</f>
        <v>47</v>
      </c>
      <c r="AM358" s="191">
        <f>IF(AK358=0, "NA",IF(((sim_annual_output!F358/E358)/AK358)&lt;0,100,((sim_annual_output!F358/E358)/AK358)))</f>
        <v>21.052601625154921</v>
      </c>
      <c r="AN358">
        <f>(S358+V358)*constants!$F$2+(T358+U358+W358+X358+Y358+Z358+AA358+AB358)*constants!$G$2</f>
        <v>185950.53079162154</v>
      </c>
      <c r="AO358">
        <f>(AD358*constants!$F$2+AE358*constants!$G$2)</f>
        <v>8283.4033636456534</v>
      </c>
      <c r="AP358">
        <f t="shared" si="47"/>
        <v>4.4546274368682157</v>
      </c>
    </row>
    <row r="359" spans="1:42">
      <c r="A359">
        <f>sim_annual_output!B359</f>
        <v>13</v>
      </c>
      <c r="B359" t="str">
        <f>sim_annual_output!C359</f>
        <v>Office</v>
      </c>
      <c r="C359" t="str">
        <f>sim_annual_output!D359</f>
        <v>1959-pre</v>
      </c>
      <c r="D359" t="str">
        <f>sim_annual_output!E359</f>
        <v>load_reduce</v>
      </c>
      <c r="E359" s="45">
        <f t="array" ref="E359">IFERROR(INDEX(baseline!$J$3:$J$201,MATCH($B359&amp;$C359,baseline!$C$3:$C$201&amp;baseline!$D$3:$D$201,0)),"NA")</f>
        <v>3418.6207140000001</v>
      </c>
      <c r="F359">
        <f>sim_annual_output!G359</f>
        <v>3418.6207139712501</v>
      </c>
      <c r="G359">
        <f>$E359/$F359^2*sim_annual_output!I359</f>
        <v>0</v>
      </c>
      <c r="H359">
        <f>$E359/$F359^2*sim_annual_output!J359</f>
        <v>160.09393367561671</v>
      </c>
      <c r="I359">
        <f>$E359/$F359^2*sim_annual_output!K359</f>
        <v>17.510324779775157</v>
      </c>
      <c r="J359">
        <f>$E359/$F359^2*sim_annual_output!L359</f>
        <v>0</v>
      </c>
      <c r="K359">
        <f>$E359/$F359^2*sim_annual_output!M359</f>
        <v>45.388711934953143</v>
      </c>
      <c r="L359">
        <f>$E359/$F359^2*sim_annual_output!N359</f>
        <v>37.749985101789981</v>
      </c>
      <c r="M359">
        <f>$E359/$F359^2*sim_annual_output!O359</f>
        <v>11.425994758849107</v>
      </c>
      <c r="N359">
        <f>$E359/$F359^2*sim_annual_output!P359</f>
        <v>0</v>
      </c>
      <c r="O359">
        <f>$E359/$F359^2*sim_annual_output!Q359</f>
        <v>27.150347665494532</v>
      </c>
      <c r="P359">
        <f>$E359/$F359^2*sim_annual_output!R359</f>
        <v>7.6492899061161639</v>
      </c>
      <c r="Q359">
        <f>$E359/$F359^2*sim_annual_output!S359</f>
        <v>0</v>
      </c>
      <c r="R359">
        <f t="array" ref="R359">INDEX(G$3:G$700,MATCH($B359&amp;$C359&amp;"baseline",$B$3:$B$700&amp;$C$3:$C$700&amp;$D$3:$D$700,0))</f>
        <v>0</v>
      </c>
      <c r="S359">
        <f t="array" ref="S359">INDEX(H$3:H$700,MATCH($B359&amp;$C359&amp;"baseline",$B$3:$B$700&amp;$C$3:$C$700&amp;$D$3:$D$700,0))</f>
        <v>440.8685382069998</v>
      </c>
      <c r="T359">
        <f t="array" ref="T359">INDEX(I$3:I$700,MATCH($B359&amp;$C359&amp;"baseline",$B$3:$B$700&amp;$C$3:$C$700&amp;$D$3:$D$700,0))</f>
        <v>20.910009182493454</v>
      </c>
      <c r="U359">
        <f t="array" ref="U359">INDEX(J$3:J$700,MATCH($B359&amp;$C359&amp;"baseline",$B$3:$B$700&amp;$C$3:$C$700&amp;$D$3:$D$700,0))</f>
        <v>0</v>
      </c>
      <c r="V359">
        <f t="array" ref="V359">INDEX(K$3:K$700,MATCH($B359&amp;$C359&amp;"baseline",$B$3:$B$700&amp;$C$3:$C$700&amp;$D$3:$D$700,0))</f>
        <v>45.391962111246379</v>
      </c>
      <c r="W359">
        <f t="array" ref="W359">INDEX(L$3:L$700,MATCH($B359&amp;$C359&amp;"baseline",$B$3:$B$700&amp;$C$3:$C$700&amp;$D$3:$D$700,0))</f>
        <v>37.749985101789981</v>
      </c>
      <c r="X359">
        <f t="array" ref="X359">INDEX(M$3:M$700,MATCH($B359&amp;$C359&amp;"baseline",$B$3:$B$700&amp;$C$3:$C$700&amp;$D$3:$D$700,0))</f>
        <v>11.425994758849107</v>
      </c>
      <c r="Y359">
        <f t="array" ref="Y359">INDEX(N$3:N$700,MATCH($B359&amp;$C359&amp;"baseline",$B$3:$B$700&amp;$C$3:$C$700&amp;$D$3:$D$700,0))</f>
        <v>0</v>
      </c>
      <c r="Z359">
        <f t="array" ref="Z359">INDEX(O$3:O$700,MATCH($B359&amp;$C359&amp;"baseline",$B$3:$B$700&amp;$C$3:$C$700&amp;$D$3:$D$700,0))</f>
        <v>30.927865062300786</v>
      </c>
      <c r="AA359">
        <f t="array" ref="AA359">INDEX(P$3:P$700,MATCH($B359&amp;$C359&amp;"baseline",$B$3:$B$700&amp;$C$3:$C$700&amp;$D$3:$D$700,0))</f>
        <v>12.67568754359594</v>
      </c>
      <c r="AB359">
        <f t="array" ref="AB359">INDEX(Q$3:Q$700,MATCH($B359&amp;$C359&amp;"baseline",$B$3:$B$700&amp;$C$3:$C$700&amp;$D$3:$D$700,0))</f>
        <v>0</v>
      </c>
      <c r="AC359">
        <f t="shared" si="41"/>
        <v>599.95004196727552</v>
      </c>
      <c r="AD359">
        <f t="shared" si="42"/>
        <v>280.77785470767628</v>
      </c>
      <c r="AE359">
        <f t="shared" si="43"/>
        <v>12.203599437004314</v>
      </c>
      <c r="AF359">
        <f t="shared" si="44"/>
        <v>48.834308467414253</v>
      </c>
      <c r="AG359">
        <f>(S359+V359+Y359)*constants!$O$2+(R359+T359+U359+W359+X359+Z359+AA359+AB359)*constants!$N$2</f>
        <v>20.724338311495895</v>
      </c>
      <c r="AH359">
        <f>((S359+V359+Y359)-(H359+K359+N359))*constants!$O$2</f>
        <v>4.5486012462643552</v>
      </c>
      <c r="AI359">
        <f>((R359+T359+U359+W359+X359+Z359+AA359+AB359)-(G359+I359+J359+L359+M359+O359+P359+Q359))*constants!$N$2</f>
        <v>1.3790067363814875</v>
      </c>
      <c r="AJ359">
        <f t="shared" si="45"/>
        <v>28.602157972675869</v>
      </c>
      <c r="AK359">
        <f t="shared" si="46"/>
        <v>5.927607982645843</v>
      </c>
      <c r="AL359">
        <f>COUNTIFS($B:$B,$B359,$AK:$AK,"&lt;"&amp;$AK359)+COUNTIFS($B$2:$B359,$B359,$AK$2:$AK359,$AK359)</f>
        <v>69</v>
      </c>
      <c r="AM359" s="191">
        <f>IF(AK359=0, "NA",IF(((sim_annual_output!F359/E359)/AK359)&lt;0,100,((sim_annual_output!F359/E359)/AK359)))</f>
        <v>3.8556603534045713</v>
      </c>
      <c r="AN359">
        <f>(S359+V359)*constants!$F$2+(T359+U359+W359+X359+Y359+Z359+AA359+AB359)*constants!$G$2</f>
        <v>185950.53079162154</v>
      </c>
      <c r="AO359">
        <f>(AD359*constants!$F$2+AE359*constants!$G$2)</f>
        <v>60876.367502867804</v>
      </c>
      <c r="AP359">
        <f t="shared" si="47"/>
        <v>32.737936936080388</v>
      </c>
    </row>
    <row r="360" spans="1:42">
      <c r="A360">
        <f>sim_annual_output!B360</f>
        <v>13</v>
      </c>
      <c r="B360" t="str">
        <f>sim_annual_output!C360</f>
        <v>Office</v>
      </c>
      <c r="C360" t="str">
        <f>sim_annual_output!D360</f>
        <v>1959-pre</v>
      </c>
      <c r="D360" t="str">
        <f>sim_annual_output!E360</f>
        <v>occupancy_setback</v>
      </c>
      <c r="E360" s="45">
        <f t="array" ref="E360">IFERROR(INDEX(baseline!$J$3:$J$201,MATCH($B360&amp;$C360,baseline!$C$3:$C$201&amp;baseline!$D$3:$D$201,0)),"NA")</f>
        <v>3418.6207140000001</v>
      </c>
      <c r="F360">
        <f>sim_annual_output!G360</f>
        <v>3418.6207139712501</v>
      </c>
      <c r="G360">
        <f>$E360/$F360^2*sim_annual_output!I360</f>
        <v>0</v>
      </c>
      <c r="H360">
        <f>$E360/$F360^2*sim_annual_output!J360</f>
        <v>414.55917365737849</v>
      </c>
      <c r="I360">
        <f>$E360/$F360^2*sim_annual_output!K360</f>
        <v>24.659087536733946</v>
      </c>
      <c r="J360">
        <f>$E360/$F360^2*sim_annual_output!L360</f>
        <v>0</v>
      </c>
      <c r="K360">
        <f>$E360/$F360^2*sim_annual_output!M360</f>
        <v>45.390337023099761</v>
      </c>
      <c r="L360">
        <f>$E360/$F360^2*sim_annual_output!N360</f>
        <v>37.749985101789981</v>
      </c>
      <c r="M360">
        <f>$E360/$F360^2*sim_annual_output!O360</f>
        <v>11.425994758849107</v>
      </c>
      <c r="N360">
        <f>$E360/$F360^2*sim_annual_output!P360</f>
        <v>0</v>
      </c>
      <c r="O360">
        <f>$E360/$F360^2*sim_annual_output!Q360</f>
        <v>31.793224500373199</v>
      </c>
      <c r="P360">
        <f>$E360/$F360^2*sim_annual_output!R360</f>
        <v>13.754746072948208</v>
      </c>
      <c r="Q360">
        <f>$E360/$F360^2*sim_annual_output!S360</f>
        <v>0</v>
      </c>
      <c r="R360">
        <f t="array" ref="R360">INDEX(G$3:G$700,MATCH($B360&amp;$C360&amp;"baseline",$B$3:$B$700&amp;$C$3:$C$700&amp;$D$3:$D$700,0))</f>
        <v>0</v>
      </c>
      <c r="S360">
        <f t="array" ref="S360">INDEX(H$3:H$700,MATCH($B360&amp;$C360&amp;"baseline",$B$3:$B$700&amp;$C$3:$C$700&amp;$D$3:$D$700,0))</f>
        <v>440.8685382069998</v>
      </c>
      <c r="T360">
        <f t="array" ref="T360">INDEX(I$3:I$700,MATCH($B360&amp;$C360&amp;"baseline",$B$3:$B$700&amp;$C$3:$C$700&amp;$D$3:$D$700,0))</f>
        <v>20.910009182493454</v>
      </c>
      <c r="U360">
        <f t="array" ref="U360">INDEX(J$3:J$700,MATCH($B360&amp;$C360&amp;"baseline",$B$3:$B$700&amp;$C$3:$C$700&amp;$D$3:$D$700,0))</f>
        <v>0</v>
      </c>
      <c r="V360">
        <f t="array" ref="V360">INDEX(K$3:K$700,MATCH($B360&amp;$C360&amp;"baseline",$B$3:$B$700&amp;$C$3:$C$700&amp;$D$3:$D$700,0))</f>
        <v>45.391962111246379</v>
      </c>
      <c r="W360">
        <f t="array" ref="W360">INDEX(L$3:L$700,MATCH($B360&amp;$C360&amp;"baseline",$B$3:$B$700&amp;$C$3:$C$700&amp;$D$3:$D$700,0))</f>
        <v>37.749985101789981</v>
      </c>
      <c r="X360">
        <f t="array" ref="X360">INDEX(M$3:M$700,MATCH($B360&amp;$C360&amp;"baseline",$B$3:$B$700&amp;$C$3:$C$700&amp;$D$3:$D$700,0))</f>
        <v>11.425994758849107</v>
      </c>
      <c r="Y360">
        <f t="array" ref="Y360">INDEX(N$3:N$700,MATCH($B360&amp;$C360&amp;"baseline",$B$3:$B$700&amp;$C$3:$C$700&amp;$D$3:$D$700,0))</f>
        <v>0</v>
      </c>
      <c r="Z360">
        <f t="array" ref="Z360">INDEX(O$3:O$700,MATCH($B360&amp;$C360&amp;"baseline",$B$3:$B$700&amp;$C$3:$C$700&amp;$D$3:$D$700,0))</f>
        <v>30.927865062300786</v>
      </c>
      <c r="AA360">
        <f t="array" ref="AA360">INDEX(P$3:P$700,MATCH($B360&amp;$C360&amp;"baseline",$B$3:$B$700&amp;$C$3:$C$700&amp;$D$3:$D$700,0))</f>
        <v>12.67568754359594</v>
      </c>
      <c r="AB360">
        <f t="array" ref="AB360">INDEX(Q$3:Q$700,MATCH($B360&amp;$C360&amp;"baseline",$B$3:$B$700&amp;$C$3:$C$700&amp;$D$3:$D$700,0))</f>
        <v>0</v>
      </c>
      <c r="AC360">
        <f t="shared" si="41"/>
        <v>599.95004196727552</v>
      </c>
      <c r="AD360">
        <f t="shared" si="42"/>
        <v>26.310989637767875</v>
      </c>
      <c r="AE360">
        <f t="shared" si="43"/>
        <v>-5.6934963216651653</v>
      </c>
      <c r="AF360">
        <f t="shared" si="44"/>
        <v>3.436535023565729</v>
      </c>
      <c r="AG360">
        <f>(S360+V360+Y360)*constants!$O$2+(R360+T360+U360+W360+X360+Z360+AA360+AB360)*constants!$N$2</f>
        <v>20.724338311495895</v>
      </c>
      <c r="AH360">
        <f>((S360+V360+Y360)-(H360+K360+N360))*constants!$O$2</f>
        <v>0.42623803213183953</v>
      </c>
      <c r="AI360">
        <f>((R360+T360+U360+W360+X360+Z360+AA360+AB360)-(G360+I360+J360+L360+M360+O360+P360+Q360))*constants!$N$2</f>
        <v>-0.64336508434816364</v>
      </c>
      <c r="AJ360">
        <f t="shared" si="45"/>
        <v>-1.0476911202317261</v>
      </c>
      <c r="AK360">
        <f t="shared" si="46"/>
        <v>-0.21712705221632411</v>
      </c>
      <c r="AL360">
        <f>COUNTIFS($B:$B,$B360,$AK:$AK,"&lt;"&amp;$AK360)+COUNTIFS($B$2:$B360,$B360,$AK$2:$AK360,$AK360)</f>
        <v>13</v>
      </c>
      <c r="AM360" s="191">
        <f>IF(AK360=0, "NA",IF(((sim_annual_output!F360/E360)/AK360)&lt;0,100,((sim_annual_output!F360/E360)/AK360)))</f>
        <v>100</v>
      </c>
      <c r="AN360">
        <f>(S360+V360)*constants!$F$2+(T360+U360+W360+X360+Y360+Z360+AA360+AB360)*constants!$G$2</f>
        <v>185950.53079162154</v>
      </c>
      <c r="AO360">
        <f>(AD360*constants!$F$2+AE360*constants!$G$2)</f>
        <v>-243.67465468824412</v>
      </c>
      <c r="AP360">
        <f t="shared" si="47"/>
        <v>-0.13104273144630543</v>
      </c>
    </row>
    <row r="361" spans="1:42">
      <c r="A361">
        <f>sim_annual_output!B361</f>
        <v>13</v>
      </c>
      <c r="B361" t="str">
        <f>sim_annual_output!C361</f>
        <v>Office</v>
      </c>
      <c r="C361" t="str">
        <f>sim_annual_output!D361</f>
        <v>1959-pre</v>
      </c>
      <c r="D361" t="str">
        <f>sim_annual_output!E361</f>
        <v>payback_less_than_20</v>
      </c>
      <c r="E361" s="45">
        <f t="array" ref="E361">IFERROR(INDEX(baseline!$J$3:$J$201,MATCH($B361&amp;$C361,baseline!$C$3:$C$201&amp;baseline!$D$3:$D$201,0)),"NA")</f>
        <v>3418.6207140000001</v>
      </c>
      <c r="F361">
        <f>sim_annual_output!G361</f>
        <v>3418.6207139712501</v>
      </c>
      <c r="G361">
        <f>$E361/$F361^2*sim_annual_output!I361</f>
        <v>0</v>
      </c>
      <c r="H361">
        <f>$E361/$F361^2*sim_annual_output!J361</f>
        <v>73.304476117503285</v>
      </c>
      <c r="I361">
        <f>$E361/$F361^2*sim_annual_output!K361</f>
        <v>2.5140113628131946</v>
      </c>
      <c r="J361">
        <f>$E361/$F361^2*sim_annual_output!L361</f>
        <v>0</v>
      </c>
      <c r="K361">
        <f>$E361/$F361^2*sim_annual_output!M361</f>
        <v>45.388711934953143</v>
      </c>
      <c r="L361">
        <f>$E361/$F361^2*sim_annual_output!N361</f>
        <v>26.425558352104304</v>
      </c>
      <c r="M361">
        <f>$E361/$F361^2*sim_annual_output!O361</f>
        <v>11.425994758849107</v>
      </c>
      <c r="N361">
        <f>$E361/$F361^2*sim_annual_output!P361</f>
        <v>0</v>
      </c>
      <c r="O361">
        <f>$E361/$F361^2*sim_annual_output!Q361</f>
        <v>10.843400658287679</v>
      </c>
      <c r="P361">
        <f>$E361/$F361^2*sim_annual_output!R361</f>
        <v>5.5415505799566853</v>
      </c>
      <c r="Q361">
        <f>$E361/$F361^2*sim_annual_output!S361</f>
        <v>0</v>
      </c>
      <c r="R361">
        <f t="array" ref="R361">INDEX(G$3:G$700,MATCH($B361&amp;$C361&amp;"baseline",$B$3:$B$700&amp;$C$3:$C$700&amp;$D$3:$D$700,0))</f>
        <v>0</v>
      </c>
      <c r="S361">
        <f t="array" ref="S361">INDEX(H$3:H$700,MATCH($B361&amp;$C361&amp;"baseline",$B$3:$B$700&amp;$C$3:$C$700&amp;$D$3:$D$700,0))</f>
        <v>440.8685382069998</v>
      </c>
      <c r="T361">
        <f t="array" ref="T361">INDEX(I$3:I$700,MATCH($B361&amp;$C361&amp;"baseline",$B$3:$B$700&amp;$C$3:$C$700&amp;$D$3:$D$700,0))</f>
        <v>20.910009182493454</v>
      </c>
      <c r="U361">
        <f t="array" ref="U361">INDEX(J$3:J$700,MATCH($B361&amp;$C361&amp;"baseline",$B$3:$B$700&amp;$C$3:$C$700&amp;$D$3:$D$700,0))</f>
        <v>0</v>
      </c>
      <c r="V361">
        <f t="array" ref="V361">INDEX(K$3:K$700,MATCH($B361&amp;$C361&amp;"baseline",$B$3:$B$700&amp;$C$3:$C$700&amp;$D$3:$D$700,0))</f>
        <v>45.391962111246379</v>
      </c>
      <c r="W361">
        <f t="array" ref="W361">INDEX(L$3:L$700,MATCH($B361&amp;$C361&amp;"baseline",$B$3:$B$700&amp;$C$3:$C$700&amp;$D$3:$D$700,0))</f>
        <v>37.749985101789981</v>
      </c>
      <c r="X361">
        <f t="array" ref="X361">INDEX(M$3:M$700,MATCH($B361&amp;$C361&amp;"baseline",$B$3:$B$700&amp;$C$3:$C$700&amp;$D$3:$D$700,0))</f>
        <v>11.425994758849107</v>
      </c>
      <c r="Y361">
        <f t="array" ref="Y361">INDEX(N$3:N$700,MATCH($B361&amp;$C361&amp;"baseline",$B$3:$B$700&amp;$C$3:$C$700&amp;$D$3:$D$700,0))</f>
        <v>0</v>
      </c>
      <c r="Z361">
        <f t="array" ref="Z361">INDEX(O$3:O$700,MATCH($B361&amp;$C361&amp;"baseline",$B$3:$B$700&amp;$C$3:$C$700&amp;$D$3:$D$700,0))</f>
        <v>30.927865062300786</v>
      </c>
      <c r="AA361">
        <f t="array" ref="AA361">INDEX(P$3:P$700,MATCH($B361&amp;$C361&amp;"baseline",$B$3:$B$700&amp;$C$3:$C$700&amp;$D$3:$D$700,0))</f>
        <v>12.67568754359594</v>
      </c>
      <c r="AB361">
        <f t="array" ref="AB361">INDEX(Q$3:Q$700,MATCH($B361&amp;$C361&amp;"baseline",$B$3:$B$700&amp;$C$3:$C$700&amp;$D$3:$D$700,0))</f>
        <v>0</v>
      </c>
      <c r="AC361">
        <f t="shared" si="41"/>
        <v>599.95004196727552</v>
      </c>
      <c r="AD361">
        <f t="shared" si="42"/>
        <v>367.56731226578972</v>
      </c>
      <c r="AE361">
        <f t="shared" si="43"/>
        <v>56.9390259370183</v>
      </c>
      <c r="AF361">
        <f t="shared" si="44"/>
        <v>70.756947830326652</v>
      </c>
      <c r="AG361">
        <f>(S361+V361+Y361)*constants!$O$2+(R361+T361+U361+W361+X361+Z361+AA361+AB361)*constants!$N$2</f>
        <v>20.724338311495895</v>
      </c>
      <c r="AH361">
        <f>((S361+V361+Y361)-(H361+K361+N361))*constants!$O$2</f>
        <v>5.954590458705793</v>
      </c>
      <c r="AI361">
        <f>((R361+T361+U361+W361+X361+Z361+AA361+AB361)-(G361+I361+J361+L361+M361+O361+P361+Q361))*constants!$N$2</f>
        <v>6.4341099308830678</v>
      </c>
      <c r="AJ361">
        <f t="shared" si="45"/>
        <v>59.77850874359055</v>
      </c>
      <c r="AK361">
        <f t="shared" si="46"/>
        <v>12.388700389588861</v>
      </c>
      <c r="AL361">
        <f>COUNTIFS($B:$B,$B361,$AK:$AK,"&lt;"&amp;$AK361)+COUNTIFS($B$2:$B361,$B361,$AK$2:$AK361,$AK361)</f>
        <v>72</v>
      </c>
      <c r="AM361" s="191">
        <f>IF(AK361=0, "NA",IF(((sim_annual_output!F361/E361)/AK361)&lt;0,100,((sim_annual_output!F361/E361)/AK361)))</f>
        <v>6.4811695912405654</v>
      </c>
      <c r="AN361">
        <f>(S361+V361)*constants!$F$2+(T361+U361+W361+X361+Y361+Z361+AA361+AB361)*constants!$G$2</f>
        <v>185950.53079162154</v>
      </c>
      <c r="AO361">
        <f>(AD361*constants!$F$2+AE361*constants!$G$2)</f>
        <v>115331.50146078228</v>
      </c>
      <c r="AP361">
        <f t="shared" si="47"/>
        <v>62.022679349070629</v>
      </c>
    </row>
    <row r="362" spans="1:42">
      <c r="A362">
        <f>sim_annual_output!B362</f>
        <v>13</v>
      </c>
      <c r="B362" t="str">
        <f>sim_annual_output!C362</f>
        <v>Office</v>
      </c>
      <c r="C362" t="str">
        <f>sim_annual_output!D362</f>
        <v>1959-pre</v>
      </c>
      <c r="D362" t="str">
        <f>sim_annual_output!E362</f>
        <v>plug_loads_90_percent</v>
      </c>
      <c r="E362" s="45">
        <f t="array" ref="E362">IFERROR(INDEX(baseline!$J$3:$J$201,MATCH($B362&amp;$C362,baseline!$C$3:$C$201&amp;baseline!$D$3:$D$201,0)),"NA")</f>
        <v>3418.6207140000001</v>
      </c>
      <c r="F362">
        <f>sim_annual_output!G362</f>
        <v>3418.6207139712501</v>
      </c>
      <c r="G362">
        <f>$E362/$F362^2*sim_annual_output!I362</f>
        <v>0</v>
      </c>
      <c r="H362">
        <f>$E362/$F362^2*sim_annual_output!J362</f>
        <v>434.13661055964769</v>
      </c>
      <c r="I362">
        <f>$E362/$F362^2*sim_annual_output!K362</f>
        <v>21.360971143179079</v>
      </c>
      <c r="J362">
        <f>$E362/$F362^2*sim_annual_output!L362</f>
        <v>0</v>
      </c>
      <c r="K362">
        <f>$E362/$F362^2*sim_annual_output!M362</f>
        <v>45.391962111246379</v>
      </c>
      <c r="L362">
        <f>$E362/$F362^2*sim_annual_output!N362</f>
        <v>37.749985101789981</v>
      </c>
      <c r="M362">
        <f>$E362/$F362^2*sim_annual_output!O362</f>
        <v>11.425994758849107</v>
      </c>
      <c r="N362">
        <f>$E362/$F362^2*sim_annual_output!P362</f>
        <v>0</v>
      </c>
      <c r="O362">
        <f>$E362/$F362^2*sim_annual_output!Q362</f>
        <v>30.877487329755724</v>
      </c>
      <c r="P362">
        <f>$E362/$F362^2*sim_annual_output!R362</f>
        <v>12.750441598340222</v>
      </c>
      <c r="Q362">
        <f>$E362/$F362^2*sim_annual_output!S362</f>
        <v>0</v>
      </c>
      <c r="R362">
        <f t="array" ref="R362">INDEX(G$3:G$700,MATCH($B362&amp;$C362&amp;"baseline",$B$3:$B$700&amp;$C$3:$C$700&amp;$D$3:$D$700,0))</f>
        <v>0</v>
      </c>
      <c r="S362">
        <f t="array" ref="S362">INDEX(H$3:H$700,MATCH($B362&amp;$C362&amp;"baseline",$B$3:$B$700&amp;$C$3:$C$700&amp;$D$3:$D$700,0))</f>
        <v>440.8685382069998</v>
      </c>
      <c r="T362">
        <f t="array" ref="T362">INDEX(I$3:I$700,MATCH($B362&amp;$C362&amp;"baseline",$B$3:$B$700&amp;$C$3:$C$700&amp;$D$3:$D$700,0))</f>
        <v>20.910009182493454</v>
      </c>
      <c r="U362">
        <f t="array" ref="U362">INDEX(J$3:J$700,MATCH($B362&amp;$C362&amp;"baseline",$B$3:$B$700&amp;$C$3:$C$700&amp;$D$3:$D$700,0))</f>
        <v>0</v>
      </c>
      <c r="V362">
        <f t="array" ref="V362">INDEX(K$3:K$700,MATCH($B362&amp;$C362&amp;"baseline",$B$3:$B$700&amp;$C$3:$C$700&amp;$D$3:$D$700,0))</f>
        <v>45.391962111246379</v>
      </c>
      <c r="W362">
        <f t="array" ref="W362">INDEX(L$3:L$700,MATCH($B362&amp;$C362&amp;"baseline",$B$3:$B$700&amp;$C$3:$C$700&amp;$D$3:$D$700,0))</f>
        <v>37.749985101789981</v>
      </c>
      <c r="X362">
        <f t="array" ref="X362">INDEX(M$3:M$700,MATCH($B362&amp;$C362&amp;"baseline",$B$3:$B$700&amp;$C$3:$C$700&amp;$D$3:$D$700,0))</f>
        <v>11.425994758849107</v>
      </c>
      <c r="Y362">
        <f t="array" ref="Y362">INDEX(N$3:N$700,MATCH($B362&amp;$C362&amp;"baseline",$B$3:$B$700&amp;$C$3:$C$700&amp;$D$3:$D$700,0))</f>
        <v>0</v>
      </c>
      <c r="Z362">
        <f t="array" ref="Z362">INDEX(O$3:O$700,MATCH($B362&amp;$C362&amp;"baseline",$B$3:$B$700&amp;$C$3:$C$700&amp;$D$3:$D$700,0))</f>
        <v>30.927865062300786</v>
      </c>
      <c r="AA362">
        <f t="array" ref="AA362">INDEX(P$3:P$700,MATCH($B362&amp;$C362&amp;"baseline",$B$3:$B$700&amp;$C$3:$C$700&amp;$D$3:$D$700,0))</f>
        <v>12.67568754359594</v>
      </c>
      <c r="AB362">
        <f t="array" ref="AB362">INDEX(Q$3:Q$700,MATCH($B362&amp;$C362&amp;"baseline",$B$3:$B$700&amp;$C$3:$C$700&amp;$D$3:$D$700,0))</f>
        <v>0</v>
      </c>
      <c r="AC362">
        <f t="shared" si="41"/>
        <v>599.95004196727552</v>
      </c>
      <c r="AD362">
        <f t="shared" si="42"/>
        <v>6.7319276473521086</v>
      </c>
      <c r="AE362">
        <f t="shared" si="43"/>
        <v>-0.47533828288483448</v>
      </c>
      <c r="AF362">
        <f t="shared" si="44"/>
        <v>1.04285172544559</v>
      </c>
      <c r="AG362">
        <f>(S362+V362+Y362)*constants!$O$2+(R362+T362+U362+W362+X362+Z362+AA362+AB362)*constants!$N$2</f>
        <v>20.724338311495895</v>
      </c>
      <c r="AH362">
        <f>((S362+V362+Y362)-(H362+K362+N362))*constants!$O$2</f>
        <v>0.10905722788710415</v>
      </c>
      <c r="AI362">
        <f>((R362+T362+U362+W362+X362+Z362+AA362+AB362)-(G362+I362+J362+L362+M362+O362+P362+Q362))*constants!$N$2</f>
        <v>-5.3713225965986301E-2</v>
      </c>
      <c r="AJ362">
        <f t="shared" si="45"/>
        <v>0.26704834233678887</v>
      </c>
      <c r="AK362">
        <f t="shared" si="46"/>
        <v>5.5344001921117845E-2</v>
      </c>
      <c r="AL362">
        <f>COUNTIFS($B:$B,$B362,$AK:$AK,"&lt;"&amp;$AK362)+COUNTIFS($B$2:$B362,$B362,$AK$2:$AK362,$AK362)</f>
        <v>20</v>
      </c>
      <c r="AM362" s="191">
        <f>IF(AK362=0, "NA",IF(((sim_annual_output!F362/E362)/AK362)&lt;0,100,((sim_annual_output!F362/E362)/AK362)))</f>
        <v>74.257393024123502</v>
      </c>
      <c r="AN362">
        <f>(S362+V362)*constants!$F$2+(T362+U362+W362+X362+Y362+Z362+AA362+AB362)*constants!$G$2</f>
        <v>185950.53079162154</v>
      </c>
      <c r="AO362">
        <f>(AD362*constants!$F$2+AE362*constants!$G$2)</f>
        <v>791.47074276622129</v>
      </c>
      <c r="AP362">
        <f t="shared" si="47"/>
        <v>0.42563510811009897</v>
      </c>
    </row>
    <row r="363" spans="1:42">
      <c r="A363">
        <f>sim_annual_output!B363</f>
        <v>13</v>
      </c>
      <c r="B363" t="str">
        <f>sim_annual_output!C363</f>
        <v>Office</v>
      </c>
      <c r="C363" t="str">
        <f>sim_annual_output!D363</f>
        <v>1959-pre</v>
      </c>
      <c r="D363" t="str">
        <f>sim_annual_output!E363</f>
        <v>pumps_to_variable</v>
      </c>
      <c r="E363" s="45">
        <f t="array" ref="E363">IFERROR(INDEX(baseline!$J$3:$J$201,MATCH($B363&amp;$C363,baseline!$C$3:$C$201&amp;baseline!$D$3:$D$201,0)),"NA")</f>
        <v>3418.6207140000001</v>
      </c>
      <c r="F363">
        <f>sim_annual_output!G363</f>
        <v>3418.6207139712501</v>
      </c>
      <c r="G363">
        <f>$E363/$F363^2*sim_annual_output!I363</f>
        <v>0</v>
      </c>
      <c r="H363">
        <f>$E363/$F363^2*sim_annual_output!J363</f>
        <v>442.89258549360864</v>
      </c>
      <c r="I363">
        <f>$E363/$F363^2*sim_annual_output!K363</f>
        <v>21.35772096688585</v>
      </c>
      <c r="J363">
        <f>$E363/$F363^2*sim_annual_output!L363</f>
        <v>0</v>
      </c>
      <c r="K363">
        <f>$E363/$F363^2*sim_annual_output!M363</f>
        <v>45.391962111246379</v>
      </c>
      <c r="L363">
        <f>$E363/$F363^2*sim_annual_output!N363</f>
        <v>37.749985101789981</v>
      </c>
      <c r="M363">
        <f>$E363/$F363^2*sim_annual_output!O363</f>
        <v>11.425994758849107</v>
      </c>
      <c r="N363">
        <f>$E363/$F363^2*sim_annual_output!P363</f>
        <v>0</v>
      </c>
      <c r="O363">
        <f>$E363/$F363^2*sim_annual_output!Q363</f>
        <v>30.867736800876031</v>
      </c>
      <c r="P363">
        <f>$E363/$F363^2*sim_annual_output!R363</f>
        <v>2.9698485879386642</v>
      </c>
      <c r="Q363">
        <f>$E363/$F363^2*sim_annual_output!S363</f>
        <v>0</v>
      </c>
      <c r="R363">
        <f t="array" ref="R363">INDEX(G$3:G$700,MATCH($B363&amp;$C363&amp;"baseline",$B$3:$B$700&amp;$C$3:$C$700&amp;$D$3:$D$700,0))</f>
        <v>0</v>
      </c>
      <c r="S363">
        <f t="array" ref="S363">INDEX(H$3:H$700,MATCH($B363&amp;$C363&amp;"baseline",$B$3:$B$700&amp;$C$3:$C$700&amp;$D$3:$D$700,0))</f>
        <v>440.8685382069998</v>
      </c>
      <c r="T363">
        <f t="array" ref="T363">INDEX(I$3:I$700,MATCH($B363&amp;$C363&amp;"baseline",$B$3:$B$700&amp;$C$3:$C$700&amp;$D$3:$D$700,0))</f>
        <v>20.910009182493454</v>
      </c>
      <c r="U363">
        <f t="array" ref="U363">INDEX(J$3:J$700,MATCH($B363&amp;$C363&amp;"baseline",$B$3:$B$700&amp;$C$3:$C$700&amp;$D$3:$D$700,0))</f>
        <v>0</v>
      </c>
      <c r="V363">
        <f t="array" ref="V363">INDEX(K$3:K$700,MATCH($B363&amp;$C363&amp;"baseline",$B$3:$B$700&amp;$C$3:$C$700&amp;$D$3:$D$700,0))</f>
        <v>45.391962111246379</v>
      </c>
      <c r="W363">
        <f t="array" ref="W363">INDEX(L$3:L$700,MATCH($B363&amp;$C363&amp;"baseline",$B$3:$B$700&amp;$C$3:$C$700&amp;$D$3:$D$700,0))</f>
        <v>37.749985101789981</v>
      </c>
      <c r="X363">
        <f t="array" ref="X363">INDEX(M$3:M$700,MATCH($B363&amp;$C363&amp;"baseline",$B$3:$B$700&amp;$C$3:$C$700&amp;$D$3:$D$700,0))</f>
        <v>11.425994758849107</v>
      </c>
      <c r="Y363">
        <f t="array" ref="Y363">INDEX(N$3:N$700,MATCH($B363&amp;$C363&amp;"baseline",$B$3:$B$700&amp;$C$3:$C$700&amp;$D$3:$D$700,0))</f>
        <v>0</v>
      </c>
      <c r="Z363">
        <f t="array" ref="Z363">INDEX(O$3:O$700,MATCH($B363&amp;$C363&amp;"baseline",$B$3:$B$700&amp;$C$3:$C$700&amp;$D$3:$D$700,0))</f>
        <v>30.927865062300786</v>
      </c>
      <c r="AA363">
        <f t="array" ref="AA363">INDEX(P$3:P$700,MATCH($B363&amp;$C363&amp;"baseline",$B$3:$B$700&amp;$C$3:$C$700&amp;$D$3:$D$700,0))</f>
        <v>12.67568754359594</v>
      </c>
      <c r="AB363">
        <f t="array" ref="AB363">INDEX(Q$3:Q$700,MATCH($B363&amp;$C363&amp;"baseline",$B$3:$B$700&amp;$C$3:$C$700&amp;$D$3:$D$700,0))</f>
        <v>0</v>
      </c>
      <c r="AC363">
        <f t="shared" si="41"/>
        <v>599.95004196727552</v>
      </c>
      <c r="AD363">
        <f t="shared" si="42"/>
        <v>-2.0240472866088339</v>
      </c>
      <c r="AE363">
        <f t="shared" si="43"/>
        <v>9.3182554326896252</v>
      </c>
      <c r="AF363">
        <f t="shared" si="44"/>
        <v>1.2158025895227216</v>
      </c>
      <c r="AG363">
        <f>(S363+V363+Y363)*constants!$O$2+(R363+T363+U363+W363+X363+Z363+AA363+AB363)*constants!$N$2</f>
        <v>20.724338311495895</v>
      </c>
      <c r="AH363">
        <f>((S363+V363+Y363)-(H363+K363+N363))*constants!$O$2</f>
        <v>-3.2789566043063108E-2</v>
      </c>
      <c r="AI363">
        <f>((R363+T363+U363+W363+X363+Z363+AA363+AB363)-(G363+I363+J363+L363+M363+O363+P363+Q363))*constants!$N$2</f>
        <v>1.0529628638939277</v>
      </c>
      <c r="AJ363">
        <f t="shared" si="45"/>
        <v>4.9225856213945773</v>
      </c>
      <c r="AK363">
        <f t="shared" si="46"/>
        <v>1.0201732978508646</v>
      </c>
      <c r="AL363">
        <f>COUNTIFS($B:$B,$B363,$AK:$AK,"&lt;"&amp;$AK363)+COUNTIFS($B$2:$B363,$B363,$AK$2:$AK363,$AK363)</f>
        <v>44</v>
      </c>
      <c r="AM363" s="191">
        <f>IF(AK363=0, "NA",IF(((sim_annual_output!F363/E363)/AK363)&lt;0,100,((sim_annual_output!F363/E363)/AK363)))</f>
        <v>0.98212357326041144</v>
      </c>
      <c r="AN363">
        <f>(S363+V363)*constants!$F$2+(T363+U363+W363+X363+Y363+Z363+AA363+AB363)*constants!$G$2</f>
        <v>185950.53079162154</v>
      </c>
      <c r="AO363">
        <f>(AD363*constants!$F$2+AE363*constants!$G$2)</f>
        <v>7744.5777621369925</v>
      </c>
      <c r="AP363">
        <f t="shared" si="47"/>
        <v>4.1648591854871668</v>
      </c>
    </row>
    <row r="364" spans="1:42">
      <c r="A364">
        <f>sim_annual_output!B364</f>
        <v>13</v>
      </c>
      <c r="B364" t="str">
        <f>sim_annual_output!C364</f>
        <v>Office</v>
      </c>
      <c r="C364" t="str">
        <f>sim_annual_output!D364</f>
        <v>1959-pre</v>
      </c>
      <c r="D364" t="str">
        <f>sim_annual_output!E364</f>
        <v>pump_fan_eff_</v>
      </c>
      <c r="E364" s="45">
        <f t="array" ref="E364">IFERROR(INDEX(baseline!$J$3:$J$201,MATCH($B364&amp;$C364,baseline!$C$3:$C$201&amp;baseline!$D$3:$D$201,0)),"NA")</f>
        <v>3418.6207140000001</v>
      </c>
      <c r="F364">
        <f>sim_annual_output!G364</f>
        <v>3418.6207139712501</v>
      </c>
      <c r="G364">
        <f>$E364/$F364^2*sim_annual_output!I364</f>
        <v>0</v>
      </c>
      <c r="H364">
        <f>$E364/$F364^2*sim_annual_output!J364</f>
        <v>433.49632582988147</v>
      </c>
      <c r="I364">
        <f>$E364/$F364^2*sim_annual_output!K364</f>
        <v>21.35772096688585</v>
      </c>
      <c r="J364">
        <f>$E364/$F364^2*sim_annual_output!L364</f>
        <v>0</v>
      </c>
      <c r="K364">
        <f>$E364/$F364^2*sim_annual_output!M364</f>
        <v>45.391962111246379</v>
      </c>
      <c r="L364">
        <f>$E364/$F364^2*sim_annual_output!N364</f>
        <v>37.749985101789981</v>
      </c>
      <c r="M364">
        <f>$E364/$F364^2*sim_annual_output!O364</f>
        <v>11.425994758849107</v>
      </c>
      <c r="N364">
        <f>$E364/$F364^2*sim_annual_output!P364</f>
        <v>0</v>
      </c>
      <c r="O364">
        <f>$E364/$F364^2*sim_annual_output!Q364</f>
        <v>30.867736800876031</v>
      </c>
      <c r="P364">
        <f>$E364/$F364^2*sim_annual_output!R364</f>
        <v>9.967478147262268</v>
      </c>
      <c r="Q364">
        <f>$E364/$F364^2*sim_annual_output!S364</f>
        <v>0</v>
      </c>
      <c r="R364">
        <f t="array" ref="R364">INDEX(G$3:G$700,MATCH($B364&amp;$C364&amp;"baseline",$B$3:$B$700&amp;$C$3:$C$700&amp;$D$3:$D$700,0))</f>
        <v>0</v>
      </c>
      <c r="S364">
        <f t="array" ref="S364">INDEX(H$3:H$700,MATCH($B364&amp;$C364&amp;"baseline",$B$3:$B$700&amp;$C$3:$C$700&amp;$D$3:$D$700,0))</f>
        <v>440.8685382069998</v>
      </c>
      <c r="T364">
        <f t="array" ref="T364">INDEX(I$3:I$700,MATCH($B364&amp;$C364&amp;"baseline",$B$3:$B$700&amp;$C$3:$C$700&amp;$D$3:$D$700,0))</f>
        <v>20.910009182493454</v>
      </c>
      <c r="U364">
        <f t="array" ref="U364">INDEX(J$3:J$700,MATCH($B364&amp;$C364&amp;"baseline",$B$3:$B$700&amp;$C$3:$C$700&amp;$D$3:$D$700,0))</f>
        <v>0</v>
      </c>
      <c r="V364">
        <f t="array" ref="V364">INDEX(K$3:K$700,MATCH($B364&amp;$C364&amp;"baseline",$B$3:$B$700&amp;$C$3:$C$700&amp;$D$3:$D$700,0))</f>
        <v>45.391962111246379</v>
      </c>
      <c r="W364">
        <f t="array" ref="W364">INDEX(L$3:L$700,MATCH($B364&amp;$C364&amp;"baseline",$B$3:$B$700&amp;$C$3:$C$700&amp;$D$3:$D$700,0))</f>
        <v>37.749985101789981</v>
      </c>
      <c r="X364">
        <f t="array" ref="X364">INDEX(M$3:M$700,MATCH($B364&amp;$C364&amp;"baseline",$B$3:$B$700&amp;$C$3:$C$700&amp;$D$3:$D$700,0))</f>
        <v>11.425994758849107</v>
      </c>
      <c r="Y364">
        <f t="array" ref="Y364">INDEX(N$3:N$700,MATCH($B364&amp;$C364&amp;"baseline",$B$3:$B$700&amp;$C$3:$C$700&amp;$D$3:$D$700,0))</f>
        <v>0</v>
      </c>
      <c r="Z364">
        <f t="array" ref="Z364">INDEX(O$3:O$700,MATCH($B364&amp;$C364&amp;"baseline",$B$3:$B$700&amp;$C$3:$C$700&amp;$D$3:$D$700,0))</f>
        <v>30.927865062300786</v>
      </c>
      <c r="AA364">
        <f t="array" ref="AA364">INDEX(P$3:P$700,MATCH($B364&amp;$C364&amp;"baseline",$B$3:$B$700&amp;$C$3:$C$700&amp;$D$3:$D$700,0))</f>
        <v>12.67568754359594</v>
      </c>
      <c r="AB364">
        <f t="array" ref="AB364">INDEX(Q$3:Q$700,MATCH($B364&amp;$C364&amp;"baseline",$B$3:$B$700&amp;$C$3:$C$700&amp;$D$3:$D$700,0))</f>
        <v>0</v>
      </c>
      <c r="AC364">
        <f t="shared" si="41"/>
        <v>599.95004196727552</v>
      </c>
      <c r="AD364">
        <f t="shared" si="42"/>
        <v>7.3722123771183306</v>
      </c>
      <c r="AE364">
        <f t="shared" si="43"/>
        <v>2.3206258733660263</v>
      </c>
      <c r="AF364">
        <f t="shared" si="44"/>
        <v>1.6156075627065387</v>
      </c>
      <c r="AG364">
        <f>(S364+V364+Y364)*constants!$O$2+(R364+T364+U364+W364+X364+Z364+AA364+AB364)*constants!$N$2</f>
        <v>20.724338311495895</v>
      </c>
      <c r="AH364">
        <f>((S364+V364+Y364)-(H364+K364+N364))*constants!$O$2</f>
        <v>0.11942984050931695</v>
      </c>
      <c r="AI364">
        <f>((R364+T364+U364+W364+X364+Z364+AA364+AB364)-(G364+I364+J364+L364+M364+O364+P364+Q364))*constants!$N$2</f>
        <v>0.26223072369036099</v>
      </c>
      <c r="AJ364">
        <f t="shared" si="45"/>
        <v>1.8416055483323628</v>
      </c>
      <c r="AK364">
        <f t="shared" si="46"/>
        <v>0.38166056419967792</v>
      </c>
      <c r="AL364">
        <f>COUNTIFS($B:$B,$B364,$AK:$AK,"&lt;"&amp;$AK364)+COUNTIFS($B$2:$B364,$B364,$AK$2:$AK364,$AK364)</f>
        <v>33</v>
      </c>
      <c r="AM364" s="191">
        <f>IF(AK364=0, "NA",IF(((sim_annual_output!F364/E364)/AK364)&lt;0,100,((sim_annual_output!F364/E364)/AK364)))</f>
        <v>6.1582167527996994</v>
      </c>
      <c r="AN364">
        <f>(S364+V364)*constants!$F$2+(T364+U364+W364+X364+Y364+Z364+AA364+AB364)*constants!$G$2</f>
        <v>185950.53079162154</v>
      </c>
      <c r="AO364">
        <f>(AD364*constants!$F$2+AE364*constants!$G$2)</f>
        <v>3338.5705253326241</v>
      </c>
      <c r="AP364">
        <f t="shared" si="47"/>
        <v>1.7954079029082564</v>
      </c>
    </row>
    <row r="365" spans="1:42">
      <c r="A365">
        <f>sim_annual_output!B365</f>
        <v>14</v>
      </c>
      <c r="B365" t="str">
        <f>sim_annual_output!C365</f>
        <v>Office</v>
      </c>
      <c r="C365" t="str">
        <f>sim_annual_output!D365</f>
        <v>1960-1979</v>
      </c>
      <c r="D365" t="str">
        <f>sim_annual_output!E365</f>
        <v>air_temp_reset_enabled</v>
      </c>
      <c r="E365" s="45">
        <f t="array" ref="E365">IFERROR(INDEX(baseline!$J$3:$J$201,MATCH($B365&amp;$C365,baseline!$C$3:$C$201&amp;baseline!$D$3:$D$201,0)),"NA")</f>
        <v>3418.6207140000001</v>
      </c>
      <c r="F365">
        <f>sim_annual_output!G365</f>
        <v>3418.6207139712501</v>
      </c>
      <c r="G365">
        <f>$E365/$F365^2*sim_annual_output!I365</f>
        <v>0</v>
      </c>
      <c r="H365">
        <f>$E365/$F365^2*sim_annual_output!J365</f>
        <v>333.88248516275684</v>
      </c>
      <c r="I365">
        <f>$E365/$F365^2*sim_annual_output!K365</f>
        <v>3.3931840501318358</v>
      </c>
      <c r="J365">
        <f>$E365/$F365^2*sim_annual_output!L365</f>
        <v>0</v>
      </c>
      <c r="K365">
        <f>$E365/$F365^2*sim_annual_output!M365</f>
        <v>45.387899390879845</v>
      </c>
      <c r="L365">
        <f>$E365/$F365^2*sim_annual_output!N365</f>
        <v>37.749985101789981</v>
      </c>
      <c r="M365">
        <f>$E365/$F365^2*sim_annual_output!O365</f>
        <v>11.425994758849107</v>
      </c>
      <c r="N365">
        <f>$E365/$F365^2*sim_annual_output!P365</f>
        <v>0</v>
      </c>
      <c r="O365">
        <f>$E365/$F365^2*sim_annual_output!Q365</f>
        <v>30.199013028544016</v>
      </c>
      <c r="P365">
        <f>$E365/$F365^2*sim_annual_output!R365</f>
        <v>11.837954604015977</v>
      </c>
      <c r="Q365">
        <f>$E365/$F365^2*sim_annual_output!S365</f>
        <v>0</v>
      </c>
      <c r="R365">
        <f t="array" ref="R365">INDEX(G$3:G$700,MATCH($B365&amp;$C365&amp;"baseline",$B$3:$B$700&amp;$C$3:$C$700&amp;$D$3:$D$700,0))</f>
        <v>0</v>
      </c>
      <c r="S365">
        <f t="array" ref="S365">INDEX(H$3:H$700,MATCH($B365&amp;$C365&amp;"baseline",$B$3:$B$700&amp;$C$3:$C$700&amp;$D$3:$D$700,0))</f>
        <v>411.43981695995126</v>
      </c>
      <c r="T365">
        <f t="array" ref="T365">INDEX(I$3:I$700,MATCH($B365&amp;$C365&amp;"baseline",$B$3:$B$700&amp;$C$3:$C$700&amp;$D$3:$D$700,0))</f>
        <v>19.71150667436499</v>
      </c>
      <c r="U365">
        <f t="array" ref="U365">INDEX(J$3:J$700,MATCH($B365&amp;$C365&amp;"baseline",$B$3:$B$700&amp;$C$3:$C$700&amp;$D$3:$D$700,0))</f>
        <v>0</v>
      </c>
      <c r="V365">
        <f t="array" ref="V365">INDEX(K$3:K$700,MATCH($B365&amp;$C365&amp;"baseline",$B$3:$B$700&amp;$C$3:$C$700&amp;$D$3:$D$700,0))</f>
        <v>45.391962111246379</v>
      </c>
      <c r="W365">
        <f t="array" ref="W365">INDEX(L$3:L$700,MATCH($B365&amp;$C365&amp;"baseline",$B$3:$B$700&amp;$C$3:$C$700&amp;$D$3:$D$700,0))</f>
        <v>37.749985101789981</v>
      </c>
      <c r="X365">
        <f t="array" ref="X365">INDEX(M$3:M$700,MATCH($B365&amp;$C365&amp;"baseline",$B$3:$B$700&amp;$C$3:$C$700&amp;$D$3:$D$700,0))</f>
        <v>11.425994758849107</v>
      </c>
      <c r="Y365">
        <f t="array" ref="Y365">INDEX(N$3:N$700,MATCH($B365&amp;$C365&amp;"baseline",$B$3:$B$700&amp;$C$3:$C$700&amp;$D$3:$D$700,0))</f>
        <v>0</v>
      </c>
      <c r="Z365">
        <f t="array" ref="Z365">INDEX(O$3:O$700,MATCH($B365&amp;$C365&amp;"baseline",$B$3:$B$700&amp;$C$3:$C$700&amp;$D$3:$D$700,0))</f>
        <v>30.13075932638619</v>
      </c>
      <c r="AA365">
        <f t="array" ref="AA365">INDEX(P$3:P$700,MATCH($B365&amp;$C365&amp;"baseline",$B$3:$B$700&amp;$C$3:$C$700&amp;$D$3:$D$700,0))</f>
        <v>11.8403922362359</v>
      </c>
      <c r="AB365">
        <f t="array" ref="AB365">INDEX(Q$3:Q$700,MATCH($B365&amp;$C365&amp;"baseline",$B$3:$B$700&amp;$C$3:$C$700&amp;$D$3:$D$700,0))</f>
        <v>0</v>
      </c>
      <c r="AC365">
        <f t="shared" si="41"/>
        <v>567.69041716882373</v>
      </c>
      <c r="AD365">
        <f t="shared" si="42"/>
        <v>77.561394517560927</v>
      </c>
      <c r="AE365">
        <f t="shared" si="43"/>
        <v>16.252506554295266</v>
      </c>
      <c r="AF365">
        <f t="shared" si="44"/>
        <v>16.525538961838272</v>
      </c>
      <c r="AG365">
        <f>(S365+V365+Y365)*constants!$O$2+(R365+T365+U365+W365+X365+Z365+AA365+AB365)*constants!$N$2</f>
        <v>19.92770092598516</v>
      </c>
      <c r="AH365">
        <f>((S365+V365+Y365)-(H365+K365+N365))*constants!$O$2</f>
        <v>1.2564945911844869</v>
      </c>
      <c r="AI365">
        <f>((R365+T365+U365+W365+X365+Z365+AA365+AB365)-(G365+I365+J365+L365+M365+O365+P365+Q365))*constants!$N$2</f>
        <v>1.8365332406353652</v>
      </c>
      <c r="AJ365">
        <f t="shared" si="45"/>
        <v>15.521247751097222</v>
      </c>
      <c r="AK365">
        <f t="shared" si="46"/>
        <v>3.0930278318198523</v>
      </c>
      <c r="AL365">
        <f>COUNTIFS($B:$B,$B365,$AK:$AK,"&lt;"&amp;$AK365)+COUNTIFS($B$2:$B365,$B365,$AK$2:$AK365,$AK365)</f>
        <v>59</v>
      </c>
      <c r="AM365" s="191">
        <f>IF(AK365=0, "NA",IF(((sim_annual_output!F365/E365)/AK365)&lt;0,100,((sim_annual_output!F365/E365)/AK365)))</f>
        <v>1.6624573962647702</v>
      </c>
      <c r="AN365">
        <f>(S365+V365)*constants!$F$2+(T365+U365+W365+X365+Y365+Z365+AA365+AB365)*constants!$G$2</f>
        <v>178219.90359867914</v>
      </c>
      <c r="AO365">
        <f>(AD365*constants!$F$2+AE365*constants!$G$2)</f>
        <v>28023.170320880286</v>
      </c>
      <c r="AP365">
        <f t="shared" si="47"/>
        <v>15.723928559620193</v>
      </c>
    </row>
    <row r="366" spans="1:42">
      <c r="A366">
        <f>sim_annual_output!B366</f>
        <v>14</v>
      </c>
      <c r="B366" t="str">
        <f>sim_annual_output!C366</f>
        <v>Office</v>
      </c>
      <c r="C366" t="str">
        <f>sim_annual_output!D366</f>
        <v>1960-1979</v>
      </c>
      <c r="D366" t="str">
        <f>sim_annual_output!E366</f>
        <v>baseline</v>
      </c>
      <c r="E366" s="45">
        <f t="array" ref="E366">IFERROR(INDEX(baseline!$J$3:$J$201,MATCH($B366&amp;$C366,baseline!$C$3:$C$201&amp;baseline!$D$3:$D$201,0)),"NA")</f>
        <v>3418.6207140000001</v>
      </c>
      <c r="F366">
        <f>sim_annual_output!G366</f>
        <v>3418.6207139712501</v>
      </c>
      <c r="G366">
        <f>$E366/$F366^2*sim_annual_output!I366</f>
        <v>0</v>
      </c>
      <c r="H366">
        <f>$E366/$F366^2*sim_annual_output!J366</f>
        <v>411.43981695995126</v>
      </c>
      <c r="I366">
        <f>$E366/$F366^2*sim_annual_output!K366</f>
        <v>19.71150667436499</v>
      </c>
      <c r="J366">
        <f>$E366/$F366^2*sim_annual_output!L366</f>
        <v>0</v>
      </c>
      <c r="K366">
        <f>$E366/$F366^2*sim_annual_output!M366</f>
        <v>45.391962111246379</v>
      </c>
      <c r="L366">
        <f>$E366/$F366^2*sim_annual_output!N366</f>
        <v>37.749985101789981</v>
      </c>
      <c r="M366">
        <f>$E366/$F366^2*sim_annual_output!O366</f>
        <v>11.425994758849107</v>
      </c>
      <c r="N366">
        <f>$E366/$F366^2*sim_annual_output!P366</f>
        <v>0</v>
      </c>
      <c r="O366">
        <f>$E366/$F366^2*sim_annual_output!Q366</f>
        <v>30.13075932638619</v>
      </c>
      <c r="P366">
        <f>$E366/$F366^2*sim_annual_output!R366</f>
        <v>11.8403922362359</v>
      </c>
      <c r="Q366">
        <f>$E366/$F366^2*sim_annual_output!S366</f>
        <v>0</v>
      </c>
      <c r="R366">
        <f t="array" ref="R366">INDEX(G$3:G$700,MATCH($B366&amp;$C366&amp;"baseline",$B$3:$B$700&amp;$C$3:$C$700&amp;$D$3:$D$700,0))</f>
        <v>0</v>
      </c>
      <c r="S366">
        <f t="array" ref="S366">INDEX(H$3:H$700,MATCH($B366&amp;$C366&amp;"baseline",$B$3:$B$700&amp;$C$3:$C$700&amp;$D$3:$D$700,0))</f>
        <v>411.43981695995126</v>
      </c>
      <c r="T366">
        <f t="array" ref="T366">INDEX(I$3:I$700,MATCH($B366&amp;$C366&amp;"baseline",$B$3:$B$700&amp;$C$3:$C$700&amp;$D$3:$D$700,0))</f>
        <v>19.71150667436499</v>
      </c>
      <c r="U366">
        <f t="array" ref="U366">INDEX(J$3:J$700,MATCH($B366&amp;$C366&amp;"baseline",$B$3:$B$700&amp;$C$3:$C$700&amp;$D$3:$D$700,0))</f>
        <v>0</v>
      </c>
      <c r="V366">
        <f t="array" ref="V366">INDEX(K$3:K$700,MATCH($B366&amp;$C366&amp;"baseline",$B$3:$B$700&amp;$C$3:$C$700&amp;$D$3:$D$700,0))</f>
        <v>45.391962111246379</v>
      </c>
      <c r="W366">
        <f t="array" ref="W366">INDEX(L$3:L$700,MATCH($B366&amp;$C366&amp;"baseline",$B$3:$B$700&amp;$C$3:$C$700&amp;$D$3:$D$700,0))</f>
        <v>37.749985101789981</v>
      </c>
      <c r="X366">
        <f t="array" ref="X366">INDEX(M$3:M$700,MATCH($B366&amp;$C366&amp;"baseline",$B$3:$B$700&amp;$C$3:$C$700&amp;$D$3:$D$700,0))</f>
        <v>11.425994758849107</v>
      </c>
      <c r="Y366">
        <f t="array" ref="Y366">INDEX(N$3:N$700,MATCH($B366&amp;$C366&amp;"baseline",$B$3:$B$700&amp;$C$3:$C$700&amp;$D$3:$D$700,0))</f>
        <v>0</v>
      </c>
      <c r="Z366">
        <f t="array" ref="Z366">INDEX(O$3:O$700,MATCH($B366&amp;$C366&amp;"baseline",$B$3:$B$700&amp;$C$3:$C$700&amp;$D$3:$D$700,0))</f>
        <v>30.13075932638619</v>
      </c>
      <c r="AA366">
        <f t="array" ref="AA366">INDEX(P$3:P$700,MATCH($B366&amp;$C366&amp;"baseline",$B$3:$B$700&amp;$C$3:$C$700&amp;$D$3:$D$700,0))</f>
        <v>11.8403922362359</v>
      </c>
      <c r="AB366">
        <f t="array" ref="AB366">INDEX(Q$3:Q$700,MATCH($B366&amp;$C366&amp;"baseline",$B$3:$B$700&amp;$C$3:$C$700&amp;$D$3:$D$700,0))</f>
        <v>0</v>
      </c>
      <c r="AC366">
        <f t="shared" si="41"/>
        <v>567.69041716882373</v>
      </c>
      <c r="AD366">
        <f t="shared" si="42"/>
        <v>0</v>
      </c>
      <c r="AE366">
        <f t="shared" si="43"/>
        <v>0</v>
      </c>
      <c r="AF366">
        <f t="shared" si="44"/>
        <v>0</v>
      </c>
      <c r="AG366">
        <f>(S366+V366+Y366)*constants!$O$2+(R366+T366+U366+W366+X366+Z366+AA366+AB366)*constants!$N$2</f>
        <v>19.92770092598516</v>
      </c>
      <c r="AH366">
        <f>((S366+V366+Y366)-(H366+K366+N366))*constants!$O$2</f>
        <v>0</v>
      </c>
      <c r="AI366">
        <f>((R366+T366+U366+W366+X366+Z366+AA366+AB366)-(G366+I366+J366+L366+M366+O366+P366+Q366))*constants!$N$2</f>
        <v>0</v>
      </c>
      <c r="AJ366">
        <f t="shared" si="45"/>
        <v>0</v>
      </c>
      <c r="AK366">
        <f t="shared" si="46"/>
        <v>0</v>
      </c>
      <c r="AL366">
        <f>COUNTIFS($B:$B,$B366,$AK:$AK,"&lt;"&amp;$AK366)+COUNTIFS($B$2:$B366,$B366,$AK$2:$AK366,$AK366)</f>
        <v>18</v>
      </c>
      <c r="AM366" s="191" t="str">
        <f>IF(AK366=0, "NA",IF(((sim_annual_output!F366/E366)/AK366)&lt;0,100,((sim_annual_output!F366/E366)/AK366)))</f>
        <v>NA</v>
      </c>
      <c r="AN366">
        <f>(S366+V366)*constants!$F$2+(T366+U366+W366+X366+Y366+Z366+AA366+AB366)*constants!$G$2</f>
        <v>178219.90359867914</v>
      </c>
      <c r="AO366">
        <f>(AD366*constants!$F$2+AE366*constants!$G$2)</f>
        <v>0</v>
      </c>
      <c r="AP366">
        <f t="shared" si="47"/>
        <v>0</v>
      </c>
    </row>
    <row r="367" spans="1:42">
      <c r="A367">
        <f>sim_annual_output!B367</f>
        <v>14</v>
      </c>
      <c r="B367" t="str">
        <f>sim_annual_output!C367</f>
        <v>Office</v>
      </c>
      <c r="C367" t="str">
        <f>sim_annual_output!D367</f>
        <v>1960-1979</v>
      </c>
      <c r="D367" t="str">
        <f>sim_annual_output!E367</f>
        <v>boiler_eff_upgrade</v>
      </c>
      <c r="E367" s="45">
        <f t="array" ref="E367">IFERROR(INDEX(baseline!$J$3:$J$201,MATCH($B367&amp;$C367,baseline!$C$3:$C$201&amp;baseline!$D$3:$D$201,0)),"NA")</f>
        <v>3418.6207140000001</v>
      </c>
      <c r="F367">
        <f>sim_annual_output!G367</f>
        <v>3418.6207139712501</v>
      </c>
      <c r="G367">
        <f>$E367/$F367^2*sim_annual_output!I367</f>
        <v>0</v>
      </c>
      <c r="H367">
        <f>$E367/$F367^2*sim_annual_output!J367</f>
        <v>402.86503935433791</v>
      </c>
      <c r="I367">
        <f>$E367/$F367^2*sim_annual_output!K367</f>
        <v>20.12996687211832</v>
      </c>
      <c r="J367">
        <f>$E367/$F367^2*sim_annual_output!L367</f>
        <v>0</v>
      </c>
      <c r="K367">
        <f>$E367/$F367^2*sim_annual_output!M367</f>
        <v>45.391149567173073</v>
      </c>
      <c r="L367">
        <f>$E367/$F367^2*sim_annual_output!N367</f>
        <v>37.749985101789981</v>
      </c>
      <c r="M367">
        <f>$E367/$F367^2*sim_annual_output!O367</f>
        <v>11.425994758849107</v>
      </c>
      <c r="N367">
        <f>$E367/$F367^2*sim_annual_output!P367</f>
        <v>0</v>
      </c>
      <c r="O367">
        <f>$E367/$F367^2*sim_annual_output!Q367</f>
        <v>30.069818520888134</v>
      </c>
      <c r="P367">
        <f>$E367/$F367^2*sim_annual_output!R367</f>
        <v>11.885894704341114</v>
      </c>
      <c r="Q367">
        <f>$E367/$F367^2*sim_annual_output!S367</f>
        <v>0</v>
      </c>
      <c r="R367">
        <f t="array" ref="R367">INDEX(G$3:G$700,MATCH($B367&amp;$C367&amp;"baseline",$B$3:$B$700&amp;$C$3:$C$700&amp;$D$3:$D$700,0))</f>
        <v>0</v>
      </c>
      <c r="S367">
        <f t="array" ref="S367">INDEX(H$3:H$700,MATCH($B367&amp;$C367&amp;"baseline",$B$3:$B$700&amp;$C$3:$C$700&amp;$D$3:$D$700,0))</f>
        <v>411.43981695995126</v>
      </c>
      <c r="T367">
        <f t="array" ref="T367">INDEX(I$3:I$700,MATCH($B367&amp;$C367&amp;"baseline",$B$3:$B$700&amp;$C$3:$C$700&amp;$D$3:$D$700,0))</f>
        <v>19.71150667436499</v>
      </c>
      <c r="U367">
        <f t="array" ref="U367">INDEX(J$3:J$700,MATCH($B367&amp;$C367&amp;"baseline",$B$3:$B$700&amp;$C$3:$C$700&amp;$D$3:$D$700,0))</f>
        <v>0</v>
      </c>
      <c r="V367">
        <f t="array" ref="V367">INDEX(K$3:K$700,MATCH($B367&amp;$C367&amp;"baseline",$B$3:$B$700&amp;$C$3:$C$700&amp;$D$3:$D$700,0))</f>
        <v>45.391962111246379</v>
      </c>
      <c r="W367">
        <f t="array" ref="W367">INDEX(L$3:L$700,MATCH($B367&amp;$C367&amp;"baseline",$B$3:$B$700&amp;$C$3:$C$700&amp;$D$3:$D$700,0))</f>
        <v>37.749985101789981</v>
      </c>
      <c r="X367">
        <f t="array" ref="X367">INDEX(M$3:M$700,MATCH($B367&amp;$C367&amp;"baseline",$B$3:$B$700&amp;$C$3:$C$700&amp;$D$3:$D$700,0))</f>
        <v>11.425994758849107</v>
      </c>
      <c r="Y367">
        <f t="array" ref="Y367">INDEX(N$3:N$700,MATCH($B367&amp;$C367&amp;"baseline",$B$3:$B$700&amp;$C$3:$C$700&amp;$D$3:$D$700,0))</f>
        <v>0</v>
      </c>
      <c r="Z367">
        <f t="array" ref="Z367">INDEX(O$3:O$700,MATCH($B367&amp;$C367&amp;"baseline",$B$3:$B$700&amp;$C$3:$C$700&amp;$D$3:$D$700,0))</f>
        <v>30.13075932638619</v>
      </c>
      <c r="AA367">
        <f t="array" ref="AA367">INDEX(P$3:P$700,MATCH($B367&amp;$C367&amp;"baseline",$B$3:$B$700&amp;$C$3:$C$700&amp;$D$3:$D$700,0))</f>
        <v>11.8403922362359</v>
      </c>
      <c r="AB367">
        <f t="array" ref="AB367">INDEX(Q$3:Q$700,MATCH($B367&amp;$C367&amp;"baseline",$B$3:$B$700&amp;$C$3:$C$700&amp;$D$3:$D$700,0))</f>
        <v>0</v>
      </c>
      <c r="AC367">
        <f t="shared" si="41"/>
        <v>567.69041716882373</v>
      </c>
      <c r="AD367">
        <f t="shared" si="42"/>
        <v>8.5755901496866045</v>
      </c>
      <c r="AE367">
        <f t="shared" si="43"/>
        <v>-0.40302186036046805</v>
      </c>
      <c r="AF367">
        <f t="shared" si="44"/>
        <v>1.4396170944868567</v>
      </c>
      <c r="AG367">
        <f>(S367+V367+Y367)*constants!$O$2+(R367+T367+U367+W367+X367+Z367+AA367+AB367)*constants!$N$2</f>
        <v>19.92770092598516</v>
      </c>
      <c r="AH367">
        <f>((S367+V367+Y367)-(H367+K367+N367))*constants!$O$2</f>
        <v>0.13892456042492299</v>
      </c>
      <c r="AI367">
        <f>((R367+T367+U367+W367+X367+Z367+AA367+AB367)-(G367+I367+J367+L367+M367+O367+P367+Q367))*constants!$N$2</f>
        <v>-4.5541470220732891E-2</v>
      </c>
      <c r="AJ367">
        <f t="shared" si="45"/>
        <v>0.46860945249545155</v>
      </c>
      <c r="AK367">
        <f t="shared" si="46"/>
        <v>9.3383090204190097E-2</v>
      </c>
      <c r="AL367">
        <f>COUNTIFS($B:$B,$B367,$AK:$AK,"&lt;"&amp;$AK367)+COUNTIFS($B$2:$B367,$B367,$AK$2:$AK367,$AK367)</f>
        <v>25</v>
      </c>
      <c r="AM367" s="191">
        <f>IF(AK367=0, "NA",IF(((sim_annual_output!F367/E367)/AK367)&lt;0,100,((sim_annual_output!F367/E367)/AK367)))</f>
        <v>204.64778958425325</v>
      </c>
      <c r="AN367">
        <f>(S367+V367)*constants!$F$2+(T367+U367+W367+X367+Y367+Z367+AA367+AB367)*constants!$G$2</f>
        <v>178219.90359867914</v>
      </c>
      <c r="AO367">
        <f>(AD367*constants!$F$2+AE367*constants!$G$2)</f>
        <v>1184.401618280295</v>
      </c>
      <c r="AP367">
        <f t="shared" si="47"/>
        <v>0.66457314495431752</v>
      </c>
    </row>
    <row r="368" spans="1:42">
      <c r="A368">
        <f>sim_annual_output!B368</f>
        <v>14</v>
      </c>
      <c r="B368" t="str">
        <f>sim_annual_output!C368</f>
        <v>Office</v>
      </c>
      <c r="C368" t="str">
        <f>sim_annual_output!D368</f>
        <v>1960-1979</v>
      </c>
      <c r="D368" t="str">
        <f>sim_annual_output!E368</f>
        <v>boiler_reset</v>
      </c>
      <c r="E368" s="45">
        <f t="array" ref="E368">IFERROR(INDEX(baseline!$J$3:$J$201,MATCH($B368&amp;$C368,baseline!$C$3:$C$201&amp;baseline!$D$3:$D$201,0)),"NA")</f>
        <v>3418.6207140000001</v>
      </c>
      <c r="F368">
        <f>sim_annual_output!G368</f>
        <v>3418.6207139712501</v>
      </c>
      <c r="G368">
        <f>$E368/$F368^2*sim_annual_output!I368</f>
        <v>0</v>
      </c>
      <c r="H368">
        <f>$E368/$F368^2*sim_annual_output!J368</f>
        <v>285.10302680989179</v>
      </c>
      <c r="I368">
        <f>$E368/$F368^2*sim_annual_output!K368</f>
        <v>20.12996687211832</v>
      </c>
      <c r="J368">
        <f>$E368/$F368^2*sim_annual_output!L368</f>
        <v>0</v>
      </c>
      <c r="K368">
        <f>$E368/$F368^2*sim_annual_output!M368</f>
        <v>45.391149567173073</v>
      </c>
      <c r="L368">
        <f>$E368/$F368^2*sim_annual_output!N368</f>
        <v>37.749985101789981</v>
      </c>
      <c r="M368">
        <f>$E368/$F368^2*sim_annual_output!O368</f>
        <v>11.425994758849107</v>
      </c>
      <c r="N368">
        <f>$E368/$F368^2*sim_annual_output!P368</f>
        <v>0</v>
      </c>
      <c r="O368">
        <f>$E368/$F368^2*sim_annual_output!Q368</f>
        <v>30.069818520888134</v>
      </c>
      <c r="P368">
        <f>$E368/$F368^2*sim_annual_output!R368</f>
        <v>9.9309136639634321</v>
      </c>
      <c r="Q368">
        <f>$E368/$F368^2*sim_annual_output!S368</f>
        <v>0</v>
      </c>
      <c r="R368">
        <f t="array" ref="R368">INDEX(G$3:G$700,MATCH($B368&amp;$C368&amp;"baseline",$B$3:$B$700&amp;$C$3:$C$700&amp;$D$3:$D$700,0))</f>
        <v>0</v>
      </c>
      <c r="S368">
        <f t="array" ref="S368">INDEX(H$3:H$700,MATCH($B368&amp;$C368&amp;"baseline",$B$3:$B$700&amp;$C$3:$C$700&amp;$D$3:$D$700,0))</f>
        <v>411.43981695995126</v>
      </c>
      <c r="T368">
        <f t="array" ref="T368">INDEX(I$3:I$700,MATCH($B368&amp;$C368&amp;"baseline",$B$3:$B$700&amp;$C$3:$C$700&amp;$D$3:$D$700,0))</f>
        <v>19.71150667436499</v>
      </c>
      <c r="U368">
        <f t="array" ref="U368">INDEX(J$3:J$700,MATCH($B368&amp;$C368&amp;"baseline",$B$3:$B$700&amp;$C$3:$C$700&amp;$D$3:$D$700,0))</f>
        <v>0</v>
      </c>
      <c r="V368">
        <f t="array" ref="V368">INDEX(K$3:K$700,MATCH($B368&amp;$C368&amp;"baseline",$B$3:$B$700&amp;$C$3:$C$700&amp;$D$3:$D$700,0))</f>
        <v>45.391962111246379</v>
      </c>
      <c r="W368">
        <f t="array" ref="W368">INDEX(L$3:L$700,MATCH($B368&amp;$C368&amp;"baseline",$B$3:$B$700&amp;$C$3:$C$700&amp;$D$3:$D$700,0))</f>
        <v>37.749985101789981</v>
      </c>
      <c r="X368">
        <f t="array" ref="X368">INDEX(M$3:M$700,MATCH($B368&amp;$C368&amp;"baseline",$B$3:$B$700&amp;$C$3:$C$700&amp;$D$3:$D$700,0))</f>
        <v>11.425994758849107</v>
      </c>
      <c r="Y368">
        <f t="array" ref="Y368">INDEX(N$3:N$700,MATCH($B368&amp;$C368&amp;"baseline",$B$3:$B$700&amp;$C$3:$C$700&amp;$D$3:$D$700,0))</f>
        <v>0</v>
      </c>
      <c r="Z368">
        <f t="array" ref="Z368">INDEX(O$3:O$700,MATCH($B368&amp;$C368&amp;"baseline",$B$3:$B$700&amp;$C$3:$C$700&amp;$D$3:$D$700,0))</f>
        <v>30.13075932638619</v>
      </c>
      <c r="AA368">
        <f t="array" ref="AA368">INDEX(P$3:P$700,MATCH($B368&amp;$C368&amp;"baseline",$B$3:$B$700&amp;$C$3:$C$700&amp;$D$3:$D$700,0))</f>
        <v>11.8403922362359</v>
      </c>
      <c r="AB368">
        <f t="array" ref="AB368">INDEX(Q$3:Q$700,MATCH($B368&amp;$C368&amp;"baseline",$B$3:$B$700&amp;$C$3:$C$700&amp;$D$3:$D$700,0))</f>
        <v>0</v>
      </c>
      <c r="AC368">
        <f t="shared" si="41"/>
        <v>567.69041716882373</v>
      </c>
      <c r="AD368">
        <f t="shared" si="42"/>
        <v>126.33760269413278</v>
      </c>
      <c r="AE368">
        <f t="shared" si="43"/>
        <v>1.5519591800172066</v>
      </c>
      <c r="AF368">
        <f t="shared" si="44"/>
        <v>22.528046626532593</v>
      </c>
      <c r="AG368">
        <f>(S368+V368+Y368)*constants!$O$2+(R368+T368+U368+W368+X368+Z368+AA368+AB368)*constants!$N$2</f>
        <v>19.92770092598516</v>
      </c>
      <c r="AH368">
        <f>((S368+V368+Y368)-(H368+K368+N368))*constants!$O$2</f>
        <v>2.046669163644951</v>
      </c>
      <c r="AI368">
        <f>((R368+T368+U368+W368+X368+Z368+AA368+AB368)-(G368+I368+J368+L368+M368+O368+P368+Q368))*constants!$N$2</f>
        <v>0.17537138734194435</v>
      </c>
      <c r="AJ368">
        <f t="shared" si="45"/>
        <v>11.150511337157901</v>
      </c>
      <c r="AK368">
        <f t="shared" si="46"/>
        <v>2.2220405509868955</v>
      </c>
      <c r="AL368">
        <f>COUNTIFS($B:$B,$B368,$AK:$AK,"&lt;"&amp;$AK368)+COUNTIFS($B$2:$B368,$B368,$AK$2:$AK368,$AK368)</f>
        <v>55</v>
      </c>
      <c r="AM368" s="191">
        <f>IF(AK368=0, "NA",IF(((sim_annual_output!F368/E368)/AK368)&lt;0,100,((sim_annual_output!F368/E368)/AK368)))</f>
        <v>0.12231327163955084</v>
      </c>
      <c r="AN368">
        <f>(S368+V368)*constants!$F$2+(T368+U368+W368+X368+Y368+Z368+AA368+AB368)*constants!$G$2</f>
        <v>178219.90359867914</v>
      </c>
      <c r="AO368">
        <f>(AD368*constants!$F$2+AE368*constants!$G$2)</f>
        <v>23964.63536886474</v>
      </c>
      <c r="AP368">
        <f t="shared" si="47"/>
        <v>13.446666104605812</v>
      </c>
    </row>
    <row r="369" spans="1:42">
      <c r="A369">
        <f>sim_annual_output!B369</f>
        <v>14</v>
      </c>
      <c r="B369" t="str">
        <f>sim_annual_output!C369</f>
        <v>Office</v>
      </c>
      <c r="C369" t="str">
        <f>sim_annual_output!D369</f>
        <v>1960-1979</v>
      </c>
      <c r="D369" t="str">
        <f>sim_annual_output!E369</f>
        <v>cooling_cop_3_0</v>
      </c>
      <c r="E369" s="45">
        <f t="array" ref="E369">IFERROR(INDEX(baseline!$J$3:$J$201,MATCH($B369&amp;$C369,baseline!$C$3:$C$201&amp;baseline!$D$3:$D$201,0)),"NA")</f>
        <v>3418.6207140000001</v>
      </c>
      <c r="F369">
        <f>sim_annual_output!G369</f>
        <v>3418.6207139712501</v>
      </c>
      <c r="G369">
        <f>$E369/$F369^2*sim_annual_output!I369</f>
        <v>0</v>
      </c>
      <c r="H369">
        <f>$E369/$F369^2*sim_annual_output!J369</f>
        <v>402.86503935433791</v>
      </c>
      <c r="I369">
        <f>$E369/$F369^2*sim_annual_output!K369</f>
        <v>14.378779921248315</v>
      </c>
      <c r="J369">
        <f>$E369/$F369^2*sim_annual_output!L369</f>
        <v>0</v>
      </c>
      <c r="K369">
        <f>$E369/$F369^2*sim_annual_output!M369</f>
        <v>45.391149567173073</v>
      </c>
      <c r="L369">
        <f>$E369/$F369^2*sim_annual_output!N369</f>
        <v>37.749985101789981</v>
      </c>
      <c r="M369">
        <f>$E369/$F369^2*sim_annual_output!O369</f>
        <v>11.425994758849107</v>
      </c>
      <c r="N369">
        <f>$E369/$F369^2*sim_annual_output!P369</f>
        <v>0</v>
      </c>
      <c r="O369">
        <f>$E369/$F369^2*sim_annual_output!Q369</f>
        <v>30.069818520888134</v>
      </c>
      <c r="P369">
        <f>$E369/$F369^2*sim_annual_output!R369</f>
        <v>11.885894704341114</v>
      </c>
      <c r="Q369">
        <f>$E369/$F369^2*sim_annual_output!S369</f>
        <v>0</v>
      </c>
      <c r="R369">
        <f t="array" ref="R369">INDEX(G$3:G$700,MATCH($B369&amp;$C369&amp;"baseline",$B$3:$B$700&amp;$C$3:$C$700&amp;$D$3:$D$700,0))</f>
        <v>0</v>
      </c>
      <c r="S369">
        <f t="array" ref="S369">INDEX(H$3:H$700,MATCH($B369&amp;$C369&amp;"baseline",$B$3:$B$700&amp;$C$3:$C$700&amp;$D$3:$D$700,0))</f>
        <v>411.43981695995126</v>
      </c>
      <c r="T369">
        <f t="array" ref="T369">INDEX(I$3:I$700,MATCH($B369&amp;$C369&amp;"baseline",$B$3:$B$700&amp;$C$3:$C$700&amp;$D$3:$D$700,0))</f>
        <v>19.71150667436499</v>
      </c>
      <c r="U369">
        <f t="array" ref="U369">INDEX(J$3:J$700,MATCH($B369&amp;$C369&amp;"baseline",$B$3:$B$700&amp;$C$3:$C$700&amp;$D$3:$D$700,0))</f>
        <v>0</v>
      </c>
      <c r="V369">
        <f t="array" ref="V369">INDEX(K$3:K$700,MATCH($B369&amp;$C369&amp;"baseline",$B$3:$B$700&amp;$C$3:$C$700&amp;$D$3:$D$700,0))</f>
        <v>45.391962111246379</v>
      </c>
      <c r="W369">
        <f t="array" ref="W369">INDEX(L$3:L$700,MATCH($B369&amp;$C369&amp;"baseline",$B$3:$B$700&amp;$C$3:$C$700&amp;$D$3:$D$700,0))</f>
        <v>37.749985101789981</v>
      </c>
      <c r="X369">
        <f t="array" ref="X369">INDEX(M$3:M$700,MATCH($B369&amp;$C369&amp;"baseline",$B$3:$B$700&amp;$C$3:$C$700&amp;$D$3:$D$700,0))</f>
        <v>11.425994758849107</v>
      </c>
      <c r="Y369">
        <f t="array" ref="Y369">INDEX(N$3:N$700,MATCH($B369&amp;$C369&amp;"baseline",$B$3:$B$700&amp;$C$3:$C$700&amp;$D$3:$D$700,0))</f>
        <v>0</v>
      </c>
      <c r="Z369">
        <f t="array" ref="Z369">INDEX(O$3:O$700,MATCH($B369&amp;$C369&amp;"baseline",$B$3:$B$700&amp;$C$3:$C$700&amp;$D$3:$D$700,0))</f>
        <v>30.13075932638619</v>
      </c>
      <c r="AA369">
        <f t="array" ref="AA369">INDEX(P$3:P$700,MATCH($B369&amp;$C369&amp;"baseline",$B$3:$B$700&amp;$C$3:$C$700&amp;$D$3:$D$700,0))</f>
        <v>11.8403922362359</v>
      </c>
      <c r="AB369">
        <f t="array" ref="AB369">INDEX(Q$3:Q$700,MATCH($B369&amp;$C369&amp;"baseline",$B$3:$B$700&amp;$C$3:$C$700&amp;$D$3:$D$700,0))</f>
        <v>0</v>
      </c>
      <c r="AC369">
        <f t="shared" si="41"/>
        <v>567.69041716882373</v>
      </c>
      <c r="AD369">
        <f t="shared" si="42"/>
        <v>8.5755901496866045</v>
      </c>
      <c r="AE369">
        <f t="shared" si="43"/>
        <v>5.348165090509525</v>
      </c>
      <c r="AF369">
        <f t="shared" si="44"/>
        <v>2.452702180465975</v>
      </c>
      <c r="AG369">
        <f>(S369+V369+Y369)*constants!$O$2+(R369+T369+U369+W369+X369+Z369+AA369+AB369)*constants!$N$2</f>
        <v>19.92770092598516</v>
      </c>
      <c r="AH369">
        <f>((S369+V369+Y369)-(H369+K369+N369))*constants!$O$2</f>
        <v>0.13892456042492299</v>
      </c>
      <c r="AI369">
        <f>((R369+T369+U369+W369+X369+Z369+AA369+AB369)-(G369+I369+J369+L369+M369+O369+P369+Q369))*constants!$N$2</f>
        <v>0.60434265522757635</v>
      </c>
      <c r="AJ369">
        <f t="shared" si="45"/>
        <v>3.7298192019898284</v>
      </c>
      <c r="AK369">
        <f t="shared" si="46"/>
        <v>0.74326721565249931</v>
      </c>
      <c r="AL369">
        <f>COUNTIFS($B:$B,$B369,$AK:$AK,"&lt;"&amp;$AK369)+COUNTIFS($B$2:$B369,$B369,$AK$2:$AK369,$AK369)</f>
        <v>38</v>
      </c>
      <c r="AM369" s="191">
        <f>IF(AK369=0, "NA",IF(((sim_annual_output!F369/E369)/AK369)&lt;0,100,((sim_annual_output!F369/E369)/AK369)))</f>
        <v>7.9092860096772961</v>
      </c>
      <c r="AN369">
        <f>(S369+V369)*constants!$F$2+(T369+U369+W369+X369+Y369+Z369+AA369+AB369)*constants!$G$2</f>
        <v>178219.90359867914</v>
      </c>
      <c r="AO369">
        <f>(AD369*constants!$F$2+AE369*constants!$G$2)</f>
        <v>6187.9342655371884</v>
      </c>
      <c r="AP369">
        <f t="shared" si="47"/>
        <v>3.4720781128191844</v>
      </c>
    </row>
    <row r="370" spans="1:42">
      <c r="A370">
        <f>sim_annual_output!B370</f>
        <v>14</v>
      </c>
      <c r="B370" t="str">
        <f>sim_annual_output!C370</f>
        <v>Office</v>
      </c>
      <c r="C370" t="str">
        <f>sim_annual_output!D370</f>
        <v>1960-1979</v>
      </c>
      <c r="D370" t="str">
        <f>sim_annual_output!E370</f>
        <v>dcv_enabled</v>
      </c>
      <c r="E370" s="45">
        <f t="array" ref="E370">IFERROR(INDEX(baseline!$J$3:$J$201,MATCH($B370&amp;$C370,baseline!$C$3:$C$201&amp;baseline!$D$3:$D$201,0)),"NA")</f>
        <v>3418.6207140000001</v>
      </c>
      <c r="F370">
        <f>sim_annual_output!G370</f>
        <v>3418.6207139712501</v>
      </c>
      <c r="G370">
        <f>$E370/$F370^2*sim_annual_output!I370</f>
        <v>0</v>
      </c>
      <c r="H370">
        <f>$E370/$F370^2*sim_annual_output!J370</f>
        <v>342.53445445533441</v>
      </c>
      <c r="I370">
        <f>$E370/$F370^2*sim_annual_output!K370</f>
        <v>20.22259689647537</v>
      </c>
      <c r="J370">
        <f>$E370/$F370^2*sim_annual_output!L370</f>
        <v>0</v>
      </c>
      <c r="K370">
        <f>$E370/$F370^2*sim_annual_output!M370</f>
        <v>45.391149567173073</v>
      </c>
      <c r="L370">
        <f>$E370/$F370^2*sim_annual_output!N370</f>
        <v>37.749985101789981</v>
      </c>
      <c r="M370">
        <f>$E370/$F370^2*sim_annual_output!O370</f>
        <v>11.425994758849107</v>
      </c>
      <c r="N370">
        <f>$E370/$F370^2*sim_annual_output!P370</f>
        <v>0</v>
      </c>
      <c r="O370">
        <f>$E370/$F370^2*sim_annual_output!Q370</f>
        <v>30.069818520888134</v>
      </c>
      <c r="P370">
        <f>$E370/$F370^2*sim_annual_output!R370</f>
        <v>11.837954604015977</v>
      </c>
      <c r="Q370">
        <f>$E370/$F370^2*sim_annual_output!S370</f>
        <v>0</v>
      </c>
      <c r="R370">
        <f t="array" ref="R370">INDEX(G$3:G$700,MATCH($B370&amp;$C370&amp;"baseline",$B$3:$B$700&amp;$C$3:$C$700&amp;$D$3:$D$700,0))</f>
        <v>0</v>
      </c>
      <c r="S370">
        <f t="array" ref="S370">INDEX(H$3:H$700,MATCH($B370&amp;$C370&amp;"baseline",$B$3:$B$700&amp;$C$3:$C$700&amp;$D$3:$D$700,0))</f>
        <v>411.43981695995126</v>
      </c>
      <c r="T370">
        <f t="array" ref="T370">INDEX(I$3:I$700,MATCH($B370&amp;$C370&amp;"baseline",$B$3:$B$700&amp;$C$3:$C$700&amp;$D$3:$D$700,0))</f>
        <v>19.71150667436499</v>
      </c>
      <c r="U370">
        <f t="array" ref="U370">INDEX(J$3:J$700,MATCH($B370&amp;$C370&amp;"baseline",$B$3:$B$700&amp;$C$3:$C$700&amp;$D$3:$D$700,0))</f>
        <v>0</v>
      </c>
      <c r="V370">
        <f t="array" ref="V370">INDEX(K$3:K$700,MATCH($B370&amp;$C370&amp;"baseline",$B$3:$B$700&amp;$C$3:$C$700&amp;$D$3:$D$700,0))</f>
        <v>45.391962111246379</v>
      </c>
      <c r="W370">
        <f t="array" ref="W370">INDEX(L$3:L$700,MATCH($B370&amp;$C370&amp;"baseline",$B$3:$B$700&amp;$C$3:$C$700&amp;$D$3:$D$700,0))</f>
        <v>37.749985101789981</v>
      </c>
      <c r="X370">
        <f t="array" ref="X370">INDEX(M$3:M$700,MATCH($B370&amp;$C370&amp;"baseline",$B$3:$B$700&amp;$C$3:$C$700&amp;$D$3:$D$700,0))</f>
        <v>11.425994758849107</v>
      </c>
      <c r="Y370">
        <f t="array" ref="Y370">INDEX(N$3:N$700,MATCH($B370&amp;$C370&amp;"baseline",$B$3:$B$700&amp;$C$3:$C$700&amp;$D$3:$D$700,0))</f>
        <v>0</v>
      </c>
      <c r="Z370">
        <f t="array" ref="Z370">INDEX(O$3:O$700,MATCH($B370&amp;$C370&amp;"baseline",$B$3:$B$700&amp;$C$3:$C$700&amp;$D$3:$D$700,0))</f>
        <v>30.13075932638619</v>
      </c>
      <c r="AA370">
        <f t="array" ref="AA370">INDEX(P$3:P$700,MATCH($B370&amp;$C370&amp;"baseline",$B$3:$B$700&amp;$C$3:$C$700&amp;$D$3:$D$700,0))</f>
        <v>11.8403922362359</v>
      </c>
      <c r="AB370">
        <f t="array" ref="AB370">INDEX(Q$3:Q$700,MATCH($B370&amp;$C370&amp;"baseline",$B$3:$B$700&amp;$C$3:$C$700&amp;$D$3:$D$700,0))</f>
        <v>0</v>
      </c>
      <c r="AC370">
        <f t="shared" si="41"/>
        <v>567.69041716882373</v>
      </c>
      <c r="AD370">
        <f t="shared" si="42"/>
        <v>68.906175048690102</v>
      </c>
      <c r="AE370">
        <f t="shared" si="43"/>
        <v>-0.44771178439238213</v>
      </c>
      <c r="AF370">
        <f t="shared" si="44"/>
        <v>12.059119053957726</v>
      </c>
      <c r="AG370">
        <f>(S370+V370+Y370)*constants!$O$2+(R370+T370+U370+W370+X370+Z370+AA370+AB370)*constants!$N$2</f>
        <v>19.92770092598516</v>
      </c>
      <c r="AH370">
        <f>((S370+V370+Y370)-(H370+K370+N370))*constants!$O$2</f>
        <v>1.1162800357887797</v>
      </c>
      <c r="AI370">
        <f>((R370+T370+U370+W370+X370+Z370+AA370+AB370)-(G370+I370+J370+L370+M370+O370+P370+Q370))*constants!$N$2</f>
        <v>-5.0591431636339182E-2</v>
      </c>
      <c r="AJ370">
        <f t="shared" si="45"/>
        <v>5.3477749797158616</v>
      </c>
      <c r="AK370">
        <f t="shared" si="46"/>
        <v>1.0656886041524405</v>
      </c>
      <c r="AL370">
        <f>COUNTIFS($B:$B,$B370,$AK:$AK,"&lt;"&amp;$AK370)+COUNTIFS($B$2:$B370,$B370,$AK$2:$AK370,$AK370)</f>
        <v>46</v>
      </c>
      <c r="AM370" s="191">
        <f>IF(AK370=0, "NA",IF(((sim_annual_output!F370/E370)/AK370)&lt;0,100,((sim_annual_output!F370/E370)/AK370)))</f>
        <v>11.647494817386896</v>
      </c>
      <c r="AN370">
        <f>(S370+V370)*constants!$F$2+(T370+U370+W370+X370+Y370+Z370+AA370+AB370)*constants!$G$2</f>
        <v>178219.90359867914</v>
      </c>
      <c r="AO370">
        <f>(AD370*constants!$F$2+AE370*constants!$G$2)</f>
        <v>11944.696081294156</v>
      </c>
      <c r="AP370">
        <f t="shared" si="47"/>
        <v>6.7022233993525084</v>
      </c>
    </row>
    <row r="371" spans="1:42">
      <c r="A371">
        <f>sim_annual_output!B371</f>
        <v>14</v>
      </c>
      <c r="B371" t="str">
        <f>sim_annual_output!C371</f>
        <v>Office</v>
      </c>
      <c r="C371" t="str">
        <f>sim_annual_output!D371</f>
        <v>1960-1979</v>
      </c>
      <c r="D371" t="str">
        <f>sim_annual_output!E371</f>
        <v>ecm_cold_deck_reset_control</v>
      </c>
      <c r="E371" s="45">
        <f t="array" ref="E371">IFERROR(INDEX(baseline!$J$3:$J$201,MATCH($B371&amp;$C371,baseline!$C$3:$C$201&amp;baseline!$D$3:$D$201,0)),"NA")</f>
        <v>3418.6207140000001</v>
      </c>
      <c r="F371">
        <f>sim_annual_output!G371</f>
        <v>3418.6207139712501</v>
      </c>
      <c r="G371">
        <f>$E371/$F371^2*sim_annual_output!I371</f>
        <v>0</v>
      </c>
      <c r="H371">
        <f>$E371/$F371^2*sim_annual_output!J371</f>
        <v>317.93955790039178</v>
      </c>
      <c r="I371">
        <f>$E371/$F371^2*sim_annual_output!K371</f>
        <v>2.4522580132418295</v>
      </c>
      <c r="J371">
        <f>$E371/$F371^2*sim_annual_output!L371</f>
        <v>0</v>
      </c>
      <c r="K371">
        <f>$E371/$F371^2*sim_annual_output!M371</f>
        <v>45.391962111246379</v>
      </c>
      <c r="L371">
        <f>$E371/$F371^2*sim_annual_output!N371</f>
        <v>37.749985101789981</v>
      </c>
      <c r="M371">
        <f>$E371/$F371^2*sim_annual_output!O371</f>
        <v>11.425994758849107</v>
      </c>
      <c r="N371">
        <f>$E371/$F371^2*sim_annual_output!P371</f>
        <v>0</v>
      </c>
      <c r="O371">
        <f>$E371/$F371^2*sim_annual_output!Q371</f>
        <v>30.10638300418697</v>
      </c>
      <c r="P371">
        <f>$E371/$F371^2*sim_annual_output!R371</f>
        <v>11.740449315219085</v>
      </c>
      <c r="Q371">
        <f>$E371/$F371^2*sim_annual_output!S371</f>
        <v>0</v>
      </c>
      <c r="R371">
        <f t="array" ref="R371">INDEX(G$3:G$700,MATCH($B371&amp;$C371&amp;"baseline",$B$3:$B$700&amp;$C$3:$C$700&amp;$D$3:$D$700,0))</f>
        <v>0</v>
      </c>
      <c r="S371">
        <f t="array" ref="S371">INDEX(H$3:H$700,MATCH($B371&amp;$C371&amp;"baseline",$B$3:$B$700&amp;$C$3:$C$700&amp;$D$3:$D$700,0))</f>
        <v>411.43981695995126</v>
      </c>
      <c r="T371">
        <f t="array" ref="T371">INDEX(I$3:I$700,MATCH($B371&amp;$C371&amp;"baseline",$B$3:$B$700&amp;$C$3:$C$700&amp;$D$3:$D$700,0))</f>
        <v>19.71150667436499</v>
      </c>
      <c r="U371">
        <f t="array" ref="U371">INDEX(J$3:J$700,MATCH($B371&amp;$C371&amp;"baseline",$B$3:$B$700&amp;$C$3:$C$700&amp;$D$3:$D$700,0))</f>
        <v>0</v>
      </c>
      <c r="V371">
        <f t="array" ref="V371">INDEX(K$3:K$700,MATCH($B371&amp;$C371&amp;"baseline",$B$3:$B$700&amp;$C$3:$C$700&amp;$D$3:$D$700,0))</f>
        <v>45.391962111246379</v>
      </c>
      <c r="W371">
        <f t="array" ref="W371">INDEX(L$3:L$700,MATCH($B371&amp;$C371&amp;"baseline",$B$3:$B$700&amp;$C$3:$C$700&amp;$D$3:$D$700,0))</f>
        <v>37.749985101789981</v>
      </c>
      <c r="X371">
        <f t="array" ref="X371">INDEX(M$3:M$700,MATCH($B371&amp;$C371&amp;"baseline",$B$3:$B$700&amp;$C$3:$C$700&amp;$D$3:$D$700,0))</f>
        <v>11.425994758849107</v>
      </c>
      <c r="Y371">
        <f t="array" ref="Y371">INDEX(N$3:N$700,MATCH($B371&amp;$C371&amp;"baseline",$B$3:$B$700&amp;$C$3:$C$700&amp;$D$3:$D$700,0))</f>
        <v>0</v>
      </c>
      <c r="Z371">
        <f t="array" ref="Z371">INDEX(O$3:O$700,MATCH($B371&amp;$C371&amp;"baseline",$B$3:$B$700&amp;$C$3:$C$700&amp;$D$3:$D$700,0))</f>
        <v>30.13075932638619</v>
      </c>
      <c r="AA371">
        <f t="array" ref="AA371">INDEX(P$3:P$700,MATCH($B371&amp;$C371&amp;"baseline",$B$3:$B$700&amp;$C$3:$C$700&amp;$D$3:$D$700,0))</f>
        <v>11.8403922362359</v>
      </c>
      <c r="AB371">
        <f t="array" ref="AB371">INDEX(Q$3:Q$700,MATCH($B371&amp;$C371&amp;"baseline",$B$3:$B$700&amp;$C$3:$C$700&amp;$D$3:$D$700,0))</f>
        <v>0</v>
      </c>
      <c r="AC371">
        <f t="shared" si="41"/>
        <v>567.69041716882373</v>
      </c>
      <c r="AD371">
        <f t="shared" si="42"/>
        <v>93.500259059559482</v>
      </c>
      <c r="AE371">
        <f t="shared" si="43"/>
        <v>17.383567904339216</v>
      </c>
      <c r="AF371">
        <f t="shared" si="44"/>
        <v>19.532446490271351</v>
      </c>
      <c r="AG371">
        <f>(S371+V371+Y371)*constants!$O$2+(R371+T371+U371+W371+X371+Z371+AA371+AB371)*constants!$N$2</f>
        <v>19.92770092598516</v>
      </c>
      <c r="AH371">
        <f>((S371+V371+Y371)-(H371+K371+N371))*constants!$O$2</f>
        <v>1.5147041967648636</v>
      </c>
      <c r="AI371">
        <f>((R371+T371+U371+W371+X371+Z371+AA371+AB371)-(G371+I371+J371+L371+M371+O371+P371+Q371))*constants!$N$2</f>
        <v>1.9643431731903316</v>
      </c>
      <c r="AJ371">
        <f t="shared" si="45"/>
        <v>17.458347969376714</v>
      </c>
      <c r="AK371">
        <f t="shared" si="46"/>
        <v>3.4790473699551949</v>
      </c>
      <c r="AL371">
        <f>COUNTIFS($B:$B,$B371,$AK:$AK,"&lt;"&amp;$AK371)+COUNTIFS($B$2:$B371,$B371,$AK$2:$AK371,$AK371)</f>
        <v>61</v>
      </c>
      <c r="AM371" s="191">
        <f>IF(AK371=0, "NA",IF(((sim_annual_output!F371/E371)/AK371)&lt;0,100,((sim_annual_output!F371/E371)/AK371)))</f>
        <v>1.4779985579581003</v>
      </c>
      <c r="AN371">
        <f>(S371+V371)*constants!$F$2+(T371+U371+W371+X371+Y371+Z371+AA371+AB371)*constants!$G$2</f>
        <v>178219.90359867914</v>
      </c>
      <c r="AO371">
        <f>(AD371*constants!$F$2+AE371*constants!$G$2)</f>
        <v>31860.250448436265</v>
      </c>
      <c r="AP371">
        <f t="shared" si="47"/>
        <v>17.876931703531902</v>
      </c>
    </row>
    <row r="372" spans="1:42">
      <c r="A372">
        <f>sim_annual_output!B372</f>
        <v>14</v>
      </c>
      <c r="B372" t="str">
        <f>sim_annual_output!C372</f>
        <v>Office</v>
      </c>
      <c r="C372" t="str">
        <f>sim_annual_output!D372</f>
        <v>1960-1979</v>
      </c>
      <c r="D372" t="str">
        <f>sim_annual_output!E372</f>
        <v>economizers_enabled</v>
      </c>
      <c r="E372" s="45">
        <f t="array" ref="E372">IFERROR(INDEX(baseline!$J$3:$J$201,MATCH($B372&amp;$C372,baseline!$C$3:$C$201&amp;baseline!$D$3:$D$201,0)),"NA")</f>
        <v>3418.6207140000001</v>
      </c>
      <c r="F372">
        <f>sim_annual_output!G372</f>
        <v>3418.6207139712501</v>
      </c>
      <c r="G372">
        <f>$E372/$F372^2*sim_annual_output!I372</f>
        <v>0</v>
      </c>
      <c r="H372">
        <f>$E372/$F372^2*sim_annual_output!J372</f>
        <v>402.88210277987736</v>
      </c>
      <c r="I372">
        <f>$E372/$F372^2*sim_annual_output!K372</f>
        <v>19.991834379656055</v>
      </c>
      <c r="J372">
        <f>$E372/$F372^2*sim_annual_output!L372</f>
        <v>0</v>
      </c>
      <c r="K372">
        <f>$E372/$F372^2*sim_annual_output!M372</f>
        <v>45.391149567173073</v>
      </c>
      <c r="L372">
        <f>$E372/$F372^2*sim_annual_output!N372</f>
        <v>37.749985101789981</v>
      </c>
      <c r="M372">
        <f>$E372/$F372^2*sim_annual_output!O372</f>
        <v>11.425994758849107</v>
      </c>
      <c r="N372">
        <f>$E372/$F372^2*sim_annual_output!P372</f>
        <v>0</v>
      </c>
      <c r="O372">
        <f>$E372/$F372^2*sim_annual_output!Q372</f>
        <v>30.069005976814825</v>
      </c>
      <c r="P372">
        <f>$E372/$F372^2*sim_annual_output!R372</f>
        <v>11.886707248414423</v>
      </c>
      <c r="Q372">
        <f>$E372/$F372^2*sim_annual_output!S372</f>
        <v>0</v>
      </c>
      <c r="R372">
        <f t="array" ref="R372">INDEX(G$3:G$700,MATCH($B372&amp;$C372&amp;"baseline",$B$3:$B$700&amp;$C$3:$C$700&amp;$D$3:$D$700,0))</f>
        <v>0</v>
      </c>
      <c r="S372">
        <f t="array" ref="S372">INDEX(H$3:H$700,MATCH($B372&amp;$C372&amp;"baseline",$B$3:$B$700&amp;$C$3:$C$700&amp;$D$3:$D$700,0))</f>
        <v>411.43981695995126</v>
      </c>
      <c r="T372">
        <f t="array" ref="T372">INDEX(I$3:I$700,MATCH($B372&amp;$C372&amp;"baseline",$B$3:$B$700&amp;$C$3:$C$700&amp;$D$3:$D$700,0))</f>
        <v>19.71150667436499</v>
      </c>
      <c r="U372">
        <f t="array" ref="U372">INDEX(J$3:J$700,MATCH($B372&amp;$C372&amp;"baseline",$B$3:$B$700&amp;$C$3:$C$700&amp;$D$3:$D$700,0))</f>
        <v>0</v>
      </c>
      <c r="V372">
        <f t="array" ref="V372">INDEX(K$3:K$700,MATCH($B372&amp;$C372&amp;"baseline",$B$3:$B$700&amp;$C$3:$C$700&amp;$D$3:$D$700,0))</f>
        <v>45.391962111246379</v>
      </c>
      <c r="W372">
        <f t="array" ref="W372">INDEX(L$3:L$700,MATCH($B372&amp;$C372&amp;"baseline",$B$3:$B$700&amp;$C$3:$C$700&amp;$D$3:$D$700,0))</f>
        <v>37.749985101789981</v>
      </c>
      <c r="X372">
        <f t="array" ref="X372">INDEX(M$3:M$700,MATCH($B372&amp;$C372&amp;"baseline",$B$3:$B$700&amp;$C$3:$C$700&amp;$D$3:$D$700,0))</f>
        <v>11.425994758849107</v>
      </c>
      <c r="Y372">
        <f t="array" ref="Y372">INDEX(N$3:N$700,MATCH($B372&amp;$C372&amp;"baseline",$B$3:$B$700&amp;$C$3:$C$700&amp;$D$3:$D$700,0))</f>
        <v>0</v>
      </c>
      <c r="Z372">
        <f t="array" ref="Z372">INDEX(O$3:O$700,MATCH($B372&amp;$C372&amp;"baseline",$B$3:$B$700&amp;$C$3:$C$700&amp;$D$3:$D$700,0))</f>
        <v>30.13075932638619</v>
      </c>
      <c r="AA372">
        <f t="array" ref="AA372">INDEX(P$3:P$700,MATCH($B372&amp;$C372&amp;"baseline",$B$3:$B$700&amp;$C$3:$C$700&amp;$D$3:$D$700,0))</f>
        <v>11.8403922362359</v>
      </c>
      <c r="AB372">
        <f t="array" ref="AB372">INDEX(Q$3:Q$700,MATCH($B372&amp;$C372&amp;"baseline",$B$3:$B$700&amp;$C$3:$C$700&amp;$D$3:$D$700,0))</f>
        <v>0</v>
      </c>
      <c r="AC372">
        <f t="shared" si="41"/>
        <v>567.69041716882373</v>
      </c>
      <c r="AD372">
        <f t="shared" si="42"/>
        <v>8.5585267241472138</v>
      </c>
      <c r="AE372">
        <f t="shared" si="43"/>
        <v>-0.26488936789820627</v>
      </c>
      <c r="AF372">
        <f t="shared" si="44"/>
        <v>1.460943694912255</v>
      </c>
      <c r="AG372">
        <f>(S372+V372+Y372)*constants!$O$2+(R372+T372+U372+W372+X372+Z372+AA372+AB372)*constants!$N$2</f>
        <v>19.92770092598516</v>
      </c>
      <c r="AH372">
        <f>((S372+V372+Y372)-(H372+K372+N372))*constants!$O$2</f>
        <v>0.13864813293118486</v>
      </c>
      <c r="AI372">
        <f>((R372+T372+U372+W372+X372+Z372+AA372+AB372)-(G372+I372+J372+L372+M372+O372+P372+Q372))*constants!$N$2</f>
        <v>-2.9932498572497308E-2</v>
      </c>
      <c r="AJ372">
        <f t="shared" si="45"/>
        <v>0.54555031090879846</v>
      </c>
      <c r="AK372">
        <f t="shared" si="46"/>
        <v>0.10871563435868756</v>
      </c>
      <c r="AL372">
        <f>COUNTIFS($B:$B,$B372,$AK:$AK,"&lt;"&amp;$AK372)+COUNTIFS($B$2:$B372,$B372,$AK$2:$AK372,$AK372)</f>
        <v>27</v>
      </c>
      <c r="AM372" s="191">
        <f>IF(AK372=0, "NA",IF(((sim_annual_output!F372/E372)/AK372)&lt;0,100,((sim_annual_output!F372/E372)/AK372)))</f>
        <v>18.481880867735772</v>
      </c>
      <c r="AN372">
        <f>(S372+V372)*constants!$F$2+(T372+U372+W372+X372+Y372+Z372+AA372+AB372)*constants!$G$2</f>
        <v>178219.90359867914</v>
      </c>
      <c r="AO372">
        <f>(AD372*constants!$F$2+AE372*constants!$G$2)</f>
        <v>1301.5225335509117</v>
      </c>
      <c r="AP372">
        <f t="shared" si="47"/>
        <v>0.73029022419500278</v>
      </c>
    </row>
    <row r="373" spans="1:42">
      <c r="A373">
        <f>sim_annual_output!B373</f>
        <v>14</v>
      </c>
      <c r="B373" t="str">
        <f>sim_annual_output!C373</f>
        <v>Office</v>
      </c>
      <c r="C373" t="str">
        <f>sim_annual_output!D373</f>
        <v>1960-1979</v>
      </c>
      <c r="D373" t="str">
        <f>sim_annual_output!E373</f>
        <v>elec_reduce</v>
      </c>
      <c r="E373" s="45">
        <f t="array" ref="E373">IFERROR(INDEX(baseline!$J$3:$J$201,MATCH($B373&amp;$C373,baseline!$C$3:$C$201&amp;baseline!$D$3:$D$201,0)),"NA")</f>
        <v>3418.6207140000001</v>
      </c>
      <c r="F373">
        <f>sim_annual_output!G373</f>
        <v>3418.6207139712501</v>
      </c>
      <c r="G373">
        <f>$E373/$F373^2*sim_annual_output!I373</f>
        <v>0</v>
      </c>
      <c r="H373">
        <f>$E373/$F373^2*sim_annual_output!J373</f>
        <v>356.7141610786224</v>
      </c>
      <c r="I373">
        <f>$E373/$F373^2*sim_annual_output!K373</f>
        <v>20.025148686661659</v>
      </c>
      <c r="J373">
        <f>$E373/$F373^2*sim_annual_output!L373</f>
        <v>0</v>
      </c>
      <c r="K373">
        <f>$E373/$F373^2*sim_annual_output!M373</f>
        <v>45.391149567173073</v>
      </c>
      <c r="L373">
        <f>$E373/$F373^2*sim_annual_output!N373</f>
        <v>26.425558352104304</v>
      </c>
      <c r="M373">
        <f>$E373/$F373^2*sim_annual_output!O373</f>
        <v>11.425994758849107</v>
      </c>
      <c r="N373">
        <f>$E373/$F373^2*sim_annual_output!P373</f>
        <v>0</v>
      </c>
      <c r="O373">
        <f>$E373/$F373^2*sim_annual_output!Q373</f>
        <v>14.089514231150869</v>
      </c>
      <c r="P373">
        <f>$E373/$F373^2*sim_annual_output!R373</f>
        <v>9.2995669190035581</v>
      </c>
      <c r="Q373">
        <f>$E373/$F373^2*sim_annual_output!S373</f>
        <v>0</v>
      </c>
      <c r="R373">
        <f t="array" ref="R373">INDEX(G$3:G$700,MATCH($B373&amp;$C373&amp;"baseline",$B$3:$B$700&amp;$C$3:$C$700&amp;$D$3:$D$700,0))</f>
        <v>0</v>
      </c>
      <c r="S373">
        <f t="array" ref="S373">INDEX(H$3:H$700,MATCH($B373&amp;$C373&amp;"baseline",$B$3:$B$700&amp;$C$3:$C$700&amp;$D$3:$D$700,0))</f>
        <v>411.43981695995126</v>
      </c>
      <c r="T373">
        <f t="array" ref="T373">INDEX(I$3:I$700,MATCH($B373&amp;$C373&amp;"baseline",$B$3:$B$700&amp;$C$3:$C$700&amp;$D$3:$D$700,0))</f>
        <v>19.71150667436499</v>
      </c>
      <c r="U373">
        <f t="array" ref="U373">INDEX(J$3:J$700,MATCH($B373&amp;$C373&amp;"baseline",$B$3:$B$700&amp;$C$3:$C$700&amp;$D$3:$D$700,0))</f>
        <v>0</v>
      </c>
      <c r="V373">
        <f t="array" ref="V373">INDEX(K$3:K$700,MATCH($B373&amp;$C373&amp;"baseline",$B$3:$B$700&amp;$C$3:$C$700&amp;$D$3:$D$700,0))</f>
        <v>45.391962111246379</v>
      </c>
      <c r="W373">
        <f t="array" ref="W373">INDEX(L$3:L$700,MATCH($B373&amp;$C373&amp;"baseline",$B$3:$B$700&amp;$C$3:$C$700&amp;$D$3:$D$700,0))</f>
        <v>37.749985101789981</v>
      </c>
      <c r="X373">
        <f t="array" ref="X373">INDEX(M$3:M$700,MATCH($B373&amp;$C373&amp;"baseline",$B$3:$B$700&amp;$C$3:$C$700&amp;$D$3:$D$700,0))</f>
        <v>11.425994758849107</v>
      </c>
      <c r="Y373">
        <f t="array" ref="Y373">INDEX(N$3:N$700,MATCH($B373&amp;$C373&amp;"baseline",$B$3:$B$700&amp;$C$3:$C$700&amp;$D$3:$D$700,0))</f>
        <v>0</v>
      </c>
      <c r="Z373">
        <f t="array" ref="Z373">INDEX(O$3:O$700,MATCH($B373&amp;$C373&amp;"baseline",$B$3:$B$700&amp;$C$3:$C$700&amp;$D$3:$D$700,0))</f>
        <v>30.13075932638619</v>
      </c>
      <c r="AA373">
        <f t="array" ref="AA373">INDEX(P$3:P$700,MATCH($B373&amp;$C373&amp;"baseline",$B$3:$B$700&amp;$C$3:$C$700&amp;$D$3:$D$700,0))</f>
        <v>11.8403922362359</v>
      </c>
      <c r="AB373">
        <f t="array" ref="AB373">INDEX(Q$3:Q$700,MATCH($B373&amp;$C373&amp;"baseline",$B$3:$B$700&amp;$C$3:$C$700&amp;$D$3:$D$700,0))</f>
        <v>0</v>
      </c>
      <c r="AC373">
        <f t="shared" si="41"/>
        <v>567.69041716882373</v>
      </c>
      <c r="AD373">
        <f t="shared" si="42"/>
        <v>54.726468425402118</v>
      </c>
      <c r="AE373">
        <f t="shared" si="43"/>
        <v>29.592855149856689</v>
      </c>
      <c r="AF373">
        <f t="shared" si="44"/>
        <v>14.853046841229901</v>
      </c>
      <c r="AG373">
        <f>(S373+V373+Y373)*constants!$O$2+(R373+T373+U373+W373+X373+Z373+AA373+AB373)*constants!$N$2</f>
        <v>19.92770092598516</v>
      </c>
      <c r="AH373">
        <f>((S373+V373+Y373)-(H373+K373+N373))*constants!$O$2</f>
        <v>0.88656878849151421</v>
      </c>
      <c r="AI373">
        <f>((R373+T373+U373+W373+X373+Z373+AA373+AB373)-(G373+I373+J373+L373+M373+O373+P373+Q373))*constants!$N$2</f>
        <v>3.3439926319338058</v>
      </c>
      <c r="AJ373">
        <f t="shared" si="45"/>
        <v>21.229550945883513</v>
      </c>
      <c r="AK373">
        <f t="shared" si="46"/>
        <v>4.2305614204253201</v>
      </c>
      <c r="AL373">
        <f>COUNTIFS($B:$B,$B373,$AK:$AK,"&lt;"&amp;$AK373)+COUNTIFS($B$2:$B373,$B373,$AK$2:$AK373,$AK373)</f>
        <v>66</v>
      </c>
      <c r="AM373" s="191">
        <f>IF(AK373=0, "NA",IF(((sim_annual_output!F373/E373)/AK373)&lt;0,100,((sim_annual_output!F373/E373)/AK373)))</f>
        <v>10.398772496340969</v>
      </c>
      <c r="AN373">
        <f>(S373+V373)*constants!$F$2+(T373+U373+W373+X373+Y373+Z373+AA373+AB373)*constants!$G$2</f>
        <v>178219.90359867914</v>
      </c>
      <c r="AO373">
        <f>(AD373*constants!$F$2+AE373*constants!$G$2)</f>
        <v>35541.821828522297</v>
      </c>
      <c r="AP373">
        <f t="shared" si="47"/>
        <v>19.942678180634875</v>
      </c>
    </row>
    <row r="374" spans="1:42">
      <c r="A374">
        <f>sim_annual_output!B374</f>
        <v>14</v>
      </c>
      <c r="B374" t="str">
        <f>sim_annual_output!C374</f>
        <v>Office</v>
      </c>
      <c r="C374" t="str">
        <f>sim_annual_output!D374</f>
        <v>1960-1979</v>
      </c>
      <c r="D374" t="str">
        <f>sim_annual_output!E374</f>
        <v>envelope_ecm_roof</v>
      </c>
      <c r="E374" s="45">
        <f t="array" ref="E374">IFERROR(INDEX(baseline!$J$3:$J$201,MATCH($B374&amp;$C374,baseline!$C$3:$C$201&amp;baseline!$D$3:$D$201,0)),"NA")</f>
        <v>3418.6207140000001</v>
      </c>
      <c r="F374">
        <f>sim_annual_output!G374</f>
        <v>3418.6207139712501</v>
      </c>
      <c r="G374">
        <f>$E374/$F374^2*sim_annual_output!I374</f>
        <v>0</v>
      </c>
      <c r="H374">
        <f>$E374/$F374^2*sim_annual_output!J374</f>
        <v>340.35602379479718</v>
      </c>
      <c r="I374">
        <f>$E374/$F374^2*sim_annual_output!K374</f>
        <v>16.796911083411235</v>
      </c>
      <c r="J374">
        <f>$E374/$F374^2*sim_annual_output!L374</f>
        <v>0</v>
      </c>
      <c r="K374">
        <f>$E374/$F374^2*sim_annual_output!M374</f>
        <v>45.391149567173073</v>
      </c>
      <c r="L374">
        <f>$E374/$F374^2*sim_annual_output!N374</f>
        <v>37.749985101789981</v>
      </c>
      <c r="M374">
        <f>$E374/$F374^2*sim_annual_output!O374</f>
        <v>11.425994758849107</v>
      </c>
      <c r="N374">
        <f>$E374/$F374^2*sim_annual_output!P374</f>
        <v>0</v>
      </c>
      <c r="O374">
        <f>$E374/$F374^2*sim_annual_output!Q374</f>
        <v>28.702306845511728</v>
      </c>
      <c r="P374">
        <f>$E374/$F374^2*sim_annual_output!R374</f>
        <v>10.229929882940569</v>
      </c>
      <c r="Q374">
        <f>$E374/$F374^2*sim_annual_output!S374</f>
        <v>0</v>
      </c>
      <c r="R374">
        <f t="array" ref="R374">INDEX(G$3:G$700,MATCH($B374&amp;$C374&amp;"baseline",$B$3:$B$700&amp;$C$3:$C$700&amp;$D$3:$D$700,0))</f>
        <v>0</v>
      </c>
      <c r="S374">
        <f t="array" ref="S374">INDEX(H$3:H$700,MATCH($B374&amp;$C374&amp;"baseline",$B$3:$B$700&amp;$C$3:$C$700&amp;$D$3:$D$700,0))</f>
        <v>411.43981695995126</v>
      </c>
      <c r="T374">
        <f t="array" ref="T374">INDEX(I$3:I$700,MATCH($B374&amp;$C374&amp;"baseline",$B$3:$B$700&amp;$C$3:$C$700&amp;$D$3:$D$700,0))</f>
        <v>19.71150667436499</v>
      </c>
      <c r="U374">
        <f t="array" ref="U374">INDEX(J$3:J$700,MATCH($B374&amp;$C374&amp;"baseline",$B$3:$B$700&amp;$C$3:$C$700&amp;$D$3:$D$700,0))</f>
        <v>0</v>
      </c>
      <c r="V374">
        <f t="array" ref="V374">INDEX(K$3:K$700,MATCH($B374&amp;$C374&amp;"baseline",$B$3:$B$700&amp;$C$3:$C$700&amp;$D$3:$D$700,0))</f>
        <v>45.391962111246379</v>
      </c>
      <c r="W374">
        <f t="array" ref="W374">INDEX(L$3:L$700,MATCH($B374&amp;$C374&amp;"baseline",$B$3:$B$700&amp;$C$3:$C$700&amp;$D$3:$D$700,0))</f>
        <v>37.749985101789981</v>
      </c>
      <c r="X374">
        <f t="array" ref="X374">INDEX(M$3:M$700,MATCH($B374&amp;$C374&amp;"baseline",$B$3:$B$700&amp;$C$3:$C$700&amp;$D$3:$D$700,0))</f>
        <v>11.425994758849107</v>
      </c>
      <c r="Y374">
        <f t="array" ref="Y374">INDEX(N$3:N$700,MATCH($B374&amp;$C374&amp;"baseline",$B$3:$B$700&amp;$C$3:$C$700&amp;$D$3:$D$700,0))</f>
        <v>0</v>
      </c>
      <c r="Z374">
        <f t="array" ref="Z374">INDEX(O$3:O$700,MATCH($B374&amp;$C374&amp;"baseline",$B$3:$B$700&amp;$C$3:$C$700&amp;$D$3:$D$700,0))</f>
        <v>30.13075932638619</v>
      </c>
      <c r="AA374">
        <f t="array" ref="AA374">INDEX(P$3:P$700,MATCH($B374&amp;$C374&amp;"baseline",$B$3:$B$700&amp;$C$3:$C$700&amp;$D$3:$D$700,0))</f>
        <v>11.8403922362359</v>
      </c>
      <c r="AB374">
        <f t="array" ref="AB374">INDEX(Q$3:Q$700,MATCH($B374&amp;$C374&amp;"baseline",$B$3:$B$700&amp;$C$3:$C$700&amp;$D$3:$D$700,0))</f>
        <v>0</v>
      </c>
      <c r="AC374">
        <f t="shared" si="41"/>
        <v>567.69041716882373</v>
      </c>
      <c r="AD374">
        <f t="shared" si="42"/>
        <v>71.08460570922739</v>
      </c>
      <c r="AE374">
        <f t="shared" si="43"/>
        <v>5.9535104251235538</v>
      </c>
      <c r="AF374">
        <f t="shared" si="44"/>
        <v>13.570445053230626</v>
      </c>
      <c r="AG374">
        <f>(S374+V374+Y374)*constants!$O$2+(R374+T374+U374+W374+X374+Z374+AA374+AB374)*constants!$N$2</f>
        <v>19.92770092598516</v>
      </c>
      <c r="AH374">
        <f>((S374+V374+Y374)-(H374+K374+N374))*constants!$O$2</f>
        <v>1.1515706124894836</v>
      </c>
      <c r="AI374">
        <f>((R374+T374+U374+W374+X374+Z374+AA374+AB374)-(G374+I374+J374+L374+M374+O374+P374+Q374))*constants!$N$2</f>
        <v>0.6727466780389616</v>
      </c>
      <c r="AJ374">
        <f t="shared" si="45"/>
        <v>9.1546801977020174</v>
      </c>
      <c r="AK374">
        <f t="shared" si="46"/>
        <v>1.824317290528445</v>
      </c>
      <c r="AL374">
        <f>COUNTIFS($B:$B,$B374,$AK:$AK,"&lt;"&amp;$AK374)+COUNTIFS($B$2:$B374,$B374,$AK$2:$AK374,$AK374)</f>
        <v>52</v>
      </c>
      <c r="AM374" s="191">
        <f>IF(AK374=0, "NA",IF(((sim_annual_output!F374/E374)/AK374)&lt;0,100,((sim_annual_output!F374/E374)/AK374)))</f>
        <v>133.05953985740771</v>
      </c>
      <c r="AN374">
        <f>(S374+V374)*constants!$F$2+(T374+U374+W374+X374+Y374+Z374+AA374+AB374)*constants!$G$2</f>
        <v>178219.90359867914</v>
      </c>
      <c r="AO374">
        <f>(AD374*constants!$F$2+AE374*constants!$G$2)</f>
        <v>17903.698491809195</v>
      </c>
      <c r="AP374">
        <f t="shared" si="47"/>
        <v>10.04584680514993</v>
      </c>
    </row>
    <row r="375" spans="1:42">
      <c r="A375">
        <f>sim_annual_output!B375</f>
        <v>14</v>
      </c>
      <c r="B375" t="str">
        <f>sim_annual_output!C375</f>
        <v>Office</v>
      </c>
      <c r="C375" t="str">
        <f>sim_annual_output!D375</f>
        <v>1960-1979</v>
      </c>
      <c r="D375" t="str">
        <f>sim_annual_output!E375</f>
        <v>envelope_ecm_wall</v>
      </c>
      <c r="E375" s="45">
        <f t="array" ref="E375">IFERROR(INDEX(baseline!$J$3:$J$201,MATCH($B375&amp;$C375,baseline!$C$3:$C$201&amp;baseline!$D$3:$D$201,0)),"NA")</f>
        <v>3418.6207140000001</v>
      </c>
      <c r="F375">
        <f>sim_annual_output!G375</f>
        <v>3418.6207139712501</v>
      </c>
      <c r="G375">
        <f>$E375/$F375^2*sim_annual_output!I375</f>
        <v>0</v>
      </c>
      <c r="H375">
        <f>$E375/$F375^2*sim_annual_output!J375</f>
        <v>383.67274834281642</v>
      </c>
      <c r="I375">
        <f>$E375/$F375^2*sim_annual_output!K375</f>
        <v>19.05090834276605</v>
      </c>
      <c r="J375">
        <f>$E375/$F375^2*sim_annual_output!L375</f>
        <v>0</v>
      </c>
      <c r="K375">
        <f>$E375/$F375^2*sim_annual_output!M375</f>
        <v>45.391149567173073</v>
      </c>
      <c r="L375">
        <f>$E375/$F375^2*sim_annual_output!N375</f>
        <v>37.749985101789981</v>
      </c>
      <c r="M375">
        <f>$E375/$F375^2*sim_annual_output!O375</f>
        <v>11.425994758849107</v>
      </c>
      <c r="N375">
        <f>$E375/$F375^2*sim_annual_output!P375</f>
        <v>0</v>
      </c>
      <c r="O375">
        <f>$E375/$F375^2*sim_annual_output!Q375</f>
        <v>29.67004683682088</v>
      </c>
      <c r="P375">
        <f>$E375/$F375^2*sim_annual_output!R375</f>
        <v>11.384555011110429</v>
      </c>
      <c r="Q375">
        <f>$E375/$F375^2*sim_annual_output!S375</f>
        <v>0</v>
      </c>
      <c r="R375">
        <f t="array" ref="R375">INDEX(G$3:G$700,MATCH($B375&amp;$C375&amp;"baseline",$B$3:$B$700&amp;$C$3:$C$700&amp;$D$3:$D$700,0))</f>
        <v>0</v>
      </c>
      <c r="S375">
        <f t="array" ref="S375">INDEX(H$3:H$700,MATCH($B375&amp;$C375&amp;"baseline",$B$3:$B$700&amp;$C$3:$C$700&amp;$D$3:$D$700,0))</f>
        <v>411.43981695995126</v>
      </c>
      <c r="T375">
        <f t="array" ref="T375">INDEX(I$3:I$700,MATCH($B375&amp;$C375&amp;"baseline",$B$3:$B$700&amp;$C$3:$C$700&amp;$D$3:$D$700,0))</f>
        <v>19.71150667436499</v>
      </c>
      <c r="U375">
        <f t="array" ref="U375">INDEX(J$3:J$700,MATCH($B375&amp;$C375&amp;"baseline",$B$3:$B$700&amp;$C$3:$C$700&amp;$D$3:$D$700,0))</f>
        <v>0</v>
      </c>
      <c r="V375">
        <f t="array" ref="V375">INDEX(K$3:K$700,MATCH($B375&amp;$C375&amp;"baseline",$B$3:$B$700&amp;$C$3:$C$700&amp;$D$3:$D$700,0))</f>
        <v>45.391962111246379</v>
      </c>
      <c r="W375">
        <f t="array" ref="W375">INDEX(L$3:L$700,MATCH($B375&amp;$C375&amp;"baseline",$B$3:$B$700&amp;$C$3:$C$700&amp;$D$3:$D$700,0))</f>
        <v>37.749985101789981</v>
      </c>
      <c r="X375">
        <f t="array" ref="X375">INDEX(M$3:M$700,MATCH($B375&amp;$C375&amp;"baseline",$B$3:$B$700&amp;$C$3:$C$700&amp;$D$3:$D$700,0))</f>
        <v>11.425994758849107</v>
      </c>
      <c r="Y375">
        <f t="array" ref="Y375">INDEX(N$3:N$700,MATCH($B375&amp;$C375&amp;"baseline",$B$3:$B$700&amp;$C$3:$C$700&amp;$D$3:$D$700,0))</f>
        <v>0</v>
      </c>
      <c r="Z375">
        <f t="array" ref="Z375">INDEX(O$3:O$700,MATCH($B375&amp;$C375&amp;"baseline",$B$3:$B$700&amp;$C$3:$C$700&amp;$D$3:$D$700,0))</f>
        <v>30.13075932638619</v>
      </c>
      <c r="AA375">
        <f t="array" ref="AA375">INDEX(P$3:P$700,MATCH($B375&amp;$C375&amp;"baseline",$B$3:$B$700&amp;$C$3:$C$700&amp;$D$3:$D$700,0))</f>
        <v>11.8403922362359</v>
      </c>
      <c r="AB375">
        <f t="array" ref="AB375">INDEX(Q$3:Q$700,MATCH($B375&amp;$C375&amp;"baseline",$B$3:$B$700&amp;$C$3:$C$700&amp;$D$3:$D$700,0))</f>
        <v>0</v>
      </c>
      <c r="AC375">
        <f t="shared" si="41"/>
        <v>567.69041716882373</v>
      </c>
      <c r="AD375">
        <f t="shared" si="42"/>
        <v>27.767881161208152</v>
      </c>
      <c r="AE375">
        <f t="shared" si="43"/>
        <v>1.5771480462897358</v>
      </c>
      <c r="AF375">
        <f t="shared" si="44"/>
        <v>5.1691958010929504</v>
      </c>
      <c r="AG375">
        <f>(S375+V375+Y375)*constants!$O$2+(R375+T375+U375+W375+X375+Z375+AA375+AB375)*constants!$N$2</f>
        <v>19.92770092598516</v>
      </c>
      <c r="AH375">
        <f>((S375+V375+Y375)-(H375+K375+N375))*constants!$O$2</f>
        <v>0.44983967481157205</v>
      </c>
      <c r="AI375">
        <f>((R375+T375+U375+W375+X375+Z375+AA375+AB375)-(G375+I375+J375+L375+M375+O375+P375+Q375))*constants!$N$2</f>
        <v>0.17821772923074014</v>
      </c>
      <c r="AJ375">
        <f t="shared" si="45"/>
        <v>3.1516801982076266</v>
      </c>
      <c r="AK375">
        <f t="shared" si="46"/>
        <v>0.62805740404231214</v>
      </c>
      <c r="AL375">
        <f>COUNTIFS($B:$B,$B375,$AK:$AK,"&lt;"&amp;$AK375)+COUNTIFS($B$2:$B375,$B375,$AK$2:$AK375,$AK375)</f>
        <v>36</v>
      </c>
      <c r="AM375" s="191">
        <f>IF(AK375=0, "NA",IF(((sim_annual_output!F375/E375)/AK375)&lt;0,100,((sim_annual_output!F375/E375)/AK375)))</f>
        <v>179.51775232402611</v>
      </c>
      <c r="AN375">
        <f>(S375+V375)*constants!$F$2+(T375+U375+W375+X375+Y375+Z375+AA375+AB375)*constants!$G$2</f>
        <v>178219.90359867914</v>
      </c>
      <c r="AO375">
        <f>(AD375*constants!$F$2+AE375*constants!$G$2)</f>
        <v>6342.5695281283297</v>
      </c>
      <c r="AP375">
        <f t="shared" si="47"/>
        <v>3.558844663282231</v>
      </c>
    </row>
    <row r="376" spans="1:42">
      <c r="A376">
        <f>sim_annual_output!B376</f>
        <v>14</v>
      </c>
      <c r="B376" t="str">
        <f>sim_annual_output!C376</f>
        <v>Office</v>
      </c>
      <c r="C376" t="str">
        <f>sim_annual_output!D376</f>
        <v>1960-1979</v>
      </c>
      <c r="D376" t="str">
        <f>sim_annual_output!E376</f>
        <v>envelope_ecm_windows</v>
      </c>
      <c r="E376" s="45">
        <f t="array" ref="E376">IFERROR(INDEX(baseline!$J$3:$J$201,MATCH($B376&amp;$C376,baseline!$C$3:$C$201&amp;baseline!$D$3:$D$201,0)),"NA")</f>
        <v>3418.6207140000001</v>
      </c>
      <c r="F376">
        <f>sim_annual_output!G376</f>
        <v>3418.6207139712501</v>
      </c>
      <c r="G376">
        <f>$E376/$F376^2*sim_annual_output!I376</f>
        <v>0</v>
      </c>
      <c r="H376">
        <f>$E376/$F376^2*sim_annual_output!J376</f>
        <v>400.89705760878735</v>
      </c>
      <c r="I376">
        <f>$E376/$F376^2*sim_annual_output!K376</f>
        <v>20.12996687211832</v>
      </c>
      <c r="J376">
        <f>$E376/$F376^2*sim_annual_output!L376</f>
        <v>0</v>
      </c>
      <c r="K376">
        <f>$E376/$F376^2*sim_annual_output!M376</f>
        <v>45.391149567173073</v>
      </c>
      <c r="L376">
        <f>$E376/$F376^2*sim_annual_output!N376</f>
        <v>37.749985101789981</v>
      </c>
      <c r="M376">
        <f>$E376/$F376^2*sim_annual_output!O376</f>
        <v>11.425994758849107</v>
      </c>
      <c r="N376">
        <f>$E376/$F376^2*sim_annual_output!P376</f>
        <v>0</v>
      </c>
      <c r="O376">
        <f>$E376/$F376^2*sim_annual_output!Q376</f>
        <v>30.004814995023541</v>
      </c>
      <c r="P376">
        <f>$E376/$F376^2*sim_annual_output!R376</f>
        <v>11.810328105523523</v>
      </c>
      <c r="Q376">
        <f>$E376/$F376^2*sim_annual_output!S376</f>
        <v>0</v>
      </c>
      <c r="R376">
        <f t="array" ref="R376">INDEX(G$3:G$700,MATCH($B376&amp;$C376&amp;"baseline",$B$3:$B$700&amp;$C$3:$C$700&amp;$D$3:$D$700,0))</f>
        <v>0</v>
      </c>
      <c r="S376">
        <f t="array" ref="S376">INDEX(H$3:H$700,MATCH($B376&amp;$C376&amp;"baseline",$B$3:$B$700&amp;$C$3:$C$700&amp;$D$3:$D$700,0))</f>
        <v>411.43981695995126</v>
      </c>
      <c r="T376">
        <f t="array" ref="T376">INDEX(I$3:I$700,MATCH($B376&amp;$C376&amp;"baseline",$B$3:$B$700&amp;$C$3:$C$700&amp;$D$3:$D$700,0))</f>
        <v>19.71150667436499</v>
      </c>
      <c r="U376">
        <f t="array" ref="U376">INDEX(J$3:J$700,MATCH($B376&amp;$C376&amp;"baseline",$B$3:$B$700&amp;$C$3:$C$700&amp;$D$3:$D$700,0))</f>
        <v>0</v>
      </c>
      <c r="V376">
        <f t="array" ref="V376">INDEX(K$3:K$700,MATCH($B376&amp;$C376&amp;"baseline",$B$3:$B$700&amp;$C$3:$C$700&amp;$D$3:$D$700,0))</f>
        <v>45.391962111246379</v>
      </c>
      <c r="W376">
        <f t="array" ref="W376">INDEX(L$3:L$700,MATCH($B376&amp;$C376&amp;"baseline",$B$3:$B$700&amp;$C$3:$C$700&amp;$D$3:$D$700,0))</f>
        <v>37.749985101789981</v>
      </c>
      <c r="X376">
        <f t="array" ref="X376">INDEX(M$3:M$700,MATCH($B376&amp;$C376&amp;"baseline",$B$3:$B$700&amp;$C$3:$C$700&amp;$D$3:$D$700,0))</f>
        <v>11.425994758849107</v>
      </c>
      <c r="Y376">
        <f t="array" ref="Y376">INDEX(N$3:N$700,MATCH($B376&amp;$C376&amp;"baseline",$B$3:$B$700&amp;$C$3:$C$700&amp;$D$3:$D$700,0))</f>
        <v>0</v>
      </c>
      <c r="Z376">
        <f t="array" ref="Z376">INDEX(O$3:O$700,MATCH($B376&amp;$C376&amp;"baseline",$B$3:$B$700&amp;$C$3:$C$700&amp;$D$3:$D$700,0))</f>
        <v>30.13075932638619</v>
      </c>
      <c r="AA376">
        <f t="array" ref="AA376">INDEX(P$3:P$700,MATCH($B376&amp;$C376&amp;"baseline",$B$3:$B$700&amp;$C$3:$C$700&amp;$D$3:$D$700,0))</f>
        <v>11.8403922362359</v>
      </c>
      <c r="AB376">
        <f t="array" ref="AB376">INDEX(Q$3:Q$700,MATCH($B376&amp;$C376&amp;"baseline",$B$3:$B$700&amp;$C$3:$C$700&amp;$D$3:$D$700,0))</f>
        <v>0</v>
      </c>
      <c r="AC376">
        <f t="shared" si="41"/>
        <v>567.69041716882373</v>
      </c>
      <c r="AD376">
        <f t="shared" si="42"/>
        <v>10.543571895237164</v>
      </c>
      <c r="AE376">
        <f t="shared" si="43"/>
        <v>-0.26245173567828317</v>
      </c>
      <c r="AF376">
        <f t="shared" si="44"/>
        <v>1.8110434576001324</v>
      </c>
      <c r="AG376">
        <f>(S376+V376+Y376)*constants!$O$2+(R376+T376+U376+W376+X376+Z376+AA376+AB376)*constants!$N$2</f>
        <v>19.92770092598516</v>
      </c>
      <c r="AH376">
        <f>((S376+V376+Y376)-(H376+K376+N376))*constants!$O$2</f>
        <v>0.17080586470284206</v>
      </c>
      <c r="AI376">
        <f>((R376+T376+U376+W376+X376+Z376+AA376+AB376)-(G376+I376+J376+L376+M376+O376+P376+Q376))*constants!$N$2</f>
        <v>-2.9657046131645999E-2</v>
      </c>
      <c r="AJ376">
        <f t="shared" si="45"/>
        <v>0.70830458112276251</v>
      </c>
      <c r="AK376">
        <f t="shared" si="46"/>
        <v>0.14114881857119607</v>
      </c>
      <c r="AL376">
        <f>COUNTIFS($B:$B,$B376,$AK:$AK,"&lt;"&amp;$AK376)+COUNTIFS($B$2:$B376,$B376,$AK$2:$AK376,$AK376)</f>
        <v>29</v>
      </c>
      <c r="AM376" s="191">
        <f>IF(AK376=0, "NA",IF(((sim_annual_output!F376/E376)/AK376)&lt;0,100,((sim_annual_output!F376/E376)/AK376)))</f>
        <v>6287.1231903206763</v>
      </c>
      <c r="AN376">
        <f>(S376+V376)*constants!$F$2+(T376+U376+W376+X376+Y376+Z376+AA376+AB376)*constants!$G$2</f>
        <v>178219.90359867914</v>
      </c>
      <c r="AO376">
        <f>(AD376*constants!$F$2+AE376*constants!$G$2)</f>
        <v>1658.9663592073462</v>
      </c>
      <c r="AP376">
        <f t="shared" si="47"/>
        <v>0.93085358352737957</v>
      </c>
    </row>
    <row r="377" spans="1:42">
      <c r="A377">
        <f>sim_annual_output!B377</f>
        <v>14</v>
      </c>
      <c r="B377" t="str">
        <f>sim_annual_output!C377</f>
        <v>Office</v>
      </c>
      <c r="C377" t="str">
        <f>sim_annual_output!D377</f>
        <v>1960-1979</v>
      </c>
      <c r="D377" t="str">
        <f>sim_annual_output!E377</f>
        <v>exhaust_fans_occ_control</v>
      </c>
      <c r="E377" s="45">
        <f t="array" ref="E377">IFERROR(INDEX(baseline!$J$3:$J$201,MATCH($B377&amp;$C377,baseline!$C$3:$C$201&amp;baseline!$D$3:$D$201,0)),"NA")</f>
        <v>3418.6207140000001</v>
      </c>
      <c r="F377">
        <f>sim_annual_output!G377</f>
        <v>3418.6207139712501</v>
      </c>
      <c r="G377">
        <f>$E377/$F377^2*sim_annual_output!I377</f>
        <v>0</v>
      </c>
      <c r="H377">
        <f>$E377/$F377^2*sim_annual_output!J377</f>
        <v>402.86503935433791</v>
      </c>
      <c r="I377">
        <f>$E377/$F377^2*sim_annual_output!K377</f>
        <v>20.12996687211832</v>
      </c>
      <c r="J377">
        <f>$E377/$F377^2*sim_annual_output!L377</f>
        <v>0</v>
      </c>
      <c r="K377">
        <f>$E377/$F377^2*sim_annual_output!M377</f>
        <v>45.391149567173073</v>
      </c>
      <c r="L377">
        <f>$E377/$F377^2*sim_annual_output!N377</f>
        <v>37.749985101789981</v>
      </c>
      <c r="M377">
        <f>$E377/$F377^2*sim_annual_output!O377</f>
        <v>11.425994758849107</v>
      </c>
      <c r="N377">
        <f>$E377/$F377^2*sim_annual_output!P377</f>
        <v>0</v>
      </c>
      <c r="O377">
        <f>$E377/$F377^2*sim_annual_output!Q377</f>
        <v>13.953006826835221</v>
      </c>
      <c r="P377">
        <f>$E377/$F377^2*sim_annual_output!R377</f>
        <v>11.885894704341114</v>
      </c>
      <c r="Q377">
        <f>$E377/$F377^2*sim_annual_output!S377</f>
        <v>0</v>
      </c>
      <c r="R377">
        <f t="array" ref="R377">INDEX(G$3:G$700,MATCH($B377&amp;$C377&amp;"baseline",$B$3:$B$700&amp;$C$3:$C$700&amp;$D$3:$D$700,0))</f>
        <v>0</v>
      </c>
      <c r="S377">
        <f t="array" ref="S377">INDEX(H$3:H$700,MATCH($B377&amp;$C377&amp;"baseline",$B$3:$B$700&amp;$C$3:$C$700&amp;$D$3:$D$700,0))</f>
        <v>411.43981695995126</v>
      </c>
      <c r="T377">
        <f t="array" ref="T377">INDEX(I$3:I$700,MATCH($B377&amp;$C377&amp;"baseline",$B$3:$B$700&amp;$C$3:$C$700&amp;$D$3:$D$700,0))</f>
        <v>19.71150667436499</v>
      </c>
      <c r="U377">
        <f t="array" ref="U377">INDEX(J$3:J$700,MATCH($B377&amp;$C377&amp;"baseline",$B$3:$B$700&amp;$C$3:$C$700&amp;$D$3:$D$700,0))</f>
        <v>0</v>
      </c>
      <c r="V377">
        <f t="array" ref="V377">INDEX(K$3:K$700,MATCH($B377&amp;$C377&amp;"baseline",$B$3:$B$700&amp;$C$3:$C$700&amp;$D$3:$D$700,0))</f>
        <v>45.391962111246379</v>
      </c>
      <c r="W377">
        <f t="array" ref="W377">INDEX(L$3:L$700,MATCH($B377&amp;$C377&amp;"baseline",$B$3:$B$700&amp;$C$3:$C$700&amp;$D$3:$D$700,0))</f>
        <v>37.749985101789981</v>
      </c>
      <c r="X377">
        <f t="array" ref="X377">INDEX(M$3:M$700,MATCH($B377&amp;$C377&amp;"baseline",$B$3:$B$700&amp;$C$3:$C$700&amp;$D$3:$D$700,0))</f>
        <v>11.425994758849107</v>
      </c>
      <c r="Y377">
        <f t="array" ref="Y377">INDEX(N$3:N$700,MATCH($B377&amp;$C377&amp;"baseline",$B$3:$B$700&amp;$C$3:$C$700&amp;$D$3:$D$700,0))</f>
        <v>0</v>
      </c>
      <c r="Z377">
        <f t="array" ref="Z377">INDEX(O$3:O$700,MATCH($B377&amp;$C377&amp;"baseline",$B$3:$B$700&amp;$C$3:$C$700&amp;$D$3:$D$700,0))</f>
        <v>30.13075932638619</v>
      </c>
      <c r="AA377">
        <f t="array" ref="AA377">INDEX(P$3:P$700,MATCH($B377&amp;$C377&amp;"baseline",$B$3:$B$700&amp;$C$3:$C$700&amp;$D$3:$D$700,0))</f>
        <v>11.8403922362359</v>
      </c>
      <c r="AB377">
        <f t="array" ref="AB377">INDEX(Q$3:Q$700,MATCH($B377&amp;$C377&amp;"baseline",$B$3:$B$700&amp;$C$3:$C$700&amp;$D$3:$D$700,0))</f>
        <v>0</v>
      </c>
      <c r="AC377">
        <f t="shared" si="41"/>
        <v>567.69041716882373</v>
      </c>
      <c r="AD377">
        <f t="shared" si="42"/>
        <v>8.5755901496866045</v>
      </c>
      <c r="AE377">
        <f t="shared" si="43"/>
        <v>15.713789833692445</v>
      </c>
      <c r="AF377">
        <f t="shared" si="44"/>
        <v>4.2786313188999463</v>
      </c>
      <c r="AG377">
        <f>(S377+V377+Y377)*constants!$O$2+(R377+T377+U377+W377+X377+Z377+AA377+AB377)*constants!$N$2</f>
        <v>19.92770092598516</v>
      </c>
      <c r="AH377">
        <f>((S377+V377+Y377)-(H377+K377+N377))*constants!$O$2</f>
        <v>0.13892456042492299</v>
      </c>
      <c r="AI377">
        <f>((R377+T377+U377+W377+X377+Z377+AA377+AB377)-(G377+I377+J377+L377+M377+O377+P377+Q377))*constants!$N$2</f>
        <v>1.7756582512072463</v>
      </c>
      <c r="AJ377">
        <f t="shared" si="45"/>
        <v>9.607645250916061</v>
      </c>
      <c r="AK377">
        <f t="shared" si="46"/>
        <v>1.9145828116321693</v>
      </c>
      <c r="AL377">
        <f>COUNTIFS($B:$B,$B377,$AK:$AK,"&lt;"&amp;$AK377)+COUNTIFS($B$2:$B377,$B377,$AK$2:$AK377,$AK377)</f>
        <v>54</v>
      </c>
      <c r="AM377" s="191">
        <f>IF(AK377=0, "NA",IF(((sim_annual_output!F377/E377)/AK377)&lt;0,100,((sim_annual_output!F377/E377)/AK377)))</f>
        <v>0.78260474818382186</v>
      </c>
      <c r="AN377">
        <f>(S377+V377)*constants!$F$2+(T377+U377+W377+X377+Y377+Z377+AA377+AB377)*constants!$G$2</f>
        <v>178219.90359867914</v>
      </c>
      <c r="AO377">
        <f>(AD377*constants!$F$2+AE377*constants!$G$2)</f>
        <v>15206.02779210633</v>
      </c>
      <c r="AP377">
        <f t="shared" si="47"/>
        <v>8.5321714831289075</v>
      </c>
    </row>
    <row r="378" spans="1:42">
      <c r="A378">
        <f>sim_annual_output!B378</f>
        <v>14</v>
      </c>
      <c r="B378" t="str">
        <f>sim_annual_output!C378</f>
        <v>Office</v>
      </c>
      <c r="C378" t="str">
        <f>sim_annual_output!D378</f>
        <v>1960-1979</v>
      </c>
      <c r="D378" t="str">
        <f>sim_annual_output!E378</f>
        <v>fans_to_variable</v>
      </c>
      <c r="E378" s="45">
        <f t="array" ref="E378">IFERROR(INDEX(baseline!$J$3:$J$201,MATCH($B378&amp;$C378,baseline!$C$3:$C$201&amp;baseline!$D$3:$D$201,0)),"NA")</f>
        <v>3418.6207140000001</v>
      </c>
      <c r="F378">
        <f>sim_annual_output!G378</f>
        <v>3418.6207139712501</v>
      </c>
      <c r="G378">
        <f>$E378/$F378^2*sim_annual_output!I378</f>
        <v>0</v>
      </c>
      <c r="H378">
        <f>$E378/$F378^2*sim_annual_output!J378</f>
        <v>402.93573068871564</v>
      </c>
      <c r="I378">
        <f>$E378/$F378^2*sim_annual_output!K378</f>
        <v>20.127529239898397</v>
      </c>
      <c r="J378">
        <f>$E378/$F378^2*sim_annual_output!L378</f>
        <v>0</v>
      </c>
      <c r="K378">
        <f>$E378/$F378^2*sim_annual_output!M378</f>
        <v>45.391149567173073</v>
      </c>
      <c r="L378">
        <f>$E378/$F378^2*sim_annual_output!N378</f>
        <v>37.749985101789981</v>
      </c>
      <c r="M378">
        <f>$E378/$F378^2*sim_annual_output!O378</f>
        <v>11.425994758849107</v>
      </c>
      <c r="N378">
        <f>$E378/$F378^2*sim_annual_output!P378</f>
        <v>0</v>
      </c>
      <c r="O378">
        <f>$E378/$F378^2*sim_annual_output!Q378</f>
        <v>30.015378067976535</v>
      </c>
      <c r="P378">
        <f>$E378/$F378^2*sim_annual_output!R378</f>
        <v>11.886707248414423</v>
      </c>
      <c r="Q378">
        <f>$E378/$F378^2*sim_annual_output!S378</f>
        <v>0</v>
      </c>
      <c r="R378">
        <f t="array" ref="R378">INDEX(G$3:G$700,MATCH($B378&amp;$C378&amp;"baseline",$B$3:$B$700&amp;$C$3:$C$700&amp;$D$3:$D$700,0))</f>
        <v>0</v>
      </c>
      <c r="S378">
        <f t="array" ref="S378">INDEX(H$3:H$700,MATCH($B378&amp;$C378&amp;"baseline",$B$3:$B$700&amp;$C$3:$C$700&amp;$D$3:$D$700,0))</f>
        <v>411.43981695995126</v>
      </c>
      <c r="T378">
        <f t="array" ref="T378">INDEX(I$3:I$700,MATCH($B378&amp;$C378&amp;"baseline",$B$3:$B$700&amp;$C$3:$C$700&amp;$D$3:$D$700,0))</f>
        <v>19.71150667436499</v>
      </c>
      <c r="U378">
        <f t="array" ref="U378">INDEX(J$3:J$700,MATCH($B378&amp;$C378&amp;"baseline",$B$3:$B$700&amp;$C$3:$C$700&amp;$D$3:$D$700,0))</f>
        <v>0</v>
      </c>
      <c r="V378">
        <f t="array" ref="V378">INDEX(K$3:K$700,MATCH($B378&amp;$C378&amp;"baseline",$B$3:$B$700&amp;$C$3:$C$700&amp;$D$3:$D$700,0))</f>
        <v>45.391962111246379</v>
      </c>
      <c r="W378">
        <f t="array" ref="W378">INDEX(L$3:L$700,MATCH($B378&amp;$C378&amp;"baseline",$B$3:$B$700&amp;$C$3:$C$700&amp;$D$3:$D$700,0))</f>
        <v>37.749985101789981</v>
      </c>
      <c r="X378">
        <f t="array" ref="X378">INDEX(M$3:M$700,MATCH($B378&amp;$C378&amp;"baseline",$B$3:$B$700&amp;$C$3:$C$700&amp;$D$3:$D$700,0))</f>
        <v>11.425994758849107</v>
      </c>
      <c r="Y378">
        <f t="array" ref="Y378">INDEX(N$3:N$700,MATCH($B378&amp;$C378&amp;"baseline",$B$3:$B$700&amp;$C$3:$C$700&amp;$D$3:$D$700,0))</f>
        <v>0</v>
      </c>
      <c r="Z378">
        <f t="array" ref="Z378">INDEX(O$3:O$700,MATCH($B378&amp;$C378&amp;"baseline",$B$3:$B$700&amp;$C$3:$C$700&amp;$D$3:$D$700,0))</f>
        <v>30.13075932638619</v>
      </c>
      <c r="AA378">
        <f t="array" ref="AA378">INDEX(P$3:P$700,MATCH($B378&amp;$C378&amp;"baseline",$B$3:$B$700&amp;$C$3:$C$700&amp;$D$3:$D$700,0))</f>
        <v>11.8403922362359</v>
      </c>
      <c r="AB378">
        <f t="array" ref="AB378">INDEX(Q$3:Q$700,MATCH($B378&amp;$C378&amp;"baseline",$B$3:$B$700&amp;$C$3:$C$700&amp;$D$3:$D$700,0))</f>
        <v>0</v>
      </c>
      <c r="AC378">
        <f t="shared" si="41"/>
        <v>567.69041716882373</v>
      </c>
      <c r="AD378">
        <f t="shared" si="42"/>
        <v>8.504898815308934</v>
      </c>
      <c r="AE378">
        <f t="shared" si="43"/>
        <v>-0.34695631930227933</v>
      </c>
      <c r="AF378">
        <f t="shared" si="44"/>
        <v>1.4370407266502421</v>
      </c>
      <c r="AG378">
        <f>(S378+V378+Y378)*constants!$O$2+(R378+T378+U378+W378+X378+Z378+AA378+AB378)*constants!$N$2</f>
        <v>19.92770092598516</v>
      </c>
      <c r="AH378">
        <f>((S378+V378+Y378)-(H378+K378+N378))*constants!$O$2</f>
        <v>0.13777936080800474</v>
      </c>
      <c r="AI378">
        <f>((R378+T378+U378+W378+X378+Z378+AA378+AB378)-(G378+I378+J378+L378+M378+O378+P378+Q378))*constants!$N$2</f>
        <v>-3.9206064081157566E-2</v>
      </c>
      <c r="AJ378">
        <f t="shared" si="45"/>
        <v>0.49465463724573649</v>
      </c>
      <c r="AK378">
        <f t="shared" si="46"/>
        <v>9.857329672684717E-2</v>
      </c>
      <c r="AL378">
        <f>COUNTIFS($B:$B,$B378,$AK:$AK,"&lt;"&amp;$AK378)+COUNTIFS($B$2:$B378,$B378,$AK$2:$AK378,$AK378)</f>
        <v>26</v>
      </c>
      <c r="AM378" s="191">
        <f>IF(AK378=0, "NA",IF(((sim_annual_output!F378/E378)/AK378)&lt;0,100,((sim_annual_output!F378/E378)/AK378)))</f>
        <v>14.981510405945814</v>
      </c>
      <c r="AN378">
        <f>(S378+V378)*constants!$F$2+(T378+U378+W378+X378+Y378+Z378+AA378+AB378)*constants!$G$2</f>
        <v>178219.90359867914</v>
      </c>
      <c r="AO378">
        <f>(AD378*constants!$F$2+AE378*constants!$G$2)</f>
        <v>1220.5248901473162</v>
      </c>
      <c r="AP378">
        <f t="shared" si="47"/>
        <v>0.68484207740103509</v>
      </c>
    </row>
    <row r="379" spans="1:42">
      <c r="A379">
        <f>sim_annual_output!B379</f>
        <v>14</v>
      </c>
      <c r="B379" t="str">
        <f>sim_annual_output!C379</f>
        <v>Office</v>
      </c>
      <c r="C379" t="str">
        <f>sim_annual_output!D379</f>
        <v>1960-1979</v>
      </c>
      <c r="D379" t="str">
        <f>sim_annual_output!E379</f>
        <v>hrv_enabled</v>
      </c>
      <c r="E379" s="45">
        <f t="array" ref="E379">IFERROR(INDEX(baseline!$J$3:$J$201,MATCH($B379&amp;$C379,baseline!$C$3:$C$201&amp;baseline!$D$3:$D$201,0)),"NA")</f>
        <v>3418.6207140000001</v>
      </c>
      <c r="F379">
        <f>sim_annual_output!G379</f>
        <v>3418.6207139712501</v>
      </c>
      <c r="G379">
        <f>$E379/$F379^2*sim_annual_output!I379</f>
        <v>0</v>
      </c>
      <c r="H379">
        <f>$E379/$F379^2*sim_annual_output!J379</f>
        <v>338.56111393686109</v>
      </c>
      <c r="I379">
        <f>$E379/$F379^2*sim_annual_output!K379</f>
        <v>20.473673015127364</v>
      </c>
      <c r="J379">
        <f>$E379/$F379^2*sim_annual_output!L379</f>
        <v>0</v>
      </c>
      <c r="K379">
        <f>$E379/$F379^2*sim_annual_output!M379</f>
        <v>45.391149567173073</v>
      </c>
      <c r="L379">
        <f>$E379/$F379^2*sim_annual_output!N379</f>
        <v>37.749985101789981</v>
      </c>
      <c r="M379">
        <f>$E379/$F379^2*sim_annual_output!O379</f>
        <v>11.425994758849107</v>
      </c>
      <c r="N379">
        <f>$E379/$F379^2*sim_annual_output!P379</f>
        <v>0</v>
      </c>
      <c r="O379">
        <f>$E379/$F379^2*sim_annual_output!Q379</f>
        <v>30.070631064961443</v>
      </c>
      <c r="P379">
        <f>$E379/$F379^2*sim_annual_output!R379</f>
        <v>11.848517676968973</v>
      </c>
      <c r="Q379">
        <f>$E379/$F379^2*sim_annual_output!S379</f>
        <v>6.4052849298824865</v>
      </c>
      <c r="R379">
        <f t="array" ref="R379">INDEX(G$3:G$700,MATCH($B379&amp;$C379&amp;"baseline",$B$3:$B$700&amp;$C$3:$C$700&amp;$D$3:$D$700,0))</f>
        <v>0</v>
      </c>
      <c r="S379">
        <f t="array" ref="S379">INDEX(H$3:H$700,MATCH($B379&amp;$C379&amp;"baseline",$B$3:$B$700&amp;$C$3:$C$700&amp;$D$3:$D$700,0))</f>
        <v>411.43981695995126</v>
      </c>
      <c r="T379">
        <f t="array" ref="T379">INDEX(I$3:I$700,MATCH($B379&amp;$C379&amp;"baseline",$B$3:$B$700&amp;$C$3:$C$700&amp;$D$3:$D$700,0))</f>
        <v>19.71150667436499</v>
      </c>
      <c r="U379">
        <f t="array" ref="U379">INDEX(J$3:J$700,MATCH($B379&amp;$C379&amp;"baseline",$B$3:$B$700&amp;$C$3:$C$700&amp;$D$3:$D$700,0))</f>
        <v>0</v>
      </c>
      <c r="V379">
        <f t="array" ref="V379">INDEX(K$3:K$700,MATCH($B379&amp;$C379&amp;"baseline",$B$3:$B$700&amp;$C$3:$C$700&amp;$D$3:$D$700,0))</f>
        <v>45.391962111246379</v>
      </c>
      <c r="W379">
        <f t="array" ref="W379">INDEX(L$3:L$700,MATCH($B379&amp;$C379&amp;"baseline",$B$3:$B$700&amp;$C$3:$C$700&amp;$D$3:$D$700,0))</f>
        <v>37.749985101789981</v>
      </c>
      <c r="X379">
        <f t="array" ref="X379">INDEX(M$3:M$700,MATCH($B379&amp;$C379&amp;"baseline",$B$3:$B$700&amp;$C$3:$C$700&amp;$D$3:$D$700,0))</f>
        <v>11.425994758849107</v>
      </c>
      <c r="Y379">
        <f t="array" ref="Y379">INDEX(N$3:N$700,MATCH($B379&amp;$C379&amp;"baseline",$B$3:$B$700&amp;$C$3:$C$700&amp;$D$3:$D$700,0))</f>
        <v>0</v>
      </c>
      <c r="Z379">
        <f t="array" ref="Z379">INDEX(O$3:O$700,MATCH($B379&amp;$C379&amp;"baseline",$B$3:$B$700&amp;$C$3:$C$700&amp;$D$3:$D$700,0))</f>
        <v>30.13075932638619</v>
      </c>
      <c r="AA379">
        <f t="array" ref="AA379">INDEX(P$3:P$700,MATCH($B379&amp;$C379&amp;"baseline",$B$3:$B$700&amp;$C$3:$C$700&amp;$D$3:$D$700,0))</f>
        <v>11.8403922362359</v>
      </c>
      <c r="AB379">
        <f t="array" ref="AB379">INDEX(Q$3:Q$700,MATCH($B379&amp;$C379&amp;"baseline",$B$3:$B$700&amp;$C$3:$C$700&amp;$D$3:$D$700,0))</f>
        <v>0</v>
      </c>
      <c r="AC379">
        <f t="shared" si="41"/>
        <v>567.69041716882373</v>
      </c>
      <c r="AD379">
        <f t="shared" si="42"/>
        <v>72.87951556716348</v>
      </c>
      <c r="AE379">
        <f t="shared" si="43"/>
        <v>-7.1154484499531776</v>
      </c>
      <c r="AF379">
        <f t="shared" si="44"/>
        <v>11.584494845833012</v>
      </c>
      <c r="AG379">
        <f>(S379+V379+Y379)*constants!$O$2+(R379+T379+U379+W379+X379+Z379+AA379+AB379)*constants!$N$2</f>
        <v>19.92770092598516</v>
      </c>
      <c r="AH379">
        <f>((S379+V379+Y379)-(H379+K379+N379))*constants!$O$2</f>
        <v>1.1806481521880483</v>
      </c>
      <c r="AI379">
        <f>((R379+T379+U379+W379+X379+Z379+AA379+AB379)-(G379+I379+J379+L379+M379+O379+P379+Q379))*constants!$N$2</f>
        <v>-0.80404567484470912</v>
      </c>
      <c r="AJ379">
        <f t="shared" si="45"/>
        <v>1.8898440855877168</v>
      </c>
      <c r="AK379">
        <f t="shared" si="46"/>
        <v>0.37660247734333918</v>
      </c>
      <c r="AL379">
        <f>COUNTIFS($B:$B,$B379,$AK:$AK,"&lt;"&amp;$AK379)+COUNTIFS($B$2:$B379,$B379,$AK$2:$AK379,$AK379)</f>
        <v>32</v>
      </c>
      <c r="AM379" s="191">
        <f>IF(AK379=0, "NA",IF(((sim_annual_output!F379/E379)/AK379)&lt;0,100,((sim_annual_output!F379/E379)/AK379)))</f>
        <v>236.43283401164061</v>
      </c>
      <c r="AN379">
        <f>(S379+V379)*constants!$F$2+(T379+U379+W379+X379+Y379+Z379+AA379+AB379)*constants!$G$2</f>
        <v>178219.90359867914</v>
      </c>
      <c r="AO379">
        <f>(AD379*constants!$F$2+AE379*constants!$G$2)</f>
        <v>6854.9931350629977</v>
      </c>
      <c r="AP379">
        <f t="shared" si="47"/>
        <v>3.8463678840828428</v>
      </c>
    </row>
    <row r="380" spans="1:42">
      <c r="A380">
        <f>sim_annual_output!B380</f>
        <v>14</v>
      </c>
      <c r="B380" t="str">
        <f>sim_annual_output!C380</f>
        <v>Office</v>
      </c>
      <c r="C380" t="str">
        <f>sim_annual_output!D380</f>
        <v>1960-1979</v>
      </c>
      <c r="D380" t="str">
        <f>sim_annual_output!E380</f>
        <v>infil_reduce</v>
      </c>
      <c r="E380" s="45">
        <f t="array" ref="E380">IFERROR(INDEX(baseline!$J$3:$J$201,MATCH($B380&amp;$C380,baseline!$C$3:$C$201&amp;baseline!$D$3:$D$201,0)),"NA")</f>
        <v>3418.6207140000001</v>
      </c>
      <c r="F380">
        <f>sim_annual_output!G380</f>
        <v>3418.6207139712501</v>
      </c>
      <c r="G380">
        <f>$E380/$F380^2*sim_annual_output!I380</f>
        <v>0</v>
      </c>
      <c r="H380">
        <f>$E380/$F380^2*sim_annual_output!J380</f>
        <v>302.32814861993603</v>
      </c>
      <c r="I380">
        <f>$E380/$F380^2*sim_annual_output!K380</f>
        <v>18.431749758905788</v>
      </c>
      <c r="J380">
        <f>$E380/$F380^2*sim_annual_output!L380</f>
        <v>0</v>
      </c>
      <c r="K380">
        <f>$E380/$F380^2*sim_annual_output!M380</f>
        <v>45.390337023099761</v>
      </c>
      <c r="L380">
        <f>$E380/$F380^2*sim_annual_output!N380</f>
        <v>37.749985101789981</v>
      </c>
      <c r="M380">
        <f>$E380/$F380^2*sim_annual_output!O380</f>
        <v>11.425994758849107</v>
      </c>
      <c r="N380">
        <f>$E380/$F380^2*sim_annual_output!P380</f>
        <v>0</v>
      </c>
      <c r="O380">
        <f>$E380/$F380^2*sim_annual_output!Q380</f>
        <v>27.737004486422496</v>
      </c>
      <c r="P380">
        <f>$E380/$F380^2*sim_annual_output!R380</f>
        <v>9.2215626879660455</v>
      </c>
      <c r="Q380">
        <f>$E380/$F380^2*sim_annual_output!S380</f>
        <v>0</v>
      </c>
      <c r="R380">
        <f t="array" ref="R380">INDEX(G$3:G$700,MATCH($B380&amp;$C380&amp;"baseline",$B$3:$B$700&amp;$C$3:$C$700&amp;$D$3:$D$700,0))</f>
        <v>0</v>
      </c>
      <c r="S380">
        <f t="array" ref="S380">INDEX(H$3:H$700,MATCH($B380&amp;$C380&amp;"baseline",$B$3:$B$700&amp;$C$3:$C$700&amp;$D$3:$D$700,0))</f>
        <v>411.43981695995126</v>
      </c>
      <c r="T380">
        <f t="array" ref="T380">INDEX(I$3:I$700,MATCH($B380&amp;$C380&amp;"baseline",$B$3:$B$700&amp;$C$3:$C$700&amp;$D$3:$D$700,0))</f>
        <v>19.71150667436499</v>
      </c>
      <c r="U380">
        <f t="array" ref="U380">INDEX(J$3:J$700,MATCH($B380&amp;$C380&amp;"baseline",$B$3:$B$700&amp;$C$3:$C$700&amp;$D$3:$D$700,0))</f>
        <v>0</v>
      </c>
      <c r="V380">
        <f t="array" ref="V380">INDEX(K$3:K$700,MATCH($B380&amp;$C380&amp;"baseline",$B$3:$B$700&amp;$C$3:$C$700&amp;$D$3:$D$700,0))</f>
        <v>45.391962111246379</v>
      </c>
      <c r="W380">
        <f t="array" ref="W380">INDEX(L$3:L$700,MATCH($B380&amp;$C380&amp;"baseline",$B$3:$B$700&amp;$C$3:$C$700&amp;$D$3:$D$700,0))</f>
        <v>37.749985101789981</v>
      </c>
      <c r="X380">
        <f t="array" ref="X380">INDEX(M$3:M$700,MATCH($B380&amp;$C380&amp;"baseline",$B$3:$B$700&amp;$C$3:$C$700&amp;$D$3:$D$700,0))</f>
        <v>11.425994758849107</v>
      </c>
      <c r="Y380">
        <f t="array" ref="Y380">INDEX(N$3:N$700,MATCH($B380&amp;$C380&amp;"baseline",$B$3:$B$700&amp;$C$3:$C$700&amp;$D$3:$D$700,0))</f>
        <v>0</v>
      </c>
      <c r="Z380">
        <f t="array" ref="Z380">INDEX(O$3:O$700,MATCH($B380&amp;$C380&amp;"baseline",$B$3:$B$700&amp;$C$3:$C$700&amp;$D$3:$D$700,0))</f>
        <v>30.13075932638619</v>
      </c>
      <c r="AA380">
        <f t="array" ref="AA380">INDEX(P$3:P$700,MATCH($B380&amp;$C380&amp;"baseline",$B$3:$B$700&amp;$C$3:$C$700&amp;$D$3:$D$700,0))</f>
        <v>11.8403922362359</v>
      </c>
      <c r="AB380">
        <f t="array" ref="AB380">INDEX(Q$3:Q$700,MATCH($B380&amp;$C380&amp;"baseline",$B$3:$B$700&amp;$C$3:$C$700&amp;$D$3:$D$700,0))</f>
        <v>0</v>
      </c>
      <c r="AC380">
        <f t="shared" si="41"/>
        <v>567.69041716882373</v>
      </c>
      <c r="AD380">
        <f t="shared" si="42"/>
        <v>109.1132934281618</v>
      </c>
      <c r="AE380">
        <f t="shared" si="43"/>
        <v>6.2923413036927798</v>
      </c>
      <c r="AF380">
        <f t="shared" si="44"/>
        <v>20.328973546427584</v>
      </c>
      <c r="AG380">
        <f>(S380+V380+Y380)*constants!$O$2+(R380+T380+U380+W380+X380+Z380+AA380+AB380)*constants!$N$2</f>
        <v>19.92770092598516</v>
      </c>
      <c r="AH380">
        <f>((S380+V380+Y380)-(H380+K380+N380))*constants!$O$2</f>
        <v>1.767635353536221</v>
      </c>
      <c r="AI380">
        <f>((R380+T380+U380+W380+X380+Z380+AA380+AB380)-(G380+I380+J380+L380+M380+O380+P380+Q380))*constants!$N$2</f>
        <v>0.71103456731728409</v>
      </c>
      <c r="AJ380">
        <f t="shared" si="45"/>
        <v>12.438313531800297</v>
      </c>
      <c r="AK380">
        <f t="shared" si="46"/>
        <v>2.478669920853505</v>
      </c>
      <c r="AL380">
        <f>COUNTIFS($B:$B,$B380,$AK:$AK,"&lt;"&amp;$AK380)+COUNTIFS($B$2:$B380,$B380,$AK$2:$AK380,$AK380)</f>
        <v>57</v>
      </c>
      <c r="AM380" s="191">
        <f>IF(AK380=0, "NA",IF(((sim_annual_output!F380/E380)/AK380)&lt;0,100,((sim_annual_output!F380/E380)/AK380)))</f>
        <v>6.2433532528888627</v>
      </c>
      <c r="AN380">
        <f>(S380+V380)*constants!$F$2+(T380+U380+W380+X380+Y380+Z380+AA380+AB380)*constants!$G$2</f>
        <v>178219.90359867914</v>
      </c>
      <c r="AO380">
        <f>(AD380*constants!$F$2+AE380*constants!$G$2)</f>
        <v>25005.616457853681</v>
      </c>
      <c r="AP380">
        <f t="shared" si="47"/>
        <v>14.030765337053525</v>
      </c>
    </row>
    <row r="381" spans="1:42">
      <c r="A381">
        <f>sim_annual_output!B381</f>
        <v>14</v>
      </c>
      <c r="B381" t="str">
        <f>sim_annual_output!C381</f>
        <v>Office</v>
      </c>
      <c r="C381" t="str">
        <f>sim_annual_output!D381</f>
        <v>1960-1979</v>
      </c>
      <c r="D381" t="str">
        <f>sim_annual_output!E381</f>
        <v>infil_reduce_plus_setback</v>
      </c>
      <c r="E381" s="45">
        <f t="array" ref="E381">IFERROR(INDEX(baseline!$J$3:$J$201,MATCH($B381&amp;$C381,baseline!$C$3:$C$201&amp;baseline!$D$3:$D$201,0)),"NA")</f>
        <v>3418.6207140000001</v>
      </c>
      <c r="F381">
        <f>sim_annual_output!G381</f>
        <v>3418.6207139712501</v>
      </c>
      <c r="G381">
        <f>$E381/$F381^2*sim_annual_output!I381</f>
        <v>0</v>
      </c>
      <c r="H381">
        <f>$E381/$F381^2*sim_annual_output!J381</f>
        <v>271.62454572186812</v>
      </c>
      <c r="I381">
        <f>$E381/$F381^2*sim_annual_output!K381</f>
        <v>18.118107746609116</v>
      </c>
      <c r="J381">
        <f>$E381/$F381^2*sim_annual_output!L381</f>
        <v>0</v>
      </c>
      <c r="K381">
        <f>$E381/$F381^2*sim_annual_output!M381</f>
        <v>45.388711934953143</v>
      </c>
      <c r="L381">
        <f>$E381/$F381^2*sim_annual_output!N381</f>
        <v>37.749985101789981</v>
      </c>
      <c r="M381">
        <f>$E381/$F381^2*sim_annual_output!O381</f>
        <v>11.425994758849107</v>
      </c>
      <c r="N381">
        <f>$E381/$F381^2*sim_annual_output!P381</f>
        <v>0</v>
      </c>
      <c r="O381">
        <f>$E381/$F381^2*sim_annual_output!Q381</f>
        <v>27.926327255503132</v>
      </c>
      <c r="P381">
        <f>$E381/$F381^2*sim_annual_output!R381</f>
        <v>9.6140214753735354</v>
      </c>
      <c r="Q381">
        <f>$E381/$F381^2*sim_annual_output!S381</f>
        <v>0</v>
      </c>
      <c r="R381">
        <f t="array" ref="R381">INDEX(G$3:G$700,MATCH($B381&amp;$C381&amp;"baseline",$B$3:$B$700&amp;$C$3:$C$700&amp;$D$3:$D$700,0))</f>
        <v>0</v>
      </c>
      <c r="S381">
        <f t="array" ref="S381">INDEX(H$3:H$700,MATCH($B381&amp;$C381&amp;"baseline",$B$3:$B$700&amp;$C$3:$C$700&amp;$D$3:$D$700,0))</f>
        <v>411.43981695995126</v>
      </c>
      <c r="T381">
        <f t="array" ref="T381">INDEX(I$3:I$700,MATCH($B381&amp;$C381&amp;"baseline",$B$3:$B$700&amp;$C$3:$C$700&amp;$D$3:$D$700,0))</f>
        <v>19.71150667436499</v>
      </c>
      <c r="U381">
        <f t="array" ref="U381">INDEX(J$3:J$700,MATCH($B381&amp;$C381&amp;"baseline",$B$3:$B$700&amp;$C$3:$C$700&amp;$D$3:$D$700,0))</f>
        <v>0</v>
      </c>
      <c r="V381">
        <f t="array" ref="V381">INDEX(K$3:K$700,MATCH($B381&amp;$C381&amp;"baseline",$B$3:$B$700&amp;$C$3:$C$700&amp;$D$3:$D$700,0))</f>
        <v>45.391962111246379</v>
      </c>
      <c r="W381">
        <f t="array" ref="W381">INDEX(L$3:L$700,MATCH($B381&amp;$C381&amp;"baseline",$B$3:$B$700&amp;$C$3:$C$700&amp;$D$3:$D$700,0))</f>
        <v>37.749985101789981</v>
      </c>
      <c r="X381">
        <f t="array" ref="X381">INDEX(M$3:M$700,MATCH($B381&amp;$C381&amp;"baseline",$B$3:$B$700&amp;$C$3:$C$700&amp;$D$3:$D$700,0))</f>
        <v>11.425994758849107</v>
      </c>
      <c r="Y381">
        <f t="array" ref="Y381">INDEX(N$3:N$700,MATCH($B381&amp;$C381&amp;"baseline",$B$3:$B$700&amp;$C$3:$C$700&amp;$D$3:$D$700,0))</f>
        <v>0</v>
      </c>
      <c r="Z381">
        <f t="array" ref="Z381">INDEX(O$3:O$700,MATCH($B381&amp;$C381&amp;"baseline",$B$3:$B$700&amp;$C$3:$C$700&amp;$D$3:$D$700,0))</f>
        <v>30.13075932638619</v>
      </c>
      <c r="AA381">
        <f t="array" ref="AA381">INDEX(P$3:P$700,MATCH($B381&amp;$C381&amp;"baseline",$B$3:$B$700&amp;$C$3:$C$700&amp;$D$3:$D$700,0))</f>
        <v>11.8403922362359</v>
      </c>
      <c r="AB381">
        <f t="array" ref="AB381">INDEX(Q$3:Q$700,MATCH($B381&amp;$C381&amp;"baseline",$B$3:$B$700&amp;$C$3:$C$700&amp;$D$3:$D$700,0))</f>
        <v>0</v>
      </c>
      <c r="AC381">
        <f t="shared" si="41"/>
        <v>567.69041716882373</v>
      </c>
      <c r="AD381">
        <f t="shared" si="42"/>
        <v>139.81852141437633</v>
      </c>
      <c r="AE381">
        <f t="shared" si="43"/>
        <v>6.0242017595013095</v>
      </c>
      <c r="AF381">
        <f t="shared" si="44"/>
        <v>25.690538145988452</v>
      </c>
      <c r="AG381">
        <f>(S381+V381+Y381)*constants!$O$2+(R381+T381+U381+W381+X381+Z381+AA381+AB381)*constants!$N$2</f>
        <v>19.92770092598516</v>
      </c>
      <c r="AH381">
        <f>((S381+V381+Y381)-(H381+K381+N381))*constants!$O$2</f>
        <v>2.2650600469128963</v>
      </c>
      <c r="AI381">
        <f>((R381+T381+U381+W381+X381+Z381+AA381+AB381)-(G381+I381+J381+L381+M381+O381+P381+Q381))*constants!$N$2</f>
        <v>0.68073479882364796</v>
      </c>
      <c r="AJ381">
        <f t="shared" si="45"/>
        <v>14.782411963516125</v>
      </c>
      <c r="AK381">
        <f t="shared" si="46"/>
        <v>2.9457948457365442</v>
      </c>
      <c r="AL381">
        <f>COUNTIFS($B:$B,$B381,$AK:$AK,"&lt;"&amp;$AK381)+COUNTIFS($B$2:$B381,$B381,$AK$2:$AK381,$AK381)</f>
        <v>58</v>
      </c>
      <c r="AM381" s="191">
        <f>IF(AK381=0, "NA",IF(((sim_annual_output!F381/E381)/AK381)&lt;0,100,((sim_annual_output!F381/E381)/AK381)))</f>
        <v>7.6662018987471532</v>
      </c>
      <c r="AN381">
        <f>(S381+V381)*constants!$F$2+(T381+U381+W381+X381+Y381+Z381+AA381+AB381)*constants!$G$2</f>
        <v>178219.90359867914</v>
      </c>
      <c r="AO381">
        <f>(AD381*constants!$F$2+AE381*constants!$G$2)</f>
        <v>30268.570863939502</v>
      </c>
      <c r="AP381">
        <f t="shared" si="47"/>
        <v>16.983833035898822</v>
      </c>
    </row>
    <row r="382" spans="1:42">
      <c r="A382">
        <f>sim_annual_output!B382</f>
        <v>14</v>
      </c>
      <c r="B382" t="str">
        <f>sim_annual_output!C382</f>
        <v>Office</v>
      </c>
      <c r="C382" t="str">
        <f>sim_annual_output!D382</f>
        <v>1960-1979</v>
      </c>
      <c r="D382" t="str">
        <f>sim_annual_output!E382</f>
        <v>lights_reduce_70p</v>
      </c>
      <c r="E382" s="45">
        <f t="array" ref="E382">IFERROR(INDEX(baseline!$J$3:$J$201,MATCH($B382&amp;$C382,baseline!$C$3:$C$201&amp;baseline!$D$3:$D$201,0)),"NA")</f>
        <v>3418.6207140000001</v>
      </c>
      <c r="F382">
        <f>sim_annual_output!G382</f>
        <v>3418.6207139712501</v>
      </c>
      <c r="G382">
        <f>$E382/$F382^2*sim_annual_output!I382</f>
        <v>0</v>
      </c>
      <c r="H382">
        <f>$E382/$F382^2*sim_annual_output!J382</f>
        <v>415.89580865796921</v>
      </c>
      <c r="I382">
        <f>$E382/$F382^2*sim_annual_output!K382</f>
        <v>19.920330501205004</v>
      </c>
      <c r="J382">
        <f>$E382/$F382^2*sim_annual_output!L382</f>
        <v>0</v>
      </c>
      <c r="K382">
        <f>$E382/$F382^2*sim_annual_output!M382</f>
        <v>45.391149567173073</v>
      </c>
      <c r="L382">
        <f>$E382/$F382^2*sim_annual_output!N382</f>
        <v>26.425558352104304</v>
      </c>
      <c r="M382">
        <f>$E382/$F382^2*sim_annual_output!O382</f>
        <v>11.425994758849107</v>
      </c>
      <c r="N382">
        <f>$E382/$F382^2*sim_annual_output!P382</f>
        <v>0</v>
      </c>
      <c r="O382">
        <f>$E382/$F382^2*sim_annual_output!Q382</f>
        <v>30.192512675957559</v>
      </c>
      <c r="P382">
        <f>$E382/$F382^2*sim_annual_output!R382</f>
        <v>11.921646643566641</v>
      </c>
      <c r="Q382">
        <f>$E382/$F382^2*sim_annual_output!S382</f>
        <v>0</v>
      </c>
      <c r="R382">
        <f t="array" ref="R382">INDEX(G$3:G$700,MATCH($B382&amp;$C382&amp;"baseline",$B$3:$B$700&amp;$C$3:$C$700&amp;$D$3:$D$700,0))</f>
        <v>0</v>
      </c>
      <c r="S382">
        <f t="array" ref="S382">INDEX(H$3:H$700,MATCH($B382&amp;$C382&amp;"baseline",$B$3:$B$700&amp;$C$3:$C$700&amp;$D$3:$D$700,0))</f>
        <v>411.43981695995126</v>
      </c>
      <c r="T382">
        <f t="array" ref="T382">INDEX(I$3:I$700,MATCH($B382&amp;$C382&amp;"baseline",$B$3:$B$700&amp;$C$3:$C$700&amp;$D$3:$D$700,0))</f>
        <v>19.71150667436499</v>
      </c>
      <c r="U382">
        <f t="array" ref="U382">INDEX(J$3:J$700,MATCH($B382&amp;$C382&amp;"baseline",$B$3:$B$700&amp;$C$3:$C$700&amp;$D$3:$D$700,0))</f>
        <v>0</v>
      </c>
      <c r="V382">
        <f t="array" ref="V382">INDEX(K$3:K$700,MATCH($B382&amp;$C382&amp;"baseline",$B$3:$B$700&amp;$C$3:$C$700&amp;$D$3:$D$700,0))</f>
        <v>45.391962111246379</v>
      </c>
      <c r="W382">
        <f t="array" ref="W382">INDEX(L$3:L$700,MATCH($B382&amp;$C382&amp;"baseline",$B$3:$B$700&amp;$C$3:$C$700&amp;$D$3:$D$700,0))</f>
        <v>37.749985101789981</v>
      </c>
      <c r="X382">
        <f t="array" ref="X382">INDEX(M$3:M$700,MATCH($B382&amp;$C382&amp;"baseline",$B$3:$B$700&amp;$C$3:$C$700&amp;$D$3:$D$700,0))</f>
        <v>11.425994758849107</v>
      </c>
      <c r="Y382">
        <f t="array" ref="Y382">INDEX(N$3:N$700,MATCH($B382&amp;$C382&amp;"baseline",$B$3:$B$700&amp;$C$3:$C$700&amp;$D$3:$D$700,0))</f>
        <v>0</v>
      </c>
      <c r="Z382">
        <f t="array" ref="Z382">INDEX(O$3:O$700,MATCH($B382&amp;$C382&amp;"baseline",$B$3:$B$700&amp;$C$3:$C$700&amp;$D$3:$D$700,0))</f>
        <v>30.13075932638619</v>
      </c>
      <c r="AA382">
        <f t="array" ref="AA382">INDEX(P$3:P$700,MATCH($B382&amp;$C382&amp;"baseline",$B$3:$B$700&amp;$C$3:$C$700&amp;$D$3:$D$700,0))</f>
        <v>11.8403922362359</v>
      </c>
      <c r="AB382">
        <f t="array" ref="AB382">INDEX(Q$3:Q$700,MATCH($B382&amp;$C382&amp;"baseline",$B$3:$B$700&amp;$C$3:$C$700&amp;$D$3:$D$700,0))</f>
        <v>0</v>
      </c>
      <c r="AC382">
        <f t="shared" si="41"/>
        <v>567.69041716882373</v>
      </c>
      <c r="AD382">
        <f t="shared" si="42"/>
        <v>-4.4551791539446413</v>
      </c>
      <c r="AE382">
        <f t="shared" si="43"/>
        <v>10.972595165943559</v>
      </c>
      <c r="AF382">
        <f t="shared" si="44"/>
        <v>1.1480581343089193</v>
      </c>
      <c r="AG382">
        <f>(S382+V382+Y382)*constants!$O$2+(R382+T382+U382+W382+X382+Z382+AA382+AB382)*constants!$N$2</f>
        <v>19.92770092598516</v>
      </c>
      <c r="AH382">
        <f>((S382+V382+Y382)-(H382+K382+N382))*constants!$O$2</f>
        <v>-7.2173902293903178E-2</v>
      </c>
      <c r="AI382">
        <f>((R382+T382+U382+W382+X382+Z382+AA382+AB382)-(G382+I382+J382+L382+M382+O382+P382+Q382))*constants!$N$2</f>
        <v>1.2399032537516224</v>
      </c>
      <c r="AJ382">
        <f t="shared" si="45"/>
        <v>5.8598297706035574</v>
      </c>
      <c r="AK382">
        <f t="shared" si="46"/>
        <v>1.1677293514577192</v>
      </c>
      <c r="AL382">
        <f>COUNTIFS($B:$B,$B382,$AK:$AK,"&lt;"&amp;$AK382)+COUNTIFS($B$2:$B382,$B382,$AK$2:$AK382,$AK382)</f>
        <v>48</v>
      </c>
      <c r="AM382" s="191">
        <f>IF(AK382=0, "NA",IF(((sim_annual_output!F382/E382)/AK382)&lt;0,100,((sim_annual_output!F382/E382)/AK382)))</f>
        <v>20.228687270558222</v>
      </c>
      <c r="AN382">
        <f>(S382+V382)*constants!$F$2+(T382+U382+W382+X382+Y382+Z382+AA382+AB382)*constants!$G$2</f>
        <v>178219.90359867914</v>
      </c>
      <c r="AO382">
        <f>(AD382*constants!$F$2+AE382*constants!$G$2)</f>
        <v>8748.6807258148056</v>
      </c>
      <c r="AP382">
        <f t="shared" si="47"/>
        <v>4.90892462017898</v>
      </c>
    </row>
    <row r="383" spans="1:42">
      <c r="A383">
        <f>sim_annual_output!B383</f>
        <v>14</v>
      </c>
      <c r="B383" t="str">
        <f>sim_annual_output!C383</f>
        <v>Office</v>
      </c>
      <c r="C383" t="str">
        <f>sim_annual_output!D383</f>
        <v>1960-1979</v>
      </c>
      <c r="D383" t="str">
        <f>sim_annual_output!E383</f>
        <v>load_reduce</v>
      </c>
      <c r="E383" s="45">
        <f t="array" ref="E383">IFERROR(INDEX(baseline!$J$3:$J$201,MATCH($B383&amp;$C383,baseline!$C$3:$C$201&amp;baseline!$D$3:$D$201,0)),"NA")</f>
        <v>3418.6207140000001</v>
      </c>
      <c r="F383">
        <f>sim_annual_output!G383</f>
        <v>3418.6207139712501</v>
      </c>
      <c r="G383">
        <f>$E383/$F383^2*sim_annual_output!I383</f>
        <v>0</v>
      </c>
      <c r="H383">
        <f>$E383/$F383^2*sim_annual_output!J383</f>
        <v>185.68907198480082</v>
      </c>
      <c r="I383">
        <f>$E383/$F383^2*sim_annual_output!K383</f>
        <v>18.118107746609116</v>
      </c>
      <c r="J383">
        <f>$E383/$F383^2*sim_annual_output!L383</f>
        <v>0</v>
      </c>
      <c r="K383">
        <f>$E383/$F383^2*sim_annual_output!M383</f>
        <v>45.388711934953143</v>
      </c>
      <c r="L383">
        <f>$E383/$F383^2*sim_annual_output!N383</f>
        <v>37.749985101789981</v>
      </c>
      <c r="M383">
        <f>$E383/$F383^2*sim_annual_output!O383</f>
        <v>11.425994758849107</v>
      </c>
      <c r="N383">
        <f>$E383/$F383^2*sim_annual_output!P383</f>
        <v>0</v>
      </c>
      <c r="O383">
        <f>$E383/$F383^2*sim_annual_output!Q383</f>
        <v>27.926327255503132</v>
      </c>
      <c r="P383">
        <f>$E383/$F383^2*sim_annual_output!R383</f>
        <v>8.3765168517263167</v>
      </c>
      <c r="Q383">
        <f>$E383/$F383^2*sim_annual_output!S383</f>
        <v>0</v>
      </c>
      <c r="R383">
        <f t="array" ref="R383">INDEX(G$3:G$700,MATCH($B383&amp;$C383&amp;"baseline",$B$3:$B$700&amp;$C$3:$C$700&amp;$D$3:$D$700,0))</f>
        <v>0</v>
      </c>
      <c r="S383">
        <f t="array" ref="S383">INDEX(H$3:H$700,MATCH($B383&amp;$C383&amp;"baseline",$B$3:$B$700&amp;$C$3:$C$700&amp;$D$3:$D$700,0))</f>
        <v>411.43981695995126</v>
      </c>
      <c r="T383">
        <f t="array" ref="T383">INDEX(I$3:I$700,MATCH($B383&amp;$C383&amp;"baseline",$B$3:$B$700&amp;$C$3:$C$700&amp;$D$3:$D$700,0))</f>
        <v>19.71150667436499</v>
      </c>
      <c r="U383">
        <f t="array" ref="U383">INDEX(J$3:J$700,MATCH($B383&amp;$C383&amp;"baseline",$B$3:$B$700&amp;$C$3:$C$700&amp;$D$3:$D$700,0))</f>
        <v>0</v>
      </c>
      <c r="V383">
        <f t="array" ref="V383">INDEX(K$3:K$700,MATCH($B383&amp;$C383&amp;"baseline",$B$3:$B$700&amp;$C$3:$C$700&amp;$D$3:$D$700,0))</f>
        <v>45.391962111246379</v>
      </c>
      <c r="W383">
        <f t="array" ref="W383">INDEX(L$3:L$700,MATCH($B383&amp;$C383&amp;"baseline",$B$3:$B$700&amp;$C$3:$C$700&amp;$D$3:$D$700,0))</f>
        <v>37.749985101789981</v>
      </c>
      <c r="X383">
        <f t="array" ref="X383">INDEX(M$3:M$700,MATCH($B383&amp;$C383&amp;"baseline",$B$3:$B$700&amp;$C$3:$C$700&amp;$D$3:$D$700,0))</f>
        <v>11.425994758849107</v>
      </c>
      <c r="Y383">
        <f t="array" ref="Y383">INDEX(N$3:N$700,MATCH($B383&amp;$C383&amp;"baseline",$B$3:$B$700&amp;$C$3:$C$700&amp;$D$3:$D$700,0))</f>
        <v>0</v>
      </c>
      <c r="Z383">
        <f t="array" ref="Z383">INDEX(O$3:O$700,MATCH($B383&amp;$C383&amp;"baseline",$B$3:$B$700&amp;$C$3:$C$700&amp;$D$3:$D$700,0))</f>
        <v>30.13075932638619</v>
      </c>
      <c r="AA383">
        <f t="array" ref="AA383">INDEX(P$3:P$700,MATCH($B383&amp;$C383&amp;"baseline",$B$3:$B$700&amp;$C$3:$C$700&amp;$D$3:$D$700,0))</f>
        <v>11.8403922362359</v>
      </c>
      <c r="AB383">
        <f t="array" ref="AB383">INDEX(Q$3:Q$700,MATCH($B383&amp;$C383&amp;"baseline",$B$3:$B$700&amp;$C$3:$C$700&amp;$D$3:$D$700,0))</f>
        <v>0</v>
      </c>
      <c r="AC383">
        <f t="shared" si="41"/>
        <v>567.69041716882373</v>
      </c>
      <c r="AD383">
        <f t="shared" si="42"/>
        <v>225.75399515144366</v>
      </c>
      <c r="AE383">
        <f t="shared" si="43"/>
        <v>7.2617063831485211</v>
      </c>
      <c r="AF383">
        <f t="shared" si="44"/>
        <v>41.04626297845298</v>
      </c>
      <c r="AG383">
        <f>(S383+V383+Y383)*constants!$O$2+(R383+T383+U383+W383+X383+Z383+AA383+AB383)*constants!$N$2</f>
        <v>19.92770092598516</v>
      </c>
      <c r="AH383">
        <f>((S383+V383+Y383)-(H383+K383+N383))*constants!$O$2</f>
        <v>3.657214721453387</v>
      </c>
      <c r="AI383">
        <f>((R383+T383+U383+W383+X383+Z383+AA383+AB383)-(G383+I383+J383+L383+M383+O383+P383+Q383))*constants!$N$2</f>
        <v>0.82057282129578291</v>
      </c>
      <c r="AJ383">
        <f t="shared" si="45"/>
        <v>22.470166324657459</v>
      </c>
      <c r="AK383">
        <f t="shared" si="46"/>
        <v>4.4777875427491702</v>
      </c>
      <c r="AL383">
        <f>COUNTIFS($B:$B,$B383,$AK:$AK,"&lt;"&amp;$AK383)+COUNTIFS($B$2:$B383,$B383,$AK$2:$AK383,$AK383)</f>
        <v>67</v>
      </c>
      <c r="AM383" s="191">
        <f>IF(AK383=0, "NA",IF(((sim_annual_output!F383/E383)/AK383)&lt;0,100,((sim_annual_output!F383/E383)/AK383)))</f>
        <v>5.1040481199740286</v>
      </c>
      <c r="AN383">
        <f>(S383+V383)*constants!$F$2+(T383+U383+W383+X383+Y383+Z383+AA383+AB383)*constants!$G$2</f>
        <v>178219.90359867914</v>
      </c>
      <c r="AO383">
        <f>(AD383*constants!$F$2+AE383*constants!$G$2)</f>
        <v>46727.649685447628</v>
      </c>
      <c r="AP383">
        <f t="shared" si="47"/>
        <v>26.219097161375611</v>
      </c>
    </row>
    <row r="384" spans="1:42">
      <c r="A384">
        <f>sim_annual_output!B384</f>
        <v>14</v>
      </c>
      <c r="B384" t="str">
        <f>sim_annual_output!C384</f>
        <v>Office</v>
      </c>
      <c r="C384" t="str">
        <f>sim_annual_output!D384</f>
        <v>1960-1979</v>
      </c>
      <c r="D384" t="str">
        <f>sim_annual_output!E384</f>
        <v>occupancy_setback</v>
      </c>
      <c r="E384" s="45">
        <f t="array" ref="E384">IFERROR(INDEX(baseline!$J$3:$J$201,MATCH($B384&amp;$C384,baseline!$C$3:$C$201&amp;baseline!$D$3:$D$201,0)),"NA")</f>
        <v>3418.6207140000001</v>
      </c>
      <c r="F384">
        <f>sim_annual_output!G384</f>
        <v>3418.6207139712501</v>
      </c>
      <c r="G384">
        <f>$E384/$F384^2*sim_annual_output!I384</f>
        <v>0</v>
      </c>
      <c r="H384">
        <f>$E384/$F384^2*sim_annual_output!J384</f>
        <v>383.37373212383926</v>
      </c>
      <c r="I384">
        <f>$E384/$F384^2*sim_annual_output!K384</f>
        <v>23.325702712436453</v>
      </c>
      <c r="J384">
        <f>$E384/$F384^2*sim_annual_output!L384</f>
        <v>0</v>
      </c>
      <c r="K384">
        <f>$E384/$F384^2*sim_annual_output!M384</f>
        <v>45.390337023099761</v>
      </c>
      <c r="L384">
        <f>$E384/$F384^2*sim_annual_output!N384</f>
        <v>37.749985101789981</v>
      </c>
      <c r="M384">
        <f>$E384/$F384^2*sim_annual_output!O384</f>
        <v>11.425994758849107</v>
      </c>
      <c r="N384">
        <f>$E384/$F384^2*sim_annual_output!P384</f>
        <v>0</v>
      </c>
      <c r="O384">
        <f>$E384/$F384^2*sim_annual_output!Q384</f>
        <v>30.913239268981251</v>
      </c>
      <c r="P384">
        <f>$E384/$F384^2*sim_annual_output!R384</f>
        <v>12.892636811169021</v>
      </c>
      <c r="Q384">
        <f>$E384/$F384^2*sim_annual_output!S384</f>
        <v>0</v>
      </c>
      <c r="R384">
        <f t="array" ref="R384">INDEX(G$3:G$700,MATCH($B384&amp;$C384&amp;"baseline",$B$3:$B$700&amp;$C$3:$C$700&amp;$D$3:$D$700,0))</f>
        <v>0</v>
      </c>
      <c r="S384">
        <f t="array" ref="S384">INDEX(H$3:H$700,MATCH($B384&amp;$C384&amp;"baseline",$B$3:$B$700&amp;$C$3:$C$700&amp;$D$3:$D$700,0))</f>
        <v>411.43981695995126</v>
      </c>
      <c r="T384">
        <f t="array" ref="T384">INDEX(I$3:I$700,MATCH($B384&amp;$C384&amp;"baseline",$B$3:$B$700&amp;$C$3:$C$700&amp;$D$3:$D$700,0))</f>
        <v>19.71150667436499</v>
      </c>
      <c r="U384">
        <f t="array" ref="U384">INDEX(J$3:J$700,MATCH($B384&amp;$C384&amp;"baseline",$B$3:$B$700&amp;$C$3:$C$700&amp;$D$3:$D$700,0))</f>
        <v>0</v>
      </c>
      <c r="V384">
        <f t="array" ref="V384">INDEX(K$3:K$700,MATCH($B384&amp;$C384&amp;"baseline",$B$3:$B$700&amp;$C$3:$C$700&amp;$D$3:$D$700,0))</f>
        <v>45.391962111246379</v>
      </c>
      <c r="W384">
        <f t="array" ref="W384">INDEX(L$3:L$700,MATCH($B384&amp;$C384&amp;"baseline",$B$3:$B$700&amp;$C$3:$C$700&amp;$D$3:$D$700,0))</f>
        <v>37.749985101789981</v>
      </c>
      <c r="X384">
        <f t="array" ref="X384">INDEX(M$3:M$700,MATCH($B384&amp;$C384&amp;"baseline",$B$3:$B$700&amp;$C$3:$C$700&amp;$D$3:$D$700,0))</f>
        <v>11.425994758849107</v>
      </c>
      <c r="Y384">
        <f t="array" ref="Y384">INDEX(N$3:N$700,MATCH($B384&amp;$C384&amp;"baseline",$B$3:$B$700&amp;$C$3:$C$700&amp;$D$3:$D$700,0))</f>
        <v>0</v>
      </c>
      <c r="Z384">
        <f t="array" ref="Z384">INDEX(O$3:O$700,MATCH($B384&amp;$C384&amp;"baseline",$B$3:$B$700&amp;$C$3:$C$700&amp;$D$3:$D$700,0))</f>
        <v>30.13075932638619</v>
      </c>
      <c r="AA384">
        <f t="array" ref="AA384">INDEX(P$3:P$700,MATCH($B384&amp;$C384&amp;"baseline",$B$3:$B$700&amp;$C$3:$C$700&amp;$D$3:$D$700,0))</f>
        <v>11.8403922362359</v>
      </c>
      <c r="AB384">
        <f t="array" ref="AB384">INDEX(Q$3:Q$700,MATCH($B384&amp;$C384&amp;"baseline",$B$3:$B$700&amp;$C$3:$C$700&amp;$D$3:$D$700,0))</f>
        <v>0</v>
      </c>
      <c r="AC384">
        <f t="shared" si="41"/>
        <v>567.69041716882373</v>
      </c>
      <c r="AD384">
        <f t="shared" si="42"/>
        <v>28.067709924258565</v>
      </c>
      <c r="AE384">
        <f t="shared" si="43"/>
        <v>-5.4489205555996421</v>
      </c>
      <c r="AF384">
        <f t="shared" si="44"/>
        <v>3.9843528593388937</v>
      </c>
      <c r="AG384">
        <f>(S384+V384+Y384)*constants!$O$2+(R384+T384+U384+W384+X384+Z384+AA384+AB384)*constants!$N$2</f>
        <v>19.92770092598516</v>
      </c>
      <c r="AH384">
        <f>((S384+V384+Y384)-(H384+K384+N384))*constants!$O$2</f>
        <v>0.45469690077298874</v>
      </c>
      <c r="AI384">
        <f>((R384+T384+U384+W384+X384+Z384+AA384+AB384)-(G384+I384+J384+L384+M384+O384+P384+Q384))*constants!$N$2</f>
        <v>-0.61572802278275962</v>
      </c>
      <c r="AJ384">
        <f t="shared" si="45"/>
        <v>-0.80807677015962665</v>
      </c>
      <c r="AK384">
        <f t="shared" si="46"/>
        <v>-0.16103112200977088</v>
      </c>
      <c r="AL384">
        <f>COUNTIFS($B:$B,$B384,$AK:$AK,"&lt;"&amp;$AK384)+COUNTIFS($B$2:$B384,$B384,$AK$2:$AK384,$AK384)</f>
        <v>14</v>
      </c>
      <c r="AM384" s="191">
        <f>IF(AK384=0, "NA",IF(((sim_annual_output!F384/E384)/AK384)&lt;0,100,((sim_annual_output!F384/E384)/AK384)))</f>
        <v>100</v>
      </c>
      <c r="AN384">
        <f>(S384+V384)*constants!$F$2+(T384+U384+W384+X384+Y384+Z384+AA384+AB384)*constants!$G$2</f>
        <v>178219.90359867914</v>
      </c>
      <c r="AO384">
        <f>(AD384*constants!$F$2+AE384*constants!$G$2)</f>
        <v>283.55919307059412</v>
      </c>
      <c r="AP384">
        <f t="shared" si="47"/>
        <v>0.1591063553199541</v>
      </c>
    </row>
    <row r="385" spans="1:42">
      <c r="A385">
        <f>sim_annual_output!B385</f>
        <v>14</v>
      </c>
      <c r="B385" t="str">
        <f>sim_annual_output!C385</f>
        <v>Office</v>
      </c>
      <c r="C385" t="str">
        <f>sim_annual_output!D385</f>
        <v>1960-1979</v>
      </c>
      <c r="D385" t="str">
        <f>sim_annual_output!E385</f>
        <v>payback_less_than_20</v>
      </c>
      <c r="E385" s="45">
        <f t="array" ref="E385">IFERROR(INDEX(baseline!$J$3:$J$201,MATCH($B385&amp;$C385,baseline!$C$3:$C$201&amp;baseline!$D$3:$D$201,0)),"NA")</f>
        <v>3418.6207140000001</v>
      </c>
      <c r="F385">
        <f>sim_annual_output!G385</f>
        <v>3418.6207139712501</v>
      </c>
      <c r="G385">
        <f>$E385/$F385^2*sim_annual_output!I385</f>
        <v>0</v>
      </c>
      <c r="H385">
        <f>$E385/$F385^2*sim_annual_output!J385</f>
        <v>95.362610075580136</v>
      </c>
      <c r="I385">
        <f>$E385/$F385^2*sim_annual_output!K385</f>
        <v>2.4002551925501541</v>
      </c>
      <c r="J385">
        <f>$E385/$F385^2*sim_annual_output!L385</f>
        <v>0</v>
      </c>
      <c r="K385">
        <f>$E385/$F385^2*sim_annual_output!M385</f>
        <v>45.388711934953143</v>
      </c>
      <c r="L385">
        <f>$E385/$F385^2*sim_annual_output!N385</f>
        <v>26.425558352104304</v>
      </c>
      <c r="M385">
        <f>$E385/$F385^2*sim_annual_output!O385</f>
        <v>11.425994758849107</v>
      </c>
      <c r="N385">
        <f>$E385/$F385^2*sim_annual_output!P385</f>
        <v>0</v>
      </c>
      <c r="O385">
        <f>$E385/$F385^2*sim_annual_output!Q385</f>
        <v>11.748574755952159</v>
      </c>
      <c r="P385">
        <f>$E385/$F385^2*sim_annual_output!R385</f>
        <v>6.2175872489484698</v>
      </c>
      <c r="Q385">
        <f>$E385/$F385^2*sim_annual_output!S385</f>
        <v>0</v>
      </c>
      <c r="R385">
        <f t="array" ref="R385">INDEX(G$3:G$700,MATCH($B385&amp;$C385&amp;"baseline",$B$3:$B$700&amp;$C$3:$C$700&amp;$D$3:$D$700,0))</f>
        <v>0</v>
      </c>
      <c r="S385">
        <f t="array" ref="S385">INDEX(H$3:H$700,MATCH($B385&amp;$C385&amp;"baseline",$B$3:$B$700&amp;$C$3:$C$700&amp;$D$3:$D$700,0))</f>
        <v>411.43981695995126</v>
      </c>
      <c r="T385">
        <f t="array" ref="T385">INDEX(I$3:I$700,MATCH($B385&amp;$C385&amp;"baseline",$B$3:$B$700&amp;$C$3:$C$700&amp;$D$3:$D$700,0))</f>
        <v>19.71150667436499</v>
      </c>
      <c r="U385">
        <f t="array" ref="U385">INDEX(J$3:J$700,MATCH($B385&amp;$C385&amp;"baseline",$B$3:$B$700&amp;$C$3:$C$700&amp;$D$3:$D$700,0))</f>
        <v>0</v>
      </c>
      <c r="V385">
        <f t="array" ref="V385">INDEX(K$3:K$700,MATCH($B385&amp;$C385&amp;"baseline",$B$3:$B$700&amp;$C$3:$C$700&amp;$D$3:$D$700,0))</f>
        <v>45.391962111246379</v>
      </c>
      <c r="W385">
        <f t="array" ref="W385">INDEX(L$3:L$700,MATCH($B385&amp;$C385&amp;"baseline",$B$3:$B$700&amp;$C$3:$C$700&amp;$D$3:$D$700,0))</f>
        <v>37.749985101789981</v>
      </c>
      <c r="X385">
        <f t="array" ref="X385">INDEX(M$3:M$700,MATCH($B385&amp;$C385&amp;"baseline",$B$3:$B$700&amp;$C$3:$C$700&amp;$D$3:$D$700,0))</f>
        <v>11.425994758849107</v>
      </c>
      <c r="Y385">
        <f t="array" ref="Y385">INDEX(N$3:N$700,MATCH($B385&amp;$C385&amp;"baseline",$B$3:$B$700&amp;$C$3:$C$700&amp;$D$3:$D$700,0))</f>
        <v>0</v>
      </c>
      <c r="Z385">
        <f t="array" ref="Z385">INDEX(O$3:O$700,MATCH($B385&amp;$C385&amp;"baseline",$B$3:$B$700&amp;$C$3:$C$700&amp;$D$3:$D$700,0))</f>
        <v>30.13075932638619</v>
      </c>
      <c r="AA385">
        <f t="array" ref="AA385">INDEX(P$3:P$700,MATCH($B385&amp;$C385&amp;"baseline",$B$3:$B$700&amp;$C$3:$C$700&amp;$D$3:$D$700,0))</f>
        <v>11.8403922362359</v>
      </c>
      <c r="AB385">
        <f t="array" ref="AB385">INDEX(Q$3:Q$700,MATCH($B385&amp;$C385&amp;"baseline",$B$3:$B$700&amp;$C$3:$C$700&amp;$D$3:$D$700,0))</f>
        <v>0</v>
      </c>
      <c r="AC385">
        <f t="shared" si="41"/>
        <v>567.69041716882373</v>
      </c>
      <c r="AD385">
        <f t="shared" si="42"/>
        <v>316.08045706066434</v>
      </c>
      <c r="AE385">
        <f t="shared" si="43"/>
        <v>52.640667789221986</v>
      </c>
      <c r="AF385">
        <f t="shared" si="44"/>
        <v>64.951091950568099</v>
      </c>
      <c r="AG385">
        <f>(S385+V385+Y385)*constants!$O$2+(R385+T385+U385+W385+X385+Z385+AA385+AB385)*constants!$N$2</f>
        <v>19.92770092598516</v>
      </c>
      <c r="AH385">
        <f>((S385+V385+Y385)-(H385+K385+N385))*constants!$O$2</f>
        <v>5.1205034043827622</v>
      </c>
      <c r="AI385">
        <f>((R385+T385+U385+W385+X385+Z385+AA385+AB385)-(G385+I385+J385+L385+M385+O385+P385+Q385))*constants!$N$2</f>
        <v>5.948395460182085</v>
      </c>
      <c r="AJ385">
        <f t="shared" si="45"/>
        <v>55.545287967119748</v>
      </c>
      <c r="AK385">
        <f t="shared" si="46"/>
        <v>11.068898864564847</v>
      </c>
      <c r="AL385">
        <f>COUNTIFS($B:$B,$B385,$AK:$AK,"&lt;"&amp;$AK385)+COUNTIFS($B$2:$B385,$B385,$AK$2:$AK385,$AK385)</f>
        <v>71</v>
      </c>
      <c r="AM385" s="191">
        <f>IF(AK385=0, "NA",IF(((sim_annual_output!F385/E385)/AK385)&lt;0,100,((sim_annual_output!F385/E385)/AK385)))</f>
        <v>7.2539526489882737</v>
      </c>
      <c r="AN385">
        <f>(S385+V385)*constants!$F$2+(T385+U385+W385+X385+Y385+Z385+AA385+AB385)*constants!$G$2</f>
        <v>178219.90359867914</v>
      </c>
      <c r="AO385">
        <f>(AD385*constants!$F$2+AE385*constants!$G$2)</f>
        <v>102375.78279048204</v>
      </c>
      <c r="AP385">
        <f t="shared" si="47"/>
        <v>57.443518217255274</v>
      </c>
    </row>
    <row r="386" spans="1:42">
      <c r="A386">
        <f>sim_annual_output!B386</f>
        <v>14</v>
      </c>
      <c r="B386" t="str">
        <f>sim_annual_output!C386</f>
        <v>Office</v>
      </c>
      <c r="C386" t="str">
        <f>sim_annual_output!D386</f>
        <v>1960-1979</v>
      </c>
      <c r="D386" t="str">
        <f>sim_annual_output!E386</f>
        <v>plug_loads_90_percent</v>
      </c>
      <c r="E386" s="45">
        <f t="array" ref="E386">IFERROR(INDEX(baseline!$J$3:$J$201,MATCH($B386&amp;$C386,baseline!$C$3:$C$201&amp;baseline!$D$3:$D$201,0)),"NA")</f>
        <v>3418.6207140000001</v>
      </c>
      <c r="F386">
        <f>sim_annual_output!G386</f>
        <v>3418.6207139712501</v>
      </c>
      <c r="G386">
        <f>$E386/$F386^2*sim_annual_output!I386</f>
        <v>0</v>
      </c>
      <c r="H386">
        <f>$E386/$F386^2*sim_annual_output!J386</f>
        <v>403.63939385619989</v>
      </c>
      <c r="I386">
        <f>$E386/$F386^2*sim_annual_output!K386</f>
        <v>20.152718106170926</v>
      </c>
      <c r="J386">
        <f>$E386/$F386^2*sim_annual_output!L386</f>
        <v>0</v>
      </c>
      <c r="K386">
        <f>$E386/$F386^2*sim_annual_output!M386</f>
        <v>45.391149567173073</v>
      </c>
      <c r="L386">
        <f>$E386/$F386^2*sim_annual_output!N386</f>
        <v>37.749985101789981</v>
      </c>
      <c r="M386">
        <f>$E386/$F386^2*sim_annual_output!O386</f>
        <v>11.425994758849107</v>
      </c>
      <c r="N386">
        <f>$E386/$F386^2*sim_annual_output!P386</f>
        <v>0</v>
      </c>
      <c r="O386">
        <f>$E386/$F386^2*sim_annual_output!Q386</f>
        <v>30.072256153108057</v>
      </c>
      <c r="P386">
        <f>$E386/$F386^2*sim_annual_output!R386</f>
        <v>11.888332336561039</v>
      </c>
      <c r="Q386">
        <f>$E386/$F386^2*sim_annual_output!S386</f>
        <v>0</v>
      </c>
      <c r="R386">
        <f t="array" ref="R386">INDEX(G$3:G$700,MATCH($B386&amp;$C386&amp;"baseline",$B$3:$B$700&amp;$C$3:$C$700&amp;$D$3:$D$700,0))</f>
        <v>0</v>
      </c>
      <c r="S386">
        <f t="array" ref="S386">INDEX(H$3:H$700,MATCH($B386&amp;$C386&amp;"baseline",$B$3:$B$700&amp;$C$3:$C$700&amp;$D$3:$D$700,0))</f>
        <v>411.43981695995126</v>
      </c>
      <c r="T386">
        <f t="array" ref="T386">INDEX(I$3:I$700,MATCH($B386&amp;$C386&amp;"baseline",$B$3:$B$700&amp;$C$3:$C$700&amp;$D$3:$D$700,0))</f>
        <v>19.71150667436499</v>
      </c>
      <c r="U386">
        <f t="array" ref="U386">INDEX(J$3:J$700,MATCH($B386&amp;$C386&amp;"baseline",$B$3:$B$700&amp;$C$3:$C$700&amp;$D$3:$D$700,0))</f>
        <v>0</v>
      </c>
      <c r="V386">
        <f t="array" ref="V386">INDEX(K$3:K$700,MATCH($B386&amp;$C386&amp;"baseline",$B$3:$B$700&amp;$C$3:$C$700&amp;$D$3:$D$700,0))</f>
        <v>45.391962111246379</v>
      </c>
      <c r="W386">
        <f t="array" ref="W386">INDEX(L$3:L$700,MATCH($B386&amp;$C386&amp;"baseline",$B$3:$B$700&amp;$C$3:$C$700&amp;$D$3:$D$700,0))</f>
        <v>37.749985101789981</v>
      </c>
      <c r="X386">
        <f t="array" ref="X386">INDEX(M$3:M$700,MATCH($B386&amp;$C386&amp;"baseline",$B$3:$B$700&amp;$C$3:$C$700&amp;$D$3:$D$700,0))</f>
        <v>11.425994758849107</v>
      </c>
      <c r="Y386">
        <f t="array" ref="Y386">INDEX(N$3:N$700,MATCH($B386&amp;$C386&amp;"baseline",$B$3:$B$700&amp;$C$3:$C$700&amp;$D$3:$D$700,0))</f>
        <v>0</v>
      </c>
      <c r="Z386">
        <f t="array" ref="Z386">INDEX(O$3:O$700,MATCH($B386&amp;$C386&amp;"baseline",$B$3:$B$700&amp;$C$3:$C$700&amp;$D$3:$D$700,0))</f>
        <v>30.13075932638619</v>
      </c>
      <c r="AA386">
        <f t="array" ref="AA386">INDEX(P$3:P$700,MATCH($B386&amp;$C386&amp;"baseline",$B$3:$B$700&amp;$C$3:$C$700&amp;$D$3:$D$700,0))</f>
        <v>11.8403922362359</v>
      </c>
      <c r="AB386">
        <f t="array" ref="AB386">INDEX(Q$3:Q$700,MATCH($B386&amp;$C386&amp;"baseline",$B$3:$B$700&amp;$C$3:$C$700&amp;$D$3:$D$700,0))</f>
        <v>0</v>
      </c>
      <c r="AC386">
        <f t="shared" si="41"/>
        <v>567.69041716882373</v>
      </c>
      <c r="AD386">
        <f t="shared" si="42"/>
        <v>7.8012356478246829</v>
      </c>
      <c r="AE386">
        <f t="shared" si="43"/>
        <v>-0.43064835885292041</v>
      </c>
      <c r="AF386">
        <f t="shared" si="44"/>
        <v>1.2983462581119889</v>
      </c>
      <c r="AG386">
        <f>(S386+V386+Y386)*constants!$O$2+(R386+T386+U386+W386+X386+Z386+AA386+AB386)*constants!$N$2</f>
        <v>19.92770092598516</v>
      </c>
      <c r="AH386">
        <f>((S386+V386+Y386)-(H386+K386+N386))*constants!$O$2</f>
        <v>0.12638001749475986</v>
      </c>
      <c r="AI386">
        <f>((R386+T386+U386+W386+X386+Z386+AA386+AB386)-(G386+I386+J386+L386+M386+O386+P386+Q386))*constants!$N$2</f>
        <v>-4.866326455038001E-2</v>
      </c>
      <c r="AJ386">
        <f t="shared" si="45"/>
        <v>0.38999357343344809</v>
      </c>
      <c r="AK386">
        <f t="shared" si="46"/>
        <v>7.7716752944379852E-2</v>
      </c>
      <c r="AL386">
        <f>COUNTIFS($B:$B,$B386,$AK:$AK,"&lt;"&amp;$AK386)+COUNTIFS($B$2:$B386,$B386,$AK$2:$AK386,$AK386)</f>
        <v>23</v>
      </c>
      <c r="AM386" s="191">
        <f>IF(AK386=0, "NA",IF(((sim_annual_output!F386/E386)/AK386)&lt;0,100,((sim_annual_output!F386/E386)/AK386)))</f>
        <v>52.880507052649449</v>
      </c>
      <c r="AN386">
        <f>(S386+V386)*constants!$F$2+(T386+U386+W386+X386+Y386+Z386+AA386+AB386)*constants!$G$2</f>
        <v>178219.90359867914</v>
      </c>
      <c r="AO386">
        <f>(AD386*constants!$F$2+AE386*constants!$G$2)</f>
        <v>1021.7571087585774</v>
      </c>
      <c r="AP386">
        <f t="shared" si="47"/>
        <v>0.57331256954296217</v>
      </c>
    </row>
    <row r="387" spans="1:42">
      <c r="A387">
        <f>sim_annual_output!B387</f>
        <v>14</v>
      </c>
      <c r="B387" t="str">
        <f>sim_annual_output!C387</f>
        <v>Office</v>
      </c>
      <c r="C387" t="str">
        <f>sim_annual_output!D387</f>
        <v>1960-1979</v>
      </c>
      <c r="D387" t="str">
        <f>sim_annual_output!E387</f>
        <v>pumps_to_variable</v>
      </c>
      <c r="E387" s="45">
        <f t="array" ref="E387">IFERROR(INDEX(baseline!$J$3:$J$201,MATCH($B387&amp;$C387,baseline!$C$3:$C$201&amp;baseline!$D$3:$D$201,0)),"NA")</f>
        <v>3418.6207140000001</v>
      </c>
      <c r="F387">
        <f>sim_annual_output!G387</f>
        <v>3418.6207139712501</v>
      </c>
      <c r="G387">
        <f>$E387/$F387^2*sim_annual_output!I387</f>
        <v>0</v>
      </c>
      <c r="H387">
        <f>$E387/$F387^2*sim_annual_output!J387</f>
        <v>411.57469927612027</v>
      </c>
      <c r="I387">
        <f>$E387/$F387^2*sim_annual_output!K387</f>
        <v>20.12996687211832</v>
      </c>
      <c r="J387">
        <f>$E387/$F387^2*sim_annual_output!L387</f>
        <v>0</v>
      </c>
      <c r="K387">
        <f>$E387/$F387^2*sim_annual_output!M387</f>
        <v>45.391149567173073</v>
      </c>
      <c r="L387">
        <f>$E387/$F387^2*sim_annual_output!N387</f>
        <v>37.749985101789981</v>
      </c>
      <c r="M387">
        <f>$E387/$F387^2*sim_annual_output!O387</f>
        <v>11.425994758849107</v>
      </c>
      <c r="N387">
        <f>$E387/$F387^2*sim_annual_output!P387</f>
        <v>0</v>
      </c>
      <c r="O387">
        <f>$E387/$F387^2*sim_annual_output!Q387</f>
        <v>30.069818520888134</v>
      </c>
      <c r="P387">
        <f>$E387/$F387^2*sim_annual_output!R387</f>
        <v>2.7366484388994308</v>
      </c>
      <c r="Q387">
        <f>$E387/$F387^2*sim_annual_output!S387</f>
        <v>0</v>
      </c>
      <c r="R387">
        <f t="array" ref="R387">INDEX(G$3:G$700,MATCH($B387&amp;$C387&amp;"baseline",$B$3:$B$700&amp;$C$3:$C$700&amp;$D$3:$D$700,0))</f>
        <v>0</v>
      </c>
      <c r="S387">
        <f t="array" ref="S387">INDEX(H$3:H$700,MATCH($B387&amp;$C387&amp;"baseline",$B$3:$B$700&amp;$C$3:$C$700&amp;$D$3:$D$700,0))</f>
        <v>411.43981695995126</v>
      </c>
      <c r="T387">
        <f t="array" ref="T387">INDEX(I$3:I$700,MATCH($B387&amp;$C387&amp;"baseline",$B$3:$B$700&amp;$C$3:$C$700&amp;$D$3:$D$700,0))</f>
        <v>19.71150667436499</v>
      </c>
      <c r="U387">
        <f t="array" ref="U387">INDEX(J$3:J$700,MATCH($B387&amp;$C387&amp;"baseline",$B$3:$B$700&amp;$C$3:$C$700&amp;$D$3:$D$700,0))</f>
        <v>0</v>
      </c>
      <c r="V387">
        <f t="array" ref="V387">INDEX(K$3:K$700,MATCH($B387&amp;$C387&amp;"baseline",$B$3:$B$700&amp;$C$3:$C$700&amp;$D$3:$D$700,0))</f>
        <v>45.391962111246379</v>
      </c>
      <c r="W387">
        <f t="array" ref="W387">INDEX(L$3:L$700,MATCH($B387&amp;$C387&amp;"baseline",$B$3:$B$700&amp;$C$3:$C$700&amp;$D$3:$D$700,0))</f>
        <v>37.749985101789981</v>
      </c>
      <c r="X387">
        <f t="array" ref="X387">INDEX(M$3:M$700,MATCH($B387&amp;$C387&amp;"baseline",$B$3:$B$700&amp;$C$3:$C$700&amp;$D$3:$D$700,0))</f>
        <v>11.425994758849107</v>
      </c>
      <c r="Y387">
        <f t="array" ref="Y387">INDEX(N$3:N$700,MATCH($B387&amp;$C387&amp;"baseline",$B$3:$B$700&amp;$C$3:$C$700&amp;$D$3:$D$700,0))</f>
        <v>0</v>
      </c>
      <c r="Z387">
        <f t="array" ref="Z387">INDEX(O$3:O$700,MATCH($B387&amp;$C387&amp;"baseline",$B$3:$B$700&amp;$C$3:$C$700&amp;$D$3:$D$700,0))</f>
        <v>30.13075932638619</v>
      </c>
      <c r="AA387">
        <f t="array" ref="AA387">INDEX(P$3:P$700,MATCH($B387&amp;$C387&amp;"baseline",$B$3:$B$700&amp;$C$3:$C$700&amp;$D$3:$D$700,0))</f>
        <v>11.8403922362359</v>
      </c>
      <c r="AB387">
        <f t="array" ref="AB387">INDEX(Q$3:Q$700,MATCH($B387&amp;$C387&amp;"baseline",$B$3:$B$700&amp;$C$3:$C$700&amp;$D$3:$D$700,0))</f>
        <v>0</v>
      </c>
      <c r="AC387">
        <f t="shared" ref="AC387:AC450" si="48">SUM(R387:AB387)</f>
        <v>567.69041716882373</v>
      </c>
      <c r="AD387">
        <f t="shared" ref="AD387:AD450" si="49">(S387+V387+Y387)-(H387+K387+N387)</f>
        <v>-0.13406977209569959</v>
      </c>
      <c r="AE387">
        <f t="shared" ref="AE387:AE450" si="50">(R387+T387+U387+W387+X387+Z387+AA387+AB387)-(G387+I387+J387+L387+M387+O387+P387+Q387)</f>
        <v>8.7462244050812075</v>
      </c>
      <c r="AF387">
        <f t="shared" ref="AF387:AF450" si="51">(AD387+AE387)/AC387*100</f>
        <v>1.5170512611320626</v>
      </c>
      <c r="AG387">
        <f>(S387+V387+Y387)*constants!$O$2+(R387+T387+U387+W387+X387+Z387+AA387+AB387)*constants!$N$2</f>
        <v>19.92770092598516</v>
      </c>
      <c r="AH387">
        <f>((S387+V387+Y387)-(H387+K387+N387))*constants!$O$2</f>
        <v>-2.1719303079503331E-3</v>
      </c>
      <c r="AI387">
        <f>((R387+T387+U387+W387+X387+Z387+AA387+AB387)-(G387+I387+J387+L387+M387+O387+P387+Q387))*constants!$N$2</f>
        <v>0.98832335777417646</v>
      </c>
      <c r="AJ387">
        <f t="shared" ref="AJ387:AJ450" si="52">(AH387+AI387)/AG387*100</f>
        <v>4.9486462644584979</v>
      </c>
      <c r="AK387">
        <f t="shared" ref="AK387:AK450" si="53">AH387+AI387</f>
        <v>0.98615142746622608</v>
      </c>
      <c r="AL387">
        <f>COUNTIFS($B:$B,$B387,$AK:$AK,"&lt;"&amp;$AK387)+COUNTIFS($B$2:$B387,$B387,$AK$2:$AK387,$AK387)</f>
        <v>43</v>
      </c>
      <c r="AM387" s="191">
        <f>IF(AK387=0, "NA",IF(((sim_annual_output!F387/E387)/AK387)&lt;0,100,((sim_annual_output!F387/E387)/AK387)))</f>
        <v>1.0160064841202734</v>
      </c>
      <c r="AN387">
        <f>(S387+V387)*constants!$F$2+(T387+U387+W387+X387+Y387+Z387+AA387+AB387)*constants!$G$2</f>
        <v>178219.90359867914</v>
      </c>
      <c r="AO387">
        <f>(AD387*constants!$F$2+AE387*constants!$G$2)</f>
        <v>7585.2167432155202</v>
      </c>
      <c r="AP387">
        <f t="shared" ref="AP387:AP450" si="54">AO387/AN387*100</f>
        <v>4.2560996780113491</v>
      </c>
    </row>
    <row r="388" spans="1:42">
      <c r="A388">
        <f>sim_annual_output!B388</f>
        <v>14</v>
      </c>
      <c r="B388" t="str">
        <f>sim_annual_output!C388</f>
        <v>Office</v>
      </c>
      <c r="C388" t="str">
        <f>sim_annual_output!D388</f>
        <v>1960-1979</v>
      </c>
      <c r="D388" t="str">
        <f>sim_annual_output!E388</f>
        <v>pump_fan_eff_</v>
      </c>
      <c r="E388" s="45">
        <f t="array" ref="E388">IFERROR(INDEX(baseline!$J$3:$J$201,MATCH($B388&amp;$C388,baseline!$C$3:$C$201&amp;baseline!$D$3:$D$201,0)),"NA")</f>
        <v>3418.6207140000001</v>
      </c>
      <c r="F388">
        <f>sim_annual_output!G388</f>
        <v>3418.6207139712501</v>
      </c>
      <c r="G388">
        <f>$E388/$F388^2*sim_annual_output!I388</f>
        <v>0</v>
      </c>
      <c r="H388">
        <f>$E388/$F388^2*sim_annual_output!J388</f>
        <v>402.86503935433791</v>
      </c>
      <c r="I388">
        <f>$E388/$F388^2*sim_annual_output!K388</f>
        <v>20.12996687211832</v>
      </c>
      <c r="J388">
        <f>$E388/$F388^2*sim_annual_output!L388</f>
        <v>0</v>
      </c>
      <c r="K388">
        <f>$E388/$F388^2*sim_annual_output!M388</f>
        <v>45.391149567173073</v>
      </c>
      <c r="L388">
        <f>$E388/$F388^2*sim_annual_output!N388</f>
        <v>37.749985101789981</v>
      </c>
      <c r="M388">
        <f>$E388/$F388^2*sim_annual_output!O388</f>
        <v>11.425994758849107</v>
      </c>
      <c r="N388">
        <f>$E388/$F388^2*sim_annual_output!P388</f>
        <v>0</v>
      </c>
      <c r="O388">
        <f>$E388/$F388^2*sim_annual_output!Q388</f>
        <v>30.069818520888134</v>
      </c>
      <c r="P388">
        <f>$E388/$F388^2*sim_annual_output!R388</f>
        <v>9.2963167427103279</v>
      </c>
      <c r="Q388">
        <f>$E388/$F388^2*sim_annual_output!S388</f>
        <v>0</v>
      </c>
      <c r="R388">
        <f t="array" ref="R388">INDEX(G$3:G$700,MATCH($B388&amp;$C388&amp;"baseline",$B$3:$B$700&amp;$C$3:$C$700&amp;$D$3:$D$700,0))</f>
        <v>0</v>
      </c>
      <c r="S388">
        <f t="array" ref="S388">INDEX(H$3:H$700,MATCH($B388&amp;$C388&amp;"baseline",$B$3:$B$700&amp;$C$3:$C$700&amp;$D$3:$D$700,0))</f>
        <v>411.43981695995126</v>
      </c>
      <c r="T388">
        <f t="array" ref="T388">INDEX(I$3:I$700,MATCH($B388&amp;$C388&amp;"baseline",$B$3:$B$700&amp;$C$3:$C$700&amp;$D$3:$D$700,0))</f>
        <v>19.71150667436499</v>
      </c>
      <c r="U388">
        <f t="array" ref="U388">INDEX(J$3:J$700,MATCH($B388&amp;$C388&amp;"baseline",$B$3:$B$700&amp;$C$3:$C$700&amp;$D$3:$D$700,0))</f>
        <v>0</v>
      </c>
      <c r="V388">
        <f t="array" ref="V388">INDEX(K$3:K$700,MATCH($B388&amp;$C388&amp;"baseline",$B$3:$B$700&amp;$C$3:$C$700&amp;$D$3:$D$700,0))</f>
        <v>45.391962111246379</v>
      </c>
      <c r="W388">
        <f t="array" ref="W388">INDEX(L$3:L$700,MATCH($B388&amp;$C388&amp;"baseline",$B$3:$B$700&amp;$C$3:$C$700&amp;$D$3:$D$700,0))</f>
        <v>37.749985101789981</v>
      </c>
      <c r="X388">
        <f t="array" ref="X388">INDEX(M$3:M$700,MATCH($B388&amp;$C388&amp;"baseline",$B$3:$B$700&amp;$C$3:$C$700&amp;$D$3:$D$700,0))</f>
        <v>11.425994758849107</v>
      </c>
      <c r="Y388">
        <f t="array" ref="Y388">INDEX(N$3:N$700,MATCH($B388&amp;$C388&amp;"baseline",$B$3:$B$700&amp;$C$3:$C$700&amp;$D$3:$D$700,0))</f>
        <v>0</v>
      </c>
      <c r="Z388">
        <f t="array" ref="Z388">INDEX(O$3:O$700,MATCH($B388&amp;$C388&amp;"baseline",$B$3:$B$700&amp;$C$3:$C$700&amp;$D$3:$D$700,0))</f>
        <v>30.13075932638619</v>
      </c>
      <c r="AA388">
        <f t="array" ref="AA388">INDEX(P$3:P$700,MATCH($B388&amp;$C388&amp;"baseline",$B$3:$B$700&amp;$C$3:$C$700&amp;$D$3:$D$700,0))</f>
        <v>11.8403922362359</v>
      </c>
      <c r="AB388">
        <f t="array" ref="AB388">INDEX(Q$3:Q$700,MATCH($B388&amp;$C388&amp;"baseline",$B$3:$B$700&amp;$C$3:$C$700&amp;$D$3:$D$700,0))</f>
        <v>0</v>
      </c>
      <c r="AC388">
        <f t="shared" si="48"/>
        <v>567.69041716882373</v>
      </c>
      <c r="AD388">
        <f t="shared" si="49"/>
        <v>8.5755901496866045</v>
      </c>
      <c r="AE388">
        <f t="shared" si="50"/>
        <v>2.1865561012703125</v>
      </c>
      <c r="AF388">
        <f t="shared" si="51"/>
        <v>1.8957773331157703</v>
      </c>
      <c r="AG388">
        <f>(S388+V388+Y388)*constants!$O$2+(R388+T388+U388+W388+X388+Z388+AA388+AB388)*constants!$N$2</f>
        <v>19.92770092598516</v>
      </c>
      <c r="AH388">
        <f>((S388+V388+Y388)-(H388+K388+N388))*constants!$O$2</f>
        <v>0.13892456042492299</v>
      </c>
      <c r="AI388">
        <f>((R388+T388+U388+W388+X388+Z388+AA388+AB388)-(G388+I388+J388+L388+M388+O388+P388+Q388))*constants!$N$2</f>
        <v>0.24708083944354534</v>
      </c>
      <c r="AJ388">
        <f t="shared" si="52"/>
        <v>1.9370292704720804</v>
      </c>
      <c r="AK388">
        <f t="shared" si="53"/>
        <v>0.38600539986846832</v>
      </c>
      <c r="AL388">
        <f>COUNTIFS($B:$B,$B388,$AK:$AK,"&lt;"&amp;$AK388)+COUNTIFS($B$2:$B388,$B388,$AK$2:$AK388,$AK388)</f>
        <v>34</v>
      </c>
      <c r="AM388" s="191">
        <f>IF(AK388=0, "NA",IF(((sim_annual_output!F388/E388)/AK388)&lt;0,100,((sim_annual_output!F388/E388)/AK388)))</f>
        <v>6.0889005209210154</v>
      </c>
      <c r="AN388">
        <f>(S388+V388)*constants!$F$2+(T388+U388+W388+X388+Y388+Z388+AA388+AB388)*constants!$G$2</f>
        <v>178219.90359867914</v>
      </c>
      <c r="AO388">
        <f>(AD388*constants!$F$2+AE388*constants!$G$2)</f>
        <v>3437.3344448990738</v>
      </c>
      <c r="AP388">
        <f t="shared" si="54"/>
        <v>1.9287040198604111</v>
      </c>
    </row>
    <row r="389" spans="1:42">
      <c r="A389">
        <f>sim_annual_output!B389</f>
        <v>15</v>
      </c>
      <c r="B389" t="str">
        <f>sim_annual_output!C389</f>
        <v>Office</v>
      </c>
      <c r="C389" t="str">
        <f>sim_annual_output!D389</f>
        <v>1980-2004</v>
      </c>
      <c r="D389" t="str">
        <f>sim_annual_output!E389</f>
        <v>air_temp_reset_enabled</v>
      </c>
      <c r="E389" s="45">
        <f t="array" ref="E389">IFERROR(INDEX(baseline!$J$3:$J$201,MATCH($B389&amp;$C389,baseline!$C$3:$C$201&amp;baseline!$D$3:$D$201,0)),"NA")</f>
        <v>3418.6207140000001</v>
      </c>
      <c r="F389">
        <f>sim_annual_output!G389</f>
        <v>3418.6207139712501</v>
      </c>
      <c r="G389">
        <f>$E389/$F389^2*sim_annual_output!I389</f>
        <v>0</v>
      </c>
      <c r="H389">
        <f>$E389/$F389^2*sim_annual_output!J389</f>
        <v>235.65971994913454</v>
      </c>
      <c r="I389">
        <f>$E389/$F389^2*sim_annual_output!K389</f>
        <v>2.5530134783319514</v>
      </c>
      <c r="J389">
        <f>$E389/$F389^2*sim_annual_output!L389</f>
        <v>0</v>
      </c>
      <c r="K389">
        <f>$E389/$F389^2*sim_annual_output!M389</f>
        <v>45.387899390879845</v>
      </c>
      <c r="L389">
        <f>$E389/$F389^2*sim_annual_output!N389</f>
        <v>37.749985101789981</v>
      </c>
      <c r="M389">
        <f>$E389/$F389^2*sim_annual_output!O389</f>
        <v>11.425994758849107</v>
      </c>
      <c r="N389">
        <f>$E389/$F389^2*sim_annual_output!P389</f>
        <v>0</v>
      </c>
      <c r="O389">
        <f>$E389/$F389^2*sim_annual_output!Q389</f>
        <v>27.742692294935651</v>
      </c>
      <c r="P389">
        <f>$E389/$F389^2*sim_annual_output!R389</f>
        <v>8.8047275783593317</v>
      </c>
      <c r="Q389">
        <f>$E389/$F389^2*sim_annual_output!S389</f>
        <v>0</v>
      </c>
      <c r="R389">
        <f t="array" ref="R389">INDEX(G$3:G$700,MATCH($B389&amp;$C389&amp;"baseline",$B$3:$B$700&amp;$C$3:$C$700&amp;$D$3:$D$700,0))</f>
        <v>0</v>
      </c>
      <c r="S389">
        <f t="array" ref="S389">INDEX(H$3:H$700,MATCH($B389&amp;$C389&amp;"baseline",$B$3:$B$700&amp;$C$3:$C$700&amp;$D$3:$D$700,0))</f>
        <v>269.3307338042415</v>
      </c>
      <c r="T389">
        <f t="array" ref="T389">INDEX(I$3:I$700,MATCH($B389&amp;$C389&amp;"baseline",$B$3:$B$700&amp;$C$3:$C$700&amp;$D$3:$D$700,0))</f>
        <v>9.7887184509699896</v>
      </c>
      <c r="U389">
        <f t="array" ref="U389">INDEX(J$3:J$700,MATCH($B389&amp;$C389&amp;"baseline",$B$3:$B$700&amp;$C$3:$C$700&amp;$D$3:$D$700,0))</f>
        <v>0</v>
      </c>
      <c r="V389">
        <f t="array" ref="V389">INDEX(K$3:K$700,MATCH($B389&amp;$C389&amp;"baseline",$B$3:$B$700&amp;$C$3:$C$700&amp;$D$3:$D$700,0))</f>
        <v>45.390337034036946</v>
      </c>
      <c r="W389">
        <f t="array" ref="W389">INDEX(L$3:L$700,MATCH($B389&amp;$C389&amp;"baseline",$B$3:$B$700&amp;$C$3:$C$700&amp;$D$3:$D$700,0))</f>
        <v>37.74998509530473</v>
      </c>
      <c r="X389">
        <f t="array" ref="X389">INDEX(M$3:M$700,MATCH($B389&amp;$C389&amp;"baseline",$B$3:$B$700&amp;$C$3:$C$700&amp;$D$3:$D$700,0))</f>
        <v>11.425994758656927</v>
      </c>
      <c r="Y389">
        <f t="array" ref="Y389">INDEX(N$3:N$700,MATCH($B389&amp;$C389&amp;"baseline",$B$3:$B$700&amp;$C$3:$C$700&amp;$D$3:$D$700,0))</f>
        <v>0</v>
      </c>
      <c r="Z389">
        <f t="array" ref="Z389">INDEX(O$3:O$700,MATCH($B389&amp;$C389&amp;"baseline",$B$3:$B$700&amp;$C$3:$C$700&amp;$D$3:$D$700,0))</f>
        <v>27.082093962881196</v>
      </c>
      <c r="AA389">
        <f t="array" ref="AA389">INDEX(P$3:P$700,MATCH($B389&amp;$C389&amp;"baseline",$B$3:$B$700&amp;$C$3:$C$700&amp;$D$3:$D$700,0))</f>
        <v>8.364328690486019</v>
      </c>
      <c r="AB389">
        <f t="array" ref="AB389">INDEX(Q$3:Q$700,MATCH($B389&amp;$C389&amp;"baseline",$B$3:$B$700&amp;$C$3:$C$700&amp;$D$3:$D$700,0))</f>
        <v>0</v>
      </c>
      <c r="AC389">
        <f t="shared" si="48"/>
        <v>409.13219179657733</v>
      </c>
      <c r="AD389">
        <f t="shared" si="49"/>
        <v>33.673451498264114</v>
      </c>
      <c r="AE389">
        <f t="shared" si="50"/>
        <v>6.1347077460328308</v>
      </c>
      <c r="AF389">
        <f t="shared" si="51"/>
        <v>9.7299014945491678</v>
      </c>
      <c r="AG389">
        <f>(S389+V389+Y389)*constants!$O$2+(R389+T389+U389+W389+X389+Z389+AA389+AB389)*constants!$N$2</f>
        <v>15.766938015867883</v>
      </c>
      <c r="AH389">
        <f>((S389+V389+Y389)-(H389+K389+N389))*constants!$O$2</f>
        <v>0.54550991427187867</v>
      </c>
      <c r="AI389">
        <f>((R389+T389+U389+W389+X389+Z389+AA389+AB389)-(G389+I389+J389+L389+M389+O389+P389+Q389))*constants!$N$2</f>
        <v>0.69322197530170993</v>
      </c>
      <c r="AJ389">
        <f t="shared" si="52"/>
        <v>7.8565152493586643</v>
      </c>
      <c r="AK389">
        <f t="shared" si="53"/>
        <v>1.2387318895735886</v>
      </c>
      <c r="AL389">
        <f>COUNTIFS($B:$B,$B389,$AK:$AK,"&lt;"&amp;$AK389)+COUNTIFS($B$2:$B389,$B389,$AK$2:$AK389,$AK389)</f>
        <v>49</v>
      </c>
      <c r="AM389" s="191">
        <f>IF(AK389=0, "NA",IF(((sim_annual_output!F389/E389)/AK389)&lt;0,100,((sim_annual_output!F389/E389)/AK389)))</f>
        <v>4.1510411083642564</v>
      </c>
      <c r="AN389">
        <f>(S389+V389)*constants!$F$2+(T389+U389+W389+X389+Y389+Z389+AA389+AB389)*constants!$G$2</f>
        <v>138472.74691377184</v>
      </c>
      <c r="AO389">
        <f>(AD389*constants!$F$2+AE389*constants!$G$2)</f>
        <v>11364.74355723784</v>
      </c>
      <c r="AP389">
        <f t="shared" si="54"/>
        <v>8.2072059741219423</v>
      </c>
    </row>
    <row r="390" spans="1:42">
      <c r="A390">
        <f>sim_annual_output!B390</f>
        <v>15</v>
      </c>
      <c r="B390" t="str">
        <f>sim_annual_output!C390</f>
        <v>Office</v>
      </c>
      <c r="C390" t="str">
        <f>sim_annual_output!D390</f>
        <v>1980-2004</v>
      </c>
      <c r="D390" t="str">
        <f>sim_annual_output!E390</f>
        <v>baseline</v>
      </c>
      <c r="E390" s="45">
        <f t="array" ref="E390">IFERROR(INDEX(baseline!$J$3:$J$201,MATCH($B390&amp;$C390,baseline!$C$3:$C$201&amp;baseline!$D$3:$D$201,0)),"NA")</f>
        <v>3418.6207140000001</v>
      </c>
      <c r="F390">
        <f>sim_annual_output!G390</f>
        <v>3418.6207140000001</v>
      </c>
      <c r="G390">
        <f>$E390/$F390^2*sim_annual_output!I390</f>
        <v>0</v>
      </c>
      <c r="H390">
        <f>$E390/$F390^2*sim_annual_output!J390</f>
        <v>269.3307338042415</v>
      </c>
      <c r="I390">
        <f>$E390/$F390^2*sim_annual_output!K390</f>
        <v>9.7887184509699896</v>
      </c>
      <c r="J390">
        <f>$E390/$F390^2*sim_annual_output!L390</f>
        <v>0</v>
      </c>
      <c r="K390">
        <f>$E390/$F390^2*sim_annual_output!M390</f>
        <v>45.390337034036946</v>
      </c>
      <c r="L390">
        <f>$E390/$F390^2*sim_annual_output!N390</f>
        <v>37.74998509530473</v>
      </c>
      <c r="M390">
        <f>$E390/$F390^2*sim_annual_output!O390</f>
        <v>11.425994758656927</v>
      </c>
      <c r="N390">
        <f>$E390/$F390^2*sim_annual_output!P390</f>
        <v>0</v>
      </c>
      <c r="O390">
        <f>$E390/$F390^2*sim_annual_output!Q390</f>
        <v>27.082093962881196</v>
      </c>
      <c r="P390">
        <f>$E390/$F390^2*sim_annual_output!R390</f>
        <v>8.364328690486019</v>
      </c>
      <c r="Q390">
        <f>$E390/$F390^2*sim_annual_output!S390</f>
        <v>0</v>
      </c>
      <c r="R390">
        <f t="array" ref="R390">INDEX(G$3:G$700,MATCH($B390&amp;$C390&amp;"baseline",$B$3:$B$700&amp;$C$3:$C$700&amp;$D$3:$D$700,0))</f>
        <v>0</v>
      </c>
      <c r="S390">
        <f t="array" ref="S390">INDEX(H$3:H$700,MATCH($B390&amp;$C390&amp;"baseline",$B$3:$B$700&amp;$C$3:$C$700&amp;$D$3:$D$700,0))</f>
        <v>269.3307338042415</v>
      </c>
      <c r="T390">
        <f t="array" ref="T390">INDEX(I$3:I$700,MATCH($B390&amp;$C390&amp;"baseline",$B$3:$B$700&amp;$C$3:$C$700&amp;$D$3:$D$700,0))</f>
        <v>9.7887184509699896</v>
      </c>
      <c r="U390">
        <f t="array" ref="U390">INDEX(J$3:J$700,MATCH($B390&amp;$C390&amp;"baseline",$B$3:$B$700&amp;$C$3:$C$700&amp;$D$3:$D$700,0))</f>
        <v>0</v>
      </c>
      <c r="V390">
        <f t="array" ref="V390">INDEX(K$3:K$700,MATCH($B390&amp;$C390&amp;"baseline",$B$3:$B$700&amp;$C$3:$C$700&amp;$D$3:$D$700,0))</f>
        <v>45.390337034036946</v>
      </c>
      <c r="W390">
        <f t="array" ref="W390">INDEX(L$3:L$700,MATCH($B390&amp;$C390&amp;"baseline",$B$3:$B$700&amp;$C$3:$C$700&amp;$D$3:$D$700,0))</f>
        <v>37.74998509530473</v>
      </c>
      <c r="X390">
        <f t="array" ref="X390">INDEX(M$3:M$700,MATCH($B390&amp;$C390&amp;"baseline",$B$3:$B$700&amp;$C$3:$C$700&amp;$D$3:$D$700,0))</f>
        <v>11.425994758656927</v>
      </c>
      <c r="Y390">
        <f t="array" ref="Y390">INDEX(N$3:N$700,MATCH($B390&amp;$C390&amp;"baseline",$B$3:$B$700&amp;$C$3:$C$700&amp;$D$3:$D$700,0))</f>
        <v>0</v>
      </c>
      <c r="Z390">
        <f t="array" ref="Z390">INDEX(O$3:O$700,MATCH($B390&amp;$C390&amp;"baseline",$B$3:$B$700&amp;$C$3:$C$700&amp;$D$3:$D$700,0))</f>
        <v>27.082093962881196</v>
      </c>
      <c r="AA390">
        <f t="array" ref="AA390">INDEX(P$3:P$700,MATCH($B390&amp;$C390&amp;"baseline",$B$3:$B$700&amp;$C$3:$C$700&amp;$D$3:$D$700,0))</f>
        <v>8.364328690486019</v>
      </c>
      <c r="AB390">
        <f t="array" ref="AB390">INDEX(Q$3:Q$700,MATCH($B390&amp;$C390&amp;"baseline",$B$3:$B$700&amp;$C$3:$C$700&amp;$D$3:$D$700,0))</f>
        <v>0</v>
      </c>
      <c r="AC390">
        <f t="shared" si="48"/>
        <v>409.13219179657733</v>
      </c>
      <c r="AD390">
        <f t="shared" si="49"/>
        <v>0</v>
      </c>
      <c r="AE390">
        <f t="shared" si="50"/>
        <v>0</v>
      </c>
      <c r="AF390">
        <f t="shared" si="51"/>
        <v>0</v>
      </c>
      <c r="AG390">
        <f>(S390+V390+Y390)*constants!$O$2+(R390+T390+U390+W390+X390+Z390+AA390+AB390)*constants!$N$2</f>
        <v>15.766938015867883</v>
      </c>
      <c r="AH390">
        <f>((S390+V390+Y390)-(H390+K390+N390))*constants!$O$2</f>
        <v>0</v>
      </c>
      <c r="AI390">
        <f>((R390+T390+U390+W390+X390+Z390+AA390+AB390)-(G390+I390+J390+L390+M390+O390+P390+Q390))*constants!$N$2</f>
        <v>0</v>
      </c>
      <c r="AJ390">
        <f t="shared" si="52"/>
        <v>0</v>
      </c>
      <c r="AK390">
        <f t="shared" si="53"/>
        <v>0</v>
      </c>
      <c r="AL390">
        <f>COUNTIFS($B:$B,$B390,$AK:$AK,"&lt;"&amp;$AK390)+COUNTIFS($B$2:$B390,$B390,$AK$2:$AK390,$AK390)</f>
        <v>19</v>
      </c>
      <c r="AM390" s="191" t="str">
        <f>IF(AK390=0, "NA",IF(((sim_annual_output!F390/E390)/AK390)&lt;0,100,((sim_annual_output!F390/E390)/AK390)))</f>
        <v>NA</v>
      </c>
      <c r="AN390">
        <f>(S390+V390)*constants!$F$2+(T390+U390+W390+X390+Y390+Z390+AA390+AB390)*constants!$G$2</f>
        <v>138472.74691377184</v>
      </c>
      <c r="AO390">
        <f>(AD390*constants!$F$2+AE390*constants!$G$2)</f>
        <v>0</v>
      </c>
      <c r="AP390">
        <f t="shared" si="54"/>
        <v>0</v>
      </c>
    </row>
    <row r="391" spans="1:42">
      <c r="A391">
        <f>sim_annual_output!B391</f>
        <v>15</v>
      </c>
      <c r="B391" t="str">
        <f>sim_annual_output!C391</f>
        <v>Office</v>
      </c>
      <c r="C391" t="str">
        <f>sim_annual_output!D391</f>
        <v>1980-2004</v>
      </c>
      <c r="D391" t="str">
        <f>sim_annual_output!E391</f>
        <v>boiler_eff_upgrade</v>
      </c>
      <c r="E391" s="45">
        <f t="array" ref="E391">IFERROR(INDEX(baseline!$J$3:$J$201,MATCH($B391&amp;$C391,baseline!$C$3:$C$201&amp;baseline!$D$3:$D$201,0)),"NA")</f>
        <v>3418.6207140000001</v>
      </c>
      <c r="F391">
        <f>sim_annual_output!G391</f>
        <v>3418.6207139712501</v>
      </c>
      <c r="G391">
        <f>$E391/$F391^2*sim_annual_output!I391</f>
        <v>0</v>
      </c>
      <c r="H391">
        <f>$E391/$F391^2*sim_annual_output!J391</f>
        <v>288.81472813676015</v>
      </c>
      <c r="I391">
        <f>$E391/$F391^2*sim_annual_output!K391</f>
        <v>14.828929337860634</v>
      </c>
      <c r="J391">
        <f>$E391/$F391^2*sim_annual_output!L391</f>
        <v>0</v>
      </c>
      <c r="K391">
        <f>$E391/$F391^2*sim_annual_output!M391</f>
        <v>45.390337023099761</v>
      </c>
      <c r="L391">
        <f>$E391/$F391^2*sim_annual_output!N391</f>
        <v>37.749985101789981</v>
      </c>
      <c r="M391">
        <f>$E391/$F391^2*sim_annual_output!O391</f>
        <v>11.425994758849107</v>
      </c>
      <c r="N391">
        <f>$E391/$F391^2*sim_annual_output!P391</f>
        <v>0</v>
      </c>
      <c r="O391">
        <f>$E391/$F391^2*sim_annual_output!Q391</f>
        <v>27.506241969603185</v>
      </c>
      <c r="P391">
        <f>$E391/$F391^2*sim_annual_output!R391</f>
        <v>8.8770440008836946</v>
      </c>
      <c r="Q391">
        <f>$E391/$F391^2*sim_annual_output!S391</f>
        <v>0</v>
      </c>
      <c r="R391">
        <f t="array" ref="R391">INDEX(G$3:G$700,MATCH($B391&amp;$C391&amp;"baseline",$B$3:$B$700&amp;$C$3:$C$700&amp;$D$3:$D$700,0))</f>
        <v>0</v>
      </c>
      <c r="S391">
        <f t="array" ref="S391">INDEX(H$3:H$700,MATCH($B391&amp;$C391&amp;"baseline",$B$3:$B$700&amp;$C$3:$C$700&amp;$D$3:$D$700,0))</f>
        <v>269.3307338042415</v>
      </c>
      <c r="T391">
        <f t="array" ref="T391">INDEX(I$3:I$700,MATCH($B391&amp;$C391&amp;"baseline",$B$3:$B$700&amp;$C$3:$C$700&amp;$D$3:$D$700,0))</f>
        <v>9.7887184509699896</v>
      </c>
      <c r="U391">
        <f t="array" ref="U391">INDEX(J$3:J$700,MATCH($B391&amp;$C391&amp;"baseline",$B$3:$B$700&amp;$C$3:$C$700&amp;$D$3:$D$700,0))</f>
        <v>0</v>
      </c>
      <c r="V391">
        <f t="array" ref="V391">INDEX(K$3:K$700,MATCH($B391&amp;$C391&amp;"baseline",$B$3:$B$700&amp;$C$3:$C$700&amp;$D$3:$D$700,0))</f>
        <v>45.390337034036946</v>
      </c>
      <c r="W391">
        <f t="array" ref="W391">INDEX(L$3:L$700,MATCH($B391&amp;$C391&amp;"baseline",$B$3:$B$700&amp;$C$3:$C$700&amp;$D$3:$D$700,0))</f>
        <v>37.74998509530473</v>
      </c>
      <c r="X391">
        <f t="array" ref="X391">INDEX(M$3:M$700,MATCH($B391&amp;$C391&amp;"baseline",$B$3:$B$700&amp;$C$3:$C$700&amp;$D$3:$D$700,0))</f>
        <v>11.425994758656927</v>
      </c>
      <c r="Y391">
        <f t="array" ref="Y391">INDEX(N$3:N$700,MATCH($B391&amp;$C391&amp;"baseline",$B$3:$B$700&amp;$C$3:$C$700&amp;$D$3:$D$700,0))</f>
        <v>0</v>
      </c>
      <c r="Z391">
        <f t="array" ref="Z391">INDEX(O$3:O$700,MATCH($B391&amp;$C391&amp;"baseline",$B$3:$B$700&amp;$C$3:$C$700&amp;$D$3:$D$700,0))</f>
        <v>27.082093962881196</v>
      </c>
      <c r="AA391">
        <f t="array" ref="AA391">INDEX(P$3:P$700,MATCH($B391&amp;$C391&amp;"baseline",$B$3:$B$700&amp;$C$3:$C$700&amp;$D$3:$D$700,0))</f>
        <v>8.364328690486019</v>
      </c>
      <c r="AB391">
        <f t="array" ref="AB391">INDEX(Q$3:Q$700,MATCH($B391&amp;$C391&amp;"baseline",$B$3:$B$700&amp;$C$3:$C$700&amp;$D$3:$D$700,0))</f>
        <v>0</v>
      </c>
      <c r="AC391">
        <f t="shared" si="48"/>
        <v>409.13219179657733</v>
      </c>
      <c r="AD391">
        <f t="shared" si="49"/>
        <v>-19.483994321581463</v>
      </c>
      <c r="AE391">
        <f t="shared" si="50"/>
        <v>-5.9770742106877464</v>
      </c>
      <c r="AF391">
        <f t="shared" si="51"/>
        <v>-6.223188749940407</v>
      </c>
      <c r="AG391">
        <f>(S391+V391+Y391)*constants!$O$2+(R391+T391+U391+W391+X391+Z391+AA391+AB391)*constants!$N$2</f>
        <v>15.766938015867883</v>
      </c>
      <c r="AH391">
        <f>((S391+V391+Y391)-(H391+K391+N391))*constants!$O$2</f>
        <v>-0.31564070800961969</v>
      </c>
      <c r="AI391">
        <f>((R391+T391+U391+W391+X391+Z391+AA391+AB391)-(G391+I391+J391+L391+M391+O391+P391+Q391))*constants!$N$2</f>
        <v>-0.67540938580771537</v>
      </c>
      <c r="AJ391">
        <f t="shared" si="52"/>
        <v>-6.2856218044362189</v>
      </c>
      <c r="AK391">
        <f t="shared" si="53"/>
        <v>-0.991050093817335</v>
      </c>
      <c r="AL391">
        <f>COUNTIFS($B:$B,$B391,$AK:$AK,"&lt;"&amp;$AK391)+COUNTIFS($B$2:$B391,$B391,$AK$2:$AK391,$AK391)</f>
        <v>1</v>
      </c>
      <c r="AM391" s="191">
        <f>IF(AK391=0, "NA",IF(((sim_annual_output!F391/E391)/AK391)&lt;0,100,((sim_annual_output!F391/E391)/AK391)))</f>
        <v>100</v>
      </c>
      <c r="AN391">
        <f>(S391+V391)*constants!$F$2+(T391+U391+W391+X391+Y391+Z391+AA391+AB391)*constants!$G$2</f>
        <v>138472.74691377184</v>
      </c>
      <c r="AO391">
        <f>(AD391*constants!$F$2+AE391*constants!$G$2)</f>
        <v>-8687.6895468614202</v>
      </c>
      <c r="AP391">
        <f t="shared" si="54"/>
        <v>-6.2739345759287346</v>
      </c>
    </row>
    <row r="392" spans="1:42">
      <c r="A392">
        <f>sim_annual_output!B392</f>
        <v>15</v>
      </c>
      <c r="B392" t="str">
        <f>sim_annual_output!C392</f>
        <v>Office</v>
      </c>
      <c r="C392" t="str">
        <f>sim_annual_output!D392</f>
        <v>1980-2004</v>
      </c>
      <c r="D392" t="str">
        <f>sim_annual_output!E392</f>
        <v>boiler_reset</v>
      </c>
      <c r="E392" s="45">
        <f t="array" ref="E392">IFERROR(INDEX(baseline!$J$3:$J$201,MATCH($B392&amp;$C392,baseline!$C$3:$C$201&amp;baseline!$D$3:$D$201,0)),"NA")</f>
        <v>3418.6207140000001</v>
      </c>
      <c r="F392">
        <f>sim_annual_output!G392</f>
        <v>3418.6207139712501</v>
      </c>
      <c r="G392">
        <f>$E392/$F392^2*sim_annual_output!I392</f>
        <v>0</v>
      </c>
      <c r="H392">
        <f>$E392/$F392^2*sim_annual_output!J392</f>
        <v>202.68099364580581</v>
      </c>
      <c r="I392">
        <f>$E392/$F392^2*sim_annual_output!K392</f>
        <v>14.828929337860634</v>
      </c>
      <c r="J392">
        <f>$E392/$F392^2*sim_annual_output!L392</f>
        <v>0</v>
      </c>
      <c r="K392">
        <f>$E392/$F392^2*sim_annual_output!M392</f>
        <v>45.390337023099761</v>
      </c>
      <c r="L392">
        <f>$E392/$F392^2*sim_annual_output!N392</f>
        <v>37.749985101789981</v>
      </c>
      <c r="M392">
        <f>$E392/$F392^2*sim_annual_output!O392</f>
        <v>11.425994758849107</v>
      </c>
      <c r="N392">
        <f>$E392/$F392^2*sim_annual_output!P392</f>
        <v>0</v>
      </c>
      <c r="O392">
        <f>$E392/$F392^2*sim_annual_output!Q392</f>
        <v>27.506241969603185</v>
      </c>
      <c r="P392">
        <f>$E392/$F392^2*sim_annual_output!R392</f>
        <v>7.7557331797194387</v>
      </c>
      <c r="Q392">
        <f>$E392/$F392^2*sim_annual_output!S392</f>
        <v>0</v>
      </c>
      <c r="R392">
        <f t="array" ref="R392">INDEX(G$3:G$700,MATCH($B392&amp;$C392&amp;"baseline",$B$3:$B$700&amp;$C$3:$C$700&amp;$D$3:$D$700,0))</f>
        <v>0</v>
      </c>
      <c r="S392">
        <f t="array" ref="S392">INDEX(H$3:H$700,MATCH($B392&amp;$C392&amp;"baseline",$B$3:$B$700&amp;$C$3:$C$700&amp;$D$3:$D$700,0))</f>
        <v>269.3307338042415</v>
      </c>
      <c r="T392">
        <f t="array" ref="T392">INDEX(I$3:I$700,MATCH($B392&amp;$C392&amp;"baseline",$B$3:$B$700&amp;$C$3:$C$700&amp;$D$3:$D$700,0))</f>
        <v>9.7887184509699896</v>
      </c>
      <c r="U392">
        <f t="array" ref="U392">INDEX(J$3:J$700,MATCH($B392&amp;$C392&amp;"baseline",$B$3:$B$700&amp;$C$3:$C$700&amp;$D$3:$D$700,0))</f>
        <v>0</v>
      </c>
      <c r="V392">
        <f t="array" ref="V392">INDEX(K$3:K$700,MATCH($B392&amp;$C392&amp;"baseline",$B$3:$B$700&amp;$C$3:$C$700&amp;$D$3:$D$700,0))</f>
        <v>45.390337034036946</v>
      </c>
      <c r="W392">
        <f t="array" ref="W392">INDEX(L$3:L$700,MATCH($B392&amp;$C392&amp;"baseline",$B$3:$B$700&amp;$C$3:$C$700&amp;$D$3:$D$700,0))</f>
        <v>37.74998509530473</v>
      </c>
      <c r="X392">
        <f t="array" ref="X392">INDEX(M$3:M$700,MATCH($B392&amp;$C392&amp;"baseline",$B$3:$B$700&amp;$C$3:$C$700&amp;$D$3:$D$700,0))</f>
        <v>11.425994758656927</v>
      </c>
      <c r="Y392">
        <f t="array" ref="Y392">INDEX(N$3:N$700,MATCH($B392&amp;$C392&amp;"baseline",$B$3:$B$700&amp;$C$3:$C$700&amp;$D$3:$D$700,0))</f>
        <v>0</v>
      </c>
      <c r="Z392">
        <f t="array" ref="Z392">INDEX(O$3:O$700,MATCH($B392&amp;$C392&amp;"baseline",$B$3:$B$700&amp;$C$3:$C$700&amp;$D$3:$D$700,0))</f>
        <v>27.082093962881196</v>
      </c>
      <c r="AA392">
        <f t="array" ref="AA392">INDEX(P$3:P$700,MATCH($B392&amp;$C392&amp;"baseline",$B$3:$B$700&amp;$C$3:$C$700&amp;$D$3:$D$700,0))</f>
        <v>8.364328690486019</v>
      </c>
      <c r="AB392">
        <f t="array" ref="AB392">INDEX(Q$3:Q$700,MATCH($B392&amp;$C392&amp;"baseline",$B$3:$B$700&amp;$C$3:$C$700&amp;$D$3:$D$700,0))</f>
        <v>0</v>
      </c>
      <c r="AC392">
        <f t="shared" si="48"/>
        <v>409.13219179657733</v>
      </c>
      <c r="AD392">
        <f t="shared" si="49"/>
        <v>66.649740169372905</v>
      </c>
      <c r="AE392">
        <f t="shared" si="50"/>
        <v>-4.8557633895234886</v>
      </c>
      <c r="AF392">
        <f t="shared" si="51"/>
        <v>15.103670163059107</v>
      </c>
      <c r="AG392">
        <f>(S392+V392+Y392)*constants!$O$2+(R392+T392+U392+W392+X392+Z392+AA392+AB392)*constants!$N$2</f>
        <v>15.766938015867883</v>
      </c>
      <c r="AH392">
        <f>((S392+V392+Y392)-(H392+K392+N392))*constants!$O$2</f>
        <v>1.0797257907438409</v>
      </c>
      <c r="AI392">
        <f>((R392+T392+U392+W392+X392+Z392+AA392+AB392)-(G392+I392+J392+L392+M392+O392+P392+Q392))*constants!$N$2</f>
        <v>-0.54870126301615418</v>
      </c>
      <c r="AJ392">
        <f t="shared" si="52"/>
        <v>3.3679622967583334</v>
      </c>
      <c r="AK392">
        <f t="shared" si="53"/>
        <v>0.53102452772768671</v>
      </c>
      <c r="AL392">
        <f>COUNTIFS($B:$B,$B392,$AK:$AK,"&lt;"&amp;$AK392)+COUNTIFS($B$2:$B392,$B392,$AK$2:$AK392,$AK392)</f>
        <v>35</v>
      </c>
      <c r="AM392" s="191">
        <f>IF(AK392=0, "NA",IF(((sim_annual_output!F392/E392)/AK392)&lt;0,100,((sim_annual_output!F392/E392)/AK392)))</f>
        <v>0.51181260999365874</v>
      </c>
      <c r="AN392">
        <f>(S392+V392)*constants!$F$2+(T392+U392+W392+X392+Y392+Z392+AA392+AB392)*constants!$G$2</f>
        <v>138472.74691377184</v>
      </c>
      <c r="AO392">
        <f>(AD392*constants!$F$2+AE392*constants!$G$2)</f>
        <v>7705.7893414323153</v>
      </c>
      <c r="AP392">
        <f t="shared" si="54"/>
        <v>5.5648418285735142</v>
      </c>
    </row>
    <row r="393" spans="1:42">
      <c r="A393">
        <f>sim_annual_output!B393</f>
        <v>15</v>
      </c>
      <c r="B393" t="str">
        <f>sim_annual_output!C393</f>
        <v>Office</v>
      </c>
      <c r="C393" t="str">
        <f>sim_annual_output!D393</f>
        <v>1980-2004</v>
      </c>
      <c r="D393" t="str">
        <f>sim_annual_output!E393</f>
        <v>cooling_cop_3_0</v>
      </c>
      <c r="E393" s="45">
        <f t="array" ref="E393">IFERROR(INDEX(baseline!$J$3:$J$201,MATCH($B393&amp;$C393,baseline!$C$3:$C$201&amp;baseline!$D$3:$D$201,0)),"NA")</f>
        <v>3418.6207140000001</v>
      </c>
      <c r="F393">
        <f>sim_annual_output!G393</f>
        <v>3418.6207139712501</v>
      </c>
      <c r="G393">
        <f>$E393/$F393^2*sim_annual_output!I393</f>
        <v>0</v>
      </c>
      <c r="H393">
        <f>$E393/$F393^2*sim_annual_output!J393</f>
        <v>288.81472813676015</v>
      </c>
      <c r="I393">
        <f>$E393/$F393^2*sim_annual_output!K393</f>
        <v>12.710626938748158</v>
      </c>
      <c r="J393">
        <f>$E393/$F393^2*sim_annual_output!L393</f>
        <v>0</v>
      </c>
      <c r="K393">
        <f>$E393/$F393^2*sim_annual_output!M393</f>
        <v>45.390337023099761</v>
      </c>
      <c r="L393">
        <f>$E393/$F393^2*sim_annual_output!N393</f>
        <v>37.749985101789981</v>
      </c>
      <c r="M393">
        <f>$E393/$F393^2*sim_annual_output!O393</f>
        <v>11.425994758849107</v>
      </c>
      <c r="N393">
        <f>$E393/$F393^2*sim_annual_output!P393</f>
        <v>0</v>
      </c>
      <c r="O393">
        <f>$E393/$F393^2*sim_annual_output!Q393</f>
        <v>27.506241969603185</v>
      </c>
      <c r="P393">
        <f>$E393/$F393^2*sim_annual_output!R393</f>
        <v>8.8770440008836946</v>
      </c>
      <c r="Q393">
        <f>$E393/$F393^2*sim_annual_output!S393</f>
        <v>0</v>
      </c>
      <c r="R393">
        <f t="array" ref="R393">INDEX(G$3:G$700,MATCH($B393&amp;$C393&amp;"baseline",$B$3:$B$700&amp;$C$3:$C$700&amp;$D$3:$D$700,0))</f>
        <v>0</v>
      </c>
      <c r="S393">
        <f t="array" ref="S393">INDEX(H$3:H$700,MATCH($B393&amp;$C393&amp;"baseline",$B$3:$B$700&amp;$C$3:$C$700&amp;$D$3:$D$700,0))</f>
        <v>269.3307338042415</v>
      </c>
      <c r="T393">
        <f t="array" ref="T393">INDEX(I$3:I$700,MATCH($B393&amp;$C393&amp;"baseline",$B$3:$B$700&amp;$C$3:$C$700&amp;$D$3:$D$700,0))</f>
        <v>9.7887184509699896</v>
      </c>
      <c r="U393">
        <f t="array" ref="U393">INDEX(J$3:J$700,MATCH($B393&amp;$C393&amp;"baseline",$B$3:$B$700&amp;$C$3:$C$700&amp;$D$3:$D$700,0))</f>
        <v>0</v>
      </c>
      <c r="V393">
        <f t="array" ref="V393">INDEX(K$3:K$700,MATCH($B393&amp;$C393&amp;"baseline",$B$3:$B$700&amp;$C$3:$C$700&amp;$D$3:$D$700,0))</f>
        <v>45.390337034036946</v>
      </c>
      <c r="W393">
        <f t="array" ref="W393">INDEX(L$3:L$700,MATCH($B393&amp;$C393&amp;"baseline",$B$3:$B$700&amp;$C$3:$C$700&amp;$D$3:$D$700,0))</f>
        <v>37.74998509530473</v>
      </c>
      <c r="X393">
        <f t="array" ref="X393">INDEX(M$3:M$700,MATCH($B393&amp;$C393&amp;"baseline",$B$3:$B$700&amp;$C$3:$C$700&amp;$D$3:$D$700,0))</f>
        <v>11.425994758656927</v>
      </c>
      <c r="Y393">
        <f t="array" ref="Y393">INDEX(N$3:N$700,MATCH($B393&amp;$C393&amp;"baseline",$B$3:$B$700&amp;$C$3:$C$700&amp;$D$3:$D$700,0))</f>
        <v>0</v>
      </c>
      <c r="Z393">
        <f t="array" ref="Z393">INDEX(O$3:O$700,MATCH($B393&amp;$C393&amp;"baseline",$B$3:$B$700&amp;$C$3:$C$700&amp;$D$3:$D$700,0))</f>
        <v>27.082093962881196</v>
      </c>
      <c r="AA393">
        <f t="array" ref="AA393">INDEX(P$3:P$700,MATCH($B393&amp;$C393&amp;"baseline",$B$3:$B$700&amp;$C$3:$C$700&amp;$D$3:$D$700,0))</f>
        <v>8.364328690486019</v>
      </c>
      <c r="AB393">
        <f t="array" ref="AB393">INDEX(Q$3:Q$700,MATCH($B393&amp;$C393&amp;"baseline",$B$3:$B$700&amp;$C$3:$C$700&amp;$D$3:$D$700,0))</f>
        <v>0</v>
      </c>
      <c r="AC393">
        <f t="shared" si="48"/>
        <v>409.13219179657733</v>
      </c>
      <c r="AD393">
        <f t="shared" si="49"/>
        <v>-19.483994321581463</v>
      </c>
      <c r="AE393">
        <f t="shared" si="50"/>
        <v>-3.8587718115752807</v>
      </c>
      <c r="AF393">
        <f t="shared" si="51"/>
        <v>-5.7054337451800636</v>
      </c>
      <c r="AG393">
        <f>(S393+V393+Y393)*constants!$O$2+(R393+T393+U393+W393+X393+Z393+AA393+AB393)*constants!$N$2</f>
        <v>15.766938015867883</v>
      </c>
      <c r="AH393">
        <f>((S393+V393+Y393)-(H393+K393+N393))*constants!$O$2</f>
        <v>-0.31564070800961969</v>
      </c>
      <c r="AI393">
        <f>((R393+T393+U393+W393+X393+Z393+AA393+AB393)-(G393+I393+J393+L393+M393+O393+P393+Q393))*constants!$N$2</f>
        <v>-0.43604121470800672</v>
      </c>
      <c r="AJ393">
        <f t="shared" si="52"/>
        <v>-4.7674565724881521</v>
      </c>
      <c r="AK393">
        <f t="shared" si="53"/>
        <v>-0.75168192271762635</v>
      </c>
      <c r="AL393">
        <f>COUNTIFS($B:$B,$B393,$AK:$AK,"&lt;"&amp;$AK393)+COUNTIFS($B$2:$B393,$B393,$AK$2:$AK393,$AK393)</f>
        <v>8</v>
      </c>
      <c r="AM393" s="191">
        <f>IF(AK393=0, "NA",IF(((sim_annual_output!F393/E393)/AK393)&lt;0,100,((sim_annual_output!F393/E393)/AK393)))</f>
        <v>100</v>
      </c>
      <c r="AN393">
        <f>(S393+V393)*constants!$F$2+(T393+U393+W393+X393+Y393+Z393+AA393+AB393)*constants!$G$2</f>
        <v>138472.74691377184</v>
      </c>
      <c r="AO393">
        <f>(AD393*constants!$F$2+AE393*constants!$G$2)</f>
        <v>-6844.7664596335762</v>
      </c>
      <c r="AP393">
        <f t="shared" si="54"/>
        <v>-4.9430423041263643</v>
      </c>
    </row>
    <row r="394" spans="1:42">
      <c r="A394">
        <f>sim_annual_output!B394</f>
        <v>15</v>
      </c>
      <c r="B394" t="str">
        <f>sim_annual_output!C394</f>
        <v>Office</v>
      </c>
      <c r="C394" t="str">
        <f>sim_annual_output!D394</f>
        <v>1980-2004</v>
      </c>
      <c r="D394" t="str">
        <f>sim_annual_output!E394</f>
        <v>dcv_enabled</v>
      </c>
      <c r="E394" s="45">
        <f t="array" ref="E394">IFERROR(INDEX(baseline!$J$3:$J$201,MATCH($B394&amp;$C394,baseline!$C$3:$C$201&amp;baseline!$D$3:$D$201,0)),"NA")</f>
        <v>3418.6207140000001</v>
      </c>
      <c r="F394">
        <f>sim_annual_output!G394</f>
        <v>3418.6207139712501</v>
      </c>
      <c r="G394">
        <f>$E394/$F394^2*sim_annual_output!I394</f>
        <v>0</v>
      </c>
      <c r="H394">
        <f>$E394/$F394^2*sim_annual_output!J394</f>
        <v>227.16050894233885</v>
      </c>
      <c r="I394">
        <f>$E394/$F394^2*sim_annual_output!K394</f>
        <v>14.975999815129279</v>
      </c>
      <c r="J394">
        <f>$E394/$F394^2*sim_annual_output!L394</f>
        <v>0</v>
      </c>
      <c r="K394">
        <f>$E394/$F394^2*sim_annual_output!M394</f>
        <v>45.390337023099761</v>
      </c>
      <c r="L394">
        <f>$E394/$F394^2*sim_annual_output!N394</f>
        <v>37.749985101789981</v>
      </c>
      <c r="M394">
        <f>$E394/$F394^2*sim_annual_output!O394</f>
        <v>11.425994758849107</v>
      </c>
      <c r="N394">
        <f>$E394/$F394^2*sim_annual_output!P394</f>
        <v>0</v>
      </c>
      <c r="O394">
        <f>$E394/$F394^2*sim_annual_output!Q394</f>
        <v>27.506241969603185</v>
      </c>
      <c r="P394">
        <f>$E394/$F394^2*sim_annual_output!R394</f>
        <v>8.8201659157521739</v>
      </c>
      <c r="Q394">
        <f>$E394/$F394^2*sim_annual_output!S394</f>
        <v>0</v>
      </c>
      <c r="R394">
        <f t="array" ref="R394">INDEX(G$3:G$700,MATCH($B394&amp;$C394&amp;"baseline",$B$3:$B$700&amp;$C$3:$C$700&amp;$D$3:$D$700,0))</f>
        <v>0</v>
      </c>
      <c r="S394">
        <f t="array" ref="S394">INDEX(H$3:H$700,MATCH($B394&amp;$C394&amp;"baseline",$B$3:$B$700&amp;$C$3:$C$700&amp;$D$3:$D$700,0))</f>
        <v>269.3307338042415</v>
      </c>
      <c r="T394">
        <f t="array" ref="T394">INDEX(I$3:I$700,MATCH($B394&amp;$C394&amp;"baseline",$B$3:$B$700&amp;$C$3:$C$700&amp;$D$3:$D$700,0))</f>
        <v>9.7887184509699896</v>
      </c>
      <c r="U394">
        <f t="array" ref="U394">INDEX(J$3:J$700,MATCH($B394&amp;$C394&amp;"baseline",$B$3:$B$700&amp;$C$3:$C$700&amp;$D$3:$D$700,0))</f>
        <v>0</v>
      </c>
      <c r="V394">
        <f t="array" ref="V394">INDEX(K$3:K$700,MATCH($B394&amp;$C394&amp;"baseline",$B$3:$B$700&amp;$C$3:$C$700&amp;$D$3:$D$700,0))</f>
        <v>45.390337034036946</v>
      </c>
      <c r="W394">
        <f t="array" ref="W394">INDEX(L$3:L$700,MATCH($B394&amp;$C394&amp;"baseline",$B$3:$B$700&amp;$C$3:$C$700&amp;$D$3:$D$700,0))</f>
        <v>37.74998509530473</v>
      </c>
      <c r="X394">
        <f t="array" ref="X394">INDEX(M$3:M$700,MATCH($B394&amp;$C394&amp;"baseline",$B$3:$B$700&amp;$C$3:$C$700&amp;$D$3:$D$700,0))</f>
        <v>11.425994758656927</v>
      </c>
      <c r="Y394">
        <f t="array" ref="Y394">INDEX(N$3:N$700,MATCH($B394&amp;$C394&amp;"baseline",$B$3:$B$700&amp;$C$3:$C$700&amp;$D$3:$D$700,0))</f>
        <v>0</v>
      </c>
      <c r="Z394">
        <f t="array" ref="Z394">INDEX(O$3:O$700,MATCH($B394&amp;$C394&amp;"baseline",$B$3:$B$700&amp;$C$3:$C$700&amp;$D$3:$D$700,0))</f>
        <v>27.082093962881196</v>
      </c>
      <c r="AA394">
        <f t="array" ref="AA394">INDEX(P$3:P$700,MATCH($B394&amp;$C394&amp;"baseline",$B$3:$B$700&amp;$C$3:$C$700&amp;$D$3:$D$700,0))</f>
        <v>8.364328690486019</v>
      </c>
      <c r="AB394">
        <f t="array" ref="AB394">INDEX(Q$3:Q$700,MATCH($B394&amp;$C394&amp;"baseline",$B$3:$B$700&amp;$C$3:$C$700&amp;$D$3:$D$700,0))</f>
        <v>0</v>
      </c>
      <c r="AC394">
        <f t="shared" si="48"/>
        <v>409.13219179657733</v>
      </c>
      <c r="AD394">
        <f t="shared" si="49"/>
        <v>42.170224872839867</v>
      </c>
      <c r="AE394">
        <f t="shared" si="50"/>
        <v>-6.0672666028248585</v>
      </c>
      <c r="AF394">
        <f t="shared" si="51"/>
        <v>8.8242770903653529</v>
      </c>
      <c r="AG394">
        <f>(S394+V394+Y394)*constants!$O$2+(R394+T394+U394+W394+X394+Z394+AA394+AB394)*constants!$N$2</f>
        <v>15.766938015867883</v>
      </c>
      <c r="AH394">
        <f>((S394+V394+Y394)-(H394+K394+N394))*constants!$O$2</f>
        <v>0.6831576429400058</v>
      </c>
      <c r="AI394">
        <f>((R394+T394+U394+W394+X394+Z394+AA394+AB394)-(G394+I394+J394+L394+M394+O394+P394+Q394))*constants!$N$2</f>
        <v>-0.68560112611920898</v>
      </c>
      <c r="AJ394">
        <f t="shared" si="52"/>
        <v>-1.5497512432306447E-2</v>
      </c>
      <c r="AK394">
        <f t="shared" si="53"/>
        <v>-2.4434831792031764E-3</v>
      </c>
      <c r="AL394">
        <f>COUNTIFS($B:$B,$B394,$AK:$AK,"&lt;"&amp;$AK394)+COUNTIFS($B$2:$B394,$B394,$AK$2:$AK394,$AK394)</f>
        <v>16</v>
      </c>
      <c r="AM394" s="191">
        <f>IF(AK394=0, "NA",IF(((sim_annual_output!F394/E394)/AK394)&lt;0,100,((sim_annual_output!F394/E394)/AK394)))</f>
        <v>100</v>
      </c>
      <c r="AN394">
        <f>(S394+V394)*constants!$F$2+(T394+U394+W394+X394+Y394+Z394+AA394+AB394)*constants!$G$2</f>
        <v>138472.74691377184</v>
      </c>
      <c r="AO394">
        <f>(AD394*constants!$F$2+AE394*constants!$G$2)</f>
        <v>2269.948307780709</v>
      </c>
      <c r="AP394">
        <f t="shared" si="54"/>
        <v>1.6392744120214682</v>
      </c>
    </row>
    <row r="395" spans="1:42">
      <c r="A395">
        <f>sim_annual_output!B395</f>
        <v>15</v>
      </c>
      <c r="B395" t="str">
        <f>sim_annual_output!C395</f>
        <v>Office</v>
      </c>
      <c r="C395" t="str">
        <f>sim_annual_output!D395</f>
        <v>1980-2004</v>
      </c>
      <c r="D395" t="str">
        <f>sim_annual_output!E395</f>
        <v>ecm_cold_deck_reset_control</v>
      </c>
      <c r="E395" s="45">
        <f t="array" ref="E395">IFERROR(INDEX(baseline!$J$3:$J$201,MATCH($B395&amp;$C395,baseline!$C$3:$C$201&amp;baseline!$D$3:$D$201,0)),"NA")</f>
        <v>3418.6207140000001</v>
      </c>
      <c r="F395">
        <f>sim_annual_output!G395</f>
        <v>3418.6207139712501</v>
      </c>
      <c r="G395">
        <f>$E395/$F395^2*sim_annual_output!I395</f>
        <v>0</v>
      </c>
      <c r="H395">
        <f>$E395/$F395^2*sim_annual_output!J395</f>
        <v>218.13314428789326</v>
      </c>
      <c r="I395">
        <f>$E395/$F395^2*sim_annual_output!K395</f>
        <v>2.1158647668925528</v>
      </c>
      <c r="J395">
        <f>$E395/$F395^2*sim_annual_output!L395</f>
        <v>0</v>
      </c>
      <c r="K395">
        <f>$E395/$F395^2*sim_annual_output!M395</f>
        <v>45.390337023099761</v>
      </c>
      <c r="L395">
        <f>$E395/$F395^2*sim_annual_output!N395</f>
        <v>37.749985101789981</v>
      </c>
      <c r="M395">
        <f>$E395/$F395^2*sim_annual_output!O395</f>
        <v>11.425994758849107</v>
      </c>
      <c r="N395">
        <f>$E395/$F395^2*sim_annual_output!P395</f>
        <v>0</v>
      </c>
      <c r="O395">
        <f>$E395/$F395^2*sim_annual_output!Q395</f>
        <v>27.569620407321167</v>
      </c>
      <c r="P395">
        <f>$E395/$F395^2*sim_annual_output!R395</f>
        <v>8.7909143291131073</v>
      </c>
      <c r="Q395">
        <f>$E395/$F395^2*sim_annual_output!S395</f>
        <v>0</v>
      </c>
      <c r="R395">
        <f t="array" ref="R395">INDEX(G$3:G$700,MATCH($B395&amp;$C395&amp;"baseline",$B$3:$B$700&amp;$C$3:$C$700&amp;$D$3:$D$700,0))</f>
        <v>0</v>
      </c>
      <c r="S395">
        <f t="array" ref="S395">INDEX(H$3:H$700,MATCH($B395&amp;$C395&amp;"baseline",$B$3:$B$700&amp;$C$3:$C$700&amp;$D$3:$D$700,0))</f>
        <v>269.3307338042415</v>
      </c>
      <c r="T395">
        <f t="array" ref="T395">INDEX(I$3:I$700,MATCH($B395&amp;$C395&amp;"baseline",$B$3:$B$700&amp;$C$3:$C$700&amp;$D$3:$D$700,0))</f>
        <v>9.7887184509699896</v>
      </c>
      <c r="U395">
        <f t="array" ref="U395">INDEX(J$3:J$700,MATCH($B395&amp;$C395&amp;"baseline",$B$3:$B$700&amp;$C$3:$C$700&amp;$D$3:$D$700,0))</f>
        <v>0</v>
      </c>
      <c r="V395">
        <f t="array" ref="V395">INDEX(K$3:K$700,MATCH($B395&amp;$C395&amp;"baseline",$B$3:$B$700&amp;$C$3:$C$700&amp;$D$3:$D$700,0))</f>
        <v>45.390337034036946</v>
      </c>
      <c r="W395">
        <f t="array" ref="W395">INDEX(L$3:L$700,MATCH($B395&amp;$C395&amp;"baseline",$B$3:$B$700&amp;$C$3:$C$700&amp;$D$3:$D$700,0))</f>
        <v>37.74998509530473</v>
      </c>
      <c r="X395">
        <f t="array" ref="X395">INDEX(M$3:M$700,MATCH($B395&amp;$C395&amp;"baseline",$B$3:$B$700&amp;$C$3:$C$700&amp;$D$3:$D$700,0))</f>
        <v>11.425994758656927</v>
      </c>
      <c r="Y395">
        <f t="array" ref="Y395">INDEX(N$3:N$700,MATCH($B395&amp;$C395&amp;"baseline",$B$3:$B$700&amp;$C$3:$C$700&amp;$D$3:$D$700,0))</f>
        <v>0</v>
      </c>
      <c r="Z395">
        <f t="array" ref="Z395">INDEX(O$3:O$700,MATCH($B395&amp;$C395&amp;"baseline",$B$3:$B$700&amp;$C$3:$C$700&amp;$D$3:$D$700,0))</f>
        <v>27.082093962881196</v>
      </c>
      <c r="AA395">
        <f t="array" ref="AA395">INDEX(P$3:P$700,MATCH($B395&amp;$C395&amp;"baseline",$B$3:$B$700&amp;$C$3:$C$700&amp;$D$3:$D$700,0))</f>
        <v>8.364328690486019</v>
      </c>
      <c r="AB395">
        <f t="array" ref="AB395">INDEX(Q$3:Q$700,MATCH($B395&amp;$C395&amp;"baseline",$B$3:$B$700&amp;$C$3:$C$700&amp;$D$3:$D$700,0))</f>
        <v>0</v>
      </c>
      <c r="AC395">
        <f t="shared" si="48"/>
        <v>409.13219179657733</v>
      </c>
      <c r="AD395">
        <f t="shared" si="49"/>
        <v>51.197589527285459</v>
      </c>
      <c r="AE395">
        <f t="shared" si="50"/>
        <v>6.7587415943329319</v>
      </c>
      <c r="AF395">
        <f t="shared" si="51"/>
        <v>14.165673658462588</v>
      </c>
      <c r="AG395">
        <f>(S395+V395+Y395)*constants!$O$2+(R395+T395+U395+W395+X395+Z395+AA395+AB395)*constants!$N$2</f>
        <v>15.766938015867883</v>
      </c>
      <c r="AH395">
        <f>((S395+V395+Y395)-(H395+K395+N395))*constants!$O$2</f>
        <v>0.82940095034202443</v>
      </c>
      <c r="AI395">
        <f>((R395+T395+U395+W395+X395+Z395+AA395+AB395)-(G395+I395+J395+L395+M395+O395+P395+Q395))*constants!$N$2</f>
        <v>0.76373780015962134</v>
      </c>
      <c r="AJ395">
        <f t="shared" si="52"/>
        <v>10.104300206535394</v>
      </c>
      <c r="AK395">
        <f t="shared" si="53"/>
        <v>1.5931387505016459</v>
      </c>
      <c r="AL395">
        <f>COUNTIFS($B:$B,$B395,$AK:$AK,"&lt;"&amp;$AK395)+COUNTIFS($B$2:$B395,$B395,$AK$2:$AK395,$AK395)</f>
        <v>51</v>
      </c>
      <c r="AM395" s="191">
        <f>IF(AK395=0, "NA",IF(((sim_annual_output!F395/E395)/AK395)&lt;0,100,((sim_annual_output!F395/E395)/AK395)))</f>
        <v>3.2276077612465226</v>
      </c>
      <c r="AN395">
        <f>(S395+V395)*constants!$F$2+(T395+U395+W395+X395+Y395+Z395+AA395+AB395)*constants!$G$2</f>
        <v>138472.74691377184</v>
      </c>
      <c r="AO395">
        <f>(AD395*constants!$F$2+AE395*constants!$G$2)</f>
        <v>15044.47371245375</v>
      </c>
      <c r="AP395">
        <f t="shared" si="54"/>
        <v>10.864573750257204</v>
      </c>
    </row>
    <row r="396" spans="1:42">
      <c r="A396">
        <f>sim_annual_output!B396</f>
        <v>15</v>
      </c>
      <c r="B396" t="str">
        <f>sim_annual_output!C396</f>
        <v>Office</v>
      </c>
      <c r="C396" t="str">
        <f>sim_annual_output!D396</f>
        <v>1980-2004</v>
      </c>
      <c r="D396" t="str">
        <f>sim_annual_output!E396</f>
        <v>economizers_enabled</v>
      </c>
      <c r="E396" s="45">
        <f t="array" ref="E396">IFERROR(INDEX(baseline!$J$3:$J$201,MATCH($B396&amp;$C396,baseline!$C$3:$C$201&amp;baseline!$D$3:$D$201,0)),"NA")</f>
        <v>3418.6207140000001</v>
      </c>
      <c r="F396">
        <f>sim_annual_output!G396</f>
        <v>3418.6207139712501</v>
      </c>
      <c r="G396">
        <f>$E396/$F396^2*sim_annual_output!I396</f>
        <v>0</v>
      </c>
      <c r="H396">
        <f>$E396/$F396^2*sim_annual_output!J396</f>
        <v>288.84479226747254</v>
      </c>
      <c r="I396">
        <f>$E396/$F396^2*sim_annual_output!K396</f>
        <v>14.648544553586385</v>
      </c>
      <c r="J396">
        <f>$E396/$F396^2*sim_annual_output!L396</f>
        <v>0</v>
      </c>
      <c r="K396">
        <f>$E396/$F396^2*sim_annual_output!M396</f>
        <v>45.390337023099761</v>
      </c>
      <c r="L396">
        <f>$E396/$F396^2*sim_annual_output!N396</f>
        <v>37.749985101789981</v>
      </c>
      <c r="M396">
        <f>$E396/$F396^2*sim_annual_output!O396</f>
        <v>11.425994758849107</v>
      </c>
      <c r="N396">
        <f>$E396/$F396^2*sim_annual_output!P396</f>
        <v>0</v>
      </c>
      <c r="O396">
        <f>$E396/$F396^2*sim_annual_output!Q396</f>
        <v>27.506241969603185</v>
      </c>
      <c r="P396">
        <f>$E396/$F396^2*sim_annual_output!R396</f>
        <v>8.8778565449570017</v>
      </c>
      <c r="Q396">
        <f>$E396/$F396^2*sim_annual_output!S396</f>
        <v>0</v>
      </c>
      <c r="R396">
        <f t="array" ref="R396">INDEX(G$3:G$700,MATCH($B396&amp;$C396&amp;"baseline",$B$3:$B$700&amp;$C$3:$C$700&amp;$D$3:$D$700,0))</f>
        <v>0</v>
      </c>
      <c r="S396">
        <f t="array" ref="S396">INDEX(H$3:H$700,MATCH($B396&amp;$C396&amp;"baseline",$B$3:$B$700&amp;$C$3:$C$700&amp;$D$3:$D$700,0))</f>
        <v>269.3307338042415</v>
      </c>
      <c r="T396">
        <f t="array" ref="T396">INDEX(I$3:I$700,MATCH($B396&amp;$C396&amp;"baseline",$B$3:$B$700&amp;$C$3:$C$700&amp;$D$3:$D$700,0))</f>
        <v>9.7887184509699896</v>
      </c>
      <c r="U396">
        <f t="array" ref="U396">INDEX(J$3:J$700,MATCH($B396&amp;$C396&amp;"baseline",$B$3:$B$700&amp;$C$3:$C$700&amp;$D$3:$D$700,0))</f>
        <v>0</v>
      </c>
      <c r="V396">
        <f t="array" ref="V396">INDEX(K$3:K$700,MATCH($B396&amp;$C396&amp;"baseline",$B$3:$B$700&amp;$C$3:$C$700&amp;$D$3:$D$700,0))</f>
        <v>45.390337034036946</v>
      </c>
      <c r="W396">
        <f t="array" ref="W396">INDEX(L$3:L$700,MATCH($B396&amp;$C396&amp;"baseline",$B$3:$B$700&amp;$C$3:$C$700&amp;$D$3:$D$700,0))</f>
        <v>37.74998509530473</v>
      </c>
      <c r="X396">
        <f t="array" ref="X396">INDEX(M$3:M$700,MATCH($B396&amp;$C396&amp;"baseline",$B$3:$B$700&amp;$C$3:$C$700&amp;$D$3:$D$700,0))</f>
        <v>11.425994758656927</v>
      </c>
      <c r="Y396">
        <f t="array" ref="Y396">INDEX(N$3:N$700,MATCH($B396&amp;$C396&amp;"baseline",$B$3:$B$700&amp;$C$3:$C$700&amp;$D$3:$D$700,0))</f>
        <v>0</v>
      </c>
      <c r="Z396">
        <f t="array" ref="Z396">INDEX(O$3:O$700,MATCH($B396&amp;$C396&amp;"baseline",$B$3:$B$700&amp;$C$3:$C$700&amp;$D$3:$D$700,0))</f>
        <v>27.082093962881196</v>
      </c>
      <c r="AA396">
        <f t="array" ref="AA396">INDEX(P$3:P$700,MATCH($B396&amp;$C396&amp;"baseline",$B$3:$B$700&amp;$C$3:$C$700&amp;$D$3:$D$700,0))</f>
        <v>8.364328690486019</v>
      </c>
      <c r="AB396">
        <f t="array" ref="AB396">INDEX(Q$3:Q$700,MATCH($B396&amp;$C396&amp;"baseline",$B$3:$B$700&amp;$C$3:$C$700&amp;$D$3:$D$700,0))</f>
        <v>0</v>
      </c>
      <c r="AC396">
        <f t="shared" si="48"/>
        <v>409.13219179657733</v>
      </c>
      <c r="AD396">
        <f t="shared" si="49"/>
        <v>-19.514058452293852</v>
      </c>
      <c r="AE396">
        <f t="shared" si="50"/>
        <v>-5.797501970486806</v>
      </c>
      <c r="AF396">
        <f t="shared" si="51"/>
        <v>-6.1866460108242229</v>
      </c>
      <c r="AG396">
        <f>(S396+V396+Y396)*constants!$O$2+(R396+T396+U396+W396+X396+Z396+AA396+AB396)*constants!$N$2</f>
        <v>15.766938015867883</v>
      </c>
      <c r="AH396">
        <f>((S396+V396+Y396)-(H396+K396+N396))*constants!$O$2</f>
        <v>-0.31612774692716039</v>
      </c>
      <c r="AI396">
        <f>((R396+T396+U396+W396+X396+Z396+AA396+AB396)-(G396+I396+J396+L396+M396+O396+P396+Q396))*constants!$N$2</f>
        <v>-0.65511772266500912</v>
      </c>
      <c r="AJ396">
        <f t="shared" si="52"/>
        <v>-6.1600132417258555</v>
      </c>
      <c r="AK396">
        <f t="shared" si="53"/>
        <v>-0.97124546959216951</v>
      </c>
      <c r="AL396">
        <f>COUNTIFS($B:$B,$B396,$AK:$AK,"&lt;"&amp;$AK396)+COUNTIFS($B$2:$B396,$B396,$AK$2:$AK396,$AK396)</f>
        <v>5</v>
      </c>
      <c r="AM396" s="191">
        <f>IF(AK396=0, "NA",IF(((sim_annual_output!F396/E396)/AK396)&lt;0,100,((sim_annual_output!F396/E396)/AK396)))</f>
        <v>100</v>
      </c>
      <c r="AN396">
        <f>(S396+V396)*constants!$F$2+(T396+U396+W396+X396+Y396+Z396+AA396+AB396)*constants!$G$2</f>
        <v>138472.74691377184</v>
      </c>
      <c r="AO396">
        <f>(AD396*constants!$F$2+AE396*constants!$G$2)</f>
        <v>-8536.8431772841213</v>
      </c>
      <c r="AP396">
        <f t="shared" si="54"/>
        <v>-6.1649987940226865</v>
      </c>
    </row>
    <row r="397" spans="1:42">
      <c r="A397">
        <f>sim_annual_output!B397</f>
        <v>15</v>
      </c>
      <c r="B397" t="str">
        <f>sim_annual_output!C397</f>
        <v>Office</v>
      </c>
      <c r="C397" t="str">
        <f>sim_annual_output!D397</f>
        <v>1980-2004</v>
      </c>
      <c r="D397" t="str">
        <f>sim_annual_output!E397</f>
        <v>elec_reduce</v>
      </c>
      <c r="E397" s="45">
        <f t="array" ref="E397">IFERROR(INDEX(baseline!$J$3:$J$201,MATCH($B397&amp;$C397,baseline!$C$3:$C$201&amp;baseline!$D$3:$D$201,0)),"NA")</f>
        <v>3418.6207140000001</v>
      </c>
      <c r="F397">
        <f>sim_annual_output!G397</f>
        <v>3418.6207139712501</v>
      </c>
      <c r="G397">
        <f>$E397/$F397^2*sim_annual_output!I397</f>
        <v>0</v>
      </c>
      <c r="H397">
        <f>$E397/$F397^2*sim_annual_output!J397</f>
        <v>217.6350547709558</v>
      </c>
      <c r="I397">
        <f>$E397/$F397^2*sim_annual_output!K397</f>
        <v>11.161105390950885</v>
      </c>
      <c r="J397">
        <f>$E397/$F397^2*sim_annual_output!L397</f>
        <v>0</v>
      </c>
      <c r="K397">
        <f>$E397/$F397^2*sim_annual_output!M397</f>
        <v>45.390337023099761</v>
      </c>
      <c r="L397">
        <f>$E397/$F397^2*sim_annual_output!N397</f>
        <v>26.425558352104304</v>
      </c>
      <c r="M397">
        <f>$E397/$F397^2*sim_annual_output!O397</f>
        <v>11.425994758849107</v>
      </c>
      <c r="N397">
        <f>$E397/$F397^2*sim_annual_output!P397</f>
        <v>0</v>
      </c>
      <c r="O397">
        <f>$E397/$F397^2*sim_annual_output!Q397</f>
        <v>11.220421108302329</v>
      </c>
      <c r="P397">
        <f>$E397/$F397^2*sim_annual_output!R397</f>
        <v>6.6661115774141715</v>
      </c>
      <c r="Q397">
        <f>$E397/$F397^2*sim_annual_output!S397</f>
        <v>0</v>
      </c>
      <c r="R397">
        <f t="array" ref="R397">INDEX(G$3:G$700,MATCH($B397&amp;$C397&amp;"baseline",$B$3:$B$700&amp;$C$3:$C$700&amp;$D$3:$D$700,0))</f>
        <v>0</v>
      </c>
      <c r="S397">
        <f t="array" ref="S397">INDEX(H$3:H$700,MATCH($B397&amp;$C397&amp;"baseline",$B$3:$B$700&amp;$C$3:$C$700&amp;$D$3:$D$700,0))</f>
        <v>269.3307338042415</v>
      </c>
      <c r="T397">
        <f t="array" ref="T397">INDEX(I$3:I$700,MATCH($B397&amp;$C397&amp;"baseline",$B$3:$B$700&amp;$C$3:$C$700&amp;$D$3:$D$700,0))</f>
        <v>9.7887184509699896</v>
      </c>
      <c r="U397">
        <f t="array" ref="U397">INDEX(J$3:J$700,MATCH($B397&amp;$C397&amp;"baseline",$B$3:$B$700&amp;$C$3:$C$700&amp;$D$3:$D$700,0))</f>
        <v>0</v>
      </c>
      <c r="V397">
        <f t="array" ref="V397">INDEX(K$3:K$700,MATCH($B397&amp;$C397&amp;"baseline",$B$3:$B$700&amp;$C$3:$C$700&amp;$D$3:$D$700,0))</f>
        <v>45.390337034036946</v>
      </c>
      <c r="W397">
        <f t="array" ref="W397">INDEX(L$3:L$700,MATCH($B397&amp;$C397&amp;"baseline",$B$3:$B$700&amp;$C$3:$C$700&amp;$D$3:$D$700,0))</f>
        <v>37.74998509530473</v>
      </c>
      <c r="X397">
        <f t="array" ref="X397">INDEX(M$3:M$700,MATCH($B397&amp;$C397&amp;"baseline",$B$3:$B$700&amp;$C$3:$C$700&amp;$D$3:$D$700,0))</f>
        <v>11.425994758656927</v>
      </c>
      <c r="Y397">
        <f t="array" ref="Y397">INDEX(N$3:N$700,MATCH($B397&amp;$C397&amp;"baseline",$B$3:$B$700&amp;$C$3:$C$700&amp;$D$3:$D$700,0))</f>
        <v>0</v>
      </c>
      <c r="Z397">
        <f t="array" ref="Z397">INDEX(O$3:O$700,MATCH($B397&amp;$C397&amp;"baseline",$B$3:$B$700&amp;$C$3:$C$700&amp;$D$3:$D$700,0))</f>
        <v>27.082093962881196</v>
      </c>
      <c r="AA397">
        <f t="array" ref="AA397">INDEX(P$3:P$700,MATCH($B397&amp;$C397&amp;"baseline",$B$3:$B$700&amp;$C$3:$C$700&amp;$D$3:$D$700,0))</f>
        <v>8.364328690486019</v>
      </c>
      <c r="AB397">
        <f t="array" ref="AB397">INDEX(Q$3:Q$700,MATCH($B397&amp;$C397&amp;"baseline",$B$3:$B$700&amp;$C$3:$C$700&amp;$D$3:$D$700,0))</f>
        <v>0</v>
      </c>
      <c r="AC397">
        <f t="shared" si="48"/>
        <v>409.13219179657733</v>
      </c>
      <c r="AD397">
        <f t="shared" si="49"/>
        <v>51.695679044222913</v>
      </c>
      <c r="AE397">
        <f t="shared" si="50"/>
        <v>27.511929770678051</v>
      </c>
      <c r="AF397">
        <f t="shared" si="51"/>
        <v>19.359906260879956</v>
      </c>
      <c r="AG397">
        <f>(S397+V397+Y397)*constants!$O$2+(R397+T397+U397+W397+X397+Z397+AA397+AB397)*constants!$N$2</f>
        <v>15.766938015867883</v>
      </c>
      <c r="AH397">
        <f>((S397+V397+Y397)-(H397+K397+N397))*constants!$O$2</f>
        <v>0.83747000051641118</v>
      </c>
      <c r="AI397">
        <f>((R397+T397+U397+W397+X397+Z397+AA397+AB397)-(G397+I397+J397+L397+M397+O397+P397+Q397))*constants!$N$2</f>
        <v>3.1088480640866201</v>
      </c>
      <c r="AJ397">
        <f t="shared" si="52"/>
        <v>25.029070708792332</v>
      </c>
      <c r="AK397">
        <f t="shared" si="53"/>
        <v>3.9463180646030311</v>
      </c>
      <c r="AL397">
        <f>COUNTIFS($B:$B,$B397,$AK:$AK,"&lt;"&amp;$AK397)+COUNTIFS($B$2:$B397,$B397,$AK$2:$AK397,$AK397)</f>
        <v>63</v>
      </c>
      <c r="AM397" s="191">
        <f>IF(AK397=0, "NA",IF(((sim_annual_output!F397/E397)/AK397)&lt;0,100,((sim_annual_output!F397/E397)/AK397)))</f>
        <v>11.147769901619757</v>
      </c>
      <c r="AN397">
        <f>(S397+V397)*constants!$F$2+(T397+U397+W397+X397+Y397+Z397+AA397+AB397)*constants!$G$2</f>
        <v>138472.74691377184</v>
      </c>
      <c r="AO397">
        <f>(AD397*constants!$F$2+AE397*constants!$G$2)</f>
        <v>33188.905449405807</v>
      </c>
      <c r="AP397">
        <f t="shared" si="54"/>
        <v>23.967824852981952</v>
      </c>
    </row>
    <row r="398" spans="1:42">
      <c r="A398">
        <f>sim_annual_output!B398</f>
        <v>15</v>
      </c>
      <c r="B398" t="str">
        <f>sim_annual_output!C398</f>
        <v>Office</v>
      </c>
      <c r="C398" t="str">
        <f>sim_annual_output!D398</f>
        <v>1980-2004</v>
      </c>
      <c r="D398" t="str">
        <f>sim_annual_output!E398</f>
        <v>envelope_ecm_roof</v>
      </c>
      <c r="E398" s="45">
        <f t="array" ref="E398">IFERROR(INDEX(baseline!$J$3:$J$201,MATCH($B398&amp;$C398,baseline!$C$3:$C$201&amp;baseline!$D$3:$D$201,0)),"NA")</f>
        <v>3418.6207140000001</v>
      </c>
      <c r="F398">
        <f>sim_annual_output!G398</f>
        <v>3418.6207139712501</v>
      </c>
      <c r="G398">
        <f>$E398/$F398^2*sim_annual_output!I398</f>
        <v>0</v>
      </c>
      <c r="H398">
        <f>$E398/$F398^2*sim_annual_output!J398</f>
        <v>270.36510240824163</v>
      </c>
      <c r="I398">
        <f>$E398/$F398^2*sim_annual_output!K398</f>
        <v>14.350340878682557</v>
      </c>
      <c r="J398">
        <f>$E398/$F398^2*sim_annual_output!L398</f>
        <v>0</v>
      </c>
      <c r="K398">
        <f>$E398/$F398^2*sim_annual_output!M398</f>
        <v>45.390337023099761</v>
      </c>
      <c r="L398">
        <f>$E398/$F398^2*sim_annual_output!N398</f>
        <v>37.749985101789981</v>
      </c>
      <c r="M398">
        <f>$E398/$F398^2*sim_annual_output!O398</f>
        <v>11.425994758849107</v>
      </c>
      <c r="N398">
        <f>$E398/$F398^2*sim_annual_output!P398</f>
        <v>0</v>
      </c>
      <c r="O398">
        <f>$E398/$F398^2*sim_annual_output!Q398</f>
        <v>27.254353306877881</v>
      </c>
      <c r="P398">
        <f>$E398/$F398^2*sim_annual_output!R398</f>
        <v>8.4829601253295888</v>
      </c>
      <c r="Q398">
        <f>$E398/$F398^2*sim_annual_output!S398</f>
        <v>0</v>
      </c>
      <c r="R398">
        <f t="array" ref="R398">INDEX(G$3:G$700,MATCH($B398&amp;$C398&amp;"baseline",$B$3:$B$700&amp;$C$3:$C$700&amp;$D$3:$D$700,0))</f>
        <v>0</v>
      </c>
      <c r="S398">
        <f t="array" ref="S398">INDEX(H$3:H$700,MATCH($B398&amp;$C398&amp;"baseline",$B$3:$B$700&amp;$C$3:$C$700&amp;$D$3:$D$700,0))</f>
        <v>269.3307338042415</v>
      </c>
      <c r="T398">
        <f t="array" ref="T398">INDEX(I$3:I$700,MATCH($B398&amp;$C398&amp;"baseline",$B$3:$B$700&amp;$C$3:$C$700&amp;$D$3:$D$700,0))</f>
        <v>9.7887184509699896</v>
      </c>
      <c r="U398">
        <f t="array" ref="U398">INDEX(J$3:J$700,MATCH($B398&amp;$C398&amp;"baseline",$B$3:$B$700&amp;$C$3:$C$700&amp;$D$3:$D$700,0))</f>
        <v>0</v>
      </c>
      <c r="V398">
        <f t="array" ref="V398">INDEX(K$3:K$700,MATCH($B398&amp;$C398&amp;"baseline",$B$3:$B$700&amp;$C$3:$C$700&amp;$D$3:$D$700,0))</f>
        <v>45.390337034036946</v>
      </c>
      <c r="W398">
        <f t="array" ref="W398">INDEX(L$3:L$700,MATCH($B398&amp;$C398&amp;"baseline",$B$3:$B$700&amp;$C$3:$C$700&amp;$D$3:$D$700,0))</f>
        <v>37.74998509530473</v>
      </c>
      <c r="X398">
        <f t="array" ref="X398">INDEX(M$3:M$700,MATCH($B398&amp;$C398&amp;"baseline",$B$3:$B$700&amp;$C$3:$C$700&amp;$D$3:$D$700,0))</f>
        <v>11.425994758656927</v>
      </c>
      <c r="Y398">
        <f t="array" ref="Y398">INDEX(N$3:N$700,MATCH($B398&amp;$C398&amp;"baseline",$B$3:$B$700&amp;$C$3:$C$700&amp;$D$3:$D$700,0))</f>
        <v>0</v>
      </c>
      <c r="Z398">
        <f t="array" ref="Z398">INDEX(O$3:O$700,MATCH($B398&amp;$C398&amp;"baseline",$B$3:$B$700&amp;$C$3:$C$700&amp;$D$3:$D$700,0))</f>
        <v>27.082093962881196</v>
      </c>
      <c r="AA398">
        <f t="array" ref="AA398">INDEX(P$3:P$700,MATCH($B398&amp;$C398&amp;"baseline",$B$3:$B$700&amp;$C$3:$C$700&amp;$D$3:$D$700,0))</f>
        <v>8.364328690486019</v>
      </c>
      <c r="AB398">
        <f t="array" ref="AB398">INDEX(Q$3:Q$700,MATCH($B398&amp;$C398&amp;"baseline",$B$3:$B$700&amp;$C$3:$C$700&amp;$D$3:$D$700,0))</f>
        <v>0</v>
      </c>
      <c r="AC398">
        <f t="shared" si="48"/>
        <v>409.13219179657733</v>
      </c>
      <c r="AD398">
        <f t="shared" si="49"/>
        <v>-1.0343685930629363</v>
      </c>
      <c r="AE398">
        <f t="shared" si="50"/>
        <v>-4.8525132132302531</v>
      </c>
      <c r="AF398">
        <f t="shared" si="51"/>
        <v>-1.4388703515220278</v>
      </c>
      <c r="AG398">
        <f>(S398+V398+Y398)*constants!$O$2+(R398+T398+U398+W398+X398+Z398+AA398+AB398)*constants!$N$2</f>
        <v>15.766938015867883</v>
      </c>
      <c r="AH398">
        <f>((S398+V398+Y398)-(H398+K398+N398))*constants!$O$2</f>
        <v>-1.6756771207619568E-2</v>
      </c>
      <c r="AI398">
        <f>((R398+T398+U398+W398+X398+Z398+AA398+AB398)-(G398+I398+J398+L398+M398+O398+P398+Q398))*constants!$N$2</f>
        <v>-0.54833399309501862</v>
      </c>
      <c r="AJ398">
        <f t="shared" si="52"/>
        <v>-3.584023503700779</v>
      </c>
      <c r="AK398">
        <f t="shared" si="53"/>
        <v>-0.56509076430263816</v>
      </c>
      <c r="AL398">
        <f>COUNTIFS($B:$B,$B398,$AK:$AK,"&lt;"&amp;$AK398)+COUNTIFS($B$2:$B398,$B398,$AK$2:$AK398,$AK398)</f>
        <v>11</v>
      </c>
      <c r="AM398" s="191">
        <f>IF(AK398=0, "NA",IF(((sim_annual_output!F398/E398)/AK398)&lt;0,100,((sim_annual_output!F398/E398)/AK398)))</f>
        <v>100</v>
      </c>
      <c r="AN398">
        <f>(S398+V398)*constants!$F$2+(T398+U398+W398+X398+Y398+Z398+AA398+AB398)*constants!$G$2</f>
        <v>138472.74691377184</v>
      </c>
      <c r="AO398">
        <f>(AD398*constants!$F$2+AE398*constants!$G$2)</f>
        <v>-4406.8384736685857</v>
      </c>
      <c r="AP398">
        <f t="shared" si="54"/>
        <v>-3.1824590555806345</v>
      </c>
    </row>
    <row r="399" spans="1:42">
      <c r="A399">
        <f>sim_annual_output!B399</f>
        <v>15</v>
      </c>
      <c r="B399" t="str">
        <f>sim_annual_output!C399</f>
        <v>Office</v>
      </c>
      <c r="C399" t="str">
        <f>sim_annual_output!D399</f>
        <v>1980-2004</v>
      </c>
      <c r="D399" t="str">
        <f>sim_annual_output!E399</f>
        <v>envelope_ecm_wall</v>
      </c>
      <c r="E399" s="45">
        <f t="array" ref="E399">IFERROR(INDEX(baseline!$J$3:$J$201,MATCH($B399&amp;$C399,baseline!$C$3:$C$201&amp;baseline!$D$3:$D$201,0)),"NA")</f>
        <v>3418.6207140000001</v>
      </c>
      <c r="F399">
        <f>sim_annual_output!G399</f>
        <v>3418.6207139712501</v>
      </c>
      <c r="G399">
        <f>$E399/$F399^2*sim_annual_output!I399</f>
        <v>0</v>
      </c>
      <c r="H399">
        <f>$E399/$F399^2*sim_annual_output!J399</f>
        <v>283.89721140510358</v>
      </c>
      <c r="I399">
        <f>$E399/$F399^2*sim_annual_output!K399</f>
        <v>14.864681277086161</v>
      </c>
      <c r="J399">
        <f>$E399/$F399^2*sim_annual_output!L399</f>
        <v>0</v>
      </c>
      <c r="K399">
        <f>$E399/$F399^2*sim_annual_output!M399</f>
        <v>45.390337023099761</v>
      </c>
      <c r="L399">
        <f>$E399/$F399^2*sim_annual_output!N399</f>
        <v>37.749985101789981</v>
      </c>
      <c r="M399">
        <f>$E399/$F399^2*sim_annual_output!O399</f>
        <v>11.425994758849107</v>
      </c>
      <c r="N399">
        <f>$E399/$F399^2*sim_annual_output!P399</f>
        <v>0</v>
      </c>
      <c r="O399">
        <f>$E399/$F399^2*sim_annual_output!Q399</f>
        <v>27.449363884471666</v>
      </c>
      <c r="P399">
        <f>$E399/$F399^2*sim_annual_output!R399</f>
        <v>8.7722258154270349</v>
      </c>
      <c r="Q399">
        <f>$E399/$F399^2*sim_annual_output!S399</f>
        <v>0</v>
      </c>
      <c r="R399">
        <f t="array" ref="R399">INDEX(G$3:G$700,MATCH($B399&amp;$C399&amp;"baseline",$B$3:$B$700&amp;$C$3:$C$700&amp;$D$3:$D$700,0))</f>
        <v>0</v>
      </c>
      <c r="S399">
        <f t="array" ref="S399">INDEX(H$3:H$700,MATCH($B399&amp;$C399&amp;"baseline",$B$3:$B$700&amp;$C$3:$C$700&amp;$D$3:$D$700,0))</f>
        <v>269.3307338042415</v>
      </c>
      <c r="T399">
        <f t="array" ref="T399">INDEX(I$3:I$700,MATCH($B399&amp;$C399&amp;"baseline",$B$3:$B$700&amp;$C$3:$C$700&amp;$D$3:$D$700,0))</f>
        <v>9.7887184509699896</v>
      </c>
      <c r="U399">
        <f t="array" ref="U399">INDEX(J$3:J$700,MATCH($B399&amp;$C399&amp;"baseline",$B$3:$B$700&amp;$C$3:$C$700&amp;$D$3:$D$700,0))</f>
        <v>0</v>
      </c>
      <c r="V399">
        <f t="array" ref="V399">INDEX(K$3:K$700,MATCH($B399&amp;$C399&amp;"baseline",$B$3:$B$700&amp;$C$3:$C$700&amp;$D$3:$D$700,0))</f>
        <v>45.390337034036946</v>
      </c>
      <c r="W399">
        <f t="array" ref="W399">INDEX(L$3:L$700,MATCH($B399&amp;$C399&amp;"baseline",$B$3:$B$700&amp;$C$3:$C$700&amp;$D$3:$D$700,0))</f>
        <v>37.74998509530473</v>
      </c>
      <c r="X399">
        <f t="array" ref="X399">INDEX(M$3:M$700,MATCH($B399&amp;$C399&amp;"baseline",$B$3:$B$700&amp;$C$3:$C$700&amp;$D$3:$D$700,0))</f>
        <v>11.425994758656927</v>
      </c>
      <c r="Y399">
        <f t="array" ref="Y399">INDEX(N$3:N$700,MATCH($B399&amp;$C399&amp;"baseline",$B$3:$B$700&amp;$C$3:$C$700&amp;$D$3:$D$700,0))</f>
        <v>0</v>
      </c>
      <c r="Z399">
        <f t="array" ref="Z399">INDEX(O$3:O$700,MATCH($B399&amp;$C399&amp;"baseline",$B$3:$B$700&amp;$C$3:$C$700&amp;$D$3:$D$700,0))</f>
        <v>27.082093962881196</v>
      </c>
      <c r="AA399">
        <f t="array" ref="AA399">INDEX(P$3:P$700,MATCH($B399&amp;$C399&amp;"baseline",$B$3:$B$700&amp;$C$3:$C$700&amp;$D$3:$D$700,0))</f>
        <v>8.364328690486019</v>
      </c>
      <c r="AB399">
        <f t="array" ref="AB399">INDEX(Q$3:Q$700,MATCH($B399&amp;$C399&amp;"baseline",$B$3:$B$700&amp;$C$3:$C$700&amp;$D$3:$D$700,0))</f>
        <v>0</v>
      </c>
      <c r="AC399">
        <f t="shared" si="48"/>
        <v>409.13219179657733</v>
      </c>
      <c r="AD399">
        <f t="shared" si="49"/>
        <v>-14.56647758992483</v>
      </c>
      <c r="AE399">
        <f t="shared" si="50"/>
        <v>-5.8511298793251001</v>
      </c>
      <c r="AF399">
        <f t="shared" si="51"/>
        <v>-4.9904671102980993</v>
      </c>
      <c r="AG399">
        <f>(S399+V399+Y399)*constants!$O$2+(R399+T399+U399+W399+X399+Z399+AA399+AB399)*constants!$N$2</f>
        <v>15.766938015867883</v>
      </c>
      <c r="AH399">
        <f>((S399+V399+Y399)-(H399+K399+N399))*constants!$O$2</f>
        <v>-0.23597693695678224</v>
      </c>
      <c r="AI399">
        <f>((R399+T399+U399+W399+X399+Z399+AA399+AB399)-(G399+I399+J399+L399+M399+O399+P399+Q399))*constants!$N$2</f>
        <v>-0.66117767636373637</v>
      </c>
      <c r="AJ399">
        <f t="shared" si="52"/>
        <v>-5.690100464767605</v>
      </c>
      <c r="AK399">
        <f t="shared" si="53"/>
        <v>-0.8971546133205186</v>
      </c>
      <c r="AL399">
        <f>COUNTIFS($B:$B,$B399,$AK:$AK,"&lt;"&amp;$AK399)+COUNTIFS($B$2:$B399,$B399,$AK$2:$AK399,$AK399)</f>
        <v>6</v>
      </c>
      <c r="AM399" s="191">
        <f>IF(AK399=0, "NA",IF(((sim_annual_output!F399/E399)/AK399)&lt;0,100,((sim_annual_output!F399/E399)/AK399)))</f>
        <v>100</v>
      </c>
      <c r="AN399">
        <f>(S399+V399)*constants!$F$2+(T399+U399+W399+X399+Y399+Z399+AA399+AB399)*constants!$G$2</f>
        <v>138472.74691377184</v>
      </c>
      <c r="AO399">
        <f>(AD399*constants!$F$2+AE399*constants!$G$2)</f>
        <v>-7697.8824836093809</v>
      </c>
      <c r="AP399">
        <f t="shared" si="54"/>
        <v>-5.5591317823736954</v>
      </c>
    </row>
    <row r="400" spans="1:42">
      <c r="A400">
        <f>sim_annual_output!B400</f>
        <v>15</v>
      </c>
      <c r="B400" t="str">
        <f>sim_annual_output!C400</f>
        <v>Office</v>
      </c>
      <c r="C400" t="str">
        <f>sim_annual_output!D400</f>
        <v>1980-2004</v>
      </c>
      <c r="D400" t="str">
        <f>sim_annual_output!E400</f>
        <v>envelope_ecm_windows</v>
      </c>
      <c r="E400" s="45">
        <f t="array" ref="E400">IFERROR(INDEX(baseline!$J$3:$J$201,MATCH($B400&amp;$C400,baseline!$C$3:$C$201&amp;baseline!$D$3:$D$201,0)),"NA")</f>
        <v>3418.6207140000001</v>
      </c>
      <c r="F400">
        <f>sim_annual_output!G400</f>
        <v>3418.6207139712501</v>
      </c>
      <c r="G400">
        <f>$E400/$F400^2*sim_annual_output!I400</f>
        <v>0</v>
      </c>
      <c r="H400">
        <f>$E400/$F400^2*sim_annual_output!J400</f>
        <v>287.56259771979342</v>
      </c>
      <c r="I400">
        <f>$E400/$F400^2*sim_annual_output!K400</f>
        <v>14.844367675253476</v>
      </c>
      <c r="J400">
        <f>$E400/$F400^2*sim_annual_output!L400</f>
        <v>0</v>
      </c>
      <c r="K400">
        <f>$E400/$F400^2*sim_annual_output!M400</f>
        <v>45.390337023099761</v>
      </c>
      <c r="L400">
        <f>$E400/$F400^2*sim_annual_output!N400</f>
        <v>37.749985101789981</v>
      </c>
      <c r="M400">
        <f>$E400/$F400^2*sim_annual_output!O400</f>
        <v>11.425994758849107</v>
      </c>
      <c r="N400">
        <f>$E400/$F400^2*sim_annual_output!P400</f>
        <v>0</v>
      </c>
      <c r="O400">
        <f>$E400/$F400^2*sim_annual_output!Q400</f>
        <v>27.510304689969725</v>
      </c>
      <c r="P400">
        <f>$E400/$F400^2*sim_annual_output!R400</f>
        <v>8.8656683838573898</v>
      </c>
      <c r="Q400">
        <f>$E400/$F400^2*sim_annual_output!S400</f>
        <v>0</v>
      </c>
      <c r="R400">
        <f t="array" ref="R400">INDEX(G$3:G$700,MATCH($B400&amp;$C400&amp;"baseline",$B$3:$B$700&amp;$C$3:$C$700&amp;$D$3:$D$700,0))</f>
        <v>0</v>
      </c>
      <c r="S400">
        <f t="array" ref="S400">INDEX(H$3:H$700,MATCH($B400&amp;$C400&amp;"baseline",$B$3:$B$700&amp;$C$3:$C$700&amp;$D$3:$D$700,0))</f>
        <v>269.3307338042415</v>
      </c>
      <c r="T400">
        <f t="array" ref="T400">INDEX(I$3:I$700,MATCH($B400&amp;$C400&amp;"baseline",$B$3:$B$700&amp;$C$3:$C$700&amp;$D$3:$D$700,0))</f>
        <v>9.7887184509699896</v>
      </c>
      <c r="U400">
        <f t="array" ref="U400">INDEX(J$3:J$700,MATCH($B400&amp;$C400&amp;"baseline",$B$3:$B$700&amp;$C$3:$C$700&amp;$D$3:$D$700,0))</f>
        <v>0</v>
      </c>
      <c r="V400">
        <f t="array" ref="V400">INDEX(K$3:K$700,MATCH($B400&amp;$C400&amp;"baseline",$B$3:$B$700&amp;$C$3:$C$700&amp;$D$3:$D$700,0))</f>
        <v>45.390337034036946</v>
      </c>
      <c r="W400">
        <f t="array" ref="W400">INDEX(L$3:L$700,MATCH($B400&amp;$C400&amp;"baseline",$B$3:$B$700&amp;$C$3:$C$700&amp;$D$3:$D$700,0))</f>
        <v>37.74998509530473</v>
      </c>
      <c r="X400">
        <f t="array" ref="X400">INDEX(M$3:M$700,MATCH($B400&amp;$C400&amp;"baseline",$B$3:$B$700&amp;$C$3:$C$700&amp;$D$3:$D$700,0))</f>
        <v>11.425994758656927</v>
      </c>
      <c r="Y400">
        <f t="array" ref="Y400">INDEX(N$3:N$700,MATCH($B400&amp;$C400&amp;"baseline",$B$3:$B$700&amp;$C$3:$C$700&amp;$D$3:$D$700,0))</f>
        <v>0</v>
      </c>
      <c r="Z400">
        <f t="array" ref="Z400">INDEX(O$3:O$700,MATCH($B400&amp;$C400&amp;"baseline",$B$3:$B$700&amp;$C$3:$C$700&amp;$D$3:$D$700,0))</f>
        <v>27.082093962881196</v>
      </c>
      <c r="AA400">
        <f t="array" ref="AA400">INDEX(P$3:P$700,MATCH($B400&amp;$C400&amp;"baseline",$B$3:$B$700&amp;$C$3:$C$700&amp;$D$3:$D$700,0))</f>
        <v>8.364328690486019</v>
      </c>
      <c r="AB400">
        <f t="array" ref="AB400">INDEX(Q$3:Q$700,MATCH($B400&amp;$C400&amp;"baseline",$B$3:$B$700&amp;$C$3:$C$700&amp;$D$3:$D$700,0))</f>
        <v>0</v>
      </c>
      <c r="AC400">
        <f t="shared" si="48"/>
        <v>409.13219179657733</v>
      </c>
      <c r="AD400">
        <f t="shared" si="49"/>
        <v>-18.23186390461467</v>
      </c>
      <c r="AE400">
        <f t="shared" si="50"/>
        <v>-5.9851996514208281</v>
      </c>
      <c r="AF400">
        <f t="shared" si="51"/>
        <v>-5.9191293282725477</v>
      </c>
      <c r="AG400">
        <f>(S400+V400+Y400)*constants!$O$2+(R400+T400+U400+W400+X400+Z400+AA400+AB400)*constants!$N$2</f>
        <v>15.766938015867883</v>
      </c>
      <c r="AH400">
        <f>((S400+V400+Y400)-(H400+K400+N400))*constants!$O$2</f>
        <v>-0.29535619525475765</v>
      </c>
      <c r="AI400">
        <f>((R400+T400+U400+W400+X400+Z400+AA400+AB400)-(G400+I400+J400+L400+M400+O400+P400+Q400))*constants!$N$2</f>
        <v>-0.67632756061055355</v>
      </c>
      <c r="AJ400">
        <f t="shared" si="52"/>
        <v>-6.1627930222558529</v>
      </c>
      <c r="AK400">
        <f t="shared" si="53"/>
        <v>-0.97168375586531119</v>
      </c>
      <c r="AL400">
        <f>COUNTIFS($B:$B,$B400,$AK:$AK,"&lt;"&amp;$AK400)+COUNTIFS($B$2:$B400,$B400,$AK$2:$AK400,$AK400)</f>
        <v>4</v>
      </c>
      <c r="AM400" s="191">
        <f>IF(AK400=0, "NA",IF(((sim_annual_output!F400/E400)/AK400)&lt;0,100,((sim_annual_output!F400/E400)/AK400)))</f>
        <v>100</v>
      </c>
      <c r="AN400">
        <f>(S400+V400)*constants!$F$2+(T400+U400+W400+X400+Y400+Z400+AA400+AB400)*constants!$G$2</f>
        <v>138472.74691377184</v>
      </c>
      <c r="AO400">
        <f>(AD400*constants!$F$2+AE400*constants!$G$2)</f>
        <v>-8470.6273356621459</v>
      </c>
      <c r="AP400">
        <f t="shared" si="54"/>
        <v>-6.1171801126591916</v>
      </c>
    </row>
    <row r="401" spans="1:42">
      <c r="A401">
        <f>sim_annual_output!B401</f>
        <v>15</v>
      </c>
      <c r="B401" t="str">
        <f>sim_annual_output!C401</f>
        <v>Office</v>
      </c>
      <c r="C401" t="str">
        <f>sim_annual_output!D401</f>
        <v>1980-2004</v>
      </c>
      <c r="D401" t="str">
        <f>sim_annual_output!E401</f>
        <v>exhaust_fans_occ_control</v>
      </c>
      <c r="E401" s="45">
        <f t="array" ref="E401">IFERROR(INDEX(baseline!$J$3:$J$201,MATCH($B401&amp;$C401,baseline!$C$3:$C$201&amp;baseline!$D$3:$D$201,0)),"NA")</f>
        <v>3418.6207140000001</v>
      </c>
      <c r="F401">
        <f>sim_annual_output!G401</f>
        <v>3418.6207139712501</v>
      </c>
      <c r="G401">
        <f>$E401/$F401^2*sim_annual_output!I401</f>
        <v>0</v>
      </c>
      <c r="H401">
        <f>$E401/$F401^2*sim_annual_output!J401</f>
        <v>288.81554068083346</v>
      </c>
      <c r="I401">
        <f>$E401/$F401^2*sim_annual_output!K401</f>
        <v>14.828929337860634</v>
      </c>
      <c r="J401">
        <f>$E401/$F401^2*sim_annual_output!L401</f>
        <v>0</v>
      </c>
      <c r="K401">
        <f>$E401/$F401^2*sim_annual_output!M401</f>
        <v>45.390337023099761</v>
      </c>
      <c r="L401">
        <f>$E401/$F401^2*sim_annual_output!N401</f>
        <v>37.749985101789981</v>
      </c>
      <c r="M401">
        <f>$E401/$F401^2*sim_annual_output!O401</f>
        <v>11.425994758849107</v>
      </c>
      <c r="N401">
        <f>$E401/$F401^2*sim_annual_output!P401</f>
        <v>0</v>
      </c>
      <c r="O401">
        <f>$E401/$F401^2*sim_annual_output!Q401</f>
        <v>11.39024281962358</v>
      </c>
      <c r="P401">
        <f>$E401/$F401^2*sim_annual_output!R401</f>
        <v>8.8770440008836946</v>
      </c>
      <c r="Q401">
        <f>$E401/$F401^2*sim_annual_output!S401</f>
        <v>0</v>
      </c>
      <c r="R401">
        <f t="array" ref="R401">INDEX(G$3:G$700,MATCH($B401&amp;$C401&amp;"baseline",$B$3:$B$700&amp;$C$3:$C$700&amp;$D$3:$D$700,0))</f>
        <v>0</v>
      </c>
      <c r="S401">
        <f t="array" ref="S401">INDEX(H$3:H$700,MATCH($B401&amp;$C401&amp;"baseline",$B$3:$B$700&amp;$C$3:$C$700&amp;$D$3:$D$700,0))</f>
        <v>269.3307338042415</v>
      </c>
      <c r="T401">
        <f t="array" ref="T401">INDEX(I$3:I$700,MATCH($B401&amp;$C401&amp;"baseline",$B$3:$B$700&amp;$C$3:$C$700&amp;$D$3:$D$700,0))</f>
        <v>9.7887184509699896</v>
      </c>
      <c r="U401">
        <f t="array" ref="U401">INDEX(J$3:J$700,MATCH($B401&amp;$C401&amp;"baseline",$B$3:$B$700&amp;$C$3:$C$700&amp;$D$3:$D$700,0))</f>
        <v>0</v>
      </c>
      <c r="V401">
        <f t="array" ref="V401">INDEX(K$3:K$700,MATCH($B401&amp;$C401&amp;"baseline",$B$3:$B$700&amp;$C$3:$C$700&amp;$D$3:$D$700,0))</f>
        <v>45.390337034036946</v>
      </c>
      <c r="W401">
        <f t="array" ref="W401">INDEX(L$3:L$700,MATCH($B401&amp;$C401&amp;"baseline",$B$3:$B$700&amp;$C$3:$C$700&amp;$D$3:$D$700,0))</f>
        <v>37.74998509530473</v>
      </c>
      <c r="X401">
        <f t="array" ref="X401">INDEX(M$3:M$700,MATCH($B401&amp;$C401&amp;"baseline",$B$3:$B$700&amp;$C$3:$C$700&amp;$D$3:$D$700,0))</f>
        <v>11.425994758656927</v>
      </c>
      <c r="Y401">
        <f t="array" ref="Y401">INDEX(N$3:N$700,MATCH($B401&amp;$C401&amp;"baseline",$B$3:$B$700&amp;$C$3:$C$700&amp;$D$3:$D$700,0))</f>
        <v>0</v>
      </c>
      <c r="Z401">
        <f t="array" ref="Z401">INDEX(O$3:O$700,MATCH($B401&amp;$C401&amp;"baseline",$B$3:$B$700&amp;$C$3:$C$700&amp;$D$3:$D$700,0))</f>
        <v>27.082093962881196</v>
      </c>
      <c r="AA401">
        <f t="array" ref="AA401">INDEX(P$3:P$700,MATCH($B401&amp;$C401&amp;"baseline",$B$3:$B$700&amp;$C$3:$C$700&amp;$D$3:$D$700,0))</f>
        <v>8.364328690486019</v>
      </c>
      <c r="AB401">
        <f t="array" ref="AB401">INDEX(Q$3:Q$700,MATCH($B401&amp;$C401&amp;"baseline",$B$3:$B$700&amp;$C$3:$C$700&amp;$D$3:$D$700,0))</f>
        <v>0</v>
      </c>
      <c r="AC401">
        <f t="shared" si="48"/>
        <v>409.13219179657733</v>
      </c>
      <c r="AD401">
        <f t="shared" si="49"/>
        <v>-19.484806865654718</v>
      </c>
      <c r="AE401">
        <f t="shared" si="50"/>
        <v>10.138924939291854</v>
      </c>
      <c r="AF401">
        <f t="shared" si="51"/>
        <v>-2.2843183972699186</v>
      </c>
      <c r="AG401">
        <f>(S401+V401+Y401)*constants!$O$2+(R401+T401+U401+W401+X401+Z401+AA401+AB401)*constants!$N$2</f>
        <v>15.766938015867883</v>
      </c>
      <c r="AH401">
        <f>((S401+V401+Y401)-(H401+K401+N401))*constants!$O$2</f>
        <v>-0.31565387122360644</v>
      </c>
      <c r="AI401">
        <f>((R401+T401+U401+W401+X401+Z401+AA401+AB401)-(G401+I401+J401+L401+M401+O401+P401+Q401))*constants!$N$2</f>
        <v>1.1456985181399795</v>
      </c>
      <c r="AJ401">
        <f t="shared" si="52"/>
        <v>5.264463182902186</v>
      </c>
      <c r="AK401">
        <f t="shared" si="53"/>
        <v>0.83004464691637303</v>
      </c>
      <c r="AL401">
        <f>COUNTIFS($B:$B,$B401,$AK:$AK,"&lt;"&amp;$AK401)+COUNTIFS($B$2:$B401,$B401,$AK$2:$AK401,$AK401)</f>
        <v>40</v>
      </c>
      <c r="AM401" s="191">
        <f>IF(AK401=0, "NA",IF(((sim_annual_output!F401/E401)/AK401)&lt;0,100,((sim_annual_output!F401/E401)/AK401)))</f>
        <v>1.8051578366789074</v>
      </c>
      <c r="AN401">
        <f>(S401+V401)*constants!$F$2+(T401+U401+W401+X401+Y401+Z401+AA401+AB401)*constants!$G$2</f>
        <v>138472.74691377184</v>
      </c>
      <c r="AO401">
        <f>(AD401*constants!$F$2+AE401*constants!$G$2)</f>
        <v>5333.0842682317189</v>
      </c>
      <c r="AP401">
        <f t="shared" si="54"/>
        <v>3.8513602041509838</v>
      </c>
    </row>
    <row r="402" spans="1:42">
      <c r="A402">
        <f>sim_annual_output!B402</f>
        <v>15</v>
      </c>
      <c r="B402" t="str">
        <f>sim_annual_output!C402</f>
        <v>Office</v>
      </c>
      <c r="C402" t="str">
        <f>sim_annual_output!D402</f>
        <v>1980-2004</v>
      </c>
      <c r="D402" t="str">
        <f>sim_annual_output!E402</f>
        <v>fans_to_variable</v>
      </c>
      <c r="E402" s="45">
        <f t="array" ref="E402">IFERROR(INDEX(baseline!$J$3:$J$201,MATCH($B402&amp;$C402,baseline!$C$3:$C$201&amp;baseline!$D$3:$D$201,0)),"NA")</f>
        <v>3418.6207140000001</v>
      </c>
      <c r="F402">
        <f>sim_annual_output!G402</f>
        <v>3418.6207139712501</v>
      </c>
      <c r="G402">
        <f>$E402/$F402^2*sim_annual_output!I402</f>
        <v>0</v>
      </c>
      <c r="H402">
        <f>$E402/$F402^2*sim_annual_output!J402</f>
        <v>288.86835604559843</v>
      </c>
      <c r="I402">
        <f>$E402/$F402^2*sim_annual_output!K402</f>
        <v>14.827304249714018</v>
      </c>
      <c r="J402">
        <f>$E402/$F402^2*sim_annual_output!L402</f>
        <v>0</v>
      </c>
      <c r="K402">
        <f>$E402/$F402^2*sim_annual_output!M402</f>
        <v>45.390337023099761</v>
      </c>
      <c r="L402">
        <f>$E402/$F402^2*sim_annual_output!N402</f>
        <v>37.749985101789981</v>
      </c>
      <c r="M402">
        <f>$E402/$F402^2*sim_annual_output!O402</f>
        <v>11.425994758849107</v>
      </c>
      <c r="N402">
        <f>$E402/$F402^2*sim_annual_output!P402</f>
        <v>0</v>
      </c>
      <c r="O402">
        <f>$E402/$F402^2*sim_annual_output!Q402</f>
        <v>27.464802221864506</v>
      </c>
      <c r="P402">
        <f>$E402/$F402^2*sim_annual_output!R402</f>
        <v>8.8770440008836946</v>
      </c>
      <c r="Q402">
        <f>$E402/$F402^2*sim_annual_output!S402</f>
        <v>0</v>
      </c>
      <c r="R402">
        <f t="array" ref="R402">INDEX(G$3:G$700,MATCH($B402&amp;$C402&amp;"baseline",$B$3:$B$700&amp;$C$3:$C$700&amp;$D$3:$D$700,0))</f>
        <v>0</v>
      </c>
      <c r="S402">
        <f t="array" ref="S402">INDEX(H$3:H$700,MATCH($B402&amp;$C402&amp;"baseline",$B$3:$B$700&amp;$C$3:$C$700&amp;$D$3:$D$700,0))</f>
        <v>269.3307338042415</v>
      </c>
      <c r="T402">
        <f t="array" ref="T402">INDEX(I$3:I$700,MATCH($B402&amp;$C402&amp;"baseline",$B$3:$B$700&amp;$C$3:$C$700&amp;$D$3:$D$700,0))</f>
        <v>9.7887184509699896</v>
      </c>
      <c r="U402">
        <f t="array" ref="U402">INDEX(J$3:J$700,MATCH($B402&amp;$C402&amp;"baseline",$B$3:$B$700&amp;$C$3:$C$700&amp;$D$3:$D$700,0))</f>
        <v>0</v>
      </c>
      <c r="V402">
        <f t="array" ref="V402">INDEX(K$3:K$700,MATCH($B402&amp;$C402&amp;"baseline",$B$3:$B$700&amp;$C$3:$C$700&amp;$D$3:$D$700,0))</f>
        <v>45.390337034036946</v>
      </c>
      <c r="W402">
        <f t="array" ref="W402">INDEX(L$3:L$700,MATCH($B402&amp;$C402&amp;"baseline",$B$3:$B$700&amp;$C$3:$C$700&amp;$D$3:$D$700,0))</f>
        <v>37.74998509530473</v>
      </c>
      <c r="X402">
        <f t="array" ref="X402">INDEX(M$3:M$700,MATCH($B402&amp;$C402&amp;"baseline",$B$3:$B$700&amp;$C$3:$C$700&amp;$D$3:$D$700,0))</f>
        <v>11.425994758656927</v>
      </c>
      <c r="Y402">
        <f t="array" ref="Y402">INDEX(N$3:N$700,MATCH($B402&amp;$C402&amp;"baseline",$B$3:$B$700&amp;$C$3:$C$700&amp;$D$3:$D$700,0))</f>
        <v>0</v>
      </c>
      <c r="Z402">
        <f t="array" ref="Z402">INDEX(O$3:O$700,MATCH($B402&amp;$C402&amp;"baseline",$B$3:$B$700&amp;$C$3:$C$700&amp;$D$3:$D$700,0))</f>
        <v>27.082093962881196</v>
      </c>
      <c r="AA402">
        <f t="array" ref="AA402">INDEX(P$3:P$700,MATCH($B402&amp;$C402&amp;"baseline",$B$3:$B$700&amp;$C$3:$C$700&amp;$D$3:$D$700,0))</f>
        <v>8.364328690486019</v>
      </c>
      <c r="AB402">
        <f t="array" ref="AB402">INDEX(Q$3:Q$700,MATCH($B402&amp;$C402&amp;"baseline",$B$3:$B$700&amp;$C$3:$C$700&amp;$D$3:$D$700,0))</f>
        <v>0</v>
      </c>
      <c r="AC402">
        <f t="shared" si="48"/>
        <v>409.13219179657733</v>
      </c>
      <c r="AD402">
        <f t="shared" si="49"/>
        <v>-19.537622230419743</v>
      </c>
      <c r="AE402">
        <f t="shared" si="50"/>
        <v>-5.9340093748024572</v>
      </c>
      <c r="AF402">
        <f t="shared" si="51"/>
        <v>-6.2257705738997009</v>
      </c>
      <c r="AG402">
        <f>(S402+V402+Y402)*constants!$O$2+(R402+T402+U402+W402+X402+Z402+AA402+AB402)*constants!$N$2</f>
        <v>15.766938015867883</v>
      </c>
      <c r="AH402">
        <f>((S402+V402+Y402)-(H402+K402+N402))*constants!$O$2</f>
        <v>-0.31650948013279984</v>
      </c>
      <c r="AI402">
        <f>((R402+T402+U402+W402+X402+Z402+AA402+AB402)-(G402+I402+J402+L402+M402+O402+P402+Q402))*constants!$N$2</f>
        <v>-0.67054305935267766</v>
      </c>
      <c r="AJ402">
        <f t="shared" si="52"/>
        <v>-6.2602677735658352</v>
      </c>
      <c r="AK402">
        <f t="shared" si="53"/>
        <v>-0.98705253948547744</v>
      </c>
      <c r="AL402">
        <f>COUNTIFS($B:$B,$B402,$AK:$AK,"&lt;"&amp;$AK402)+COUNTIFS($B$2:$B402,$B402,$AK$2:$AK402,$AK402)</f>
        <v>2</v>
      </c>
      <c r="AM402" s="191">
        <f>IF(AK402=0, "NA",IF(((sim_annual_output!F402/E402)/AK402)&lt;0,100,((sim_annual_output!F402/E402)/AK402)))</f>
        <v>100</v>
      </c>
      <c r="AN402">
        <f>(S402+V402)*constants!$F$2+(T402+U402+W402+X402+Y402+Z402+AA402+AB402)*constants!$G$2</f>
        <v>138472.74691377184</v>
      </c>
      <c r="AO402">
        <f>(AD402*constants!$F$2+AE402*constants!$G$2)</f>
        <v>-8659.8225353232719</v>
      </c>
      <c r="AP402">
        <f t="shared" si="54"/>
        <v>-6.2538100300096007</v>
      </c>
    </row>
    <row r="403" spans="1:42">
      <c r="A403">
        <f>sim_annual_output!B403</f>
        <v>15</v>
      </c>
      <c r="B403" t="str">
        <f>sim_annual_output!C403</f>
        <v>Office</v>
      </c>
      <c r="C403" t="str">
        <f>sim_annual_output!D403</f>
        <v>1980-2004</v>
      </c>
      <c r="D403" t="str">
        <f>sim_annual_output!E403</f>
        <v>hrv_enabled</v>
      </c>
      <c r="E403" s="45">
        <f t="array" ref="E403">IFERROR(INDEX(baseline!$J$3:$J$201,MATCH($B403&amp;$C403,baseline!$C$3:$C$201&amp;baseline!$D$3:$D$201,0)),"NA")</f>
        <v>3418.6207140000001</v>
      </c>
      <c r="F403">
        <f>sim_annual_output!G403</f>
        <v>3418.6207139712501</v>
      </c>
      <c r="G403">
        <f>$E403/$F403^2*sim_annual_output!I403</f>
        <v>0</v>
      </c>
      <c r="H403">
        <f>$E403/$F403^2*sim_annual_output!J403</f>
        <v>222.98403240553864</v>
      </c>
      <c r="I403">
        <f>$E403/$F403^2*sim_annual_output!K403</f>
        <v>15.327831398871398</v>
      </c>
      <c r="J403">
        <f>$E403/$F403^2*sim_annual_output!L403</f>
        <v>0</v>
      </c>
      <c r="K403">
        <f>$E403/$F403^2*sim_annual_output!M403</f>
        <v>45.389524479026456</v>
      </c>
      <c r="L403">
        <f>$E403/$F403^2*sim_annual_output!N403</f>
        <v>37.749985101789981</v>
      </c>
      <c r="M403">
        <f>$E403/$F403^2*sim_annual_output!O403</f>
        <v>11.425994758849107</v>
      </c>
      <c r="N403">
        <f>$E403/$F403^2*sim_annual_output!P403</f>
        <v>0</v>
      </c>
      <c r="O403">
        <f>$E403/$F403^2*sim_annual_output!Q403</f>
        <v>27.507867057749802</v>
      </c>
      <c r="P403">
        <f>$E403/$F403^2*sim_annual_output!R403</f>
        <v>8.8388544294382445</v>
      </c>
      <c r="Q403">
        <f>$E403/$F403^2*sim_annual_output!S403</f>
        <v>6.4052849298824865</v>
      </c>
      <c r="R403">
        <f t="array" ref="R403">INDEX(G$3:G$700,MATCH($B403&amp;$C403&amp;"baseline",$B$3:$B$700&amp;$C$3:$C$700&amp;$D$3:$D$700,0))</f>
        <v>0</v>
      </c>
      <c r="S403">
        <f t="array" ref="S403">INDEX(H$3:H$700,MATCH($B403&amp;$C403&amp;"baseline",$B$3:$B$700&amp;$C$3:$C$700&amp;$D$3:$D$700,0))</f>
        <v>269.3307338042415</v>
      </c>
      <c r="T403">
        <f t="array" ref="T403">INDEX(I$3:I$700,MATCH($B403&amp;$C403&amp;"baseline",$B$3:$B$700&amp;$C$3:$C$700&amp;$D$3:$D$700,0))</f>
        <v>9.7887184509699896</v>
      </c>
      <c r="U403">
        <f t="array" ref="U403">INDEX(J$3:J$700,MATCH($B403&amp;$C403&amp;"baseline",$B$3:$B$700&amp;$C$3:$C$700&amp;$D$3:$D$700,0))</f>
        <v>0</v>
      </c>
      <c r="V403">
        <f t="array" ref="V403">INDEX(K$3:K$700,MATCH($B403&amp;$C403&amp;"baseline",$B$3:$B$700&amp;$C$3:$C$700&amp;$D$3:$D$700,0))</f>
        <v>45.390337034036946</v>
      </c>
      <c r="W403">
        <f t="array" ref="W403">INDEX(L$3:L$700,MATCH($B403&amp;$C403&amp;"baseline",$B$3:$B$700&amp;$C$3:$C$700&amp;$D$3:$D$700,0))</f>
        <v>37.74998509530473</v>
      </c>
      <c r="X403">
        <f t="array" ref="X403">INDEX(M$3:M$700,MATCH($B403&amp;$C403&amp;"baseline",$B$3:$B$700&amp;$C$3:$C$700&amp;$D$3:$D$700,0))</f>
        <v>11.425994758656927</v>
      </c>
      <c r="Y403">
        <f t="array" ref="Y403">INDEX(N$3:N$700,MATCH($B403&amp;$C403&amp;"baseline",$B$3:$B$700&amp;$C$3:$C$700&amp;$D$3:$D$700,0))</f>
        <v>0</v>
      </c>
      <c r="Z403">
        <f t="array" ref="Z403">INDEX(O$3:O$700,MATCH($B403&amp;$C403&amp;"baseline",$B$3:$B$700&amp;$C$3:$C$700&amp;$D$3:$D$700,0))</f>
        <v>27.082093962881196</v>
      </c>
      <c r="AA403">
        <f t="array" ref="AA403">INDEX(P$3:P$700,MATCH($B403&amp;$C403&amp;"baseline",$B$3:$B$700&amp;$C$3:$C$700&amp;$D$3:$D$700,0))</f>
        <v>8.364328690486019</v>
      </c>
      <c r="AB403">
        <f t="array" ref="AB403">INDEX(Q$3:Q$700,MATCH($B403&amp;$C403&amp;"baseline",$B$3:$B$700&amp;$C$3:$C$700&amp;$D$3:$D$700,0))</f>
        <v>0</v>
      </c>
      <c r="AC403">
        <f t="shared" si="48"/>
        <v>409.13219179657733</v>
      </c>
      <c r="AD403">
        <f t="shared" si="49"/>
        <v>46.34751395371336</v>
      </c>
      <c r="AE403">
        <f t="shared" si="50"/>
        <v>-12.844696718282165</v>
      </c>
      <c r="AF403">
        <f t="shared" si="51"/>
        <v>8.1887511926925001</v>
      </c>
      <c r="AG403">
        <f>(S403+V403+Y403)*constants!$O$2+(R403+T403+U403+W403+X403+Z403+AA403+AB403)*constants!$N$2</f>
        <v>15.766938015867883</v>
      </c>
      <c r="AH403">
        <f>((S403+V403+Y403)-(H403+K403+N403))*constants!$O$2</f>
        <v>0.75082972605015641</v>
      </c>
      <c r="AI403">
        <f>((R403+T403+U403+W403+X403+Z403+AA403+AB403)-(G403+I403+J403+L403+M403+O403+P403+Q403))*constants!$N$2</f>
        <v>-1.4514507291658847</v>
      </c>
      <c r="AJ403">
        <f t="shared" si="52"/>
        <v>-4.4436085333158646</v>
      </c>
      <c r="AK403">
        <f t="shared" si="53"/>
        <v>-0.70062100311572828</v>
      </c>
      <c r="AL403">
        <f>COUNTIFS($B:$B,$B403,$AK:$AK,"&lt;"&amp;$AK403)+COUNTIFS($B$2:$B403,$B403,$AK$2:$AK403,$AK403)</f>
        <v>9</v>
      </c>
      <c r="AM403" s="191">
        <f>IF(AK403=0, "NA",IF(((sim_annual_output!F403/E403)/AK403)&lt;0,100,((sim_annual_output!F403/E403)/AK403)))</f>
        <v>100</v>
      </c>
      <c r="AN403">
        <f>(S403+V403)*constants!$F$2+(T403+U403+W403+X403+Y403+Z403+AA403+AB403)*constants!$G$2</f>
        <v>138472.74691377184</v>
      </c>
      <c r="AO403">
        <f>(AD403*constants!$F$2+AE403*constants!$G$2)</f>
        <v>-2878.6811471907931</v>
      </c>
      <c r="AP403">
        <f t="shared" si="54"/>
        <v>-2.0788792100610038</v>
      </c>
    </row>
    <row r="404" spans="1:42">
      <c r="A404">
        <f>sim_annual_output!B404</f>
        <v>15</v>
      </c>
      <c r="B404" t="str">
        <f>sim_annual_output!C404</f>
        <v>Office</v>
      </c>
      <c r="C404" t="str">
        <f>sim_annual_output!D404</f>
        <v>1980-2004</v>
      </c>
      <c r="D404" t="str">
        <f>sim_annual_output!E404</f>
        <v>infil_reduce</v>
      </c>
      <c r="E404" s="45">
        <f t="array" ref="E404">IFERROR(INDEX(baseline!$J$3:$J$201,MATCH($B404&amp;$C404,baseline!$C$3:$C$201&amp;baseline!$D$3:$D$201,0)),"NA")</f>
        <v>3418.6207140000001</v>
      </c>
      <c r="F404">
        <f>sim_annual_output!G404</f>
        <v>3418.6207139712501</v>
      </c>
      <c r="G404">
        <f>$E404/$F404^2*sim_annual_output!I404</f>
        <v>0</v>
      </c>
      <c r="H404">
        <f>$E404/$F404^2*sim_annual_output!J404</f>
        <v>242.68985127139047</v>
      </c>
      <c r="I404">
        <f>$E404/$F404^2*sim_annual_output!K404</f>
        <v>14.777739061242265</v>
      </c>
      <c r="J404">
        <f>$E404/$F404^2*sim_annual_output!L404</f>
        <v>0</v>
      </c>
      <c r="K404">
        <f>$E404/$F404^2*sim_annual_output!M404</f>
        <v>45.389524479026456</v>
      </c>
      <c r="L404">
        <f>$E404/$F404^2*sim_annual_output!N404</f>
        <v>37.749985101789981</v>
      </c>
      <c r="M404">
        <f>$E404/$F404^2*sim_annual_output!O404</f>
        <v>11.425994758849107</v>
      </c>
      <c r="N404">
        <f>$E404/$F404^2*sim_annual_output!P404</f>
        <v>0</v>
      </c>
      <c r="O404">
        <f>$E404/$F404^2*sim_annual_output!Q404</f>
        <v>27.108095373682545</v>
      </c>
      <c r="P404">
        <f>$E404/$F404^2*sim_annual_output!R404</f>
        <v>8.0783131768224887</v>
      </c>
      <c r="Q404">
        <f>$E404/$F404^2*sim_annual_output!S404</f>
        <v>0</v>
      </c>
      <c r="R404">
        <f t="array" ref="R404">INDEX(G$3:G$700,MATCH($B404&amp;$C404&amp;"baseline",$B$3:$B$700&amp;$C$3:$C$700&amp;$D$3:$D$700,0))</f>
        <v>0</v>
      </c>
      <c r="S404">
        <f t="array" ref="S404">INDEX(H$3:H$700,MATCH($B404&amp;$C404&amp;"baseline",$B$3:$B$700&amp;$C$3:$C$700&amp;$D$3:$D$700,0))</f>
        <v>269.3307338042415</v>
      </c>
      <c r="T404">
        <f t="array" ref="T404">INDEX(I$3:I$700,MATCH($B404&amp;$C404&amp;"baseline",$B$3:$B$700&amp;$C$3:$C$700&amp;$D$3:$D$700,0))</f>
        <v>9.7887184509699896</v>
      </c>
      <c r="U404">
        <f t="array" ref="U404">INDEX(J$3:J$700,MATCH($B404&amp;$C404&amp;"baseline",$B$3:$B$700&amp;$C$3:$C$700&amp;$D$3:$D$700,0))</f>
        <v>0</v>
      </c>
      <c r="V404">
        <f t="array" ref="V404">INDEX(K$3:K$700,MATCH($B404&amp;$C404&amp;"baseline",$B$3:$B$700&amp;$C$3:$C$700&amp;$D$3:$D$700,0))</f>
        <v>45.390337034036946</v>
      </c>
      <c r="W404">
        <f t="array" ref="W404">INDEX(L$3:L$700,MATCH($B404&amp;$C404&amp;"baseline",$B$3:$B$700&amp;$C$3:$C$700&amp;$D$3:$D$700,0))</f>
        <v>37.74998509530473</v>
      </c>
      <c r="X404">
        <f t="array" ref="X404">INDEX(M$3:M$700,MATCH($B404&amp;$C404&amp;"baseline",$B$3:$B$700&amp;$C$3:$C$700&amp;$D$3:$D$700,0))</f>
        <v>11.425994758656927</v>
      </c>
      <c r="Y404">
        <f t="array" ref="Y404">INDEX(N$3:N$700,MATCH($B404&amp;$C404&amp;"baseline",$B$3:$B$700&amp;$C$3:$C$700&amp;$D$3:$D$700,0))</f>
        <v>0</v>
      </c>
      <c r="Z404">
        <f t="array" ref="Z404">INDEX(O$3:O$700,MATCH($B404&amp;$C404&amp;"baseline",$B$3:$B$700&amp;$C$3:$C$700&amp;$D$3:$D$700,0))</f>
        <v>27.082093962881196</v>
      </c>
      <c r="AA404">
        <f t="array" ref="AA404">INDEX(P$3:P$700,MATCH($B404&amp;$C404&amp;"baseline",$B$3:$B$700&amp;$C$3:$C$700&amp;$D$3:$D$700,0))</f>
        <v>8.364328690486019</v>
      </c>
      <c r="AB404">
        <f t="array" ref="AB404">INDEX(Q$3:Q$700,MATCH($B404&amp;$C404&amp;"baseline",$B$3:$B$700&amp;$C$3:$C$700&amp;$D$3:$D$700,0))</f>
        <v>0</v>
      </c>
      <c r="AC404">
        <f t="shared" si="48"/>
        <v>409.13219179657733</v>
      </c>
      <c r="AD404">
        <f t="shared" si="49"/>
        <v>26.641695087861535</v>
      </c>
      <c r="AE404">
        <f t="shared" si="50"/>
        <v>-4.7290065140875299</v>
      </c>
      <c r="AF404">
        <f t="shared" si="51"/>
        <v>5.3558945038158008</v>
      </c>
      <c r="AG404">
        <f>(S404+V404+Y404)*constants!$O$2+(R404+T404+U404+W404+X404+Z404+AA404+AB404)*constants!$N$2</f>
        <v>15.766938015867883</v>
      </c>
      <c r="AH404">
        <f>((S404+V404+Y404)-(H404+K404+N404))*constants!$O$2</f>
        <v>0.43159546042335684</v>
      </c>
      <c r="AI404">
        <f>((R404+T404+U404+W404+X404+Z404+AA404+AB404)-(G404+I404+J404+L404+M404+O404+P404+Q404))*constants!$N$2</f>
        <v>-0.53437773609189088</v>
      </c>
      <c r="AJ404">
        <f t="shared" si="52"/>
        <v>-0.65188482104194057</v>
      </c>
      <c r="AK404">
        <f t="shared" si="53"/>
        <v>-0.10278227566853404</v>
      </c>
      <c r="AL404">
        <f>COUNTIFS($B:$B,$B404,$AK:$AK,"&lt;"&amp;$AK404)+COUNTIFS($B$2:$B404,$B404,$AK$2:$AK404,$AK404)</f>
        <v>15</v>
      </c>
      <c r="AM404" s="191">
        <f>IF(AK404=0, "NA",IF(((sim_annual_output!F404/E404)/AK404)&lt;0,100,((sim_annual_output!F404/E404)/AK404)))</f>
        <v>100</v>
      </c>
      <c r="AN404">
        <f>(S404+V404)*constants!$F$2+(T404+U404+W404+X404+Y404+Z404+AA404+AB404)*constants!$G$2</f>
        <v>138472.74691377184</v>
      </c>
      <c r="AO404">
        <f>(AD404*constants!$F$2+AE404*constants!$G$2)</f>
        <v>654.62775347106435</v>
      </c>
      <c r="AP404">
        <f t="shared" si="54"/>
        <v>0.47274844188561271</v>
      </c>
    </row>
    <row r="405" spans="1:42">
      <c r="A405">
        <f>sim_annual_output!B405</f>
        <v>15</v>
      </c>
      <c r="B405" t="str">
        <f>sim_annual_output!C405</f>
        <v>Office</v>
      </c>
      <c r="C405" t="str">
        <f>sim_annual_output!D405</f>
        <v>1980-2004</v>
      </c>
      <c r="D405" t="str">
        <f>sim_annual_output!E405</f>
        <v>infil_reduce_plus_setback</v>
      </c>
      <c r="E405" s="45">
        <f t="array" ref="E405">IFERROR(INDEX(baseline!$J$3:$J$201,MATCH($B405&amp;$C405,baseline!$C$3:$C$201&amp;baseline!$D$3:$D$201,0)),"NA")</f>
        <v>3418.6207140000001</v>
      </c>
      <c r="F405">
        <f>sim_annual_output!G405</f>
        <v>3418.6207140000001</v>
      </c>
      <c r="G405">
        <f>$E405/$F405^2*sim_annual_output!I405</f>
        <v>0</v>
      </c>
      <c r="H405">
        <f>$E405/$F405^2*sim_annual_output!J405</f>
        <v>219.29995756177354</v>
      </c>
      <c r="I405">
        <f>$E405/$F405^2*sim_annual_output!K405</f>
        <v>14.514474781246529</v>
      </c>
      <c r="J405">
        <f>$E405/$F405^2*sim_annual_output!L405</f>
        <v>0</v>
      </c>
      <c r="K405">
        <f>$E405/$F405^2*sim_annual_output!M405</f>
        <v>45.388711934189722</v>
      </c>
      <c r="L405">
        <f>$E405/$F405^2*sim_annual_output!N405</f>
        <v>37.74998509530473</v>
      </c>
      <c r="M405">
        <f>$E405/$F405^2*sim_annual_output!O405</f>
        <v>11.425994758656927</v>
      </c>
      <c r="N405">
        <f>$E405/$F405^2*sim_annual_output!P405</f>
        <v>0</v>
      </c>
      <c r="O405">
        <f>$E405/$F405^2*sim_annual_output!Q405</f>
        <v>26.90333426675657</v>
      </c>
      <c r="P405">
        <f>$E405/$F405^2*sim_annual_output!R405</f>
        <v>8.2050700521204423</v>
      </c>
      <c r="Q405">
        <f>$E405/$F405^2*sim_annual_output!S405</f>
        <v>0</v>
      </c>
      <c r="R405">
        <f t="array" ref="R405">INDEX(G$3:G$700,MATCH($B405&amp;$C405&amp;"baseline",$B$3:$B$700&amp;$C$3:$C$700&amp;$D$3:$D$700,0))</f>
        <v>0</v>
      </c>
      <c r="S405">
        <f t="array" ref="S405">INDEX(H$3:H$700,MATCH($B405&amp;$C405&amp;"baseline",$B$3:$B$700&amp;$C$3:$C$700&amp;$D$3:$D$700,0))</f>
        <v>269.3307338042415</v>
      </c>
      <c r="T405">
        <f t="array" ref="T405">INDEX(I$3:I$700,MATCH($B405&amp;$C405&amp;"baseline",$B$3:$B$700&amp;$C$3:$C$700&amp;$D$3:$D$700,0))</f>
        <v>9.7887184509699896</v>
      </c>
      <c r="U405">
        <f t="array" ref="U405">INDEX(J$3:J$700,MATCH($B405&amp;$C405&amp;"baseline",$B$3:$B$700&amp;$C$3:$C$700&amp;$D$3:$D$700,0))</f>
        <v>0</v>
      </c>
      <c r="V405">
        <f t="array" ref="V405">INDEX(K$3:K$700,MATCH($B405&amp;$C405&amp;"baseline",$B$3:$B$700&amp;$C$3:$C$700&amp;$D$3:$D$700,0))</f>
        <v>45.390337034036946</v>
      </c>
      <c r="W405">
        <f t="array" ref="W405">INDEX(L$3:L$700,MATCH($B405&amp;$C405&amp;"baseline",$B$3:$B$700&amp;$C$3:$C$700&amp;$D$3:$D$700,0))</f>
        <v>37.74998509530473</v>
      </c>
      <c r="X405">
        <f t="array" ref="X405">INDEX(M$3:M$700,MATCH($B405&amp;$C405&amp;"baseline",$B$3:$B$700&amp;$C$3:$C$700&amp;$D$3:$D$700,0))</f>
        <v>11.425994758656927</v>
      </c>
      <c r="Y405">
        <f t="array" ref="Y405">INDEX(N$3:N$700,MATCH($B405&amp;$C405&amp;"baseline",$B$3:$B$700&amp;$C$3:$C$700&amp;$D$3:$D$700,0))</f>
        <v>0</v>
      </c>
      <c r="Z405">
        <f t="array" ref="Z405">INDEX(O$3:O$700,MATCH($B405&amp;$C405&amp;"baseline",$B$3:$B$700&amp;$C$3:$C$700&amp;$D$3:$D$700,0))</f>
        <v>27.082093962881196</v>
      </c>
      <c r="AA405">
        <f t="array" ref="AA405">INDEX(P$3:P$700,MATCH($B405&amp;$C405&amp;"baseline",$B$3:$B$700&amp;$C$3:$C$700&amp;$D$3:$D$700,0))</f>
        <v>8.364328690486019</v>
      </c>
      <c r="AB405">
        <f t="array" ref="AB405">INDEX(Q$3:Q$700,MATCH($B405&amp;$C405&amp;"baseline",$B$3:$B$700&amp;$C$3:$C$700&amp;$D$3:$D$700,0))</f>
        <v>0</v>
      </c>
      <c r="AC405">
        <f t="shared" si="48"/>
        <v>409.13219179657733</v>
      </c>
      <c r="AD405">
        <f t="shared" si="49"/>
        <v>50.032401342315211</v>
      </c>
      <c r="AE405">
        <f t="shared" si="50"/>
        <v>-4.3877379957863525</v>
      </c>
      <c r="AF405">
        <f t="shared" si="51"/>
        <v>11.156458538765785</v>
      </c>
      <c r="AG405">
        <f>(S405+V405+Y405)*constants!$O$2+(R405+T405+U405+W405+X405+Z405+AA405+AB405)*constants!$N$2</f>
        <v>15.766938015867883</v>
      </c>
      <c r="AH405">
        <f>((S405+V405+Y405)-(H405+K405+N405))*constants!$O$2</f>
        <v>0.8105249017455064</v>
      </c>
      <c r="AI405">
        <f>((R405+T405+U405+W405+X405+Z405+AA405+AB405)-(G405+I405+J405+L405+M405+O405+P405+Q405))*constants!$N$2</f>
        <v>-0.49581439352385787</v>
      </c>
      <c r="AJ405">
        <f t="shared" si="52"/>
        <v>1.9960153829800253</v>
      </c>
      <c r="AK405">
        <f t="shared" si="53"/>
        <v>0.31471050822164853</v>
      </c>
      <c r="AL405">
        <f>COUNTIFS($B:$B,$B405,$AK:$AK,"&lt;"&amp;$AK405)+COUNTIFS($B$2:$B405,$B405,$AK$2:$AK405,$AK405)</f>
        <v>30</v>
      </c>
      <c r="AM405" s="191">
        <f>IF(AK405=0, "NA",IF(((sim_annual_output!F405/E405)/AK405)&lt;0,100,((sim_annual_output!F405/E405)/AK405)))</f>
        <v>67.616165161592946</v>
      </c>
      <c r="AN405">
        <f>(S405+V405)*constants!$F$2+(T405+U405+W405+X405+Y405+Z405+AA405+AB405)*constants!$G$2</f>
        <v>138472.74691377184</v>
      </c>
      <c r="AO405">
        <f>(AD405*constants!$F$2+AE405*constants!$G$2)</f>
        <v>5138.4677839402966</v>
      </c>
      <c r="AP405">
        <f t="shared" si="54"/>
        <v>3.7108152314910483</v>
      </c>
    </row>
    <row r="406" spans="1:42">
      <c r="A406">
        <f>sim_annual_output!B406</f>
        <v>15</v>
      </c>
      <c r="B406" t="str">
        <f>sim_annual_output!C406</f>
        <v>Office</v>
      </c>
      <c r="C406" t="str">
        <f>sim_annual_output!D406</f>
        <v>1980-2004</v>
      </c>
      <c r="D406" t="str">
        <f>sim_annual_output!E406</f>
        <v>lights_reduce_70p</v>
      </c>
      <c r="E406" s="45">
        <f t="array" ref="E406">IFERROR(INDEX(baseline!$J$3:$J$201,MATCH($B406&amp;$C406,baseline!$C$3:$C$201&amp;baseline!$D$3:$D$201,0)),"NA")</f>
        <v>3418.6207140000001</v>
      </c>
      <c r="F406">
        <f>sim_annual_output!G406</f>
        <v>3418.6207139712501</v>
      </c>
      <c r="G406">
        <f>$E406/$F406^2*sim_annual_output!I406</f>
        <v>0</v>
      </c>
      <c r="H406">
        <f>$E406/$F406^2*sim_annual_output!J406</f>
        <v>280.16194630010932</v>
      </c>
      <c r="I406">
        <f>$E406/$F406^2*sim_annual_output!K406</f>
        <v>11.149729773924582</v>
      </c>
      <c r="J406">
        <f>$E406/$F406^2*sim_annual_output!L406</f>
        <v>0</v>
      </c>
      <c r="K406">
        <f>$E406/$F406^2*sim_annual_output!M406</f>
        <v>45.390337023099761</v>
      </c>
      <c r="L406">
        <f>$E406/$F406^2*sim_annual_output!N406</f>
        <v>26.425558352104304</v>
      </c>
      <c r="M406">
        <f>$E406/$F406^2*sim_annual_output!O406</f>
        <v>11.425994758849107</v>
      </c>
      <c r="N406">
        <f>$E406/$F406^2*sim_annual_output!P406</f>
        <v>0</v>
      </c>
      <c r="O406">
        <f>$E406/$F406^2*sim_annual_output!Q406</f>
        <v>27.333170081988705</v>
      </c>
      <c r="P406">
        <f>$E406/$F406^2*sim_annual_output!R406</f>
        <v>8.570714885246792</v>
      </c>
      <c r="Q406">
        <f>$E406/$F406^2*sim_annual_output!S406</f>
        <v>0</v>
      </c>
      <c r="R406">
        <f t="array" ref="R406">INDEX(G$3:G$700,MATCH($B406&amp;$C406&amp;"baseline",$B$3:$B$700&amp;$C$3:$C$700&amp;$D$3:$D$700,0))</f>
        <v>0</v>
      </c>
      <c r="S406">
        <f t="array" ref="S406">INDEX(H$3:H$700,MATCH($B406&amp;$C406&amp;"baseline",$B$3:$B$700&amp;$C$3:$C$700&amp;$D$3:$D$700,0))</f>
        <v>269.3307338042415</v>
      </c>
      <c r="T406">
        <f t="array" ref="T406">INDEX(I$3:I$700,MATCH($B406&amp;$C406&amp;"baseline",$B$3:$B$700&amp;$C$3:$C$700&amp;$D$3:$D$700,0))</f>
        <v>9.7887184509699896</v>
      </c>
      <c r="U406">
        <f t="array" ref="U406">INDEX(J$3:J$700,MATCH($B406&amp;$C406&amp;"baseline",$B$3:$B$700&amp;$C$3:$C$700&amp;$D$3:$D$700,0))</f>
        <v>0</v>
      </c>
      <c r="V406">
        <f t="array" ref="V406">INDEX(K$3:K$700,MATCH($B406&amp;$C406&amp;"baseline",$B$3:$B$700&amp;$C$3:$C$700&amp;$D$3:$D$700,0))</f>
        <v>45.390337034036946</v>
      </c>
      <c r="W406">
        <f t="array" ref="W406">INDEX(L$3:L$700,MATCH($B406&amp;$C406&amp;"baseline",$B$3:$B$700&amp;$C$3:$C$700&amp;$D$3:$D$700,0))</f>
        <v>37.74998509530473</v>
      </c>
      <c r="X406">
        <f t="array" ref="X406">INDEX(M$3:M$700,MATCH($B406&amp;$C406&amp;"baseline",$B$3:$B$700&amp;$C$3:$C$700&amp;$D$3:$D$700,0))</f>
        <v>11.425994758656927</v>
      </c>
      <c r="Y406">
        <f t="array" ref="Y406">INDEX(N$3:N$700,MATCH($B406&amp;$C406&amp;"baseline",$B$3:$B$700&amp;$C$3:$C$700&amp;$D$3:$D$700,0))</f>
        <v>0</v>
      </c>
      <c r="Z406">
        <f t="array" ref="Z406">INDEX(O$3:O$700,MATCH($B406&amp;$C406&amp;"baseline",$B$3:$B$700&amp;$C$3:$C$700&amp;$D$3:$D$700,0))</f>
        <v>27.082093962881196</v>
      </c>
      <c r="AA406">
        <f t="array" ref="AA406">INDEX(P$3:P$700,MATCH($B406&amp;$C406&amp;"baseline",$B$3:$B$700&amp;$C$3:$C$700&amp;$D$3:$D$700,0))</f>
        <v>8.364328690486019</v>
      </c>
      <c r="AB406">
        <f t="array" ref="AB406">INDEX(Q$3:Q$700,MATCH($B406&amp;$C406&amp;"baseline",$B$3:$B$700&amp;$C$3:$C$700&amp;$D$3:$D$700,0))</f>
        <v>0</v>
      </c>
      <c r="AC406">
        <f t="shared" si="48"/>
        <v>409.13219179657733</v>
      </c>
      <c r="AD406">
        <f t="shared" si="49"/>
        <v>-10.831212484930575</v>
      </c>
      <c r="AE406">
        <f t="shared" si="50"/>
        <v>9.505953106185359</v>
      </c>
      <c r="AF406">
        <f t="shared" si="51"/>
        <v>-0.32391960479221871</v>
      </c>
      <c r="AG406">
        <f>(S406+V406+Y406)*constants!$O$2+(R406+T406+U406+W406+X406+Z406+AA406+AB406)*constants!$N$2</f>
        <v>15.766938015867883</v>
      </c>
      <c r="AH406">
        <f>((S406+V406+Y406)-(H406+K406+N406))*constants!$O$2</f>
        <v>-0.1754656422558753</v>
      </c>
      <c r="AI406">
        <f>((R406+T406+U406+W406+X406+Z406+AA406+AB406)-(G406+I406+J406+L406+M406+O406+P406+Q406))*constants!$N$2</f>
        <v>1.0741727009989457</v>
      </c>
      <c r="AJ406">
        <f t="shared" si="52"/>
        <v>5.6999466721985552</v>
      </c>
      <c r="AK406">
        <f t="shared" si="53"/>
        <v>0.89870705874307033</v>
      </c>
      <c r="AL406">
        <f>COUNTIFS($B:$B,$B406,$AK:$AK,"&lt;"&amp;$AK406)+COUNTIFS($B$2:$B406,$B406,$AK$2:$AK406,$AK406)</f>
        <v>42</v>
      </c>
      <c r="AM406" s="191">
        <f>IF(AK406=0, "NA",IF(((sim_annual_output!F406/E406)/AK406)&lt;0,100,((sim_annual_output!F406/E406)/AK406)))</f>
        <v>26.284017286263591</v>
      </c>
      <c r="AN406">
        <f>(S406+V406)*constants!$F$2+(T406+U406+W406+X406+Y406+Z406+AA406+AB406)*constants!$G$2</f>
        <v>138472.74691377184</v>
      </c>
      <c r="AO406">
        <f>(AD406*constants!$F$2+AE406*constants!$G$2)</f>
        <v>6331.3921675786905</v>
      </c>
      <c r="AP406">
        <f t="shared" si="54"/>
        <v>4.5723019934899547</v>
      </c>
    </row>
    <row r="407" spans="1:42">
      <c r="A407">
        <f>sim_annual_output!B407</f>
        <v>15</v>
      </c>
      <c r="B407" t="str">
        <f>sim_annual_output!C407</f>
        <v>Office</v>
      </c>
      <c r="C407" t="str">
        <f>sim_annual_output!D407</f>
        <v>1980-2004</v>
      </c>
      <c r="D407" t="str">
        <f>sim_annual_output!E407</f>
        <v>load_reduce</v>
      </c>
      <c r="E407" s="45">
        <f t="array" ref="E407">IFERROR(INDEX(baseline!$J$3:$J$201,MATCH($B407&amp;$C407,baseline!$C$3:$C$201&amp;baseline!$D$3:$D$201,0)),"NA")</f>
        <v>3418.6207140000001</v>
      </c>
      <c r="F407">
        <f>sim_annual_output!G407</f>
        <v>3418.6207140000001</v>
      </c>
      <c r="G407">
        <f>$E407/$F407^2*sim_annual_output!I407</f>
        <v>0</v>
      </c>
      <c r="H407">
        <f>$E407/$F407^2*sim_annual_output!J407</f>
        <v>147.19073377731837</v>
      </c>
      <c r="I407">
        <f>$E407/$F407^2*sim_annual_output!K407</f>
        <v>14.514474781246529</v>
      </c>
      <c r="J407">
        <f>$E407/$F407^2*sim_annual_output!L407</f>
        <v>0</v>
      </c>
      <c r="K407">
        <f>$E407/$F407^2*sim_annual_output!M407</f>
        <v>45.388711934189722</v>
      </c>
      <c r="L407">
        <f>$E407/$F407^2*sim_annual_output!N407</f>
        <v>37.74998509530473</v>
      </c>
      <c r="M407">
        <f>$E407/$F407^2*sim_annual_output!O407</f>
        <v>11.425994758656927</v>
      </c>
      <c r="N407">
        <f>$E407/$F407^2*sim_annual_output!P407</f>
        <v>0</v>
      </c>
      <c r="O407">
        <f>$E407/$F407^2*sim_annual_output!Q407</f>
        <v>26.90333426675657</v>
      </c>
      <c r="P407">
        <f>$E407/$F407^2*sim_annual_output!R407</f>
        <v>7.4095894043658452</v>
      </c>
      <c r="Q407">
        <f>$E407/$F407^2*sim_annual_output!S407</f>
        <v>0</v>
      </c>
      <c r="R407">
        <f t="array" ref="R407">INDEX(G$3:G$700,MATCH($B407&amp;$C407&amp;"baseline",$B$3:$B$700&amp;$C$3:$C$700&amp;$D$3:$D$700,0))</f>
        <v>0</v>
      </c>
      <c r="S407">
        <f t="array" ref="S407">INDEX(H$3:H$700,MATCH($B407&amp;$C407&amp;"baseline",$B$3:$B$700&amp;$C$3:$C$700&amp;$D$3:$D$700,0))</f>
        <v>269.3307338042415</v>
      </c>
      <c r="T407">
        <f t="array" ref="T407">INDEX(I$3:I$700,MATCH($B407&amp;$C407&amp;"baseline",$B$3:$B$700&amp;$C$3:$C$700&amp;$D$3:$D$700,0))</f>
        <v>9.7887184509699896</v>
      </c>
      <c r="U407">
        <f t="array" ref="U407">INDEX(J$3:J$700,MATCH($B407&amp;$C407&amp;"baseline",$B$3:$B$700&amp;$C$3:$C$700&amp;$D$3:$D$700,0))</f>
        <v>0</v>
      </c>
      <c r="V407">
        <f t="array" ref="V407">INDEX(K$3:K$700,MATCH($B407&amp;$C407&amp;"baseline",$B$3:$B$700&amp;$C$3:$C$700&amp;$D$3:$D$700,0))</f>
        <v>45.390337034036946</v>
      </c>
      <c r="W407">
        <f t="array" ref="W407">INDEX(L$3:L$700,MATCH($B407&amp;$C407&amp;"baseline",$B$3:$B$700&amp;$C$3:$C$700&amp;$D$3:$D$700,0))</f>
        <v>37.74998509530473</v>
      </c>
      <c r="X407">
        <f t="array" ref="X407">INDEX(M$3:M$700,MATCH($B407&amp;$C407&amp;"baseline",$B$3:$B$700&amp;$C$3:$C$700&amp;$D$3:$D$700,0))</f>
        <v>11.425994758656927</v>
      </c>
      <c r="Y407">
        <f t="array" ref="Y407">INDEX(N$3:N$700,MATCH($B407&amp;$C407&amp;"baseline",$B$3:$B$700&amp;$C$3:$C$700&amp;$D$3:$D$700,0))</f>
        <v>0</v>
      </c>
      <c r="Z407">
        <f t="array" ref="Z407">INDEX(O$3:O$700,MATCH($B407&amp;$C407&amp;"baseline",$B$3:$B$700&amp;$C$3:$C$700&amp;$D$3:$D$700,0))</f>
        <v>27.082093962881196</v>
      </c>
      <c r="AA407">
        <f t="array" ref="AA407">INDEX(P$3:P$700,MATCH($B407&amp;$C407&amp;"baseline",$B$3:$B$700&amp;$C$3:$C$700&amp;$D$3:$D$700,0))</f>
        <v>8.364328690486019</v>
      </c>
      <c r="AB407">
        <f t="array" ref="AB407">INDEX(Q$3:Q$700,MATCH($B407&amp;$C407&amp;"baseline",$B$3:$B$700&amp;$C$3:$C$700&amp;$D$3:$D$700,0))</f>
        <v>0</v>
      </c>
      <c r="AC407">
        <f t="shared" si="48"/>
        <v>409.13219179657733</v>
      </c>
      <c r="AD407">
        <f t="shared" si="49"/>
        <v>122.14162512677038</v>
      </c>
      <c r="AE407">
        <f t="shared" si="50"/>
        <v>-3.592257348031751</v>
      </c>
      <c r="AF407">
        <f t="shared" si="51"/>
        <v>28.975810301840532</v>
      </c>
      <c r="AG407">
        <f>(S407+V407+Y407)*constants!$O$2+(R407+T407+U407+W407+X407+Z407+AA407+AB407)*constants!$N$2</f>
        <v>15.766938015867883</v>
      </c>
      <c r="AH407">
        <f>((S407+V407+Y407)-(H407+K407+N407))*constants!$O$2</f>
        <v>1.9786943270536801</v>
      </c>
      <c r="AI407">
        <f>((R407+T407+U407+W407+X407+Z407+AA407+AB407)-(G407+I407+J407+L407+M407+O407+P407+Q407))*constants!$N$2</f>
        <v>-0.40592508032758789</v>
      </c>
      <c r="AJ407">
        <f t="shared" si="52"/>
        <v>9.9751089599214104</v>
      </c>
      <c r="AK407">
        <f t="shared" si="53"/>
        <v>1.5727692467260921</v>
      </c>
      <c r="AL407">
        <f>COUNTIFS($B:$B,$B407,$AK:$AK,"&lt;"&amp;$AK407)+COUNTIFS($B$2:$B407,$B407,$AK$2:$AK407,$AK407)</f>
        <v>50</v>
      </c>
      <c r="AM407" s="191">
        <f>IF(AK407=0, "NA",IF(((sim_annual_output!F407/E407)/AK407)&lt;0,100,((sim_annual_output!F407/E407)/AK407)))</f>
        <v>13.702774769008496</v>
      </c>
      <c r="AN407">
        <f>(S407+V407)*constants!$F$2+(T407+U407+W407+X407+Y407+Z407+AA407+AB407)*constants!$G$2</f>
        <v>138472.74691377184</v>
      </c>
      <c r="AO407">
        <f>(AD407*constants!$F$2+AE407*constants!$G$2)</f>
        <v>18738.087004904271</v>
      </c>
      <c r="AP407">
        <f t="shared" si="54"/>
        <v>13.531967425021646</v>
      </c>
    </row>
    <row r="408" spans="1:42">
      <c r="A408">
        <f>sim_annual_output!B408</f>
        <v>15</v>
      </c>
      <c r="B408" t="str">
        <f>sim_annual_output!C408</f>
        <v>Office</v>
      </c>
      <c r="C408" t="str">
        <f>sim_annual_output!D408</f>
        <v>1980-2004</v>
      </c>
      <c r="D408" t="str">
        <f>sim_annual_output!E408</f>
        <v>occupancy_setback</v>
      </c>
      <c r="E408" s="45">
        <f t="array" ref="E408">IFERROR(INDEX(baseline!$J$3:$J$201,MATCH($B408&amp;$C408,baseline!$C$3:$C$201&amp;baseline!$D$3:$D$201,0)),"NA")</f>
        <v>3418.6207140000001</v>
      </c>
      <c r="F408">
        <f>sim_annual_output!G408</f>
        <v>3418.6207139712501</v>
      </c>
      <c r="G408">
        <f>$E408/$F408^2*sim_annual_output!I408</f>
        <v>0</v>
      </c>
      <c r="H408">
        <f>$E408/$F408^2*sim_annual_output!J408</f>
        <v>260.76001891767447</v>
      </c>
      <c r="I408">
        <f>$E408/$F408^2*sim_annual_output!K408</f>
        <v>14.611980070287549</v>
      </c>
      <c r="J408">
        <f>$E408/$F408^2*sim_annual_output!L408</f>
        <v>0</v>
      </c>
      <c r="K408">
        <f>$E408/$F408^2*sim_annual_output!M408</f>
        <v>45.388711934953143</v>
      </c>
      <c r="L408">
        <f>$E408/$F408^2*sim_annual_output!N408</f>
        <v>37.749985101789981</v>
      </c>
      <c r="M408">
        <f>$E408/$F408^2*sim_annual_output!O408</f>
        <v>11.425994758849107</v>
      </c>
      <c r="N408">
        <f>$E408/$F408^2*sim_annual_output!P408</f>
        <v>0</v>
      </c>
      <c r="O408">
        <f>$E408/$F408^2*sim_annual_output!Q408</f>
        <v>27.701252547196972</v>
      </c>
      <c r="P408">
        <f>$E408/$F408^2*sim_annual_output!R408</f>
        <v>9.237813569432193</v>
      </c>
      <c r="Q408">
        <f>$E408/$F408^2*sim_annual_output!S408</f>
        <v>0</v>
      </c>
      <c r="R408">
        <f t="array" ref="R408">INDEX(G$3:G$700,MATCH($B408&amp;$C408&amp;"baseline",$B$3:$B$700&amp;$C$3:$C$700&amp;$D$3:$D$700,0))</f>
        <v>0</v>
      </c>
      <c r="S408">
        <f t="array" ref="S408">INDEX(H$3:H$700,MATCH($B408&amp;$C408&amp;"baseline",$B$3:$B$700&amp;$C$3:$C$700&amp;$D$3:$D$700,0))</f>
        <v>269.3307338042415</v>
      </c>
      <c r="T408">
        <f t="array" ref="T408">INDEX(I$3:I$700,MATCH($B408&amp;$C408&amp;"baseline",$B$3:$B$700&amp;$C$3:$C$700&amp;$D$3:$D$700,0))</f>
        <v>9.7887184509699896</v>
      </c>
      <c r="U408">
        <f t="array" ref="U408">INDEX(J$3:J$700,MATCH($B408&amp;$C408&amp;"baseline",$B$3:$B$700&amp;$C$3:$C$700&amp;$D$3:$D$700,0))</f>
        <v>0</v>
      </c>
      <c r="V408">
        <f t="array" ref="V408">INDEX(K$3:K$700,MATCH($B408&amp;$C408&amp;"baseline",$B$3:$B$700&amp;$C$3:$C$700&amp;$D$3:$D$700,0))</f>
        <v>45.390337034036946</v>
      </c>
      <c r="W408">
        <f t="array" ref="W408">INDEX(L$3:L$700,MATCH($B408&amp;$C408&amp;"baseline",$B$3:$B$700&amp;$C$3:$C$700&amp;$D$3:$D$700,0))</f>
        <v>37.74998509530473</v>
      </c>
      <c r="X408">
        <f t="array" ref="X408">INDEX(M$3:M$700,MATCH($B408&amp;$C408&amp;"baseline",$B$3:$B$700&amp;$C$3:$C$700&amp;$D$3:$D$700,0))</f>
        <v>11.425994758656927</v>
      </c>
      <c r="Y408">
        <f t="array" ref="Y408">INDEX(N$3:N$700,MATCH($B408&amp;$C408&amp;"baseline",$B$3:$B$700&amp;$C$3:$C$700&amp;$D$3:$D$700,0))</f>
        <v>0</v>
      </c>
      <c r="Z408">
        <f t="array" ref="Z408">INDEX(O$3:O$700,MATCH($B408&amp;$C408&amp;"baseline",$B$3:$B$700&amp;$C$3:$C$700&amp;$D$3:$D$700,0))</f>
        <v>27.082093962881196</v>
      </c>
      <c r="AA408">
        <f t="array" ref="AA408">INDEX(P$3:P$700,MATCH($B408&amp;$C408&amp;"baseline",$B$3:$B$700&amp;$C$3:$C$700&amp;$D$3:$D$700,0))</f>
        <v>8.364328690486019</v>
      </c>
      <c r="AB408">
        <f t="array" ref="AB408">INDEX(Q$3:Q$700,MATCH($B408&amp;$C408&amp;"baseline",$B$3:$B$700&amp;$C$3:$C$700&amp;$D$3:$D$700,0))</f>
        <v>0</v>
      </c>
      <c r="AC408">
        <f t="shared" si="48"/>
        <v>409.13219179657733</v>
      </c>
      <c r="AD408">
        <f t="shared" si="49"/>
        <v>8.5723399856508422</v>
      </c>
      <c r="AE408">
        <f t="shared" si="50"/>
        <v>-6.3159050892569581</v>
      </c>
      <c r="AF408">
        <f t="shared" si="51"/>
        <v>0.55151731925210989</v>
      </c>
      <c r="AG408">
        <f>(S408+V408+Y408)*constants!$O$2+(R408+T408+U408+W408+X408+Z408+AA408+AB408)*constants!$N$2</f>
        <v>15.766938015867883</v>
      </c>
      <c r="AH408">
        <f>((S408+V408+Y408)-(H408+K408+N408))*constants!$O$2</f>
        <v>0.13887190776754363</v>
      </c>
      <c r="AI408">
        <f>((R408+T408+U408+W408+X408+Z408+AA408+AB408)-(G408+I408+J408+L408+M408+O408+P408+Q408))*constants!$N$2</f>
        <v>-0.71369727508603631</v>
      </c>
      <c r="AJ408">
        <f t="shared" si="52"/>
        <v>-3.6457641093025615</v>
      </c>
      <c r="AK408">
        <f t="shared" si="53"/>
        <v>-0.57482536731849265</v>
      </c>
      <c r="AL408">
        <f>COUNTIFS($B:$B,$B408,$AK:$AK,"&lt;"&amp;$AK408)+COUNTIFS($B$2:$B408,$B408,$AK$2:$AK408,$AK408)</f>
        <v>10</v>
      </c>
      <c r="AM408" s="191">
        <f>IF(AK408=0, "NA",IF(((sim_annual_output!F408/E408)/AK408)&lt;0,100,((sim_annual_output!F408/E408)/AK408)))</f>
        <v>100</v>
      </c>
      <c r="AN408">
        <f>(S408+V408)*constants!$F$2+(T408+U408+W408+X408+Y408+Z408+AA408+AB408)*constants!$G$2</f>
        <v>138472.74691377184</v>
      </c>
      <c r="AO408">
        <f>(AD408*constants!$F$2+AE408*constants!$G$2)</f>
        <v>-3960.3885702220523</v>
      </c>
      <c r="AP408">
        <f t="shared" si="54"/>
        <v>-2.8600491132657462</v>
      </c>
    </row>
    <row r="409" spans="1:42">
      <c r="A409">
        <f>sim_annual_output!B409</f>
        <v>15</v>
      </c>
      <c r="B409" t="str">
        <f>sim_annual_output!C409</f>
        <v>Office</v>
      </c>
      <c r="C409" t="str">
        <f>sim_annual_output!D409</f>
        <v>1980-2004</v>
      </c>
      <c r="D409" t="str">
        <f>sim_annual_output!E409</f>
        <v>payback_less_than_20</v>
      </c>
      <c r="E409" s="45">
        <f t="array" ref="E409">IFERROR(INDEX(baseline!$J$3:$J$201,MATCH($B409&amp;$C409,baseline!$C$3:$C$201&amp;baseline!$D$3:$D$201,0)),"NA")</f>
        <v>3418.6207140000001</v>
      </c>
      <c r="F409">
        <f>sim_annual_output!G409</f>
        <v>3418.6207140000001</v>
      </c>
      <c r="G409">
        <f>$E409/$F409^2*sim_annual_output!I409</f>
        <v>0</v>
      </c>
      <c r="H409">
        <f>$E409/$F409^2*sim_annual_output!J409</f>
        <v>66.987758502185216</v>
      </c>
      <c r="I409">
        <f>$E409/$F409^2*sim_annual_output!K409</f>
        <v>2.1231776635166089</v>
      </c>
      <c r="J409">
        <f>$E409/$F409^2*sim_annual_output!L409</f>
        <v>0</v>
      </c>
      <c r="K409">
        <f>$E409/$F409^2*sim_annual_output!M409</f>
        <v>45.388711934189722</v>
      </c>
      <c r="L409">
        <f>$E409/$F409^2*sim_annual_output!N409</f>
        <v>26.425558351659838</v>
      </c>
      <c r="M409">
        <f>$E409/$F409^2*sim_annual_output!O409</f>
        <v>11.425994758656927</v>
      </c>
      <c r="N409">
        <f>$E409/$F409^2*sim_annual_output!P409</f>
        <v>0</v>
      </c>
      <c r="O409">
        <f>$E409/$F409^2*sim_annual_output!Q409</f>
        <v>10.391626153353965</v>
      </c>
      <c r="P409">
        <f>$E409/$F409^2*sim_annual_output!R409</f>
        <v>0.15194574170593408</v>
      </c>
      <c r="Q409">
        <f>$E409/$F409^2*sim_annual_output!S409</f>
        <v>0</v>
      </c>
      <c r="R409">
        <f t="array" ref="R409">INDEX(G$3:G$700,MATCH($B409&amp;$C409&amp;"baseline",$B$3:$B$700&amp;$C$3:$C$700&amp;$D$3:$D$700,0))</f>
        <v>0</v>
      </c>
      <c r="S409">
        <f t="array" ref="S409">INDEX(H$3:H$700,MATCH($B409&amp;$C409&amp;"baseline",$B$3:$B$700&amp;$C$3:$C$700&amp;$D$3:$D$700,0))</f>
        <v>269.3307338042415</v>
      </c>
      <c r="T409">
        <f t="array" ref="T409">INDEX(I$3:I$700,MATCH($B409&amp;$C409&amp;"baseline",$B$3:$B$700&amp;$C$3:$C$700&amp;$D$3:$D$700,0))</f>
        <v>9.7887184509699896</v>
      </c>
      <c r="U409">
        <f t="array" ref="U409">INDEX(J$3:J$700,MATCH($B409&amp;$C409&amp;"baseline",$B$3:$B$700&amp;$C$3:$C$700&amp;$D$3:$D$700,0))</f>
        <v>0</v>
      </c>
      <c r="V409">
        <f t="array" ref="V409">INDEX(K$3:K$700,MATCH($B409&amp;$C409&amp;"baseline",$B$3:$B$700&amp;$C$3:$C$700&amp;$D$3:$D$700,0))</f>
        <v>45.390337034036946</v>
      </c>
      <c r="W409">
        <f t="array" ref="W409">INDEX(L$3:L$700,MATCH($B409&amp;$C409&amp;"baseline",$B$3:$B$700&amp;$C$3:$C$700&amp;$D$3:$D$700,0))</f>
        <v>37.74998509530473</v>
      </c>
      <c r="X409">
        <f t="array" ref="X409">INDEX(M$3:M$700,MATCH($B409&amp;$C409&amp;"baseline",$B$3:$B$700&amp;$C$3:$C$700&amp;$D$3:$D$700,0))</f>
        <v>11.425994758656927</v>
      </c>
      <c r="Y409">
        <f t="array" ref="Y409">INDEX(N$3:N$700,MATCH($B409&amp;$C409&amp;"baseline",$B$3:$B$700&amp;$C$3:$C$700&amp;$D$3:$D$700,0))</f>
        <v>0</v>
      </c>
      <c r="Z409">
        <f t="array" ref="Z409">INDEX(O$3:O$700,MATCH($B409&amp;$C409&amp;"baseline",$B$3:$B$700&amp;$C$3:$C$700&amp;$D$3:$D$700,0))</f>
        <v>27.082093962881196</v>
      </c>
      <c r="AA409">
        <f t="array" ref="AA409">INDEX(P$3:P$700,MATCH($B409&amp;$C409&amp;"baseline",$B$3:$B$700&amp;$C$3:$C$700&amp;$D$3:$D$700,0))</f>
        <v>8.364328690486019</v>
      </c>
      <c r="AB409">
        <f t="array" ref="AB409">INDEX(Q$3:Q$700,MATCH($B409&amp;$C409&amp;"baseline",$B$3:$B$700&amp;$C$3:$C$700&amp;$D$3:$D$700,0))</f>
        <v>0</v>
      </c>
      <c r="AC409">
        <f t="shared" si="48"/>
        <v>409.13219179657733</v>
      </c>
      <c r="AD409">
        <f t="shared" si="49"/>
        <v>202.34460040190353</v>
      </c>
      <c r="AE409">
        <f t="shared" si="50"/>
        <v>43.892818289405575</v>
      </c>
      <c r="AF409">
        <f t="shared" si="51"/>
        <v>60.185295517821203</v>
      </c>
      <c r="AG409">
        <f>(S409+V409+Y409)*constants!$O$2+(R409+T409+U409+W409+X409+Z409+AA409+AB409)*constants!$N$2</f>
        <v>15.766938015867883</v>
      </c>
      <c r="AH409">
        <f>((S409+V409+Y409)-(H409+K409+N409))*constants!$O$2</f>
        <v>3.2779825265108369</v>
      </c>
      <c r="AI409">
        <f>((R409+T409+U409+W409+X409+Z409+AA409+AB409)-(G409+I409+J409+L409+M409+O409+P409+Q409))*constants!$N$2</f>
        <v>4.9598884667028305</v>
      </c>
      <c r="AJ409">
        <f t="shared" si="52"/>
        <v>52.247754033935159</v>
      </c>
      <c r="AK409">
        <f t="shared" si="53"/>
        <v>8.2378709932136669</v>
      </c>
      <c r="AL409">
        <f>COUNTIFS($B:$B,$B409,$AK:$AK,"&lt;"&amp;$AK409)+COUNTIFS($B$2:$B409,$B409,$AK$2:$AK409,$AK409)</f>
        <v>70</v>
      </c>
      <c r="AM409" s="191">
        <f>IF(AK409=0, "NA",IF(((sim_annual_output!F409/E409)/AK409)&lt;0,100,((sim_annual_output!F409/E409)/AK409)))</f>
        <v>9.5886094802120265</v>
      </c>
      <c r="AN409">
        <f>(S409+V409)*constants!$F$2+(T409+U409+W409+X409+Y409+Z409+AA409+AB409)*constants!$G$2</f>
        <v>138472.74691377184</v>
      </c>
      <c r="AO409">
        <f>(AD409*constants!$F$2+AE409*constants!$G$2)</f>
        <v>74406.435383723583</v>
      </c>
      <c r="AP409">
        <f t="shared" si="54"/>
        <v>53.733631376618177</v>
      </c>
    </row>
    <row r="410" spans="1:42">
      <c r="A410">
        <f>sim_annual_output!B410</f>
        <v>15</v>
      </c>
      <c r="B410" t="str">
        <f>sim_annual_output!C410</f>
        <v>Office</v>
      </c>
      <c r="C410" t="str">
        <f>sim_annual_output!D410</f>
        <v>1980-2004</v>
      </c>
      <c r="D410" t="str">
        <f>sim_annual_output!E410</f>
        <v>plug_loads_90_percent</v>
      </c>
      <c r="E410" s="45">
        <f t="array" ref="E410">IFERROR(INDEX(baseline!$J$3:$J$201,MATCH($B410&amp;$C410,baseline!$C$3:$C$201&amp;baseline!$D$3:$D$201,0)),"NA")</f>
        <v>3418.6207140000001</v>
      </c>
      <c r="F410">
        <f>sim_annual_output!G410</f>
        <v>3418.6207139712501</v>
      </c>
      <c r="G410">
        <f>$E410/$F410^2*sim_annual_output!I410</f>
        <v>0</v>
      </c>
      <c r="H410">
        <f>$E410/$F410^2*sim_annual_output!J410</f>
        <v>288.51733700592962</v>
      </c>
      <c r="I410">
        <f>$E410/$F410^2*sim_annual_output!K410</f>
        <v>14.71923588796413</v>
      </c>
      <c r="J410">
        <f>$E410/$F410^2*sim_annual_output!L410</f>
        <v>0</v>
      </c>
      <c r="K410">
        <f>$E410/$F410^2*sim_annual_output!M410</f>
        <v>45.390337023099761</v>
      </c>
      <c r="L410">
        <f>$E410/$F410^2*sim_annual_output!N410</f>
        <v>37.749985101789981</v>
      </c>
      <c r="M410">
        <f>$E410/$F410^2*sim_annual_output!O410</f>
        <v>11.425994758849107</v>
      </c>
      <c r="N410">
        <f>$E410/$F410^2*sim_annual_output!P410</f>
        <v>0</v>
      </c>
      <c r="O410">
        <f>$E410/$F410^2*sim_annual_output!Q410</f>
        <v>27.498929072943422</v>
      </c>
      <c r="P410">
        <f>$E410/$F410^2*sim_annual_output!R410</f>
        <v>8.8721687364438502</v>
      </c>
      <c r="Q410">
        <f>$E410/$F410^2*sim_annual_output!S410</f>
        <v>0</v>
      </c>
      <c r="R410">
        <f t="array" ref="R410">INDEX(G$3:G$700,MATCH($B410&amp;$C410&amp;"baseline",$B$3:$B$700&amp;$C$3:$C$700&amp;$D$3:$D$700,0))</f>
        <v>0</v>
      </c>
      <c r="S410">
        <f t="array" ref="S410">INDEX(H$3:H$700,MATCH($B410&amp;$C410&amp;"baseline",$B$3:$B$700&amp;$C$3:$C$700&amp;$D$3:$D$700,0))</f>
        <v>269.3307338042415</v>
      </c>
      <c r="T410">
        <f t="array" ref="T410">INDEX(I$3:I$700,MATCH($B410&amp;$C410&amp;"baseline",$B$3:$B$700&amp;$C$3:$C$700&amp;$D$3:$D$700,0))</f>
        <v>9.7887184509699896</v>
      </c>
      <c r="U410">
        <f t="array" ref="U410">INDEX(J$3:J$700,MATCH($B410&amp;$C410&amp;"baseline",$B$3:$B$700&amp;$C$3:$C$700&amp;$D$3:$D$700,0))</f>
        <v>0</v>
      </c>
      <c r="V410">
        <f t="array" ref="V410">INDEX(K$3:K$700,MATCH($B410&amp;$C410&amp;"baseline",$B$3:$B$700&amp;$C$3:$C$700&amp;$D$3:$D$700,0))</f>
        <v>45.390337034036946</v>
      </c>
      <c r="W410">
        <f t="array" ref="W410">INDEX(L$3:L$700,MATCH($B410&amp;$C410&amp;"baseline",$B$3:$B$700&amp;$C$3:$C$700&amp;$D$3:$D$700,0))</f>
        <v>37.74998509530473</v>
      </c>
      <c r="X410">
        <f t="array" ref="X410">INDEX(M$3:M$700,MATCH($B410&amp;$C410&amp;"baseline",$B$3:$B$700&amp;$C$3:$C$700&amp;$D$3:$D$700,0))</f>
        <v>11.425994758656927</v>
      </c>
      <c r="Y410">
        <f t="array" ref="Y410">INDEX(N$3:N$700,MATCH($B410&amp;$C410&amp;"baseline",$B$3:$B$700&amp;$C$3:$C$700&amp;$D$3:$D$700,0))</f>
        <v>0</v>
      </c>
      <c r="Z410">
        <f t="array" ref="Z410">INDEX(O$3:O$700,MATCH($B410&amp;$C410&amp;"baseline",$B$3:$B$700&amp;$C$3:$C$700&amp;$D$3:$D$700,0))</f>
        <v>27.082093962881196</v>
      </c>
      <c r="AA410">
        <f t="array" ref="AA410">INDEX(P$3:P$700,MATCH($B410&amp;$C410&amp;"baseline",$B$3:$B$700&amp;$C$3:$C$700&amp;$D$3:$D$700,0))</f>
        <v>8.364328690486019</v>
      </c>
      <c r="AB410">
        <f t="array" ref="AB410">INDEX(Q$3:Q$700,MATCH($B410&amp;$C410&amp;"baseline",$B$3:$B$700&amp;$C$3:$C$700&amp;$D$3:$D$700,0))</f>
        <v>0</v>
      </c>
      <c r="AC410">
        <f t="shared" si="48"/>
        <v>409.13219179657733</v>
      </c>
      <c r="AD410">
        <f t="shared" si="49"/>
        <v>-19.18660319075093</v>
      </c>
      <c r="AE410">
        <f t="shared" si="50"/>
        <v>-5.8551925996916481</v>
      </c>
      <c r="AF410">
        <f t="shared" si="51"/>
        <v>-6.120710198940662</v>
      </c>
      <c r="AG410">
        <f>(S410+V410+Y410)*constants!$O$2+(R410+T410+U410+W410+X410+Z410+AA410+AB410)*constants!$N$2</f>
        <v>15.766938015867883</v>
      </c>
      <c r="AH410">
        <f>((S410+V410+Y410)-(H410+K410+N410))*constants!$O$2</f>
        <v>-0.31082297169016504</v>
      </c>
      <c r="AI410">
        <f>((R410+T410+U410+W410+X410+Z410+AA410+AB410)-(G410+I410+J410+L410+M410+O410+P410+Q410))*constants!$N$2</f>
        <v>-0.66163676376515623</v>
      </c>
      <c r="AJ410">
        <f t="shared" si="52"/>
        <v>-6.167714584002522</v>
      </c>
      <c r="AK410">
        <f t="shared" si="53"/>
        <v>-0.97245973545532127</v>
      </c>
      <c r="AL410">
        <f>COUNTIFS($B:$B,$B410,$AK:$AK,"&lt;"&amp;$AK410)+COUNTIFS($B$2:$B410,$B410,$AK$2:$AK410,$AK410)</f>
        <v>3</v>
      </c>
      <c r="AM410" s="191">
        <f>IF(AK410=0, "NA",IF(((sim_annual_output!F410/E410)/AK410)&lt;0,100,((sim_annual_output!F410/E410)/AK410)))</f>
        <v>100</v>
      </c>
      <c r="AN410">
        <f>(S410+V410)*constants!$F$2+(T410+U410+W410+X410+Y410+Z410+AA410+AB410)*constants!$G$2</f>
        <v>138472.74691377184</v>
      </c>
      <c r="AO410">
        <f>(AD410*constants!$F$2+AE410*constants!$G$2)</f>
        <v>-8528.4195328761489</v>
      </c>
      <c r="AP410">
        <f t="shared" si="54"/>
        <v>-6.1589155432778906</v>
      </c>
    </row>
    <row r="411" spans="1:42">
      <c r="A411">
        <f>sim_annual_output!B411</f>
        <v>15</v>
      </c>
      <c r="B411" t="str">
        <f>sim_annual_output!C411</f>
        <v>Office</v>
      </c>
      <c r="C411" t="str">
        <f>sim_annual_output!D411</f>
        <v>1980-2004</v>
      </c>
      <c r="D411" t="str">
        <f>sim_annual_output!E411</f>
        <v>pumps_to_variable</v>
      </c>
      <c r="E411" s="45">
        <f t="array" ref="E411">IFERROR(INDEX(baseline!$J$3:$J$201,MATCH($B411&amp;$C411,baseline!$C$3:$C$201&amp;baseline!$D$3:$D$201,0)),"NA")</f>
        <v>3418.6207140000001</v>
      </c>
      <c r="F411">
        <f>sim_annual_output!G411</f>
        <v>3418.6207139712501</v>
      </c>
      <c r="G411">
        <f>$E411/$F411^2*sim_annual_output!I411</f>
        <v>0</v>
      </c>
      <c r="H411">
        <f>$E411/$F411^2*sim_annual_output!J411</f>
        <v>295.91636333746709</v>
      </c>
      <c r="I411">
        <f>$E411/$F411^2*sim_annual_output!K411</f>
        <v>14.828929337860634</v>
      </c>
      <c r="J411">
        <f>$E411/$F411^2*sim_annual_output!L411</f>
        <v>0</v>
      </c>
      <c r="K411">
        <f>$E411/$F411^2*sim_annual_output!M411</f>
        <v>45.390337023099761</v>
      </c>
      <c r="L411">
        <f>$E411/$F411^2*sim_annual_output!N411</f>
        <v>37.749985101789981</v>
      </c>
      <c r="M411">
        <f>$E411/$F411^2*sim_annual_output!O411</f>
        <v>11.425994758849107</v>
      </c>
      <c r="N411">
        <f>$E411/$F411^2*sim_annual_output!P411</f>
        <v>0</v>
      </c>
      <c r="O411">
        <f>$E411/$F411^2*sim_annual_output!Q411</f>
        <v>27.506241969603185</v>
      </c>
      <c r="P411">
        <f>$E411/$F411^2*sim_annual_output!R411</f>
        <v>1.7290937879982153</v>
      </c>
      <c r="Q411">
        <f>$E411/$F411^2*sim_annual_output!S411</f>
        <v>0</v>
      </c>
      <c r="R411">
        <f t="array" ref="R411">INDEX(G$3:G$700,MATCH($B411&amp;$C411&amp;"baseline",$B$3:$B$700&amp;$C$3:$C$700&amp;$D$3:$D$700,0))</f>
        <v>0</v>
      </c>
      <c r="S411">
        <f t="array" ref="S411">INDEX(H$3:H$700,MATCH($B411&amp;$C411&amp;"baseline",$B$3:$B$700&amp;$C$3:$C$700&amp;$D$3:$D$700,0))</f>
        <v>269.3307338042415</v>
      </c>
      <c r="T411">
        <f t="array" ref="T411">INDEX(I$3:I$700,MATCH($B411&amp;$C411&amp;"baseline",$B$3:$B$700&amp;$C$3:$C$700&amp;$D$3:$D$700,0))</f>
        <v>9.7887184509699896</v>
      </c>
      <c r="U411">
        <f t="array" ref="U411">INDEX(J$3:J$700,MATCH($B411&amp;$C411&amp;"baseline",$B$3:$B$700&amp;$C$3:$C$700&amp;$D$3:$D$700,0))</f>
        <v>0</v>
      </c>
      <c r="V411">
        <f t="array" ref="V411">INDEX(K$3:K$700,MATCH($B411&amp;$C411&amp;"baseline",$B$3:$B$700&amp;$C$3:$C$700&amp;$D$3:$D$700,0))</f>
        <v>45.390337034036946</v>
      </c>
      <c r="W411">
        <f t="array" ref="W411">INDEX(L$3:L$700,MATCH($B411&amp;$C411&amp;"baseline",$B$3:$B$700&amp;$C$3:$C$700&amp;$D$3:$D$700,0))</f>
        <v>37.74998509530473</v>
      </c>
      <c r="X411">
        <f t="array" ref="X411">INDEX(M$3:M$700,MATCH($B411&amp;$C411&amp;"baseline",$B$3:$B$700&amp;$C$3:$C$700&amp;$D$3:$D$700,0))</f>
        <v>11.425994758656927</v>
      </c>
      <c r="Y411">
        <f t="array" ref="Y411">INDEX(N$3:N$700,MATCH($B411&amp;$C411&amp;"baseline",$B$3:$B$700&amp;$C$3:$C$700&amp;$D$3:$D$700,0))</f>
        <v>0</v>
      </c>
      <c r="Z411">
        <f t="array" ref="Z411">INDEX(O$3:O$700,MATCH($B411&amp;$C411&amp;"baseline",$B$3:$B$700&amp;$C$3:$C$700&amp;$D$3:$D$700,0))</f>
        <v>27.082093962881196</v>
      </c>
      <c r="AA411">
        <f t="array" ref="AA411">INDEX(P$3:P$700,MATCH($B411&amp;$C411&amp;"baseline",$B$3:$B$700&amp;$C$3:$C$700&amp;$D$3:$D$700,0))</f>
        <v>8.364328690486019</v>
      </c>
      <c r="AB411">
        <f t="array" ref="AB411">INDEX(Q$3:Q$700,MATCH($B411&amp;$C411&amp;"baseline",$B$3:$B$700&amp;$C$3:$C$700&amp;$D$3:$D$700,0))</f>
        <v>0</v>
      </c>
      <c r="AC411">
        <f t="shared" si="48"/>
        <v>409.13219179657733</v>
      </c>
      <c r="AD411">
        <f t="shared" si="49"/>
        <v>-26.5856295222884</v>
      </c>
      <c r="AE411">
        <f t="shared" si="50"/>
        <v>1.170876002197744</v>
      </c>
      <c r="AF411">
        <f t="shared" si="51"/>
        <v>-6.2118684448881023</v>
      </c>
      <c r="AG411">
        <f>(S411+V411+Y411)*constants!$O$2+(R411+T411+U411+W411+X411+Z411+AA411+AB411)*constants!$N$2</f>
        <v>15.766938015867883</v>
      </c>
      <c r="AH411">
        <f>((S411+V411+Y411)-(H411+K411+N411))*constants!$O$2</f>
        <v>-0.43068719826107205</v>
      </c>
      <c r="AI411">
        <f>((R411+T411+U411+W411+X411+Z411+AA411+AB411)-(G411+I411+J411+L411+M411+O411+P411+Q411))*constants!$N$2</f>
        <v>0.13230898824834508</v>
      </c>
      <c r="AJ411">
        <f t="shared" si="52"/>
        <v>-1.8924296506553047</v>
      </c>
      <c r="AK411">
        <f t="shared" si="53"/>
        <v>-0.29837821001272696</v>
      </c>
      <c r="AL411">
        <f>COUNTIFS($B:$B,$B411,$AK:$AK,"&lt;"&amp;$AK411)+COUNTIFS($B$2:$B411,$B411,$AK$2:$AK411,$AK411)</f>
        <v>12</v>
      </c>
      <c r="AM411" s="191">
        <f>IF(AK411=0, "NA",IF(((sim_annual_output!F411/E411)/AK411)&lt;0,100,((sim_annual_output!F411/E411)/AK411)))</f>
        <v>100</v>
      </c>
      <c r="AN411">
        <f>(S411+V411)*constants!$F$2+(T411+U411+W411+X411+Y411+Z411+AA411+AB411)*constants!$G$2</f>
        <v>138472.74691377184</v>
      </c>
      <c r="AO411">
        <f>(AD411*constants!$F$2+AE411*constants!$G$2)</f>
        <v>-3740.1655625775866</v>
      </c>
      <c r="AP411">
        <f t="shared" si="54"/>
        <v>-2.7010120373409068</v>
      </c>
    </row>
    <row r="412" spans="1:42">
      <c r="A412">
        <f>sim_annual_output!B412</f>
        <v>15</v>
      </c>
      <c r="B412" t="str">
        <f>sim_annual_output!C412</f>
        <v>Office</v>
      </c>
      <c r="C412" t="str">
        <f>sim_annual_output!D412</f>
        <v>1980-2004</v>
      </c>
      <c r="D412" t="str">
        <f>sim_annual_output!E412</f>
        <v>pump_fan_eff_</v>
      </c>
      <c r="E412" s="45">
        <f t="array" ref="E412">IFERROR(INDEX(baseline!$J$3:$J$201,MATCH($B412&amp;$C412,baseline!$C$3:$C$201&amp;baseline!$D$3:$D$201,0)),"NA")</f>
        <v>3418.6207140000001</v>
      </c>
      <c r="F412">
        <f>sim_annual_output!G412</f>
        <v>3418.6207139712501</v>
      </c>
      <c r="G412">
        <f>$E412/$F412^2*sim_annual_output!I412</f>
        <v>0</v>
      </c>
      <c r="H412">
        <f>$E412/$F412^2*sim_annual_output!J412</f>
        <v>288.81472813676015</v>
      </c>
      <c r="I412">
        <f>$E412/$F412^2*sim_annual_output!K412</f>
        <v>14.828929337860634</v>
      </c>
      <c r="J412">
        <f>$E412/$F412^2*sim_annual_output!L412</f>
        <v>0</v>
      </c>
      <c r="K412">
        <f>$E412/$F412^2*sim_annual_output!M412</f>
        <v>45.390337023099761</v>
      </c>
      <c r="L412">
        <f>$E412/$F412^2*sim_annual_output!N412</f>
        <v>37.749985101789981</v>
      </c>
      <c r="M412">
        <f>$E412/$F412^2*sim_annual_output!O412</f>
        <v>11.425994758849107</v>
      </c>
      <c r="N412">
        <f>$E412/$F412^2*sim_annual_output!P412</f>
        <v>0</v>
      </c>
      <c r="O412">
        <f>$E412/$F412^2*sim_annual_output!Q412</f>
        <v>27.506241969603185</v>
      </c>
      <c r="P412">
        <f>$E412/$F412^2*sim_annual_output!R412</f>
        <v>6.9431891064120057</v>
      </c>
      <c r="Q412">
        <f>$E412/$F412^2*sim_annual_output!S412</f>
        <v>0</v>
      </c>
      <c r="R412">
        <f t="array" ref="R412">INDEX(G$3:G$700,MATCH($B412&amp;$C412&amp;"baseline",$B$3:$B$700&amp;$C$3:$C$700&amp;$D$3:$D$700,0))</f>
        <v>0</v>
      </c>
      <c r="S412">
        <f t="array" ref="S412">INDEX(H$3:H$700,MATCH($B412&amp;$C412&amp;"baseline",$B$3:$B$700&amp;$C$3:$C$700&amp;$D$3:$D$700,0))</f>
        <v>269.3307338042415</v>
      </c>
      <c r="T412">
        <f t="array" ref="T412">INDEX(I$3:I$700,MATCH($B412&amp;$C412&amp;"baseline",$B$3:$B$700&amp;$C$3:$C$700&amp;$D$3:$D$700,0))</f>
        <v>9.7887184509699896</v>
      </c>
      <c r="U412">
        <f t="array" ref="U412">INDEX(J$3:J$700,MATCH($B412&amp;$C412&amp;"baseline",$B$3:$B$700&amp;$C$3:$C$700&amp;$D$3:$D$700,0))</f>
        <v>0</v>
      </c>
      <c r="V412">
        <f t="array" ref="V412">INDEX(K$3:K$700,MATCH($B412&amp;$C412&amp;"baseline",$B$3:$B$700&amp;$C$3:$C$700&amp;$D$3:$D$700,0))</f>
        <v>45.390337034036946</v>
      </c>
      <c r="W412">
        <f t="array" ref="W412">INDEX(L$3:L$700,MATCH($B412&amp;$C412&amp;"baseline",$B$3:$B$700&amp;$C$3:$C$700&amp;$D$3:$D$700,0))</f>
        <v>37.74998509530473</v>
      </c>
      <c r="X412">
        <f t="array" ref="X412">INDEX(M$3:M$700,MATCH($B412&amp;$C412&amp;"baseline",$B$3:$B$700&amp;$C$3:$C$700&amp;$D$3:$D$700,0))</f>
        <v>11.425994758656927</v>
      </c>
      <c r="Y412">
        <f t="array" ref="Y412">INDEX(N$3:N$700,MATCH($B412&amp;$C412&amp;"baseline",$B$3:$B$700&amp;$C$3:$C$700&amp;$D$3:$D$700,0))</f>
        <v>0</v>
      </c>
      <c r="Z412">
        <f t="array" ref="Z412">INDEX(O$3:O$700,MATCH($B412&amp;$C412&amp;"baseline",$B$3:$B$700&amp;$C$3:$C$700&amp;$D$3:$D$700,0))</f>
        <v>27.082093962881196</v>
      </c>
      <c r="AA412">
        <f t="array" ref="AA412">INDEX(P$3:P$700,MATCH($B412&amp;$C412&amp;"baseline",$B$3:$B$700&amp;$C$3:$C$700&amp;$D$3:$D$700,0))</f>
        <v>8.364328690486019</v>
      </c>
      <c r="AB412">
        <f t="array" ref="AB412">INDEX(Q$3:Q$700,MATCH($B412&amp;$C412&amp;"baseline",$B$3:$B$700&amp;$C$3:$C$700&amp;$D$3:$D$700,0))</f>
        <v>0</v>
      </c>
      <c r="AC412">
        <f t="shared" si="48"/>
        <v>409.13219179657733</v>
      </c>
      <c r="AD412">
        <f t="shared" si="49"/>
        <v>-19.483994321581463</v>
      </c>
      <c r="AE412">
        <f t="shared" si="50"/>
        <v>-4.043219316216053</v>
      </c>
      <c r="AF412">
        <f t="shared" si="51"/>
        <v>-5.750516363546228</v>
      </c>
      <c r="AG412">
        <f>(S412+V412+Y412)*constants!$O$2+(R412+T412+U412+W412+X412+Z412+AA412+AB412)*constants!$N$2</f>
        <v>15.766938015867883</v>
      </c>
      <c r="AH412">
        <f>((S412+V412+Y412)-(H412+K412+N412))*constants!$O$2</f>
        <v>-0.31564070800961969</v>
      </c>
      <c r="AI412">
        <f>((R412+T412+U412+W412+X412+Z412+AA412+AB412)-(G412+I412+J412+L412+M412+O412+P412+Q412))*constants!$N$2</f>
        <v>-0.45688378273241398</v>
      </c>
      <c r="AJ412">
        <f t="shared" si="52"/>
        <v>-4.8996481749630982</v>
      </c>
      <c r="AK412">
        <f t="shared" si="53"/>
        <v>-0.77252449074203366</v>
      </c>
      <c r="AL412">
        <f>COUNTIFS($B:$B,$B412,$AK:$AK,"&lt;"&amp;$AK412)+COUNTIFS($B$2:$B412,$B412,$AK$2:$AK412,$AK412)</f>
        <v>7</v>
      </c>
      <c r="AM412" s="191">
        <f>IF(AK412=0, "NA",IF(((sim_annual_output!F412/E412)/AK412)&lt;0,100,((sim_annual_output!F412/E412)/AK412)))</f>
        <v>100</v>
      </c>
      <c r="AN412">
        <f>(S412+V412)*constants!$F$2+(T412+U412+W412+X412+Y412+Z412+AA412+AB412)*constants!$G$2</f>
        <v>138472.74691377184</v>
      </c>
      <c r="AO412">
        <f>(AD412*constants!$F$2+AE412*constants!$G$2)</f>
        <v>-7005.2357886710479</v>
      </c>
      <c r="AP412">
        <f t="shared" si="54"/>
        <v>-5.0589274386484639</v>
      </c>
    </row>
    <row r="413" spans="1:42">
      <c r="A413">
        <f>sim_annual_output!B413</f>
        <v>19</v>
      </c>
      <c r="B413" t="str">
        <f>sim_annual_output!C413</f>
        <v>Recreation Center</v>
      </c>
      <c r="C413" t="str">
        <f>sim_annual_output!D413</f>
        <v>1980-2004</v>
      </c>
      <c r="D413" t="str">
        <f>sim_annual_output!E413</f>
        <v>air_temp_reset_enabled</v>
      </c>
      <c r="E413" s="45">
        <f t="array" ref="E413">IFERROR(INDEX(baseline!$J$3:$J$201,MATCH($B413&amp;$C413,baseline!$C$3:$C$201&amp;baseline!$D$3:$D$201,0)),"NA")</f>
        <v>12612.73388</v>
      </c>
      <c r="F413">
        <f>sim_annual_output!G413</f>
        <v>12612.733881903199</v>
      </c>
      <c r="G413">
        <f>$E413/$F413^2*sim_annual_output!I413</f>
        <v>8.6969054790598737</v>
      </c>
      <c r="H413">
        <f>$E413/$F413^2*sim_annual_output!J413</f>
        <v>416.06441569797812</v>
      </c>
      <c r="I413">
        <f>$E413/$F413^2*sim_annual_output!K413</f>
        <v>1.559492205353971</v>
      </c>
      <c r="J413">
        <f>$E413/$F413^2*sim_annual_output!L413</f>
        <v>0</v>
      </c>
      <c r="K413">
        <f>$E413/$F413^2*sim_annual_output!M413</f>
        <v>23.392823552617248</v>
      </c>
      <c r="L413">
        <f>$E413/$F413^2*sim_annual_output!N413</f>
        <v>53.257286485876563</v>
      </c>
      <c r="M413">
        <f>$E413/$F413^2*sim_annual_output!O413</f>
        <v>6.608185796023994</v>
      </c>
      <c r="N413">
        <f>$E413/$F413^2*sim_annual_output!P413</f>
        <v>5.0845920837462408</v>
      </c>
      <c r="O413">
        <f>$E413/$F413^2*sim_annual_output!Q413</f>
        <v>16.655579370441945</v>
      </c>
      <c r="P413">
        <f>$E413/$F413^2*sim_annual_output!R413</f>
        <v>4.192415424533003</v>
      </c>
      <c r="Q413">
        <f>$E413/$F413^2*sim_annual_output!S413</f>
        <v>0</v>
      </c>
      <c r="R413">
        <f t="array" ref="R413">INDEX(G$3:G$700,MATCH($B413&amp;$C413&amp;"baseline",$B$3:$B$700&amp;$C$3:$C$700&amp;$D$3:$D$700,0))</f>
        <v>12.284111952835538</v>
      </c>
      <c r="S413">
        <f t="array" ref="S413">INDEX(H$3:H$700,MATCH($B413&amp;$C413&amp;"baseline",$B$3:$B$700&amp;$C$3:$C$700&amp;$D$3:$D$700,0))</f>
        <v>352.31662049615386</v>
      </c>
      <c r="T413">
        <f t="array" ref="T413">INDEX(I$3:I$700,MATCH($B413&amp;$C413&amp;"baseline",$B$3:$B$700&amp;$C$3:$C$700&amp;$D$3:$D$700,0))</f>
        <v>1.3458631361273996</v>
      </c>
      <c r="U413">
        <f t="array" ref="U413">INDEX(J$3:J$700,MATCH($B413&amp;$C413&amp;"baseline",$B$3:$B$700&amp;$C$3:$C$700&amp;$D$3:$D$700,0))</f>
        <v>0</v>
      </c>
      <c r="V413">
        <f t="array" ref="V413">INDEX(K$3:K$700,MATCH($B413&amp;$C413&amp;"baseline",$B$3:$B$700&amp;$C$3:$C$700&amp;$D$3:$D$700,0))</f>
        <v>23.394585441847987</v>
      </c>
      <c r="W413">
        <f t="array" ref="W413">INDEX(L$3:L$700,MATCH($B413&amp;$C413&amp;"baseline",$B$3:$B$700&amp;$C$3:$C$700&amp;$D$3:$D$700,0))</f>
        <v>53.257286485876563</v>
      </c>
      <c r="X413">
        <f t="array" ref="X413">INDEX(M$3:M$700,MATCH($B413&amp;$C413&amp;"baseline",$B$3:$B$700&amp;$C$3:$C$700&amp;$D$3:$D$700,0))</f>
        <v>6.608185796023994</v>
      </c>
      <c r="Y413">
        <f t="array" ref="Y413">INDEX(N$3:N$700,MATCH($B413&amp;$C413&amp;"baseline",$B$3:$B$700&amp;$C$3:$C$700&amp;$D$3:$D$700,0))</f>
        <v>5.0845920837462408</v>
      </c>
      <c r="Z413">
        <f t="array" ref="Z413">INDEX(O$3:O$700,MATCH($B413&amp;$C413&amp;"baseline",$B$3:$B$700&amp;$C$3:$C$700&amp;$D$3:$D$700,0))</f>
        <v>16.655579370441945</v>
      </c>
      <c r="AA413">
        <f t="array" ref="AA413">INDEX(P$3:P$700,MATCH($B413&amp;$C413&amp;"baseline",$B$3:$B$700&amp;$C$3:$C$700&amp;$D$3:$D$700,0))</f>
        <v>4.1659870860719836</v>
      </c>
      <c r="AB413">
        <f t="array" ref="AB413">INDEX(Q$3:Q$700,MATCH($B413&amp;$C413&amp;"baseline",$B$3:$B$700&amp;$C$3:$C$700&amp;$D$3:$D$700,0))</f>
        <v>0</v>
      </c>
      <c r="AC413">
        <f t="shared" si="48"/>
        <v>475.11281184912553</v>
      </c>
      <c r="AD413">
        <f t="shared" si="49"/>
        <v>-63.746033312593511</v>
      </c>
      <c r="AE413">
        <f t="shared" si="50"/>
        <v>3.3471490660880789</v>
      </c>
      <c r="AF413">
        <f t="shared" si="51"/>
        <v>-12.712535368481159</v>
      </c>
      <c r="AG413">
        <f>(S413+V413+Y413)*constants!$O$2+(R413+T413+U413+W413+X413+Z413+AA413+AB413)*constants!$N$2</f>
        <v>16.826714490445966</v>
      </c>
      <c r="AH413">
        <f>((S413+V413+Y413)-(H413+K413+N413))*constants!$O$2</f>
        <v>-1.0326857396640148</v>
      </c>
      <c r="AI413">
        <f>((R413+T413+U413+W413+X413+Z413+AA413+AB413)-(G413+I413+J413+L413+M413+O413+P413+Q413))*constants!$N$2</f>
        <v>0.37822784446795293</v>
      </c>
      <c r="AJ413">
        <f t="shared" si="52"/>
        <v>-3.8893979901284723</v>
      </c>
      <c r="AK413">
        <f t="shared" si="53"/>
        <v>-0.65445789519606179</v>
      </c>
      <c r="AL413">
        <f>COUNTIFS($B:$B,$B413,$AK:$AK,"&lt;"&amp;$AK413)+COUNTIFS($B$2:$B413,$B413,$AK$2:$AK413,$AK413)</f>
        <v>2</v>
      </c>
      <c r="AM413" s="191">
        <f>IF(AK413=0, "NA",IF(((sim_annual_output!F413/E413)/AK413)&lt;0,100,((sim_annual_output!F413/E413)/AK413)))</f>
        <v>100</v>
      </c>
      <c r="AN413">
        <f>(S413+V413)*constants!$F$2+(T413+U413+W413+X413+Y413+Z413+AA413+AB413)*constants!$G$2</f>
        <v>143044.525606613</v>
      </c>
      <c r="AO413">
        <f>(AD413*constants!$F$2+AE413*constants!$G$2)</f>
        <v>-8498.5202754576094</v>
      </c>
      <c r="AP413">
        <f t="shared" si="54"/>
        <v>-5.9411712817513935</v>
      </c>
    </row>
    <row r="414" spans="1:42">
      <c r="A414">
        <f>sim_annual_output!B414</f>
        <v>19</v>
      </c>
      <c r="B414" t="str">
        <f>sim_annual_output!C414</f>
        <v>Recreation Center</v>
      </c>
      <c r="C414" t="str">
        <f>sim_annual_output!D414</f>
        <v>1980-2004</v>
      </c>
      <c r="D414" t="str">
        <f>sim_annual_output!E414</f>
        <v>baseline</v>
      </c>
      <c r="E414" s="45">
        <f t="array" ref="E414">IFERROR(INDEX(baseline!$J$3:$J$201,MATCH($B414&amp;$C414,baseline!$C$3:$C$201&amp;baseline!$D$3:$D$201,0)),"NA")</f>
        <v>12612.73388</v>
      </c>
      <c r="F414">
        <f>sim_annual_output!G414</f>
        <v>12612.733881903199</v>
      </c>
      <c r="G414">
        <f>$E414/$F414^2*sim_annual_output!I414</f>
        <v>12.284111952835538</v>
      </c>
      <c r="H414">
        <f>$E414/$F414^2*sim_annual_output!J414</f>
        <v>352.31662049615386</v>
      </c>
      <c r="I414">
        <f>$E414/$F414^2*sim_annual_output!K414</f>
        <v>1.3458631361273996</v>
      </c>
      <c r="J414">
        <f>$E414/$F414^2*sim_annual_output!L414</f>
        <v>0</v>
      </c>
      <c r="K414">
        <f>$E414/$F414^2*sim_annual_output!M414</f>
        <v>23.394585441847987</v>
      </c>
      <c r="L414">
        <f>$E414/$F414^2*sim_annual_output!N414</f>
        <v>53.257286485876563</v>
      </c>
      <c r="M414">
        <f>$E414/$F414^2*sim_annual_output!O414</f>
        <v>6.608185796023994</v>
      </c>
      <c r="N414">
        <f>$E414/$F414^2*sim_annual_output!P414</f>
        <v>5.0845920837462408</v>
      </c>
      <c r="O414">
        <f>$E414/$F414^2*sim_annual_output!Q414</f>
        <v>16.655579370441945</v>
      </c>
      <c r="P414">
        <f>$E414/$F414^2*sim_annual_output!R414</f>
        <v>4.1659870860719836</v>
      </c>
      <c r="Q414">
        <f>$E414/$F414^2*sim_annual_output!S414</f>
        <v>0</v>
      </c>
      <c r="R414">
        <f t="array" ref="R414">INDEX(G$3:G$700,MATCH($B414&amp;$C414&amp;"baseline",$B$3:$B$700&amp;$C$3:$C$700&amp;$D$3:$D$700,0))</f>
        <v>12.284111952835538</v>
      </c>
      <c r="S414">
        <f t="array" ref="S414">INDEX(H$3:H$700,MATCH($B414&amp;$C414&amp;"baseline",$B$3:$B$700&amp;$C$3:$C$700&amp;$D$3:$D$700,0))</f>
        <v>352.31662049615386</v>
      </c>
      <c r="T414">
        <f t="array" ref="T414">INDEX(I$3:I$700,MATCH($B414&amp;$C414&amp;"baseline",$B$3:$B$700&amp;$C$3:$C$700&amp;$D$3:$D$700,0))</f>
        <v>1.3458631361273996</v>
      </c>
      <c r="U414">
        <f t="array" ref="U414">INDEX(J$3:J$700,MATCH($B414&amp;$C414&amp;"baseline",$B$3:$B$700&amp;$C$3:$C$700&amp;$D$3:$D$700,0))</f>
        <v>0</v>
      </c>
      <c r="V414">
        <f t="array" ref="V414">INDEX(K$3:K$700,MATCH($B414&amp;$C414&amp;"baseline",$B$3:$B$700&amp;$C$3:$C$700&amp;$D$3:$D$700,0))</f>
        <v>23.394585441847987</v>
      </c>
      <c r="W414">
        <f t="array" ref="W414">INDEX(L$3:L$700,MATCH($B414&amp;$C414&amp;"baseline",$B$3:$B$700&amp;$C$3:$C$700&amp;$D$3:$D$700,0))</f>
        <v>53.257286485876563</v>
      </c>
      <c r="X414">
        <f t="array" ref="X414">INDEX(M$3:M$700,MATCH($B414&amp;$C414&amp;"baseline",$B$3:$B$700&amp;$C$3:$C$700&amp;$D$3:$D$700,0))</f>
        <v>6.608185796023994</v>
      </c>
      <c r="Y414">
        <f t="array" ref="Y414">INDEX(N$3:N$700,MATCH($B414&amp;$C414&amp;"baseline",$B$3:$B$700&amp;$C$3:$C$700&amp;$D$3:$D$700,0))</f>
        <v>5.0845920837462408</v>
      </c>
      <c r="Z414">
        <f t="array" ref="Z414">INDEX(O$3:O$700,MATCH($B414&amp;$C414&amp;"baseline",$B$3:$B$700&amp;$C$3:$C$700&amp;$D$3:$D$700,0))</f>
        <v>16.655579370441945</v>
      </c>
      <c r="AA414">
        <f t="array" ref="AA414">INDEX(P$3:P$700,MATCH($B414&amp;$C414&amp;"baseline",$B$3:$B$700&amp;$C$3:$C$700&amp;$D$3:$D$700,0))</f>
        <v>4.1659870860719836</v>
      </c>
      <c r="AB414">
        <f t="array" ref="AB414">INDEX(Q$3:Q$700,MATCH($B414&amp;$C414&amp;"baseline",$B$3:$B$700&amp;$C$3:$C$700&amp;$D$3:$D$700,0))</f>
        <v>0</v>
      </c>
      <c r="AC414">
        <f t="shared" si="48"/>
        <v>475.11281184912553</v>
      </c>
      <c r="AD414">
        <f t="shared" si="49"/>
        <v>0</v>
      </c>
      <c r="AE414">
        <f t="shared" si="50"/>
        <v>0</v>
      </c>
      <c r="AF414">
        <f t="shared" si="51"/>
        <v>0</v>
      </c>
      <c r="AG414">
        <f>(S414+V414+Y414)*constants!$O$2+(R414+T414+U414+W414+X414+Z414+AA414+AB414)*constants!$N$2</f>
        <v>16.826714490445966</v>
      </c>
      <c r="AH414">
        <f>((S414+V414+Y414)-(H414+K414+N414))*constants!$O$2</f>
        <v>0</v>
      </c>
      <c r="AI414">
        <f>((R414+T414+U414+W414+X414+Z414+AA414+AB414)-(G414+I414+J414+L414+M414+O414+P414+Q414))*constants!$N$2</f>
        <v>0</v>
      </c>
      <c r="AJ414">
        <f t="shared" si="52"/>
        <v>0</v>
      </c>
      <c r="AK414">
        <f t="shared" si="53"/>
        <v>0</v>
      </c>
      <c r="AL414">
        <f>COUNTIFS($B:$B,$B414,$AK:$AK,"&lt;"&amp;$AK414)+COUNTIFS($B$2:$B414,$B414,$AK$2:$AK414,$AK414)</f>
        <v>5</v>
      </c>
      <c r="AM414" s="191" t="str">
        <f>IF(AK414=0, "NA",IF(((sim_annual_output!F414/E414)/AK414)&lt;0,100,((sim_annual_output!F414/E414)/AK414)))</f>
        <v>NA</v>
      </c>
      <c r="AN414">
        <f>(S414+V414)*constants!$F$2+(T414+U414+W414+X414+Y414+Z414+AA414+AB414)*constants!$G$2</f>
        <v>143044.525606613</v>
      </c>
      <c r="AO414">
        <f>(AD414*constants!$F$2+AE414*constants!$G$2)</f>
        <v>0</v>
      </c>
      <c r="AP414">
        <f t="shared" si="54"/>
        <v>0</v>
      </c>
    </row>
    <row r="415" spans="1:42">
      <c r="A415">
        <f>sim_annual_output!B415</f>
        <v>19</v>
      </c>
      <c r="B415" t="str">
        <f>sim_annual_output!C415</f>
        <v>Recreation Center</v>
      </c>
      <c r="C415" t="str">
        <f>sim_annual_output!D415</f>
        <v>1980-2004</v>
      </c>
      <c r="D415" t="str">
        <f>sim_annual_output!E415</f>
        <v>boiler_eff_upgrade</v>
      </c>
      <c r="E415" s="45">
        <f t="array" ref="E415">IFERROR(INDEX(baseline!$J$3:$J$201,MATCH($B415&amp;$C415,baseline!$C$3:$C$201&amp;baseline!$D$3:$D$201,0)),"NA")</f>
        <v>12612.73388</v>
      </c>
      <c r="F415">
        <f>sim_annual_output!G415</f>
        <v>12612.733881903199</v>
      </c>
      <c r="G415">
        <f>$E415/$F415^2*sim_annual_output!I415</f>
        <v>12.180821196683722</v>
      </c>
      <c r="H415">
        <f>$E415/$F415^2*sim_annual_output!J415</f>
        <v>346.39116677703947</v>
      </c>
      <c r="I415">
        <f>$E415/$F415^2*sim_annual_output!K415</f>
        <v>1.4654513676635113</v>
      </c>
      <c r="J415">
        <f>$E415/$F415^2*sim_annual_output!L415</f>
        <v>0</v>
      </c>
      <c r="K415">
        <f>$E415/$F415^2*sim_annual_output!M415</f>
        <v>23.394144969540303</v>
      </c>
      <c r="L415">
        <f>$E415/$F415^2*sim_annual_output!N415</f>
        <v>53.257286485876563</v>
      </c>
      <c r="M415">
        <f>$E415/$F415^2*sim_annual_output!O415</f>
        <v>6.608185796023994</v>
      </c>
      <c r="N415">
        <f>$E415/$F415^2*sim_annual_output!P415</f>
        <v>5.0845920837462408</v>
      </c>
      <c r="O415">
        <f>$E415/$F415^2*sim_annual_output!Q415</f>
        <v>16.655579370441945</v>
      </c>
      <c r="P415">
        <f>$E415/$F415^2*sim_annual_output!R415</f>
        <v>4.1902130629945846</v>
      </c>
      <c r="Q415">
        <f>$E415/$F415^2*sim_annual_output!S415</f>
        <v>0</v>
      </c>
      <c r="R415">
        <f t="array" ref="R415">INDEX(G$3:G$700,MATCH($B415&amp;$C415&amp;"baseline",$B$3:$B$700&amp;$C$3:$C$700&amp;$D$3:$D$700,0))</f>
        <v>12.284111952835538</v>
      </c>
      <c r="S415">
        <f t="array" ref="S415">INDEX(H$3:H$700,MATCH($B415&amp;$C415&amp;"baseline",$B$3:$B$700&amp;$C$3:$C$700&amp;$D$3:$D$700,0))</f>
        <v>352.31662049615386</v>
      </c>
      <c r="T415">
        <f t="array" ref="T415">INDEX(I$3:I$700,MATCH($B415&amp;$C415&amp;"baseline",$B$3:$B$700&amp;$C$3:$C$700&amp;$D$3:$D$700,0))</f>
        <v>1.3458631361273996</v>
      </c>
      <c r="U415">
        <f t="array" ref="U415">INDEX(J$3:J$700,MATCH($B415&amp;$C415&amp;"baseline",$B$3:$B$700&amp;$C$3:$C$700&amp;$D$3:$D$700,0))</f>
        <v>0</v>
      </c>
      <c r="V415">
        <f t="array" ref="V415">INDEX(K$3:K$700,MATCH($B415&amp;$C415&amp;"baseline",$B$3:$B$700&amp;$C$3:$C$700&amp;$D$3:$D$700,0))</f>
        <v>23.394585441847987</v>
      </c>
      <c r="W415">
        <f t="array" ref="W415">INDEX(L$3:L$700,MATCH($B415&amp;$C415&amp;"baseline",$B$3:$B$700&amp;$C$3:$C$700&amp;$D$3:$D$700,0))</f>
        <v>53.257286485876563</v>
      </c>
      <c r="X415">
        <f t="array" ref="X415">INDEX(M$3:M$700,MATCH($B415&amp;$C415&amp;"baseline",$B$3:$B$700&amp;$C$3:$C$700&amp;$D$3:$D$700,0))</f>
        <v>6.608185796023994</v>
      </c>
      <c r="Y415">
        <f t="array" ref="Y415">INDEX(N$3:N$700,MATCH($B415&amp;$C415&amp;"baseline",$B$3:$B$700&amp;$C$3:$C$700&amp;$D$3:$D$700,0))</f>
        <v>5.0845920837462408</v>
      </c>
      <c r="Z415">
        <f t="array" ref="Z415">INDEX(O$3:O$700,MATCH($B415&amp;$C415&amp;"baseline",$B$3:$B$700&amp;$C$3:$C$700&amp;$D$3:$D$700,0))</f>
        <v>16.655579370441945</v>
      </c>
      <c r="AA415">
        <f t="array" ref="AA415">INDEX(P$3:P$700,MATCH($B415&amp;$C415&amp;"baseline",$B$3:$B$700&amp;$C$3:$C$700&amp;$D$3:$D$700,0))</f>
        <v>4.1659870860719836</v>
      </c>
      <c r="AB415">
        <f t="array" ref="AB415">INDEX(Q$3:Q$700,MATCH($B415&amp;$C415&amp;"baseline",$B$3:$B$700&amp;$C$3:$C$700&amp;$D$3:$D$700,0))</f>
        <v>0</v>
      </c>
      <c r="AC415">
        <f t="shared" si="48"/>
        <v>475.11281184912553</v>
      </c>
      <c r="AD415">
        <f t="shared" si="49"/>
        <v>5.92589419142206</v>
      </c>
      <c r="AE415">
        <f t="shared" si="50"/>
        <v>-4.0523452306899799E-2</v>
      </c>
      <c r="AF415">
        <f t="shared" si="51"/>
        <v>1.2387312217932969</v>
      </c>
      <c r="AG415">
        <f>(S415+V415+Y415)*constants!$O$2+(R415+T415+U415+W415+X415+Z415+AA415+AB415)*constants!$N$2</f>
        <v>16.826714490445966</v>
      </c>
      <c r="AH415">
        <f>((S415+V415+Y415)-(H415+K415+N415))*constants!$O$2</f>
        <v>9.5999485901037365E-2</v>
      </c>
      <c r="AI415">
        <f>((R415+T415+U415+W415+X415+Z415+AA415+AB415)-(G415+I415+J415+L415+M415+O415+P415+Q415))*constants!$N$2</f>
        <v>-4.5791501106796778E-3</v>
      </c>
      <c r="AJ415">
        <f t="shared" si="52"/>
        <v>0.54330473035758231</v>
      </c>
      <c r="AK415">
        <f t="shared" si="53"/>
        <v>9.1420335790357687E-2</v>
      </c>
      <c r="AL415">
        <f>COUNTIFS($B:$B,$B415,$AK:$AK,"&lt;"&amp;$AK415)+COUNTIFS($B$2:$B415,$B415,$AK$2:$AK415,$AK415)</f>
        <v>7</v>
      </c>
      <c r="AM415" s="191">
        <f>IF(AK415=0, "NA",IF(((sim_annual_output!F415/E415)/AK415)&lt;0,100,((sim_annual_output!F415/E415)/AK415)))</f>
        <v>56.659687467894415</v>
      </c>
      <c r="AN415">
        <f>(S415+V415)*constants!$F$2+(T415+U415+W415+X415+Y415+Z415+AA415+AB415)*constants!$G$2</f>
        <v>143044.525606613</v>
      </c>
      <c r="AO415">
        <f>(AD415*constants!$F$2+AE415*constants!$G$2)</f>
        <v>1025.4796567575459</v>
      </c>
      <c r="AP415">
        <f t="shared" si="54"/>
        <v>0.71689542288232633</v>
      </c>
    </row>
    <row r="416" spans="1:42">
      <c r="A416">
        <f>sim_annual_output!B416</f>
        <v>19</v>
      </c>
      <c r="B416" t="str">
        <f>sim_annual_output!C416</f>
        <v>Recreation Center</v>
      </c>
      <c r="C416" t="str">
        <f>sim_annual_output!D416</f>
        <v>1980-2004</v>
      </c>
      <c r="D416" t="str">
        <f>sim_annual_output!E416</f>
        <v>boiler_reset</v>
      </c>
      <c r="E416" s="45">
        <f t="array" ref="E416">IFERROR(INDEX(baseline!$J$3:$J$201,MATCH($B416&amp;$C416,baseline!$C$3:$C$201&amp;baseline!$D$3:$D$201,0)),"NA")</f>
        <v>12612.73388</v>
      </c>
      <c r="F416">
        <f>sim_annual_output!G416</f>
        <v>12612.733881903199</v>
      </c>
      <c r="G416">
        <f>$E416/$F416^2*sim_annual_output!I416</f>
        <v>12.180821196683722</v>
      </c>
      <c r="H416">
        <f>$E416/$F416^2*sim_annual_output!J416</f>
        <v>319.97097705371249</v>
      </c>
      <c r="I416">
        <f>$E416/$F416^2*sim_annual_output!K416</f>
        <v>1.4654513676635113</v>
      </c>
      <c r="J416">
        <f>$E416/$F416^2*sim_annual_output!L416</f>
        <v>0</v>
      </c>
      <c r="K416">
        <f>$E416/$F416^2*sim_annual_output!M416</f>
        <v>23.394144969540303</v>
      </c>
      <c r="L416">
        <f>$E416/$F416^2*sim_annual_output!N416</f>
        <v>53.257286485876563</v>
      </c>
      <c r="M416">
        <f>$E416/$F416^2*sim_annual_output!O416</f>
        <v>6.608185796023994</v>
      </c>
      <c r="N416">
        <f>$E416/$F416^2*sim_annual_output!P416</f>
        <v>5.0845920837462408</v>
      </c>
      <c r="O416">
        <f>$E416/$F416^2*sim_annual_output!Q416</f>
        <v>16.655579370441945</v>
      </c>
      <c r="P416">
        <f>$E416/$F416^2*sim_annual_output!R416</f>
        <v>4.1902130629945846</v>
      </c>
      <c r="Q416">
        <f>$E416/$F416^2*sim_annual_output!S416</f>
        <v>0</v>
      </c>
      <c r="R416">
        <f t="array" ref="R416">INDEX(G$3:G$700,MATCH($B416&amp;$C416&amp;"baseline",$B$3:$B$700&amp;$C$3:$C$700&amp;$D$3:$D$700,0))</f>
        <v>12.284111952835538</v>
      </c>
      <c r="S416">
        <f t="array" ref="S416">INDEX(H$3:H$700,MATCH($B416&amp;$C416&amp;"baseline",$B$3:$B$700&amp;$C$3:$C$700&amp;$D$3:$D$700,0))</f>
        <v>352.31662049615386</v>
      </c>
      <c r="T416">
        <f t="array" ref="T416">INDEX(I$3:I$700,MATCH($B416&amp;$C416&amp;"baseline",$B$3:$B$700&amp;$C$3:$C$700&amp;$D$3:$D$700,0))</f>
        <v>1.3458631361273996</v>
      </c>
      <c r="U416">
        <f t="array" ref="U416">INDEX(J$3:J$700,MATCH($B416&amp;$C416&amp;"baseline",$B$3:$B$700&amp;$C$3:$C$700&amp;$D$3:$D$700,0))</f>
        <v>0</v>
      </c>
      <c r="V416">
        <f t="array" ref="V416">INDEX(K$3:K$700,MATCH($B416&amp;$C416&amp;"baseline",$B$3:$B$700&amp;$C$3:$C$700&amp;$D$3:$D$700,0))</f>
        <v>23.394585441847987</v>
      </c>
      <c r="W416">
        <f t="array" ref="W416">INDEX(L$3:L$700,MATCH($B416&amp;$C416&amp;"baseline",$B$3:$B$700&amp;$C$3:$C$700&amp;$D$3:$D$700,0))</f>
        <v>53.257286485876563</v>
      </c>
      <c r="X416">
        <f t="array" ref="X416">INDEX(M$3:M$700,MATCH($B416&amp;$C416&amp;"baseline",$B$3:$B$700&amp;$C$3:$C$700&amp;$D$3:$D$700,0))</f>
        <v>6.608185796023994</v>
      </c>
      <c r="Y416">
        <f t="array" ref="Y416">INDEX(N$3:N$700,MATCH($B416&amp;$C416&amp;"baseline",$B$3:$B$700&amp;$C$3:$C$700&amp;$D$3:$D$700,0))</f>
        <v>5.0845920837462408</v>
      </c>
      <c r="Z416">
        <f t="array" ref="Z416">INDEX(O$3:O$700,MATCH($B416&amp;$C416&amp;"baseline",$B$3:$B$700&amp;$C$3:$C$700&amp;$D$3:$D$700,0))</f>
        <v>16.655579370441945</v>
      </c>
      <c r="AA416">
        <f t="array" ref="AA416">INDEX(P$3:P$700,MATCH($B416&amp;$C416&amp;"baseline",$B$3:$B$700&amp;$C$3:$C$700&amp;$D$3:$D$700,0))</f>
        <v>4.1659870860719836</v>
      </c>
      <c r="AB416">
        <f t="array" ref="AB416">INDEX(Q$3:Q$700,MATCH($B416&amp;$C416&amp;"baseline",$B$3:$B$700&amp;$C$3:$C$700&amp;$D$3:$D$700,0))</f>
        <v>0</v>
      </c>
      <c r="AC416">
        <f t="shared" si="48"/>
        <v>475.11281184912553</v>
      </c>
      <c r="AD416">
        <f t="shared" si="49"/>
        <v>32.346083914749045</v>
      </c>
      <c r="AE416">
        <f t="shared" si="50"/>
        <v>-4.0523452306899799E-2</v>
      </c>
      <c r="AF416">
        <f t="shared" si="51"/>
        <v>6.7995557385013088</v>
      </c>
      <c r="AG416">
        <f>(S416+V416+Y416)*constants!$O$2+(R416+T416+U416+W416+X416+Z416+AA416+AB416)*constants!$N$2</f>
        <v>16.826714490445966</v>
      </c>
      <c r="AH416">
        <f>((S416+V416+Y416)-(H416+K416+N416))*constants!$O$2</f>
        <v>0.52400655941893448</v>
      </c>
      <c r="AI416">
        <f>((R416+T416+U416+W416+X416+Z416+AA416+AB416)-(G416+I416+J416+L416+M416+O416+P416+Q416))*constants!$N$2</f>
        <v>-4.5791501106796778E-3</v>
      </c>
      <c r="AJ416">
        <f t="shared" si="52"/>
        <v>3.0869211550667264</v>
      </c>
      <c r="AK416">
        <f t="shared" si="53"/>
        <v>0.51942740930825482</v>
      </c>
      <c r="AL416">
        <f>COUNTIFS($B:$B,$B416,$AK:$AK,"&lt;"&amp;$AK416)+COUNTIFS($B$2:$B416,$B416,$AK$2:$AK416,$AK416)</f>
        <v>16</v>
      </c>
      <c r="AM416" s="191">
        <f>IF(AK416=0, "NA",IF(((sim_annual_output!F416/E416)/AK416)&lt;0,100,((sim_annual_output!F416/E416)/AK416)))</f>
        <v>0.14182160223384113</v>
      </c>
      <c r="AN416">
        <f>(S416+V416)*constants!$F$2+(T416+U416+W416+X416+Y416+Z416+AA416+AB416)*constants!$G$2</f>
        <v>143044.525606613</v>
      </c>
      <c r="AO416">
        <f>(AD416*constants!$F$2+AE416*constants!$G$2)</f>
        <v>5754.6936172330761</v>
      </c>
      <c r="AP416">
        <f t="shared" si="54"/>
        <v>4.0230086351288055</v>
      </c>
    </row>
    <row r="417" spans="1:42">
      <c r="A417">
        <f>sim_annual_output!B417</f>
        <v>19</v>
      </c>
      <c r="B417" t="str">
        <f>sim_annual_output!C417</f>
        <v>Recreation Center</v>
      </c>
      <c r="C417" t="str">
        <f>sim_annual_output!D417</f>
        <v>1980-2004</v>
      </c>
      <c r="D417" t="str">
        <f>sim_annual_output!E417</f>
        <v>cooling_cop_3_0</v>
      </c>
      <c r="E417" s="45">
        <f t="array" ref="E417">IFERROR(INDEX(baseline!$J$3:$J$201,MATCH($B417&amp;$C417,baseline!$C$3:$C$201&amp;baseline!$D$3:$D$201,0)),"NA")</f>
        <v>12612.73388</v>
      </c>
      <c r="F417">
        <f>sim_annual_output!G417</f>
        <v>12612.733881903199</v>
      </c>
      <c r="G417">
        <f>$E417/$F417^2*sim_annual_output!I417</f>
        <v>12.180821196683722</v>
      </c>
      <c r="H417">
        <f>$E417/$F417^2*sim_annual_output!J417</f>
        <v>346.39116677703947</v>
      </c>
      <c r="I417">
        <f>$E417/$F417^2*sim_annual_output!K417</f>
        <v>1.2562270215137763</v>
      </c>
      <c r="J417">
        <f>$E417/$F417^2*sim_annual_output!L417</f>
        <v>0</v>
      </c>
      <c r="K417">
        <f>$E417/$F417^2*sim_annual_output!M417</f>
        <v>23.394144969540303</v>
      </c>
      <c r="L417">
        <f>$E417/$F417^2*sim_annual_output!N417</f>
        <v>53.257286485876563</v>
      </c>
      <c r="M417">
        <f>$E417/$F417^2*sim_annual_output!O417</f>
        <v>6.608185796023994</v>
      </c>
      <c r="N417">
        <f>$E417/$F417^2*sim_annual_output!P417</f>
        <v>5.0845920837462408</v>
      </c>
      <c r="O417">
        <f>$E417/$F417^2*sim_annual_output!Q417</f>
        <v>16.655579370441945</v>
      </c>
      <c r="P417">
        <f>$E417/$F417^2*sim_annual_output!R417</f>
        <v>4.1902130629945846</v>
      </c>
      <c r="Q417">
        <f>$E417/$F417^2*sim_annual_output!S417</f>
        <v>0</v>
      </c>
      <c r="R417">
        <f t="array" ref="R417">INDEX(G$3:G$700,MATCH($B417&amp;$C417&amp;"baseline",$B$3:$B$700&amp;$C$3:$C$700&amp;$D$3:$D$700,0))</f>
        <v>12.284111952835538</v>
      </c>
      <c r="S417">
        <f t="array" ref="S417">INDEX(H$3:H$700,MATCH($B417&amp;$C417&amp;"baseline",$B$3:$B$700&amp;$C$3:$C$700&amp;$D$3:$D$700,0))</f>
        <v>352.31662049615386</v>
      </c>
      <c r="T417">
        <f t="array" ref="T417">INDEX(I$3:I$700,MATCH($B417&amp;$C417&amp;"baseline",$B$3:$B$700&amp;$C$3:$C$700&amp;$D$3:$D$700,0))</f>
        <v>1.3458631361273996</v>
      </c>
      <c r="U417">
        <f t="array" ref="U417">INDEX(J$3:J$700,MATCH($B417&amp;$C417&amp;"baseline",$B$3:$B$700&amp;$C$3:$C$700&amp;$D$3:$D$700,0))</f>
        <v>0</v>
      </c>
      <c r="V417">
        <f t="array" ref="V417">INDEX(K$3:K$700,MATCH($B417&amp;$C417&amp;"baseline",$B$3:$B$700&amp;$C$3:$C$700&amp;$D$3:$D$700,0))</f>
        <v>23.394585441847987</v>
      </c>
      <c r="W417">
        <f t="array" ref="W417">INDEX(L$3:L$700,MATCH($B417&amp;$C417&amp;"baseline",$B$3:$B$700&amp;$C$3:$C$700&amp;$D$3:$D$700,0))</f>
        <v>53.257286485876563</v>
      </c>
      <c r="X417">
        <f t="array" ref="X417">INDEX(M$3:M$700,MATCH($B417&amp;$C417&amp;"baseline",$B$3:$B$700&amp;$C$3:$C$700&amp;$D$3:$D$700,0))</f>
        <v>6.608185796023994</v>
      </c>
      <c r="Y417">
        <f t="array" ref="Y417">INDEX(N$3:N$700,MATCH($B417&amp;$C417&amp;"baseline",$B$3:$B$700&amp;$C$3:$C$700&amp;$D$3:$D$700,0))</f>
        <v>5.0845920837462408</v>
      </c>
      <c r="Z417">
        <f t="array" ref="Z417">INDEX(O$3:O$700,MATCH($B417&amp;$C417&amp;"baseline",$B$3:$B$700&amp;$C$3:$C$700&amp;$D$3:$D$700,0))</f>
        <v>16.655579370441945</v>
      </c>
      <c r="AA417">
        <f t="array" ref="AA417">INDEX(P$3:P$700,MATCH($B417&amp;$C417&amp;"baseline",$B$3:$B$700&amp;$C$3:$C$700&amp;$D$3:$D$700,0))</f>
        <v>4.1659870860719836</v>
      </c>
      <c r="AB417">
        <f t="array" ref="AB417">INDEX(Q$3:Q$700,MATCH($B417&amp;$C417&amp;"baseline",$B$3:$B$700&amp;$C$3:$C$700&amp;$D$3:$D$700,0))</f>
        <v>0</v>
      </c>
      <c r="AC417">
        <f t="shared" si="48"/>
        <v>475.11281184912553</v>
      </c>
      <c r="AD417">
        <f t="shared" si="49"/>
        <v>5.92589419142206</v>
      </c>
      <c r="AE417">
        <f t="shared" si="50"/>
        <v>0.16870089384282494</v>
      </c>
      <c r="AF417">
        <f t="shared" si="51"/>
        <v>1.2827679938886292</v>
      </c>
      <c r="AG417">
        <f>(S417+V417+Y417)*constants!$O$2+(R417+T417+U417+W417+X417+Z417+AA417+AB417)*constants!$N$2</f>
        <v>16.826714490445966</v>
      </c>
      <c r="AH417">
        <f>((S417+V417+Y417)-(H417+K417+N417))*constants!$O$2</f>
        <v>9.5999485901037365E-2</v>
      </c>
      <c r="AI417">
        <f>((R417+T417+U417+W417+X417+Z417+AA417+AB417)-(G417+I417+J417+L417+M417+O417+P417+Q417))*constants!$N$2</f>
        <v>1.9063201004239218E-2</v>
      </c>
      <c r="AJ417">
        <f t="shared" si="52"/>
        <v>0.6838095872525084</v>
      </c>
      <c r="AK417">
        <f t="shared" si="53"/>
        <v>0.11506268690527659</v>
      </c>
      <c r="AL417">
        <f>COUNTIFS($B:$B,$B417,$AK:$AK,"&lt;"&amp;$AK417)+COUNTIFS($B$2:$B417,$B417,$AK$2:$AK417,$AK417)</f>
        <v>11</v>
      </c>
      <c r="AM417" s="191">
        <f>IF(AK417=0, "NA",IF(((sim_annual_output!F417/E417)/AK417)&lt;0,100,((sim_annual_output!F417/E417)/AK417)))</f>
        <v>29.887089809829032</v>
      </c>
      <c r="AN417">
        <f>(S417+V417)*constants!$F$2+(T417+U417+W417+X417+Y417+Z417+AA417+AB417)*constants!$G$2</f>
        <v>143044.525606613</v>
      </c>
      <c r="AO417">
        <f>(AD417*constants!$F$2+AE417*constants!$G$2)</f>
        <v>1207.5048379078064</v>
      </c>
      <c r="AP417">
        <f t="shared" si="54"/>
        <v>0.84414613756598256</v>
      </c>
    </row>
    <row r="418" spans="1:42">
      <c r="A418">
        <f>sim_annual_output!B418</f>
        <v>19</v>
      </c>
      <c r="B418" t="str">
        <f>sim_annual_output!C418</f>
        <v>Recreation Center</v>
      </c>
      <c r="C418" t="str">
        <f>sim_annual_output!D418</f>
        <v>1980-2004</v>
      </c>
      <c r="D418" t="str">
        <f>sim_annual_output!E418</f>
        <v>dcv_enabled</v>
      </c>
      <c r="E418" s="45">
        <f t="array" ref="E418">IFERROR(INDEX(baseline!$J$3:$J$201,MATCH($B418&amp;$C418,baseline!$C$3:$C$201&amp;baseline!$D$3:$D$201,0)),"NA")</f>
        <v>12612.73388</v>
      </c>
      <c r="F418">
        <f>sim_annual_output!G418</f>
        <v>12612.733881903199</v>
      </c>
      <c r="G418">
        <f>$E418/$F418^2*sim_annual_output!I418</f>
        <v>11.824479099767649</v>
      </c>
      <c r="H418">
        <f>$E418/$F418^2*sim_annual_output!J418</f>
        <v>252.09419443966169</v>
      </c>
      <c r="I418">
        <f>$E418/$F418^2*sim_annual_output!K418</f>
        <v>2.4505676837979995</v>
      </c>
      <c r="J418">
        <f>$E418/$F418^2*sim_annual_output!L418</f>
        <v>0</v>
      </c>
      <c r="K418">
        <f>$E418/$F418^2*sim_annual_output!M418</f>
        <v>23.393704497232616</v>
      </c>
      <c r="L418">
        <f>$E418/$F418^2*sim_annual_output!N418</f>
        <v>53.257286485876563</v>
      </c>
      <c r="M418">
        <f>$E418/$F418^2*sim_annual_output!O418</f>
        <v>6.608185796023994</v>
      </c>
      <c r="N418">
        <f>$E418/$F418^2*sim_annual_output!P418</f>
        <v>5.0845920837462408</v>
      </c>
      <c r="O418">
        <f>$E418/$F418^2*sim_annual_output!Q418</f>
        <v>16.655579370441945</v>
      </c>
      <c r="P418">
        <f>$E418/$F418^2*sim_annual_output!R418</f>
        <v>4.1869095206869575</v>
      </c>
      <c r="Q418">
        <f>$E418/$F418^2*sim_annual_output!S418</f>
        <v>0</v>
      </c>
      <c r="R418">
        <f t="array" ref="R418">INDEX(G$3:G$700,MATCH($B418&amp;$C418&amp;"baseline",$B$3:$B$700&amp;$C$3:$C$700&amp;$D$3:$D$700,0))</f>
        <v>12.284111952835538</v>
      </c>
      <c r="S418">
        <f t="array" ref="S418">INDEX(H$3:H$700,MATCH($B418&amp;$C418&amp;"baseline",$B$3:$B$700&amp;$C$3:$C$700&amp;$D$3:$D$700,0))</f>
        <v>352.31662049615386</v>
      </c>
      <c r="T418">
        <f t="array" ref="T418">INDEX(I$3:I$700,MATCH($B418&amp;$C418&amp;"baseline",$B$3:$B$700&amp;$C$3:$C$700&amp;$D$3:$D$700,0))</f>
        <v>1.3458631361273996</v>
      </c>
      <c r="U418">
        <f t="array" ref="U418">INDEX(J$3:J$700,MATCH($B418&amp;$C418&amp;"baseline",$B$3:$B$700&amp;$C$3:$C$700&amp;$D$3:$D$700,0))</f>
        <v>0</v>
      </c>
      <c r="V418">
        <f t="array" ref="V418">INDEX(K$3:K$700,MATCH($B418&amp;$C418&amp;"baseline",$B$3:$B$700&amp;$C$3:$C$700&amp;$D$3:$D$700,0))</f>
        <v>23.394585441847987</v>
      </c>
      <c r="W418">
        <f t="array" ref="W418">INDEX(L$3:L$700,MATCH($B418&amp;$C418&amp;"baseline",$B$3:$B$700&amp;$C$3:$C$700&amp;$D$3:$D$700,0))</f>
        <v>53.257286485876563</v>
      </c>
      <c r="X418">
        <f t="array" ref="X418">INDEX(M$3:M$700,MATCH($B418&amp;$C418&amp;"baseline",$B$3:$B$700&amp;$C$3:$C$700&amp;$D$3:$D$700,0))</f>
        <v>6.608185796023994</v>
      </c>
      <c r="Y418">
        <f t="array" ref="Y418">INDEX(N$3:N$700,MATCH($B418&amp;$C418&amp;"baseline",$B$3:$B$700&amp;$C$3:$C$700&amp;$D$3:$D$700,0))</f>
        <v>5.0845920837462408</v>
      </c>
      <c r="Z418">
        <f t="array" ref="Z418">INDEX(O$3:O$700,MATCH($B418&amp;$C418&amp;"baseline",$B$3:$B$700&amp;$C$3:$C$700&amp;$D$3:$D$700,0))</f>
        <v>16.655579370441945</v>
      </c>
      <c r="AA418">
        <f t="array" ref="AA418">INDEX(P$3:P$700,MATCH($B418&amp;$C418&amp;"baseline",$B$3:$B$700&amp;$C$3:$C$700&amp;$D$3:$D$700,0))</f>
        <v>4.1659870860719836</v>
      </c>
      <c r="AB418">
        <f t="array" ref="AB418">INDEX(Q$3:Q$700,MATCH($B418&amp;$C418&amp;"baseline",$B$3:$B$700&amp;$C$3:$C$700&amp;$D$3:$D$700,0))</f>
        <v>0</v>
      </c>
      <c r="AC418">
        <f t="shared" si="48"/>
        <v>475.11281184912553</v>
      </c>
      <c r="AD418">
        <f t="shared" si="49"/>
        <v>100.22330700110757</v>
      </c>
      <c r="AE418">
        <f t="shared" si="50"/>
        <v>-0.66599412921767964</v>
      </c>
      <c r="AF418">
        <f t="shared" si="51"/>
        <v>20.954457633843983</v>
      </c>
      <c r="AG418">
        <f>(S418+V418+Y418)*constants!$O$2+(R418+T418+U418+W418+X418+Z418+AA418+AB418)*constants!$N$2</f>
        <v>16.826714490445966</v>
      </c>
      <c r="AH418">
        <f>((S418+V418+Y418)-(H418+K418+N418))*constants!$O$2</f>
        <v>1.6236175734179426</v>
      </c>
      <c r="AI418">
        <f>((R418+T418+U418+W418+X418+Z418+AA418+AB418)-(G418+I418+J418+L418+M418+O418+P418+Q418))*constants!$N$2</f>
        <v>-7.5257336601597807E-2</v>
      </c>
      <c r="AJ418">
        <f t="shared" si="52"/>
        <v>9.2017977585314572</v>
      </c>
      <c r="AK418">
        <f t="shared" si="53"/>
        <v>1.5483602368163447</v>
      </c>
      <c r="AL418">
        <f>COUNTIFS($B:$B,$B418,$AK:$AK,"&lt;"&amp;$AK418)+COUNTIFS($B$2:$B418,$B418,$AK$2:$AK418,$AK418)</f>
        <v>19</v>
      </c>
      <c r="AM418" s="191">
        <f>IF(AK418=0, "NA",IF(((sim_annual_output!F418/E418)/AK418)&lt;0,100,((sim_annual_output!F418/E418)/AK418)))</f>
        <v>1.3633654653715828</v>
      </c>
      <c r="AN418">
        <f>(S418+V418)*constants!$F$2+(T418+U418+W418+X418+Y418+Z418+AA418+AB418)*constants!$G$2</f>
        <v>143044.525606613</v>
      </c>
      <c r="AO418">
        <f>(AD418*constants!$F$2+AE418*constants!$G$2)</f>
        <v>17360.557060778876</v>
      </c>
      <c r="AP418">
        <f t="shared" si="54"/>
        <v>12.136470785692403</v>
      </c>
    </row>
    <row r="419" spans="1:42">
      <c r="A419">
        <f>sim_annual_output!B419</f>
        <v>19</v>
      </c>
      <c r="B419" t="str">
        <f>sim_annual_output!C419</f>
        <v>Recreation Center</v>
      </c>
      <c r="C419" t="str">
        <f>sim_annual_output!D419</f>
        <v>1980-2004</v>
      </c>
      <c r="D419" t="str">
        <f>sim_annual_output!E419</f>
        <v>ecm_cold_deck_reset_control</v>
      </c>
      <c r="E419" s="45">
        <f t="array" ref="E419">IFERROR(INDEX(baseline!$J$3:$J$201,MATCH($B419&amp;$C419,baseline!$C$3:$C$201&amp;baseline!$D$3:$D$201,0)),"NA")</f>
        <v>12612.73388</v>
      </c>
      <c r="F419">
        <f>sim_annual_output!G419</f>
        <v>12612.733881903199</v>
      </c>
      <c r="G419">
        <f>$E419/$F419^2*sim_annual_output!I419</f>
        <v>12.372867122833794</v>
      </c>
      <c r="H419">
        <f>$E419/$F419^2*sim_annual_output!J419</f>
        <v>344.75833593245625</v>
      </c>
      <c r="I419">
        <f>$E419/$F419^2*sim_annual_output!K419</f>
        <v>1.3956365068956524</v>
      </c>
      <c r="J419">
        <f>$E419/$F419^2*sim_annual_output!L419</f>
        <v>0</v>
      </c>
      <c r="K419">
        <f>$E419/$F419^2*sim_annual_output!M419</f>
        <v>23.393924733386459</v>
      </c>
      <c r="L419">
        <f>$E419/$F419^2*sim_annual_output!N419</f>
        <v>53.257286485876563</v>
      </c>
      <c r="M419">
        <f>$E419/$F419^2*sim_annual_output!O419</f>
        <v>6.608185796023994</v>
      </c>
      <c r="N419">
        <f>$E419/$F419^2*sim_annual_output!P419</f>
        <v>5.0845920837462408</v>
      </c>
      <c r="O419">
        <f>$E419/$F419^2*sim_annual_output!Q419</f>
        <v>16.655579370441945</v>
      </c>
      <c r="P419">
        <f>$E419/$F419^2*sim_annual_output!R419</f>
        <v>4.1895523545330589</v>
      </c>
      <c r="Q419">
        <f>$E419/$F419^2*sim_annual_output!S419</f>
        <v>0</v>
      </c>
      <c r="R419">
        <f t="array" ref="R419">INDEX(G$3:G$700,MATCH($B419&amp;$C419&amp;"baseline",$B$3:$B$700&amp;$C$3:$C$700&amp;$D$3:$D$700,0))</f>
        <v>12.284111952835538</v>
      </c>
      <c r="S419">
        <f t="array" ref="S419">INDEX(H$3:H$700,MATCH($B419&amp;$C419&amp;"baseline",$B$3:$B$700&amp;$C$3:$C$700&amp;$D$3:$D$700,0))</f>
        <v>352.31662049615386</v>
      </c>
      <c r="T419">
        <f t="array" ref="T419">INDEX(I$3:I$700,MATCH($B419&amp;$C419&amp;"baseline",$B$3:$B$700&amp;$C$3:$C$700&amp;$D$3:$D$700,0))</f>
        <v>1.3458631361273996</v>
      </c>
      <c r="U419">
        <f t="array" ref="U419">INDEX(J$3:J$700,MATCH($B419&amp;$C419&amp;"baseline",$B$3:$B$700&amp;$C$3:$C$700&amp;$D$3:$D$700,0))</f>
        <v>0</v>
      </c>
      <c r="V419">
        <f t="array" ref="V419">INDEX(K$3:K$700,MATCH($B419&amp;$C419&amp;"baseline",$B$3:$B$700&amp;$C$3:$C$700&amp;$D$3:$D$700,0))</f>
        <v>23.394585441847987</v>
      </c>
      <c r="W419">
        <f t="array" ref="W419">INDEX(L$3:L$700,MATCH($B419&amp;$C419&amp;"baseline",$B$3:$B$700&amp;$C$3:$C$700&amp;$D$3:$D$700,0))</f>
        <v>53.257286485876563</v>
      </c>
      <c r="X419">
        <f t="array" ref="X419">INDEX(M$3:M$700,MATCH($B419&amp;$C419&amp;"baseline",$B$3:$B$700&amp;$C$3:$C$700&amp;$D$3:$D$700,0))</f>
        <v>6.608185796023994</v>
      </c>
      <c r="Y419">
        <f t="array" ref="Y419">INDEX(N$3:N$700,MATCH($B419&amp;$C419&amp;"baseline",$B$3:$B$700&amp;$C$3:$C$700&amp;$D$3:$D$700,0))</f>
        <v>5.0845920837462408</v>
      </c>
      <c r="Z419">
        <f t="array" ref="Z419">INDEX(O$3:O$700,MATCH($B419&amp;$C419&amp;"baseline",$B$3:$B$700&amp;$C$3:$C$700&amp;$D$3:$D$700,0))</f>
        <v>16.655579370441945</v>
      </c>
      <c r="AA419">
        <f t="array" ref="AA419">INDEX(P$3:P$700,MATCH($B419&amp;$C419&amp;"baseline",$B$3:$B$700&amp;$C$3:$C$700&amp;$D$3:$D$700,0))</f>
        <v>4.1659870860719836</v>
      </c>
      <c r="AB419">
        <f t="array" ref="AB419">INDEX(Q$3:Q$700,MATCH($B419&amp;$C419&amp;"baseline",$B$3:$B$700&amp;$C$3:$C$700&amp;$D$3:$D$700,0))</f>
        <v>0</v>
      </c>
      <c r="AC419">
        <f t="shared" si="48"/>
        <v>475.11281184912553</v>
      </c>
      <c r="AD419">
        <f t="shared" si="49"/>
        <v>7.5589452721591215</v>
      </c>
      <c r="AE419">
        <f t="shared" si="50"/>
        <v>-0.16209380922759919</v>
      </c>
      <c r="AF419">
        <f t="shared" si="51"/>
        <v>1.5568621343093625</v>
      </c>
      <c r="AG419">
        <f>(S419+V419+Y419)*constants!$O$2+(R419+T419+U419+W419+X419+Z419+AA419+AB419)*constants!$N$2</f>
        <v>16.826714490445966</v>
      </c>
      <c r="AH419">
        <f>((S419+V419+Y419)-(H419+K419+N419))*constants!$O$2</f>
        <v>0.12245491340897777</v>
      </c>
      <c r="AI419">
        <f>((R419+T419+U419+W419+X419+Z419+AA419+AB419)-(G419+I419+J419+L419+M419+O419+P419+Q419))*constants!$N$2</f>
        <v>-1.8316600442718711E-2</v>
      </c>
      <c r="AJ419">
        <f t="shared" si="52"/>
        <v>0.61888678877500247</v>
      </c>
      <c r="AK419">
        <f t="shared" si="53"/>
        <v>0.10413831296625906</v>
      </c>
      <c r="AL419">
        <f>COUNTIFS($B:$B,$B419,$AK:$AK,"&lt;"&amp;$AK419)+COUNTIFS($B$2:$B419,$B419,$AK$2:$AK419,$AK419)</f>
        <v>9</v>
      </c>
      <c r="AM419" s="191">
        <f>IF(AK419=0, "NA",IF(((sim_annual_output!F419/E419)/AK419)&lt;0,100,((sim_annual_output!F419/E419)/AK419)))</f>
        <v>24.090217690535152</v>
      </c>
      <c r="AN419">
        <f>(S419+V419)*constants!$F$2+(T419+U419+W419+X419+Y419+Z419+AA419+AB419)*constants!$G$2</f>
        <v>143044.525606613</v>
      </c>
      <c r="AO419">
        <f>(AD419*constants!$F$2+AE419*constants!$G$2)</f>
        <v>1212.0295896884713</v>
      </c>
      <c r="AP419">
        <f t="shared" si="54"/>
        <v>0.84730931473859827</v>
      </c>
    </row>
    <row r="420" spans="1:42">
      <c r="A420">
        <f>sim_annual_output!B420</f>
        <v>19</v>
      </c>
      <c r="B420" t="str">
        <f>sim_annual_output!C420</f>
        <v>Recreation Center</v>
      </c>
      <c r="C420" t="str">
        <f>sim_annual_output!D420</f>
        <v>1980-2004</v>
      </c>
      <c r="D420" t="str">
        <f>sim_annual_output!E420</f>
        <v>economizers_enabled</v>
      </c>
      <c r="E420" s="45">
        <f t="array" ref="E420">IFERROR(INDEX(baseline!$J$3:$J$201,MATCH($B420&amp;$C420,baseline!$C$3:$C$201&amp;baseline!$D$3:$D$201,0)),"NA")</f>
        <v>12612.73388</v>
      </c>
      <c r="F420">
        <f>sim_annual_output!G420</f>
        <v>12612.733881903199</v>
      </c>
      <c r="G420">
        <f>$E420/$F420^2*sim_annual_output!I420</f>
        <v>12.184124738991349</v>
      </c>
      <c r="H420">
        <f>$E420/$F420^2*sim_annual_output!J420</f>
        <v>346.48917186549915</v>
      </c>
      <c r="I420">
        <f>$E420/$F420^2*sim_annual_output!K420</f>
        <v>1.4350587784333395</v>
      </c>
      <c r="J420">
        <f>$E420/$F420^2*sim_annual_output!L420</f>
        <v>0</v>
      </c>
      <c r="K420">
        <f>$E420/$F420^2*sim_annual_output!M420</f>
        <v>23.394144969540303</v>
      </c>
      <c r="L420">
        <f>$E420/$F420^2*sim_annual_output!N420</f>
        <v>53.257286485876563</v>
      </c>
      <c r="M420">
        <f>$E420/$F420^2*sim_annual_output!O420</f>
        <v>6.608185796023994</v>
      </c>
      <c r="N420">
        <f>$E420/$F420^2*sim_annual_output!P420</f>
        <v>5.0845920837462408</v>
      </c>
      <c r="O420">
        <f>$E420/$F420^2*sim_annual_output!Q420</f>
        <v>16.655579370441945</v>
      </c>
      <c r="P420">
        <f>$E420/$F420^2*sim_annual_output!R420</f>
        <v>4.1721536983795549</v>
      </c>
      <c r="Q420">
        <f>$E420/$F420^2*sim_annual_output!S420</f>
        <v>0</v>
      </c>
      <c r="R420">
        <f t="array" ref="R420">INDEX(G$3:G$700,MATCH($B420&amp;$C420&amp;"baseline",$B$3:$B$700&amp;$C$3:$C$700&amp;$D$3:$D$700,0))</f>
        <v>12.284111952835538</v>
      </c>
      <c r="S420">
        <f t="array" ref="S420">INDEX(H$3:H$700,MATCH($B420&amp;$C420&amp;"baseline",$B$3:$B$700&amp;$C$3:$C$700&amp;$D$3:$D$700,0))</f>
        <v>352.31662049615386</v>
      </c>
      <c r="T420">
        <f t="array" ref="T420">INDEX(I$3:I$700,MATCH($B420&amp;$C420&amp;"baseline",$B$3:$B$700&amp;$C$3:$C$700&amp;$D$3:$D$700,0))</f>
        <v>1.3458631361273996</v>
      </c>
      <c r="U420">
        <f t="array" ref="U420">INDEX(J$3:J$700,MATCH($B420&amp;$C420&amp;"baseline",$B$3:$B$700&amp;$C$3:$C$700&amp;$D$3:$D$700,0))</f>
        <v>0</v>
      </c>
      <c r="V420">
        <f t="array" ref="V420">INDEX(K$3:K$700,MATCH($B420&amp;$C420&amp;"baseline",$B$3:$B$700&amp;$C$3:$C$700&amp;$D$3:$D$700,0))</f>
        <v>23.394585441847987</v>
      </c>
      <c r="W420">
        <f t="array" ref="W420">INDEX(L$3:L$700,MATCH($B420&amp;$C420&amp;"baseline",$B$3:$B$700&amp;$C$3:$C$700&amp;$D$3:$D$700,0))</f>
        <v>53.257286485876563</v>
      </c>
      <c r="X420">
        <f t="array" ref="X420">INDEX(M$3:M$700,MATCH($B420&amp;$C420&amp;"baseline",$B$3:$B$700&amp;$C$3:$C$700&amp;$D$3:$D$700,0))</f>
        <v>6.608185796023994</v>
      </c>
      <c r="Y420">
        <f t="array" ref="Y420">INDEX(N$3:N$700,MATCH($B420&amp;$C420&amp;"baseline",$B$3:$B$700&amp;$C$3:$C$700&amp;$D$3:$D$700,0))</f>
        <v>5.0845920837462408</v>
      </c>
      <c r="Z420">
        <f t="array" ref="Z420">INDEX(O$3:O$700,MATCH($B420&amp;$C420&amp;"baseline",$B$3:$B$700&amp;$C$3:$C$700&amp;$D$3:$D$700,0))</f>
        <v>16.655579370441945</v>
      </c>
      <c r="AA420">
        <f t="array" ref="AA420">INDEX(P$3:P$700,MATCH($B420&amp;$C420&amp;"baseline",$B$3:$B$700&amp;$C$3:$C$700&amp;$D$3:$D$700,0))</f>
        <v>4.1659870860719836</v>
      </c>
      <c r="AB420">
        <f t="array" ref="AB420">INDEX(Q$3:Q$700,MATCH($B420&amp;$C420&amp;"baseline",$B$3:$B$700&amp;$C$3:$C$700&amp;$D$3:$D$700,0))</f>
        <v>0</v>
      </c>
      <c r="AC420">
        <f t="shared" si="48"/>
        <v>475.11281184912553</v>
      </c>
      <c r="AD420">
        <f t="shared" si="49"/>
        <v>5.8278891029623878</v>
      </c>
      <c r="AE420">
        <f t="shared" si="50"/>
        <v>4.6249592306679688E-3</v>
      </c>
      <c r="AF420">
        <f t="shared" si="51"/>
        <v>1.227606142527093</v>
      </c>
      <c r="AG420">
        <f>(S420+V420+Y420)*constants!$O$2+(R420+T420+U420+W420+X420+Z420+AA420+AB420)*constants!$N$2</f>
        <v>16.826714490445966</v>
      </c>
      <c r="AH420">
        <f>((S420+V420+Y420)-(H420+K420+N420))*constants!$O$2</f>
        <v>9.4411803467990676E-2</v>
      </c>
      <c r="AI420">
        <f>((R420+T420+U420+W420+X420+Z420+AA420+AB420)-(G420+I420+J420+L420+M420+O420+P420+Q420))*constants!$N$2</f>
        <v>5.2262039306548045E-4</v>
      </c>
      <c r="AJ420">
        <f t="shared" si="52"/>
        <v>0.56418871262692982</v>
      </c>
      <c r="AK420">
        <f t="shared" si="53"/>
        <v>9.4934423861056161E-2</v>
      </c>
      <c r="AL420">
        <f>COUNTIFS($B:$B,$B420,$AK:$AK,"&lt;"&amp;$AK420)+COUNTIFS($B$2:$B420,$B420,$AK$2:$AK420,$AK420)</f>
        <v>8</v>
      </c>
      <c r="AM420" s="191">
        <f>IF(AK420=0, "NA",IF(((sim_annual_output!F420/E420)/AK420)&lt;0,100,((sim_annual_output!F420/E420)/AK420)))</f>
        <v>6.8839482328666888</v>
      </c>
      <c r="AN420">
        <f>(S420+V420)*constants!$F$2+(T420+U420+W420+X420+Y420+Z420+AA420+AB420)*constants!$G$2</f>
        <v>143044.525606613</v>
      </c>
      <c r="AO420">
        <f>(AD420*constants!$F$2+AE420*constants!$G$2)</f>
        <v>1047.2158639609486</v>
      </c>
      <c r="AP420">
        <f t="shared" si="54"/>
        <v>0.73209083641613715</v>
      </c>
    </row>
    <row r="421" spans="1:42">
      <c r="A421">
        <f>sim_annual_output!B421</f>
        <v>19</v>
      </c>
      <c r="B421" t="str">
        <f>sim_annual_output!C421</f>
        <v>Recreation Center</v>
      </c>
      <c r="C421" t="str">
        <f>sim_annual_output!D421</f>
        <v>1980-2004</v>
      </c>
      <c r="D421" t="str">
        <f>sim_annual_output!E421</f>
        <v>elec_reduce</v>
      </c>
      <c r="E421" s="45">
        <f t="array" ref="E421">IFERROR(INDEX(baseline!$J$3:$J$201,MATCH($B421&amp;$C421,baseline!$C$3:$C$201&amp;baseline!$D$3:$D$201,0)),"NA")</f>
        <v>12612.73388</v>
      </c>
      <c r="F421">
        <f>sim_annual_output!G421</f>
        <v>12612.733881903199</v>
      </c>
      <c r="G421">
        <f>$E421/$F421^2*sim_annual_output!I421</f>
        <v>12.889541139746717</v>
      </c>
      <c r="H421">
        <f>$E421/$F421^2*sim_annual_output!J421</f>
        <v>263.43723730713111</v>
      </c>
      <c r="I421">
        <f>$E421/$F421^2*sim_annual_output!K421</f>
        <v>2.1691058791881459</v>
      </c>
      <c r="J421">
        <f>$E421/$F421^2*sim_annual_output!L421</f>
        <v>0</v>
      </c>
      <c r="K421">
        <f>$E421/$F421^2*sim_annual_output!M421</f>
        <v>23.394805678001827</v>
      </c>
      <c r="L421">
        <f>$E421/$F421^2*sim_annual_output!N421</f>
        <v>37.280034469267441</v>
      </c>
      <c r="M421">
        <f>$E421/$F421^2*sim_annual_output!O421</f>
        <v>6.608185796023994</v>
      </c>
      <c r="N421">
        <f>$E421/$F421^2*sim_annual_output!P421</f>
        <v>5.0845920837462408</v>
      </c>
      <c r="O421">
        <f>$E421/$F421^2*sim_annual_output!Q421</f>
        <v>16.61615709890426</v>
      </c>
      <c r="P421">
        <f>$E421/$F421^2*sim_annual_output!R421</f>
        <v>3.2689652314742257</v>
      </c>
      <c r="Q421">
        <f>$E421/$F421^2*sim_annual_output!S421</f>
        <v>0</v>
      </c>
      <c r="R421">
        <f t="array" ref="R421">INDEX(G$3:G$700,MATCH($B421&amp;$C421&amp;"baseline",$B$3:$B$700&amp;$C$3:$C$700&amp;$D$3:$D$700,0))</f>
        <v>12.284111952835538</v>
      </c>
      <c r="S421">
        <f t="array" ref="S421">INDEX(H$3:H$700,MATCH($B421&amp;$C421&amp;"baseline",$B$3:$B$700&amp;$C$3:$C$700&amp;$D$3:$D$700,0))</f>
        <v>352.31662049615386</v>
      </c>
      <c r="T421">
        <f t="array" ref="T421">INDEX(I$3:I$700,MATCH($B421&amp;$C421&amp;"baseline",$B$3:$B$700&amp;$C$3:$C$700&amp;$D$3:$D$700,0))</f>
        <v>1.3458631361273996</v>
      </c>
      <c r="U421">
        <f t="array" ref="U421">INDEX(J$3:J$700,MATCH($B421&amp;$C421&amp;"baseline",$B$3:$B$700&amp;$C$3:$C$700&amp;$D$3:$D$700,0))</f>
        <v>0</v>
      </c>
      <c r="V421">
        <f t="array" ref="V421">INDEX(K$3:K$700,MATCH($B421&amp;$C421&amp;"baseline",$B$3:$B$700&amp;$C$3:$C$700&amp;$D$3:$D$700,0))</f>
        <v>23.394585441847987</v>
      </c>
      <c r="W421">
        <f t="array" ref="W421">INDEX(L$3:L$700,MATCH($B421&amp;$C421&amp;"baseline",$B$3:$B$700&amp;$C$3:$C$700&amp;$D$3:$D$700,0))</f>
        <v>53.257286485876563</v>
      </c>
      <c r="X421">
        <f t="array" ref="X421">INDEX(M$3:M$700,MATCH($B421&amp;$C421&amp;"baseline",$B$3:$B$700&amp;$C$3:$C$700&amp;$D$3:$D$700,0))</f>
        <v>6.608185796023994</v>
      </c>
      <c r="Y421">
        <f t="array" ref="Y421">INDEX(N$3:N$700,MATCH($B421&amp;$C421&amp;"baseline",$B$3:$B$700&amp;$C$3:$C$700&amp;$D$3:$D$700,0))</f>
        <v>5.0845920837462408</v>
      </c>
      <c r="Z421">
        <f t="array" ref="Z421">INDEX(O$3:O$700,MATCH($B421&amp;$C421&amp;"baseline",$B$3:$B$700&amp;$C$3:$C$700&amp;$D$3:$D$700,0))</f>
        <v>16.655579370441945</v>
      </c>
      <c r="AA421">
        <f t="array" ref="AA421">INDEX(P$3:P$700,MATCH($B421&amp;$C421&amp;"baseline",$B$3:$B$700&amp;$C$3:$C$700&amp;$D$3:$D$700,0))</f>
        <v>4.1659870860719836</v>
      </c>
      <c r="AB421">
        <f t="array" ref="AB421">INDEX(Q$3:Q$700,MATCH($B421&amp;$C421&amp;"baseline",$B$3:$B$700&amp;$C$3:$C$700&amp;$D$3:$D$700,0))</f>
        <v>0</v>
      </c>
      <c r="AC421">
        <f t="shared" si="48"/>
        <v>475.11281184912553</v>
      </c>
      <c r="AD421">
        <f t="shared" si="49"/>
        <v>88.87916295286891</v>
      </c>
      <c r="AE421">
        <f t="shared" si="50"/>
        <v>15.485024212772615</v>
      </c>
      <c r="AF421">
        <f t="shared" si="51"/>
        <v>21.966190884110045</v>
      </c>
      <c r="AG421">
        <f>(S421+V421+Y421)*constants!$O$2+(R421+T421+U421+W421+X421+Z421+AA421+AB421)*constants!$N$2</f>
        <v>16.826714490445966</v>
      </c>
      <c r="AH421">
        <f>((S421+V421+Y421)-(H421+K421+N421))*constants!$O$2</f>
        <v>1.4398424398364762</v>
      </c>
      <c r="AI421">
        <f>((R421+T421+U421+W421+X421+Z421+AA421+AB421)-(G421+I421+J421+L421+M421+O421+P421+Q421))*constants!$N$2</f>
        <v>1.7498077360433055</v>
      </c>
      <c r="AJ421">
        <f t="shared" si="52"/>
        <v>18.955870307841927</v>
      </c>
      <c r="AK421">
        <f t="shared" si="53"/>
        <v>3.1896501758797817</v>
      </c>
      <c r="AL421">
        <f>COUNTIFS($B:$B,$B421,$AK:$AK,"&lt;"&amp;$AK421)+COUNTIFS($B$2:$B421,$B421,$AK$2:$AK421,$AK421)</f>
        <v>22</v>
      </c>
      <c r="AM421" s="191">
        <f>IF(AK421=0, "NA",IF(((sim_annual_output!F421/E421)/AK421)&lt;0,100,((sim_annual_output!F421/E421)/AK421)))</f>
        <v>7.4877799219990848</v>
      </c>
      <c r="AN421">
        <f>(S421+V421)*constants!$F$2+(T421+U421+W421+X421+Y421+Z421+AA421+AB421)*constants!$G$2</f>
        <v>143044.525606613</v>
      </c>
      <c r="AO421">
        <f>(AD421*constants!$F$2+AE421*constants!$G$2)</f>
        <v>29381.34123367571</v>
      </c>
      <c r="AP421">
        <f t="shared" si="54"/>
        <v>20.539996975820934</v>
      </c>
    </row>
    <row r="422" spans="1:42">
      <c r="A422">
        <f>sim_annual_output!B422</f>
        <v>19</v>
      </c>
      <c r="B422" t="str">
        <f>sim_annual_output!C422</f>
        <v>Recreation Center</v>
      </c>
      <c r="C422" t="str">
        <f>sim_annual_output!D422</f>
        <v>1980-2004</v>
      </c>
      <c r="D422" t="str">
        <f>sim_annual_output!E422</f>
        <v>envelope_ecm_roof</v>
      </c>
      <c r="E422" s="45">
        <f t="array" ref="E422">IFERROR(INDEX(baseline!$J$3:$J$201,MATCH($B422&amp;$C422,baseline!$C$3:$C$201&amp;baseline!$D$3:$D$201,0)),"NA")</f>
        <v>12612.73388</v>
      </c>
      <c r="F422">
        <f>sim_annual_output!G422</f>
        <v>12612.733881903199</v>
      </c>
      <c r="G422">
        <f>$E422/$F422^2*sim_annual_output!I422</f>
        <v>11.678022057462833</v>
      </c>
      <c r="H422">
        <f>$E422/$F422^2*sim_annual_output!J422</f>
        <v>352.93151983768024</v>
      </c>
      <c r="I422">
        <f>$E422/$F422^2*sim_annual_output!K422</f>
        <v>1.5498018145849308</v>
      </c>
      <c r="J422">
        <f>$E422/$F422^2*sim_annual_output!L422</f>
        <v>0</v>
      </c>
      <c r="K422">
        <f>$E422/$F422^2*sim_annual_output!M422</f>
        <v>23.391722371847958</v>
      </c>
      <c r="L422">
        <f>$E422/$F422^2*sim_annual_output!N422</f>
        <v>53.257286485876563</v>
      </c>
      <c r="M422">
        <f>$E422/$F422^2*sim_annual_output!O422</f>
        <v>6.608185796023994</v>
      </c>
      <c r="N422">
        <f>$E422/$F422^2*sim_annual_output!P422</f>
        <v>5.0845920837462408</v>
      </c>
      <c r="O422">
        <f>$E422/$F422^2*sim_annual_output!Q422</f>
        <v>14.684906265865285</v>
      </c>
      <c r="P422">
        <f>$E422/$F422^2*sim_annual_output!R422</f>
        <v>4.3313844376071957</v>
      </c>
      <c r="Q422">
        <f>$E422/$F422^2*sim_annual_output!S422</f>
        <v>0</v>
      </c>
      <c r="R422">
        <f t="array" ref="R422">INDEX(G$3:G$700,MATCH($B422&amp;$C422&amp;"baseline",$B$3:$B$700&amp;$C$3:$C$700&amp;$D$3:$D$700,0))</f>
        <v>12.284111952835538</v>
      </c>
      <c r="S422">
        <f t="array" ref="S422">INDEX(H$3:H$700,MATCH($B422&amp;$C422&amp;"baseline",$B$3:$B$700&amp;$C$3:$C$700&amp;$D$3:$D$700,0))</f>
        <v>352.31662049615386</v>
      </c>
      <c r="T422">
        <f t="array" ref="T422">INDEX(I$3:I$700,MATCH($B422&amp;$C422&amp;"baseline",$B$3:$B$700&amp;$C$3:$C$700&amp;$D$3:$D$700,0))</f>
        <v>1.3458631361273996</v>
      </c>
      <c r="U422">
        <f t="array" ref="U422">INDEX(J$3:J$700,MATCH($B422&amp;$C422&amp;"baseline",$B$3:$B$700&amp;$C$3:$C$700&amp;$D$3:$D$700,0))</f>
        <v>0</v>
      </c>
      <c r="V422">
        <f t="array" ref="V422">INDEX(K$3:K$700,MATCH($B422&amp;$C422&amp;"baseline",$B$3:$B$700&amp;$C$3:$C$700&amp;$D$3:$D$700,0))</f>
        <v>23.394585441847987</v>
      </c>
      <c r="W422">
        <f t="array" ref="W422">INDEX(L$3:L$700,MATCH($B422&amp;$C422&amp;"baseline",$B$3:$B$700&amp;$C$3:$C$700&amp;$D$3:$D$700,0))</f>
        <v>53.257286485876563</v>
      </c>
      <c r="X422">
        <f t="array" ref="X422">INDEX(M$3:M$700,MATCH($B422&amp;$C422&amp;"baseline",$B$3:$B$700&amp;$C$3:$C$700&amp;$D$3:$D$700,0))</f>
        <v>6.608185796023994</v>
      </c>
      <c r="Y422">
        <f t="array" ref="Y422">INDEX(N$3:N$700,MATCH($B422&amp;$C422&amp;"baseline",$B$3:$B$700&amp;$C$3:$C$700&amp;$D$3:$D$700,0))</f>
        <v>5.0845920837462408</v>
      </c>
      <c r="Z422">
        <f t="array" ref="Z422">INDEX(O$3:O$700,MATCH($B422&amp;$C422&amp;"baseline",$B$3:$B$700&amp;$C$3:$C$700&amp;$D$3:$D$700,0))</f>
        <v>16.655579370441945</v>
      </c>
      <c r="AA422">
        <f t="array" ref="AA422">INDEX(P$3:P$700,MATCH($B422&amp;$C422&amp;"baseline",$B$3:$B$700&amp;$C$3:$C$700&amp;$D$3:$D$700,0))</f>
        <v>4.1659870860719836</v>
      </c>
      <c r="AB422">
        <f t="array" ref="AB422">INDEX(Q$3:Q$700,MATCH($B422&amp;$C422&amp;"baseline",$B$3:$B$700&amp;$C$3:$C$700&amp;$D$3:$D$700,0))</f>
        <v>0</v>
      </c>
      <c r="AC422">
        <f t="shared" si="48"/>
        <v>475.11281184912553</v>
      </c>
      <c r="AD422">
        <f t="shared" si="49"/>
        <v>-0.61203627152633544</v>
      </c>
      <c r="AE422">
        <f t="shared" si="50"/>
        <v>2.2074269699566145</v>
      </c>
      <c r="AF422">
        <f t="shared" si="51"/>
        <v>0.33579197585118026</v>
      </c>
      <c r="AG422">
        <f>(S422+V422+Y422)*constants!$O$2+(R422+T422+U422+W422+X422+Z422+AA422+AB422)*constants!$N$2</f>
        <v>16.826714490445966</v>
      </c>
      <c r="AH422">
        <f>((S422+V422+Y422)-(H422+K422+N422))*constants!$O$2</f>
        <v>-9.9149875987266343E-3</v>
      </c>
      <c r="AI422">
        <f>((R422+T422+U422+W422+X422+Z422+AA422+AB422)-(G422+I422+J422+L422+M422+O422+P422+Q422))*constants!$N$2</f>
        <v>0.24943924760509745</v>
      </c>
      <c r="AJ422">
        <f t="shared" si="52"/>
        <v>1.4234761048710383</v>
      </c>
      <c r="AK422">
        <f t="shared" si="53"/>
        <v>0.23952426000637081</v>
      </c>
      <c r="AL422">
        <f>COUNTIFS($B:$B,$B422,$AK:$AK,"&lt;"&amp;$AK422)+COUNTIFS($B$2:$B422,$B422,$AK$2:$AK422,$AK422)</f>
        <v>14</v>
      </c>
      <c r="AM422" s="191">
        <f>IF(AK422=0, "NA",IF(((sim_annual_output!F422/E422)/AK422)&lt;0,100,((sim_annual_output!F422/E422)/AK422)))</f>
        <v>477.2005648525635</v>
      </c>
      <c r="AN422">
        <f>(S422+V422)*constants!$F$2+(T422+U422+W422+X422+Y422+Z422+AA422+AB422)*constants!$G$2</f>
        <v>143044.525606613</v>
      </c>
      <c r="AO422">
        <f>(AD422*constants!$F$2+AE422*constants!$G$2)</f>
        <v>1810.9069712590403</v>
      </c>
      <c r="AP422">
        <f t="shared" si="54"/>
        <v>1.2659743276294395</v>
      </c>
    </row>
    <row r="423" spans="1:42">
      <c r="A423">
        <f>sim_annual_output!B423</f>
        <v>19</v>
      </c>
      <c r="B423" t="str">
        <f>sim_annual_output!C423</f>
        <v>Recreation Center</v>
      </c>
      <c r="C423" t="str">
        <f>sim_annual_output!D423</f>
        <v>1980-2004</v>
      </c>
      <c r="D423" t="str">
        <f>sim_annual_output!E423</f>
        <v>envelope_ecm_wall</v>
      </c>
      <c r="E423" s="45">
        <f t="array" ref="E423">IFERROR(INDEX(baseline!$J$3:$J$201,MATCH($B423&amp;$C423,baseline!$C$3:$C$201&amp;baseline!$D$3:$D$201,0)),"NA")</f>
        <v>12612.73388</v>
      </c>
      <c r="F423">
        <f>sim_annual_output!G423</f>
        <v>12612.733881903199</v>
      </c>
      <c r="G423">
        <f>$E423/$F423^2*sim_annual_output!I423</f>
        <v>13.222978676663244</v>
      </c>
      <c r="H423">
        <f>$E423/$F423^2*sim_annual_output!J423</f>
        <v>363.96424996438651</v>
      </c>
      <c r="I423">
        <f>$E423/$F423^2*sim_annual_output!K423</f>
        <v>1.6663067399672566</v>
      </c>
      <c r="J423">
        <f>$E423/$F423^2*sim_annual_output!L423</f>
        <v>0</v>
      </c>
      <c r="K423">
        <f>$E423/$F423^2*sim_annual_output!M423</f>
        <v>23.391942608001884</v>
      </c>
      <c r="L423">
        <f>$E423/$F423^2*sim_annual_output!N423</f>
        <v>53.257286485876563</v>
      </c>
      <c r="M423">
        <f>$E423/$F423^2*sim_annual_output!O423</f>
        <v>6.608185796023994</v>
      </c>
      <c r="N423">
        <f>$E423/$F423^2*sim_annual_output!P423</f>
        <v>5.0845920837462408</v>
      </c>
      <c r="O423">
        <f>$E423/$F423^2*sim_annual_output!Q423</f>
        <v>16.004120827377822</v>
      </c>
      <c r="P423">
        <f>$E423/$F423^2*sim_annual_output!R423</f>
        <v>4.6738516568312347</v>
      </c>
      <c r="Q423">
        <f>$E423/$F423^2*sim_annual_output!S423</f>
        <v>0</v>
      </c>
      <c r="R423">
        <f t="array" ref="R423">INDEX(G$3:G$700,MATCH($B423&amp;$C423&amp;"baseline",$B$3:$B$700&amp;$C$3:$C$700&amp;$D$3:$D$700,0))</f>
        <v>12.284111952835538</v>
      </c>
      <c r="S423">
        <f t="array" ref="S423">INDEX(H$3:H$700,MATCH($B423&amp;$C423&amp;"baseline",$B$3:$B$700&amp;$C$3:$C$700&amp;$D$3:$D$700,0))</f>
        <v>352.31662049615386</v>
      </c>
      <c r="T423">
        <f t="array" ref="T423">INDEX(I$3:I$700,MATCH($B423&amp;$C423&amp;"baseline",$B$3:$B$700&amp;$C$3:$C$700&amp;$D$3:$D$700,0))</f>
        <v>1.3458631361273996</v>
      </c>
      <c r="U423">
        <f t="array" ref="U423">INDEX(J$3:J$700,MATCH($B423&amp;$C423&amp;"baseline",$B$3:$B$700&amp;$C$3:$C$700&amp;$D$3:$D$700,0))</f>
        <v>0</v>
      </c>
      <c r="V423">
        <f t="array" ref="V423">INDEX(K$3:K$700,MATCH($B423&amp;$C423&amp;"baseline",$B$3:$B$700&amp;$C$3:$C$700&amp;$D$3:$D$700,0))</f>
        <v>23.394585441847987</v>
      </c>
      <c r="W423">
        <f t="array" ref="W423">INDEX(L$3:L$700,MATCH($B423&amp;$C423&amp;"baseline",$B$3:$B$700&amp;$C$3:$C$700&amp;$D$3:$D$700,0))</f>
        <v>53.257286485876563</v>
      </c>
      <c r="X423">
        <f t="array" ref="X423">INDEX(M$3:M$700,MATCH($B423&amp;$C423&amp;"baseline",$B$3:$B$700&amp;$C$3:$C$700&amp;$D$3:$D$700,0))</f>
        <v>6.608185796023994</v>
      </c>
      <c r="Y423">
        <f t="array" ref="Y423">INDEX(N$3:N$700,MATCH($B423&amp;$C423&amp;"baseline",$B$3:$B$700&amp;$C$3:$C$700&amp;$D$3:$D$700,0))</f>
        <v>5.0845920837462408</v>
      </c>
      <c r="Z423">
        <f t="array" ref="Z423">INDEX(O$3:O$700,MATCH($B423&amp;$C423&amp;"baseline",$B$3:$B$700&amp;$C$3:$C$700&amp;$D$3:$D$700,0))</f>
        <v>16.655579370441945</v>
      </c>
      <c r="AA423">
        <f t="array" ref="AA423">INDEX(P$3:P$700,MATCH($B423&amp;$C423&amp;"baseline",$B$3:$B$700&amp;$C$3:$C$700&amp;$D$3:$D$700,0))</f>
        <v>4.1659870860719836</v>
      </c>
      <c r="AB423">
        <f t="array" ref="AB423">INDEX(Q$3:Q$700,MATCH($B423&amp;$C423&amp;"baseline",$B$3:$B$700&amp;$C$3:$C$700&amp;$D$3:$D$700,0))</f>
        <v>0</v>
      </c>
      <c r="AC423">
        <f t="shared" si="48"/>
        <v>475.11281184912553</v>
      </c>
      <c r="AD423">
        <f t="shared" si="49"/>
        <v>-11.644986634386555</v>
      </c>
      <c r="AE423">
        <f t="shared" si="50"/>
        <v>-1.115716355362693</v>
      </c>
      <c r="AF423">
        <f t="shared" si="51"/>
        <v>-2.6858259073429225</v>
      </c>
      <c r="AG423">
        <f>(S423+V423+Y423)*constants!$O$2+(R423+T423+U423+W423+X423+Z423+AA423+AB423)*constants!$N$2</f>
        <v>16.826714490445966</v>
      </c>
      <c r="AH423">
        <f>((S423+V423+Y423)-(H423+K423+N423))*constants!$O$2</f>
        <v>-0.18864878347706218</v>
      </c>
      <c r="AI423">
        <f>((R423+T423+U423+W423+X423+Z423+AA423+AB423)-(G423+I423+J423+L423+M423+O423+P423+Q423))*constants!$N$2</f>
        <v>-0.1260759481559843</v>
      </c>
      <c r="AJ423">
        <f t="shared" si="52"/>
        <v>-1.8703873047334576</v>
      </c>
      <c r="AK423">
        <f t="shared" si="53"/>
        <v>-0.31472473163304648</v>
      </c>
      <c r="AL423">
        <f>COUNTIFS($B:$B,$B423,$AK:$AK,"&lt;"&amp;$AK423)+COUNTIFS($B$2:$B423,$B423,$AK$2:$AK423,$AK423)</f>
        <v>4</v>
      </c>
      <c r="AM423" s="191">
        <f>IF(AK423=0, "NA",IF(((sim_annual_output!F423/E423)/AK423)&lt;0,100,((sim_annual_output!F423/E423)/AK423)))</f>
        <v>100</v>
      </c>
      <c r="AN423">
        <f>(S423+V423)*constants!$F$2+(T423+U423+W423+X423+Y423+Z423+AA423+AB423)*constants!$G$2</f>
        <v>143044.525606613</v>
      </c>
      <c r="AO423">
        <f>(AD423*constants!$F$2+AE423*constants!$G$2)</f>
        <v>-3055.1258367207365</v>
      </c>
      <c r="AP423">
        <f t="shared" si="54"/>
        <v>-2.1357866187222316</v>
      </c>
    </row>
    <row r="424" spans="1:42">
      <c r="A424">
        <f>sim_annual_output!B424</f>
        <v>19</v>
      </c>
      <c r="B424" t="str">
        <f>sim_annual_output!C424</f>
        <v>Recreation Center</v>
      </c>
      <c r="C424" t="str">
        <f>sim_annual_output!D424</f>
        <v>1980-2004</v>
      </c>
      <c r="D424" t="str">
        <f>sim_annual_output!E424</f>
        <v>envelope_ecm_windows</v>
      </c>
      <c r="E424" s="45">
        <f t="array" ref="E424">IFERROR(INDEX(baseline!$J$3:$J$201,MATCH($B424&amp;$C424,baseline!$C$3:$C$201&amp;baseline!$D$3:$D$201,0)),"NA")</f>
        <v>12612.73388</v>
      </c>
      <c r="F424">
        <f>sim_annual_output!G424</f>
        <v>12612.733881903199</v>
      </c>
      <c r="G424">
        <f>$E424/$F424^2*sim_annual_output!I424</f>
        <v>13.994686159725001</v>
      </c>
      <c r="H424">
        <f>$E424/$F424^2*sim_annual_output!J424</f>
        <v>365.7435378512746</v>
      </c>
      <c r="I424">
        <f>$E424/$F424^2*sim_annual_output!K424</f>
        <v>1.6636639061211549</v>
      </c>
      <c r="J424">
        <f>$E424/$F424^2*sim_annual_output!L424</f>
        <v>0</v>
      </c>
      <c r="K424">
        <f>$E424/$F424^2*sim_annual_output!M424</f>
        <v>23.391942608001884</v>
      </c>
      <c r="L424">
        <f>$E424/$F424^2*sim_annual_output!N424</f>
        <v>53.257286485876563</v>
      </c>
      <c r="M424">
        <f>$E424/$F424^2*sim_annual_output!O424</f>
        <v>6.608185796023994</v>
      </c>
      <c r="N424">
        <f>$E424/$F424^2*sim_annual_output!P424</f>
        <v>5.0845920837462408</v>
      </c>
      <c r="O424">
        <f>$E424/$F424^2*sim_annual_output!Q424</f>
        <v>16.296153967372085</v>
      </c>
      <c r="P424">
        <f>$E424/$F424^2*sim_annual_output!R424</f>
        <v>4.7051251906767746</v>
      </c>
      <c r="Q424">
        <f>$E424/$F424^2*sim_annual_output!S424</f>
        <v>0</v>
      </c>
      <c r="R424">
        <f t="array" ref="R424">INDEX(G$3:G$700,MATCH($B424&amp;$C424&amp;"baseline",$B$3:$B$700&amp;$C$3:$C$700&amp;$D$3:$D$700,0))</f>
        <v>12.284111952835538</v>
      </c>
      <c r="S424">
        <f t="array" ref="S424">INDEX(H$3:H$700,MATCH($B424&amp;$C424&amp;"baseline",$B$3:$B$700&amp;$C$3:$C$700&amp;$D$3:$D$700,0))</f>
        <v>352.31662049615386</v>
      </c>
      <c r="T424">
        <f t="array" ref="T424">INDEX(I$3:I$700,MATCH($B424&amp;$C424&amp;"baseline",$B$3:$B$700&amp;$C$3:$C$700&amp;$D$3:$D$700,0))</f>
        <v>1.3458631361273996</v>
      </c>
      <c r="U424">
        <f t="array" ref="U424">INDEX(J$3:J$700,MATCH($B424&amp;$C424&amp;"baseline",$B$3:$B$700&amp;$C$3:$C$700&amp;$D$3:$D$700,0))</f>
        <v>0</v>
      </c>
      <c r="V424">
        <f t="array" ref="V424">INDEX(K$3:K$700,MATCH($B424&amp;$C424&amp;"baseline",$B$3:$B$700&amp;$C$3:$C$700&amp;$D$3:$D$700,0))</f>
        <v>23.394585441847987</v>
      </c>
      <c r="W424">
        <f t="array" ref="W424">INDEX(L$3:L$700,MATCH($B424&amp;$C424&amp;"baseline",$B$3:$B$700&amp;$C$3:$C$700&amp;$D$3:$D$700,0))</f>
        <v>53.257286485876563</v>
      </c>
      <c r="X424">
        <f t="array" ref="X424">INDEX(M$3:M$700,MATCH($B424&amp;$C424&amp;"baseline",$B$3:$B$700&amp;$C$3:$C$700&amp;$D$3:$D$700,0))</f>
        <v>6.608185796023994</v>
      </c>
      <c r="Y424">
        <f t="array" ref="Y424">INDEX(N$3:N$700,MATCH($B424&amp;$C424&amp;"baseline",$B$3:$B$700&amp;$C$3:$C$700&amp;$D$3:$D$700,0))</f>
        <v>5.0845920837462408</v>
      </c>
      <c r="Z424">
        <f t="array" ref="Z424">INDEX(O$3:O$700,MATCH($B424&amp;$C424&amp;"baseline",$B$3:$B$700&amp;$C$3:$C$700&amp;$D$3:$D$700,0))</f>
        <v>16.655579370441945</v>
      </c>
      <c r="AA424">
        <f t="array" ref="AA424">INDEX(P$3:P$700,MATCH($B424&amp;$C424&amp;"baseline",$B$3:$B$700&amp;$C$3:$C$700&amp;$D$3:$D$700,0))</f>
        <v>4.1659870860719836</v>
      </c>
      <c r="AB424">
        <f t="array" ref="AB424">INDEX(Q$3:Q$700,MATCH($B424&amp;$C424&amp;"baseline",$B$3:$B$700&amp;$C$3:$C$700&amp;$D$3:$D$700,0))</f>
        <v>0</v>
      </c>
      <c r="AC424">
        <f t="shared" si="48"/>
        <v>475.11281184912553</v>
      </c>
      <c r="AD424">
        <f t="shared" si="49"/>
        <v>-13.42427452127464</v>
      </c>
      <c r="AE424">
        <f t="shared" si="50"/>
        <v>-2.2080876784181527</v>
      </c>
      <c r="AF424">
        <f t="shared" si="51"/>
        <v>-3.2902421929756183</v>
      </c>
      <c r="AG424">
        <f>(S424+V424+Y424)*constants!$O$2+(R424+T424+U424+W424+X424+Z424+AA424+AB424)*constants!$N$2</f>
        <v>16.826714490445966</v>
      </c>
      <c r="AH424">
        <f>((S424+V424+Y424)-(H424+K424+N424))*constants!$O$2</f>
        <v>-0.21747324724464914</v>
      </c>
      <c r="AI424">
        <f>((R424+T424+U424+W424+X424+Z424+AA424+AB424)-(G424+I424+J424+L424+M424+O424+P424+Q424))*constants!$N$2</f>
        <v>-0.24951390766125126</v>
      </c>
      <c r="AJ424">
        <f t="shared" si="52"/>
        <v>-2.7752723514210147</v>
      </c>
      <c r="AK424">
        <f t="shared" si="53"/>
        <v>-0.46698715490590037</v>
      </c>
      <c r="AL424">
        <f>COUNTIFS($B:$B,$B424,$AK:$AK,"&lt;"&amp;$AK424)+COUNTIFS($B$2:$B424,$B424,$AK$2:$AK424,$AK424)</f>
        <v>3</v>
      </c>
      <c r="AM424" s="191">
        <f>IF(AK424=0, "NA",IF(((sim_annual_output!F424/E424)/AK424)&lt;0,100,((sim_annual_output!F424/E424)/AK424)))</f>
        <v>100</v>
      </c>
      <c r="AN424">
        <f>(S424+V424)*constants!$F$2+(T424+U424+W424+X424+Y424+Z424+AA424+AB424)*constants!$G$2</f>
        <v>143044.525606613</v>
      </c>
      <c r="AO424">
        <f>(AD424*constants!$F$2+AE424*constants!$G$2)</f>
        <v>-4323.9814195319532</v>
      </c>
      <c r="AP424">
        <f t="shared" si="54"/>
        <v>-3.0228220207625016</v>
      </c>
    </row>
    <row r="425" spans="1:42">
      <c r="A425">
        <f>sim_annual_output!B425</f>
        <v>19</v>
      </c>
      <c r="B425" t="str">
        <f>sim_annual_output!C425</f>
        <v>Recreation Center</v>
      </c>
      <c r="C425" t="str">
        <f>sim_annual_output!D425</f>
        <v>1980-2004</v>
      </c>
      <c r="D425" t="str">
        <f>sim_annual_output!E425</f>
        <v>fans_to_variable</v>
      </c>
      <c r="E425" s="45">
        <f t="array" ref="E425">IFERROR(INDEX(baseline!$J$3:$J$201,MATCH($B425&amp;$C425,baseline!$C$3:$C$201&amp;baseline!$D$3:$D$201,0)),"NA")</f>
        <v>12612.73388</v>
      </c>
      <c r="F425">
        <f>sim_annual_output!G425</f>
        <v>12612.733881903199</v>
      </c>
      <c r="G425">
        <f>$E425/$F425^2*sim_annual_output!I425</f>
        <v>12.181261668991406</v>
      </c>
      <c r="H425">
        <f>$E425/$F425^2*sim_annual_output!J425</f>
        <v>346.52771319242146</v>
      </c>
      <c r="I425">
        <f>$E425/$F425^2*sim_annual_output!K425</f>
        <v>1.4641299507404604</v>
      </c>
      <c r="J425">
        <f>$E425/$F425^2*sim_annual_output!L425</f>
        <v>0</v>
      </c>
      <c r="K425">
        <f>$E425/$F425^2*sim_annual_output!M425</f>
        <v>23.394144969540303</v>
      </c>
      <c r="L425">
        <f>$E425/$F425^2*sim_annual_output!N425</f>
        <v>53.257286485876563</v>
      </c>
      <c r="M425">
        <f>$E425/$F425^2*sim_annual_output!O425</f>
        <v>6.608185796023994</v>
      </c>
      <c r="N425">
        <f>$E425/$F425^2*sim_annual_output!P425</f>
        <v>5.0845920837462408</v>
      </c>
      <c r="O425">
        <f>$E425/$F425^2*sim_annual_output!Q425</f>
        <v>16.486217768137582</v>
      </c>
      <c r="P425">
        <f>$E425/$F425^2*sim_annual_output!R425</f>
        <v>4.1902130629945846</v>
      </c>
      <c r="Q425">
        <f>$E425/$F425^2*sim_annual_output!S425</f>
        <v>0</v>
      </c>
      <c r="R425">
        <f t="array" ref="R425">INDEX(G$3:G$700,MATCH($B425&amp;$C425&amp;"baseline",$B$3:$B$700&amp;$C$3:$C$700&amp;$D$3:$D$700,0))</f>
        <v>12.284111952835538</v>
      </c>
      <c r="S425">
        <f t="array" ref="S425">INDEX(H$3:H$700,MATCH($B425&amp;$C425&amp;"baseline",$B$3:$B$700&amp;$C$3:$C$700&amp;$D$3:$D$700,0))</f>
        <v>352.31662049615386</v>
      </c>
      <c r="T425">
        <f t="array" ref="T425">INDEX(I$3:I$700,MATCH($B425&amp;$C425&amp;"baseline",$B$3:$B$700&amp;$C$3:$C$700&amp;$D$3:$D$700,0))</f>
        <v>1.3458631361273996</v>
      </c>
      <c r="U425">
        <f t="array" ref="U425">INDEX(J$3:J$700,MATCH($B425&amp;$C425&amp;"baseline",$B$3:$B$700&amp;$C$3:$C$700&amp;$D$3:$D$700,0))</f>
        <v>0</v>
      </c>
      <c r="V425">
        <f t="array" ref="V425">INDEX(K$3:K$700,MATCH($B425&amp;$C425&amp;"baseline",$B$3:$B$700&amp;$C$3:$C$700&amp;$D$3:$D$700,0))</f>
        <v>23.394585441847987</v>
      </c>
      <c r="W425">
        <f t="array" ref="W425">INDEX(L$3:L$700,MATCH($B425&amp;$C425&amp;"baseline",$B$3:$B$700&amp;$C$3:$C$700&amp;$D$3:$D$700,0))</f>
        <v>53.257286485876563</v>
      </c>
      <c r="X425">
        <f t="array" ref="X425">INDEX(M$3:M$700,MATCH($B425&amp;$C425&amp;"baseline",$B$3:$B$700&amp;$C$3:$C$700&amp;$D$3:$D$700,0))</f>
        <v>6.608185796023994</v>
      </c>
      <c r="Y425">
        <f t="array" ref="Y425">INDEX(N$3:N$700,MATCH($B425&amp;$C425&amp;"baseline",$B$3:$B$700&amp;$C$3:$C$700&amp;$D$3:$D$700,0))</f>
        <v>5.0845920837462408</v>
      </c>
      <c r="Z425">
        <f t="array" ref="Z425">INDEX(O$3:O$700,MATCH($B425&amp;$C425&amp;"baseline",$B$3:$B$700&amp;$C$3:$C$700&amp;$D$3:$D$700,0))</f>
        <v>16.655579370441945</v>
      </c>
      <c r="AA425">
        <f t="array" ref="AA425">INDEX(P$3:P$700,MATCH($B425&amp;$C425&amp;"baseline",$B$3:$B$700&amp;$C$3:$C$700&amp;$D$3:$D$700,0))</f>
        <v>4.1659870860719836</v>
      </c>
      <c r="AB425">
        <f t="array" ref="AB425">INDEX(Q$3:Q$700,MATCH($B425&amp;$C425&amp;"baseline",$B$3:$B$700&amp;$C$3:$C$700&amp;$D$3:$D$700,0))</f>
        <v>0</v>
      </c>
      <c r="AC425">
        <f t="shared" si="48"/>
        <v>475.11281184912553</v>
      </c>
      <c r="AD425">
        <f t="shared" si="49"/>
        <v>5.7893477760400742</v>
      </c>
      <c r="AE425">
        <f t="shared" si="50"/>
        <v>0.12971909461282394</v>
      </c>
      <c r="AF425">
        <f t="shared" si="51"/>
        <v>1.2458234598254798</v>
      </c>
      <c r="AG425">
        <f>(S425+V425+Y425)*constants!$O$2+(R425+T425+U425+W425+X425+Z425+AA425+AB425)*constants!$N$2</f>
        <v>16.826714490445966</v>
      </c>
      <c r="AH425">
        <f>((S425+V425+Y425)-(H425+K425+N425))*constants!$O$2</f>
        <v>9.3787433971849202E-2</v>
      </c>
      <c r="AI425">
        <f>((R425+T425+U425+W425+X425+Z425+AA425+AB425)-(G425+I425+J425+L425+M425+O425+P425+Q425))*constants!$N$2</f>
        <v>1.4658257691249106E-2</v>
      </c>
      <c r="AJ425">
        <f t="shared" si="52"/>
        <v>0.64448524234884141</v>
      </c>
      <c r="AK425">
        <f t="shared" si="53"/>
        <v>0.10844569166309831</v>
      </c>
      <c r="AL425">
        <f>COUNTIFS($B:$B,$B425,$AK:$AK,"&lt;"&amp;$AK425)+COUNTIFS($B$2:$B425,$B425,$AK$2:$AK425,$AK425)</f>
        <v>10</v>
      </c>
      <c r="AM425" s="191">
        <f>IF(AK425=0, "NA",IF(((sim_annual_output!F425/E425)/AK425)&lt;0,100,((sim_annual_output!F425/E425)/AK425)))</f>
        <v>8.4559499434725982</v>
      </c>
      <c r="AN425">
        <f>(S425+V425)*constants!$F$2+(T425+U425+W425+X425+Y425+Z425+AA425+AB425)*constants!$G$2</f>
        <v>143044.525606613</v>
      </c>
      <c r="AO425">
        <f>(AD425*constants!$F$2+AE425*constants!$G$2)</f>
        <v>1149.1488642243301</v>
      </c>
      <c r="AP425">
        <f t="shared" si="54"/>
        <v>0.80335046682220212</v>
      </c>
    </row>
    <row r="426" spans="1:42">
      <c r="A426">
        <f>sim_annual_output!B426</f>
        <v>19</v>
      </c>
      <c r="B426" t="str">
        <f>sim_annual_output!C426</f>
        <v>Recreation Center</v>
      </c>
      <c r="C426" t="str">
        <f>sim_annual_output!D426</f>
        <v>1980-2004</v>
      </c>
      <c r="D426" t="str">
        <f>sim_annual_output!E426</f>
        <v>hrv_enabled</v>
      </c>
      <c r="E426" s="45">
        <f t="array" ref="E426">IFERROR(INDEX(baseline!$J$3:$J$201,MATCH($B426&amp;$C426,baseline!$C$3:$C$201&amp;baseline!$D$3:$D$201,0)),"NA")</f>
        <v>12612.73388</v>
      </c>
      <c r="F426">
        <f>sim_annual_output!G426</f>
        <v>12612.733881903199</v>
      </c>
      <c r="G426">
        <f>$E426/$F426^2*sim_annual_output!I426</f>
        <v>11.39788166977603</v>
      </c>
      <c r="H426">
        <f>$E426/$F426^2*sim_annual_output!J426</f>
        <v>222.03460227409855</v>
      </c>
      <c r="I426">
        <f>$E426/$F426^2*sim_annual_output!K426</f>
        <v>3.1786684083990768</v>
      </c>
      <c r="J426">
        <f>$E426/$F426^2*sim_annual_output!L426</f>
        <v>0</v>
      </c>
      <c r="K426">
        <f>$E426/$F426^2*sim_annual_output!M426</f>
        <v>23.393704497232616</v>
      </c>
      <c r="L426">
        <f>$E426/$F426^2*sim_annual_output!N426</f>
        <v>53.257286485876563</v>
      </c>
      <c r="M426">
        <f>$E426/$F426^2*sim_annual_output!O426</f>
        <v>6.608185796023994</v>
      </c>
      <c r="N426">
        <f>$E426/$F426^2*sim_annual_output!P426</f>
        <v>5.0845920837462408</v>
      </c>
      <c r="O426">
        <f>$E426/$F426^2*sim_annual_output!Q426</f>
        <v>16.655579370441945</v>
      </c>
      <c r="P426">
        <f>$E426/$F426^2*sim_annual_output!R426</f>
        <v>4.1908737714561104</v>
      </c>
      <c r="Q426">
        <f>$E426/$F426^2*sim_annual_output!S426</f>
        <v>3.1136987430157386</v>
      </c>
      <c r="R426">
        <f t="array" ref="R426">INDEX(G$3:G$700,MATCH($B426&amp;$C426&amp;"baseline",$B$3:$B$700&amp;$C$3:$C$700&amp;$D$3:$D$700,0))</f>
        <v>12.284111952835538</v>
      </c>
      <c r="S426">
        <f t="array" ref="S426">INDEX(H$3:H$700,MATCH($B426&amp;$C426&amp;"baseline",$B$3:$B$700&amp;$C$3:$C$700&amp;$D$3:$D$700,0))</f>
        <v>352.31662049615386</v>
      </c>
      <c r="T426">
        <f t="array" ref="T426">INDEX(I$3:I$700,MATCH($B426&amp;$C426&amp;"baseline",$B$3:$B$700&amp;$C$3:$C$700&amp;$D$3:$D$700,0))</f>
        <v>1.3458631361273996</v>
      </c>
      <c r="U426">
        <f t="array" ref="U426">INDEX(J$3:J$700,MATCH($B426&amp;$C426&amp;"baseline",$B$3:$B$700&amp;$C$3:$C$700&amp;$D$3:$D$700,0))</f>
        <v>0</v>
      </c>
      <c r="V426">
        <f t="array" ref="V426">INDEX(K$3:K$700,MATCH($B426&amp;$C426&amp;"baseline",$B$3:$B$700&amp;$C$3:$C$700&amp;$D$3:$D$700,0))</f>
        <v>23.394585441847987</v>
      </c>
      <c r="W426">
        <f t="array" ref="W426">INDEX(L$3:L$700,MATCH($B426&amp;$C426&amp;"baseline",$B$3:$B$700&amp;$C$3:$C$700&amp;$D$3:$D$700,0))</f>
        <v>53.257286485876563</v>
      </c>
      <c r="X426">
        <f t="array" ref="X426">INDEX(M$3:M$700,MATCH($B426&amp;$C426&amp;"baseline",$B$3:$B$700&amp;$C$3:$C$700&amp;$D$3:$D$700,0))</f>
        <v>6.608185796023994</v>
      </c>
      <c r="Y426">
        <f t="array" ref="Y426">INDEX(N$3:N$700,MATCH($B426&amp;$C426&amp;"baseline",$B$3:$B$700&amp;$C$3:$C$700&amp;$D$3:$D$700,0))</f>
        <v>5.0845920837462408</v>
      </c>
      <c r="Z426">
        <f t="array" ref="Z426">INDEX(O$3:O$700,MATCH($B426&amp;$C426&amp;"baseline",$B$3:$B$700&amp;$C$3:$C$700&amp;$D$3:$D$700,0))</f>
        <v>16.655579370441945</v>
      </c>
      <c r="AA426">
        <f t="array" ref="AA426">INDEX(P$3:P$700,MATCH($B426&amp;$C426&amp;"baseline",$B$3:$B$700&amp;$C$3:$C$700&amp;$D$3:$D$700,0))</f>
        <v>4.1659870860719836</v>
      </c>
      <c r="AB426">
        <f t="array" ref="AB426">INDEX(Q$3:Q$700,MATCH($B426&amp;$C426&amp;"baseline",$B$3:$B$700&amp;$C$3:$C$700&amp;$D$3:$D$700,0))</f>
        <v>0</v>
      </c>
      <c r="AC426">
        <f t="shared" si="48"/>
        <v>475.11281184912553</v>
      </c>
      <c r="AD426">
        <f t="shared" si="49"/>
        <v>130.28289916667072</v>
      </c>
      <c r="AE426">
        <f t="shared" si="50"/>
        <v>-4.0851604176120304</v>
      </c>
      <c r="AF426">
        <f t="shared" si="51"/>
        <v>26.561636647494453</v>
      </c>
      <c r="AG426">
        <f>(S426+V426+Y426)*constants!$O$2+(R426+T426+U426+W426+X426+Z426+AA426+AB426)*constants!$N$2</f>
        <v>16.826714490445966</v>
      </c>
      <c r="AH426">
        <f>((S426+V426+Y426)-(H426+K426+N426))*constants!$O$2</f>
        <v>2.1105829665000657</v>
      </c>
      <c r="AI426">
        <f>((R426+T426+U426+W426+X426+Z426+AA426+AB426)-(G426+I426+J426+L426+M426+O426+P426+Q426))*constants!$N$2</f>
        <v>-0.46162312719015947</v>
      </c>
      <c r="AJ426">
        <f t="shared" si="52"/>
        <v>9.7996542358056224</v>
      </c>
      <c r="AK426">
        <f t="shared" si="53"/>
        <v>1.6489598393099063</v>
      </c>
      <c r="AL426">
        <f>COUNTIFS($B:$B,$B426,$AK:$AK,"&lt;"&amp;$AK426)+COUNTIFS($B$2:$B426,$B426,$AK$2:$AK426,$AK426)</f>
        <v>21</v>
      </c>
      <c r="AM426" s="191">
        <f>IF(AK426=0, "NA",IF(((sim_annual_output!F426/E426)/AK426)&lt;0,100,((sim_annual_output!F426/E426)/AK426)))</f>
        <v>37.172083770723326</v>
      </c>
      <c r="AN426">
        <f>(S426+V426)*constants!$F$2+(T426+U426+W426+X426+Y426+Z426+AA426+AB426)*constants!$G$2</f>
        <v>143044.525606613</v>
      </c>
      <c r="AO426">
        <f>(AD426*constants!$F$2+AE426*constants!$G$2)</f>
        <v>19766.549387511594</v>
      </c>
      <c r="AP426">
        <f t="shared" si="54"/>
        <v>13.818459185129262</v>
      </c>
    </row>
    <row r="427" spans="1:42">
      <c r="A427">
        <f>sim_annual_output!B427</f>
        <v>19</v>
      </c>
      <c r="B427" t="str">
        <f>sim_annual_output!C427</f>
        <v>Recreation Center</v>
      </c>
      <c r="C427" t="str">
        <f>sim_annual_output!D427</f>
        <v>1980-2004</v>
      </c>
      <c r="D427" t="str">
        <f>sim_annual_output!E427</f>
        <v>infil_reduce</v>
      </c>
      <c r="E427" s="45">
        <f t="array" ref="E427">IFERROR(INDEX(baseline!$J$3:$J$201,MATCH($B427&amp;$C427,baseline!$C$3:$C$201&amp;baseline!$D$3:$D$201,0)),"NA")</f>
        <v>12612.73388</v>
      </c>
      <c r="F427">
        <f>sim_annual_output!G427</f>
        <v>12612.733881903199</v>
      </c>
      <c r="G427">
        <f>$E427/$F427^2*sim_annual_output!I427</f>
        <v>8.346950230605211</v>
      </c>
      <c r="H427">
        <f>$E427/$F427^2*sim_annual_output!J427</f>
        <v>314.71239840843123</v>
      </c>
      <c r="I427">
        <f>$E427/$F427^2*sim_annual_output!K427</f>
        <v>1.3962972153571778</v>
      </c>
      <c r="J427">
        <f>$E427/$F427^2*sim_annual_output!L427</f>
        <v>0</v>
      </c>
      <c r="K427">
        <f>$E427/$F427^2*sim_annual_output!M427</f>
        <v>23.393043788771092</v>
      </c>
      <c r="L427">
        <f>$E427/$F427^2*sim_annual_output!N427</f>
        <v>53.257286485876563</v>
      </c>
      <c r="M427">
        <f>$E427/$F427^2*sim_annual_output!O427</f>
        <v>6.608185796023994</v>
      </c>
      <c r="N427">
        <f>$E427/$F427^2*sim_annual_output!P427</f>
        <v>5.0845920837462408</v>
      </c>
      <c r="O427">
        <f>$E427/$F427^2*sim_annual_output!Q427</f>
        <v>14.242672068950899</v>
      </c>
      <c r="P427">
        <f>$E427/$F427^2*sim_annual_output!R427</f>
        <v>3.3152148237810088</v>
      </c>
      <c r="Q427">
        <f>$E427/$F427^2*sim_annual_output!S427</f>
        <v>0</v>
      </c>
      <c r="R427">
        <f t="array" ref="R427">INDEX(G$3:G$700,MATCH($B427&amp;$C427&amp;"baseline",$B$3:$B$700&amp;$C$3:$C$700&amp;$D$3:$D$700,0))</f>
        <v>12.284111952835538</v>
      </c>
      <c r="S427">
        <f t="array" ref="S427">INDEX(H$3:H$700,MATCH($B427&amp;$C427&amp;"baseline",$B$3:$B$700&amp;$C$3:$C$700&amp;$D$3:$D$700,0))</f>
        <v>352.31662049615386</v>
      </c>
      <c r="T427">
        <f t="array" ref="T427">INDEX(I$3:I$700,MATCH($B427&amp;$C427&amp;"baseline",$B$3:$B$700&amp;$C$3:$C$700&amp;$D$3:$D$700,0))</f>
        <v>1.3458631361273996</v>
      </c>
      <c r="U427">
        <f t="array" ref="U427">INDEX(J$3:J$700,MATCH($B427&amp;$C427&amp;"baseline",$B$3:$B$700&amp;$C$3:$C$700&amp;$D$3:$D$700,0))</f>
        <v>0</v>
      </c>
      <c r="V427">
        <f t="array" ref="V427">INDEX(K$3:K$700,MATCH($B427&amp;$C427&amp;"baseline",$B$3:$B$700&amp;$C$3:$C$700&amp;$D$3:$D$700,0))</f>
        <v>23.394585441847987</v>
      </c>
      <c r="W427">
        <f t="array" ref="W427">INDEX(L$3:L$700,MATCH($B427&amp;$C427&amp;"baseline",$B$3:$B$700&amp;$C$3:$C$700&amp;$D$3:$D$700,0))</f>
        <v>53.257286485876563</v>
      </c>
      <c r="X427">
        <f t="array" ref="X427">INDEX(M$3:M$700,MATCH($B427&amp;$C427&amp;"baseline",$B$3:$B$700&amp;$C$3:$C$700&amp;$D$3:$D$700,0))</f>
        <v>6.608185796023994</v>
      </c>
      <c r="Y427">
        <f t="array" ref="Y427">INDEX(N$3:N$700,MATCH($B427&amp;$C427&amp;"baseline",$B$3:$B$700&amp;$C$3:$C$700&amp;$D$3:$D$700,0))</f>
        <v>5.0845920837462408</v>
      </c>
      <c r="Z427">
        <f t="array" ref="Z427">INDEX(O$3:O$700,MATCH($B427&amp;$C427&amp;"baseline",$B$3:$B$700&amp;$C$3:$C$700&amp;$D$3:$D$700,0))</f>
        <v>16.655579370441945</v>
      </c>
      <c r="AA427">
        <f t="array" ref="AA427">INDEX(P$3:P$700,MATCH($B427&amp;$C427&amp;"baseline",$B$3:$B$700&amp;$C$3:$C$700&amp;$D$3:$D$700,0))</f>
        <v>4.1659870860719836</v>
      </c>
      <c r="AB427">
        <f t="array" ref="AB427">INDEX(Q$3:Q$700,MATCH($B427&amp;$C427&amp;"baseline",$B$3:$B$700&amp;$C$3:$C$700&amp;$D$3:$D$700,0))</f>
        <v>0</v>
      </c>
      <c r="AC427">
        <f t="shared" si="48"/>
        <v>475.11281184912553</v>
      </c>
      <c r="AD427">
        <f t="shared" si="49"/>
        <v>37.605763740799546</v>
      </c>
      <c r="AE427">
        <f t="shared" si="50"/>
        <v>7.1504072067825604</v>
      </c>
      <c r="AF427">
        <f t="shared" si="51"/>
        <v>9.4201145141492528</v>
      </c>
      <c r="AG427">
        <f>(S427+V427+Y427)*constants!$O$2+(R427+T427+U427+W427+X427+Z427+AA427+AB427)*constants!$N$2</f>
        <v>16.826714490445966</v>
      </c>
      <c r="AH427">
        <f>((S427+V427+Y427)-(H427+K427+N427))*constants!$O$2</f>
        <v>0.60921337260095265</v>
      </c>
      <c r="AI427">
        <f>((R427+T427+U427+W427+X427+Z427+AA427+AB427)-(G427+I427+J427+L427+M427+O427+P427+Q427))*constants!$N$2</f>
        <v>0.80799601436642932</v>
      </c>
      <c r="AJ427">
        <f t="shared" si="52"/>
        <v>8.4223773320219983</v>
      </c>
      <c r="AK427">
        <f t="shared" si="53"/>
        <v>1.4172093869673819</v>
      </c>
      <c r="AL427">
        <f>COUNTIFS($B:$B,$B427,$AK:$AK,"&lt;"&amp;$AK427)+COUNTIFS($B$2:$B427,$B427,$AK$2:$AK427,$AK427)</f>
        <v>18</v>
      </c>
      <c r="AM427" s="191">
        <f>IF(AK427=0, "NA",IF(((sim_annual_output!F427/E427)/AK427)&lt;0,100,((sim_annual_output!F427/E427)/AK427)))</f>
        <v>6.1294442408476488</v>
      </c>
      <c r="AN427">
        <f>(S427+V427)*constants!$F$2+(T427+U427+W427+X427+Y427+Z427+AA427+AB427)*constants!$G$2</f>
        <v>143044.525606613</v>
      </c>
      <c r="AO427">
        <f>(AD427*constants!$F$2+AE427*constants!$G$2)</f>
        <v>12952.285979503948</v>
      </c>
      <c r="AP427">
        <f t="shared" si="54"/>
        <v>9.0547232930283919</v>
      </c>
    </row>
    <row r="428" spans="1:42">
      <c r="A428">
        <f>sim_annual_output!B428</f>
        <v>19</v>
      </c>
      <c r="B428" t="str">
        <f>sim_annual_output!C428</f>
        <v>Recreation Center</v>
      </c>
      <c r="C428" t="str">
        <f>sim_annual_output!D428</f>
        <v>1980-2004</v>
      </c>
      <c r="D428" t="str">
        <f>sim_annual_output!E428</f>
        <v>infil_reduce_plus_setback</v>
      </c>
      <c r="E428" s="45">
        <f t="array" ref="E428">IFERROR(INDEX(baseline!$J$3:$J$201,MATCH($B428&amp;$C428,baseline!$C$3:$C$201&amp;baseline!$D$3:$D$201,0)),"NA")</f>
        <v>12612.73388</v>
      </c>
      <c r="F428">
        <f>sim_annual_output!G428</f>
        <v>12612.733881903199</v>
      </c>
      <c r="G428">
        <f>$E428/$F428^2*sim_annual_output!I428</f>
        <v>9.7265094982704117</v>
      </c>
      <c r="H428">
        <f>$E428/$F428^2*sim_annual_output!J428</f>
        <v>392.20931645844689</v>
      </c>
      <c r="I428">
        <f>$E428/$F428^2*sim_annual_output!K428</f>
        <v>3.5728911237759458</v>
      </c>
      <c r="J428">
        <f>$E428/$F428^2*sim_annual_output!L428</f>
        <v>0</v>
      </c>
      <c r="K428">
        <f>$E428/$F428^2*sim_annual_output!M428</f>
        <v>23.387758121078889</v>
      </c>
      <c r="L428">
        <f>$E428/$F428^2*sim_annual_output!N428</f>
        <v>53.257286485876563</v>
      </c>
      <c r="M428">
        <f>$E428/$F428^2*sim_annual_output!O428</f>
        <v>6.608185796023994</v>
      </c>
      <c r="N428">
        <f>$E428/$F428^2*sim_annual_output!P428</f>
        <v>5.0845920837462408</v>
      </c>
      <c r="O428">
        <f>$E428/$F428^2*sim_annual_output!Q428</f>
        <v>10.847071049017622</v>
      </c>
      <c r="P428">
        <f>$E428/$F428^2*sim_annual_output!R428</f>
        <v>3.4581480876243544</v>
      </c>
      <c r="Q428">
        <f>$E428/$F428^2*sim_annual_output!S428</f>
        <v>0</v>
      </c>
      <c r="R428">
        <f t="array" ref="R428">INDEX(G$3:G$700,MATCH($B428&amp;$C428&amp;"baseline",$B$3:$B$700&amp;$C$3:$C$700&amp;$D$3:$D$700,0))</f>
        <v>12.284111952835538</v>
      </c>
      <c r="S428">
        <f t="array" ref="S428">INDEX(H$3:H$700,MATCH($B428&amp;$C428&amp;"baseline",$B$3:$B$700&amp;$C$3:$C$700&amp;$D$3:$D$700,0))</f>
        <v>352.31662049615386</v>
      </c>
      <c r="T428">
        <f t="array" ref="T428">INDEX(I$3:I$700,MATCH($B428&amp;$C428&amp;"baseline",$B$3:$B$700&amp;$C$3:$C$700&amp;$D$3:$D$700,0))</f>
        <v>1.3458631361273996</v>
      </c>
      <c r="U428">
        <f t="array" ref="U428">INDEX(J$3:J$700,MATCH($B428&amp;$C428&amp;"baseline",$B$3:$B$700&amp;$C$3:$C$700&amp;$D$3:$D$700,0))</f>
        <v>0</v>
      </c>
      <c r="V428">
        <f t="array" ref="V428">INDEX(K$3:K$700,MATCH($B428&amp;$C428&amp;"baseline",$B$3:$B$700&amp;$C$3:$C$700&amp;$D$3:$D$700,0))</f>
        <v>23.394585441847987</v>
      </c>
      <c r="W428">
        <f t="array" ref="W428">INDEX(L$3:L$700,MATCH($B428&amp;$C428&amp;"baseline",$B$3:$B$700&amp;$C$3:$C$700&amp;$D$3:$D$700,0))</f>
        <v>53.257286485876563</v>
      </c>
      <c r="X428">
        <f t="array" ref="X428">INDEX(M$3:M$700,MATCH($B428&amp;$C428&amp;"baseline",$B$3:$B$700&amp;$C$3:$C$700&amp;$D$3:$D$700,0))</f>
        <v>6.608185796023994</v>
      </c>
      <c r="Y428">
        <f t="array" ref="Y428">INDEX(N$3:N$700,MATCH($B428&amp;$C428&amp;"baseline",$B$3:$B$700&amp;$C$3:$C$700&amp;$D$3:$D$700,0))</f>
        <v>5.0845920837462408</v>
      </c>
      <c r="Z428">
        <f t="array" ref="Z428">INDEX(O$3:O$700,MATCH($B428&amp;$C428&amp;"baseline",$B$3:$B$700&amp;$C$3:$C$700&amp;$D$3:$D$700,0))</f>
        <v>16.655579370441945</v>
      </c>
      <c r="AA428">
        <f t="array" ref="AA428">INDEX(P$3:P$700,MATCH($B428&amp;$C428&amp;"baseline",$B$3:$B$700&amp;$C$3:$C$700&amp;$D$3:$D$700,0))</f>
        <v>4.1659870860719836</v>
      </c>
      <c r="AB428">
        <f t="array" ref="AB428">INDEX(Q$3:Q$700,MATCH($B428&amp;$C428&amp;"baseline",$B$3:$B$700&amp;$C$3:$C$700&amp;$D$3:$D$700,0))</f>
        <v>0</v>
      </c>
      <c r="AC428">
        <f t="shared" si="48"/>
        <v>475.11281184912553</v>
      </c>
      <c r="AD428">
        <f t="shared" si="49"/>
        <v>-39.885868641523928</v>
      </c>
      <c r="AE428">
        <f t="shared" si="50"/>
        <v>6.8469217867885135</v>
      </c>
      <c r="AF428">
        <f t="shared" si="51"/>
        <v>-6.9539162133196903</v>
      </c>
      <c r="AG428">
        <f>(S428+V428+Y428)*constants!$O$2+(R428+T428+U428+W428+X428+Z428+AA428+AB428)*constants!$N$2</f>
        <v>16.826714490445966</v>
      </c>
      <c r="AH428">
        <f>((S428+V428+Y428)-(H428+K428+N428))*constants!$O$2</f>
        <v>-0.64615107199268762</v>
      </c>
      <c r="AI428">
        <f>((R428+T428+U428+W428+X428+Z428+AA428+AB428)-(G428+I428+J428+L428+M428+O428+P428+Q428))*constants!$N$2</f>
        <v>0.77370216190710206</v>
      </c>
      <c r="AJ428">
        <f t="shared" si="52"/>
        <v>0.75802730228076687</v>
      </c>
      <c r="AK428">
        <f t="shared" si="53"/>
        <v>0.12755108991441444</v>
      </c>
      <c r="AL428">
        <f>COUNTIFS($B:$B,$B428,$AK:$AK,"&lt;"&amp;$AK428)+COUNTIFS($B$2:$B428,$B428,$AK$2:$AK428,$AK428)</f>
        <v>12</v>
      </c>
      <c r="AM428" s="191">
        <f>IF(AK428=0, "NA",IF(((sim_annual_output!F428/E428)/AK428)&lt;0,100,((sim_annual_output!F428/E428)/AK428)))</f>
        <v>77.580927536610076</v>
      </c>
      <c r="AN428">
        <f>(S428+V428)*constants!$F$2+(T428+U428+W428+X428+Y428+Z428+AA428+AB428)*constants!$G$2</f>
        <v>143044.525606613</v>
      </c>
      <c r="AO428">
        <f>(AD428*constants!$F$2+AE428*constants!$G$2)</f>
        <v>-1182.7485323267765</v>
      </c>
      <c r="AP428">
        <f t="shared" si="54"/>
        <v>-0.82683942451559134</v>
      </c>
    </row>
    <row r="429" spans="1:42">
      <c r="A429">
        <f>sim_annual_output!B429</f>
        <v>19</v>
      </c>
      <c r="B429" t="str">
        <f>sim_annual_output!C429</f>
        <v>Recreation Center</v>
      </c>
      <c r="C429" t="str">
        <f>sim_annual_output!D429</f>
        <v>1980-2004</v>
      </c>
      <c r="D429" t="str">
        <f>sim_annual_output!E429</f>
        <v>lights_reduce_70p</v>
      </c>
      <c r="E429" s="45">
        <f t="array" ref="E429">IFERROR(INDEX(baseline!$J$3:$J$201,MATCH($B429&amp;$C429,baseline!$C$3:$C$201&amp;baseline!$D$3:$D$201,0)),"NA")</f>
        <v>12612.73388</v>
      </c>
      <c r="F429">
        <f>sim_annual_output!G429</f>
        <v>12612.733881903199</v>
      </c>
      <c r="G429">
        <f>$E429/$F429^2*sim_annual_output!I429</f>
        <v>13.138628229741823</v>
      </c>
      <c r="H429">
        <f>$E429/$F429^2*sim_annual_output!J429</f>
        <v>357.12944116605928</v>
      </c>
      <c r="I429">
        <f>$E429/$F429^2*sim_annual_output!K429</f>
        <v>1.309964643051182</v>
      </c>
      <c r="J429">
        <f>$E429/$F429^2*sim_annual_output!L429</f>
        <v>0</v>
      </c>
      <c r="K429">
        <f>$E429/$F429^2*sim_annual_output!M429</f>
        <v>23.395025914155671</v>
      </c>
      <c r="L429">
        <f>$E429/$F429^2*sim_annual_output!N429</f>
        <v>37.280034469267441</v>
      </c>
      <c r="M429">
        <f>$E429/$F429^2*sim_annual_output!O429</f>
        <v>6.608185796023994</v>
      </c>
      <c r="N429">
        <f>$E429/$F429^2*sim_annual_output!P429</f>
        <v>5.0845920837462408</v>
      </c>
      <c r="O429">
        <f>$E429/$F429^2*sim_annual_output!Q429</f>
        <v>16.625627253519458</v>
      </c>
      <c r="P429">
        <f>$E429/$F429^2*sim_annual_output!R429</f>
        <v>4.1831655060716457</v>
      </c>
      <c r="Q429">
        <f>$E429/$F429^2*sim_annual_output!S429</f>
        <v>0</v>
      </c>
      <c r="R429">
        <f t="array" ref="R429">INDEX(G$3:G$700,MATCH($B429&amp;$C429&amp;"baseline",$B$3:$B$700&amp;$C$3:$C$700&amp;$D$3:$D$700,0))</f>
        <v>12.284111952835538</v>
      </c>
      <c r="S429">
        <f t="array" ref="S429">INDEX(H$3:H$700,MATCH($B429&amp;$C429&amp;"baseline",$B$3:$B$700&amp;$C$3:$C$700&amp;$D$3:$D$700,0))</f>
        <v>352.31662049615386</v>
      </c>
      <c r="T429">
        <f t="array" ref="T429">INDEX(I$3:I$700,MATCH($B429&amp;$C429&amp;"baseline",$B$3:$B$700&amp;$C$3:$C$700&amp;$D$3:$D$700,0))</f>
        <v>1.3458631361273996</v>
      </c>
      <c r="U429">
        <f t="array" ref="U429">INDEX(J$3:J$700,MATCH($B429&amp;$C429&amp;"baseline",$B$3:$B$700&amp;$C$3:$C$700&amp;$D$3:$D$700,0))</f>
        <v>0</v>
      </c>
      <c r="V429">
        <f t="array" ref="V429">INDEX(K$3:K$700,MATCH($B429&amp;$C429&amp;"baseline",$B$3:$B$700&amp;$C$3:$C$700&amp;$D$3:$D$700,0))</f>
        <v>23.394585441847987</v>
      </c>
      <c r="W429">
        <f t="array" ref="W429">INDEX(L$3:L$700,MATCH($B429&amp;$C429&amp;"baseline",$B$3:$B$700&amp;$C$3:$C$700&amp;$D$3:$D$700,0))</f>
        <v>53.257286485876563</v>
      </c>
      <c r="X429">
        <f t="array" ref="X429">INDEX(M$3:M$700,MATCH($B429&amp;$C429&amp;"baseline",$B$3:$B$700&amp;$C$3:$C$700&amp;$D$3:$D$700,0))</f>
        <v>6.608185796023994</v>
      </c>
      <c r="Y429">
        <f t="array" ref="Y429">INDEX(N$3:N$700,MATCH($B429&amp;$C429&amp;"baseline",$B$3:$B$700&amp;$C$3:$C$700&amp;$D$3:$D$700,0))</f>
        <v>5.0845920837462408</v>
      </c>
      <c r="Z429">
        <f t="array" ref="Z429">INDEX(O$3:O$700,MATCH($B429&amp;$C429&amp;"baseline",$B$3:$B$700&amp;$C$3:$C$700&amp;$D$3:$D$700,0))</f>
        <v>16.655579370441945</v>
      </c>
      <c r="AA429">
        <f t="array" ref="AA429">INDEX(P$3:P$700,MATCH($B429&amp;$C429&amp;"baseline",$B$3:$B$700&amp;$C$3:$C$700&amp;$D$3:$D$700,0))</f>
        <v>4.1659870860719836</v>
      </c>
      <c r="AB429">
        <f t="array" ref="AB429">INDEX(Q$3:Q$700,MATCH($B429&amp;$C429&amp;"baseline",$B$3:$B$700&amp;$C$3:$C$700&amp;$D$3:$D$700,0))</f>
        <v>0</v>
      </c>
      <c r="AC429">
        <f t="shared" si="48"/>
        <v>475.11281184912553</v>
      </c>
      <c r="AD429">
        <f t="shared" si="49"/>
        <v>-4.8132611422130935</v>
      </c>
      <c r="AE429">
        <f t="shared" si="50"/>
        <v>15.171407929701857</v>
      </c>
      <c r="AF429">
        <f t="shared" si="51"/>
        <v>2.1801447001976544</v>
      </c>
      <c r="AG429">
        <f>(S429+V429+Y429)*constants!$O$2+(R429+T429+U429+W429+X429+Z429+AA429+AB429)*constants!$N$2</f>
        <v>16.826714490445966</v>
      </c>
      <c r="AH429">
        <f>((S429+V429+Y429)-(H429+K429+N429))*constants!$O$2</f>
        <v>-7.7974830503852108E-2</v>
      </c>
      <c r="AI429">
        <f>((R429+T429+U429+W429+X429+Z429+AA429+AB429)-(G429+I429+J429+L429+M429+O429+P429+Q429))*constants!$N$2</f>
        <v>1.7143690960563098</v>
      </c>
      <c r="AJ429">
        <f t="shared" si="52"/>
        <v>9.7249779003594874</v>
      </c>
      <c r="AK429">
        <f t="shared" si="53"/>
        <v>1.6363942655524577</v>
      </c>
      <c r="AL429">
        <f>COUNTIFS($B:$B,$B429,$AK:$AK,"&lt;"&amp;$AK429)+COUNTIFS($B$2:$B429,$B429,$AK$2:$AK429,$AK429)</f>
        <v>20</v>
      </c>
      <c r="AM429" s="191">
        <f>IF(AK429=0, "NA",IF(((sim_annual_output!F429/E429)/AK429)&lt;0,100,((sim_annual_output!F429/E429)/AK429)))</f>
        <v>10.929230551559606</v>
      </c>
      <c r="AN429">
        <f>(S429+V429)*constants!$F$2+(T429+U429+W429+X429+Y429+Z429+AA429+AB429)*constants!$G$2</f>
        <v>143044.525606613</v>
      </c>
      <c r="AO429">
        <f>(AD429*constants!$F$2+AE429*constants!$G$2)</f>
        <v>12337.551154384471</v>
      </c>
      <c r="AP429">
        <f t="shared" si="54"/>
        <v>8.6249726104961137</v>
      </c>
    </row>
    <row r="430" spans="1:42">
      <c r="A430">
        <f>sim_annual_output!B430</f>
        <v>19</v>
      </c>
      <c r="B430" t="str">
        <f>sim_annual_output!C430</f>
        <v>Recreation Center</v>
      </c>
      <c r="C430" t="str">
        <f>sim_annual_output!D430</f>
        <v>1980-2004</v>
      </c>
      <c r="D430" t="str">
        <f>sim_annual_output!E430</f>
        <v>load_reduce</v>
      </c>
      <c r="E430" s="45">
        <f t="array" ref="E430">IFERROR(INDEX(baseline!$J$3:$J$201,MATCH($B430&amp;$C430,baseline!$C$3:$C$201&amp;baseline!$D$3:$D$201,0)),"NA")</f>
        <v>12612.73388</v>
      </c>
      <c r="F430">
        <f>sim_annual_output!G430</f>
        <v>12612.733881903199</v>
      </c>
      <c r="G430">
        <f>$E430/$F430^2*sim_annual_output!I430</f>
        <v>9.7265094982704117</v>
      </c>
      <c r="H430">
        <f>$E430/$F430^2*sim_annual_output!J430</f>
        <v>362.35806769441808</v>
      </c>
      <c r="I430">
        <f>$E430/$F430^2*sim_annual_output!K430</f>
        <v>3.5728911237759458</v>
      </c>
      <c r="J430">
        <f>$E430/$F430^2*sim_annual_output!L430</f>
        <v>0</v>
      </c>
      <c r="K430">
        <f>$E430/$F430^2*sim_annual_output!M430</f>
        <v>23.387758121078889</v>
      </c>
      <c r="L430">
        <f>$E430/$F430^2*sim_annual_output!N430</f>
        <v>53.257286485876563</v>
      </c>
      <c r="M430">
        <f>$E430/$F430^2*sim_annual_output!O430</f>
        <v>6.608185796023994</v>
      </c>
      <c r="N430">
        <f>$E430/$F430^2*sim_annual_output!P430</f>
        <v>5.0845920837462408</v>
      </c>
      <c r="O430">
        <f>$E430/$F430^2*sim_annual_output!Q430</f>
        <v>10.847071049017622</v>
      </c>
      <c r="P430">
        <f>$E430/$F430^2*sim_annual_output!R430</f>
        <v>3.4581480876243544</v>
      </c>
      <c r="Q430">
        <f>$E430/$F430^2*sim_annual_output!S430</f>
        <v>0</v>
      </c>
      <c r="R430">
        <f t="array" ref="R430">INDEX(G$3:G$700,MATCH($B430&amp;$C430&amp;"baseline",$B$3:$B$700&amp;$C$3:$C$700&amp;$D$3:$D$700,0))</f>
        <v>12.284111952835538</v>
      </c>
      <c r="S430">
        <f t="array" ref="S430">INDEX(H$3:H$700,MATCH($B430&amp;$C430&amp;"baseline",$B$3:$B$700&amp;$C$3:$C$700&amp;$D$3:$D$700,0))</f>
        <v>352.31662049615386</v>
      </c>
      <c r="T430">
        <f t="array" ref="T430">INDEX(I$3:I$700,MATCH($B430&amp;$C430&amp;"baseline",$B$3:$B$700&amp;$C$3:$C$700&amp;$D$3:$D$700,0))</f>
        <v>1.3458631361273996</v>
      </c>
      <c r="U430">
        <f t="array" ref="U430">INDEX(J$3:J$700,MATCH($B430&amp;$C430&amp;"baseline",$B$3:$B$700&amp;$C$3:$C$700&amp;$D$3:$D$700,0))</f>
        <v>0</v>
      </c>
      <c r="V430">
        <f t="array" ref="V430">INDEX(K$3:K$700,MATCH($B430&amp;$C430&amp;"baseline",$B$3:$B$700&amp;$C$3:$C$700&amp;$D$3:$D$700,0))</f>
        <v>23.394585441847987</v>
      </c>
      <c r="W430">
        <f t="array" ref="W430">INDEX(L$3:L$700,MATCH($B430&amp;$C430&amp;"baseline",$B$3:$B$700&amp;$C$3:$C$700&amp;$D$3:$D$700,0))</f>
        <v>53.257286485876563</v>
      </c>
      <c r="X430">
        <f t="array" ref="X430">INDEX(M$3:M$700,MATCH($B430&amp;$C430&amp;"baseline",$B$3:$B$700&amp;$C$3:$C$700&amp;$D$3:$D$700,0))</f>
        <v>6.608185796023994</v>
      </c>
      <c r="Y430">
        <f t="array" ref="Y430">INDEX(N$3:N$700,MATCH($B430&amp;$C430&amp;"baseline",$B$3:$B$700&amp;$C$3:$C$700&amp;$D$3:$D$700,0))</f>
        <v>5.0845920837462408</v>
      </c>
      <c r="Z430">
        <f t="array" ref="Z430">INDEX(O$3:O$700,MATCH($B430&amp;$C430&amp;"baseline",$B$3:$B$700&amp;$C$3:$C$700&amp;$D$3:$D$700,0))</f>
        <v>16.655579370441945</v>
      </c>
      <c r="AA430">
        <f t="array" ref="AA430">INDEX(P$3:P$700,MATCH($B430&amp;$C430&amp;"baseline",$B$3:$B$700&amp;$C$3:$C$700&amp;$D$3:$D$700,0))</f>
        <v>4.1659870860719836</v>
      </c>
      <c r="AB430">
        <f t="array" ref="AB430">INDEX(Q$3:Q$700,MATCH($B430&amp;$C430&amp;"baseline",$B$3:$B$700&amp;$C$3:$C$700&amp;$D$3:$D$700,0))</f>
        <v>0</v>
      </c>
      <c r="AC430">
        <f t="shared" si="48"/>
        <v>475.11281184912553</v>
      </c>
      <c r="AD430">
        <f t="shared" si="49"/>
        <v>-10.034619877495118</v>
      </c>
      <c r="AE430">
        <f t="shared" si="50"/>
        <v>6.8469217867885135</v>
      </c>
      <c r="AF430">
        <f t="shared" si="51"/>
        <v>-0.67093498874513069</v>
      </c>
      <c r="AG430">
        <f>(S430+V430+Y430)*constants!$O$2+(R430+T430+U430+W430+X430+Z430+AA430+AB430)*constants!$N$2</f>
        <v>16.826714490445966</v>
      </c>
      <c r="AH430">
        <f>((S430+V430+Y430)-(H430+K430+N430))*constants!$O$2</f>
        <v>-0.1625608420154209</v>
      </c>
      <c r="AI430">
        <f>((R430+T430+U430+W430+X430+Z430+AA430+AB430)-(G430+I430+J430+L430+M430+O430+P430+Q430))*constants!$N$2</f>
        <v>0.77370216190710206</v>
      </c>
      <c r="AJ430">
        <f t="shared" si="52"/>
        <v>3.6319705801074886</v>
      </c>
      <c r="AK430">
        <f t="shared" si="53"/>
        <v>0.61114131989168119</v>
      </c>
      <c r="AL430">
        <f>COUNTIFS($B:$B,$B430,$AK:$AK,"&lt;"&amp;$AK430)+COUNTIFS($B$2:$B430,$B430,$AK$2:$AK430,$AK430)</f>
        <v>17</v>
      </c>
      <c r="AM430" s="191">
        <f>IF(AK430=0, "NA",IF(((sim_annual_output!F430/E430)/AK430)&lt;0,100,((sim_annual_output!F430/E430)/AK430)))</f>
        <v>16.312425250865896</v>
      </c>
      <c r="AN430">
        <f>(S430+V430)*constants!$F$2+(T430+U430+W430+X430+Y430+Z430+AA430+AB430)*constants!$G$2</f>
        <v>143044.525606613</v>
      </c>
      <c r="AO430">
        <f>(AD430*constants!$F$2+AE430*constants!$G$2)</f>
        <v>4160.6249964343806</v>
      </c>
      <c r="AP430">
        <f t="shared" si="54"/>
        <v>2.9086223179742809</v>
      </c>
    </row>
    <row r="431" spans="1:42">
      <c r="A431">
        <f>sim_annual_output!B431</f>
        <v>19</v>
      </c>
      <c r="B431" t="str">
        <f>sim_annual_output!C431</f>
        <v>Recreation Center</v>
      </c>
      <c r="C431" t="str">
        <f>sim_annual_output!D431</f>
        <v>1980-2004</v>
      </c>
      <c r="D431" t="str">
        <f>sim_annual_output!E431</f>
        <v>occupancy_setback</v>
      </c>
      <c r="E431" s="45">
        <f t="array" ref="E431">IFERROR(INDEX(baseline!$J$3:$J$201,MATCH($B431&amp;$C431,baseline!$C$3:$C$201&amp;baseline!$D$3:$D$201,0)),"NA")</f>
        <v>12612.73388</v>
      </c>
      <c r="F431">
        <f>sim_annual_output!G431</f>
        <v>12612.733881903199</v>
      </c>
      <c r="G431">
        <f>$E431/$F431^2*sim_annual_output!I431</f>
        <v>16.010727911993079</v>
      </c>
      <c r="H431">
        <f>$E431/$F431^2*sim_annual_output!J431</f>
        <v>429.24400785233451</v>
      </c>
      <c r="I431">
        <f>$E431/$F431^2*sim_annual_output!K431</f>
        <v>3.5665042753145326</v>
      </c>
      <c r="J431">
        <f>$E431/$F431^2*sim_annual_output!L431</f>
        <v>0</v>
      </c>
      <c r="K431">
        <f>$E431/$F431^2*sim_annual_output!M431</f>
        <v>23.388639065694257</v>
      </c>
      <c r="L431">
        <f>$E431/$F431^2*sim_annual_output!N431</f>
        <v>53.257286485876563</v>
      </c>
      <c r="M431">
        <f>$E431/$F431^2*sim_annual_output!O431</f>
        <v>6.608185796023994</v>
      </c>
      <c r="N431">
        <f>$E431/$F431^2*sim_annual_output!P431</f>
        <v>5.0845920837462408</v>
      </c>
      <c r="O431">
        <f>$E431/$F431^2*sim_annual_output!Q431</f>
        <v>12.511615899754144</v>
      </c>
      <c r="P431">
        <f>$E431/$F431^2*sim_annual_output!R431</f>
        <v>4.1413206368416988</v>
      </c>
      <c r="Q431">
        <f>$E431/$F431^2*sim_annual_output!S431</f>
        <v>0</v>
      </c>
      <c r="R431">
        <f t="array" ref="R431">INDEX(G$3:G$700,MATCH($B431&amp;$C431&amp;"baseline",$B$3:$B$700&amp;$C$3:$C$700&amp;$D$3:$D$700,0))</f>
        <v>12.284111952835538</v>
      </c>
      <c r="S431">
        <f t="array" ref="S431">INDEX(H$3:H$700,MATCH($B431&amp;$C431&amp;"baseline",$B$3:$B$700&amp;$C$3:$C$700&amp;$D$3:$D$700,0))</f>
        <v>352.31662049615386</v>
      </c>
      <c r="T431">
        <f t="array" ref="T431">INDEX(I$3:I$700,MATCH($B431&amp;$C431&amp;"baseline",$B$3:$B$700&amp;$C$3:$C$700&amp;$D$3:$D$700,0))</f>
        <v>1.3458631361273996</v>
      </c>
      <c r="U431">
        <f t="array" ref="U431">INDEX(J$3:J$700,MATCH($B431&amp;$C431&amp;"baseline",$B$3:$B$700&amp;$C$3:$C$700&amp;$D$3:$D$700,0))</f>
        <v>0</v>
      </c>
      <c r="V431">
        <f t="array" ref="V431">INDEX(K$3:K$700,MATCH($B431&amp;$C431&amp;"baseline",$B$3:$B$700&amp;$C$3:$C$700&amp;$D$3:$D$700,0))</f>
        <v>23.394585441847987</v>
      </c>
      <c r="W431">
        <f t="array" ref="W431">INDEX(L$3:L$700,MATCH($B431&amp;$C431&amp;"baseline",$B$3:$B$700&amp;$C$3:$C$700&amp;$D$3:$D$700,0))</f>
        <v>53.257286485876563</v>
      </c>
      <c r="X431">
        <f t="array" ref="X431">INDEX(M$3:M$700,MATCH($B431&amp;$C431&amp;"baseline",$B$3:$B$700&amp;$C$3:$C$700&amp;$D$3:$D$700,0))</f>
        <v>6.608185796023994</v>
      </c>
      <c r="Y431">
        <f t="array" ref="Y431">INDEX(N$3:N$700,MATCH($B431&amp;$C431&amp;"baseline",$B$3:$B$700&amp;$C$3:$C$700&amp;$D$3:$D$700,0))</f>
        <v>5.0845920837462408</v>
      </c>
      <c r="Z431">
        <f t="array" ref="Z431">INDEX(O$3:O$700,MATCH($B431&amp;$C431&amp;"baseline",$B$3:$B$700&amp;$C$3:$C$700&amp;$D$3:$D$700,0))</f>
        <v>16.655579370441945</v>
      </c>
      <c r="AA431">
        <f t="array" ref="AA431">INDEX(P$3:P$700,MATCH($B431&amp;$C431&amp;"baseline",$B$3:$B$700&amp;$C$3:$C$700&amp;$D$3:$D$700,0))</f>
        <v>4.1659870860719836</v>
      </c>
      <c r="AB431">
        <f t="array" ref="AB431">INDEX(Q$3:Q$700,MATCH($B431&amp;$C431&amp;"baseline",$B$3:$B$700&amp;$C$3:$C$700&amp;$D$3:$D$700,0))</f>
        <v>0</v>
      </c>
      <c r="AC431">
        <f t="shared" si="48"/>
        <v>475.11281184912553</v>
      </c>
      <c r="AD431">
        <f t="shared" si="49"/>
        <v>-76.921440980026887</v>
      </c>
      <c r="AE431">
        <f t="shared" si="50"/>
        <v>-1.7786271784266035</v>
      </c>
      <c r="AF431">
        <f t="shared" si="51"/>
        <v>-16.564501355405483</v>
      </c>
      <c r="AG431">
        <f>(S431+V431+Y431)*constants!$O$2+(R431+T431+U431+W431+X431+Z431+AA431+AB431)*constants!$N$2</f>
        <v>16.826714490445966</v>
      </c>
      <c r="AH431">
        <f>((S431+V431+Y431)-(H431+K431+N431))*constants!$O$2</f>
        <v>-1.2461273438764355</v>
      </c>
      <c r="AI431">
        <f>((R431+T431+U431+W431+X431+Z431+AA431+AB431)-(G431+I431+J431+L431+M431+O431+P431+Q431))*constants!$N$2</f>
        <v>-0.2009848711622062</v>
      </c>
      <c r="AJ431">
        <f t="shared" si="52"/>
        <v>-8.6000877703148593</v>
      </c>
      <c r="AK431">
        <f t="shared" si="53"/>
        <v>-1.4471122150386417</v>
      </c>
      <c r="AL431">
        <f>COUNTIFS($B:$B,$B431,$AK:$AK,"&lt;"&amp;$AK431)+COUNTIFS($B$2:$B431,$B431,$AK$2:$AK431,$AK431)</f>
        <v>1</v>
      </c>
      <c r="AM431" s="191">
        <f>IF(AK431=0, "NA",IF(((sim_annual_output!F431/E431)/AK431)&lt;0,100,((sim_annual_output!F431/E431)/AK431)))</f>
        <v>100</v>
      </c>
      <c r="AN431">
        <f>(S431+V431)*constants!$F$2+(T431+U431+W431+X431+Y431+Z431+AA431+AB431)*constants!$G$2</f>
        <v>143044.525606613</v>
      </c>
      <c r="AO431">
        <f>(AD431*constants!$F$2+AE431*constants!$G$2)</f>
        <v>-15316.343580655957</v>
      </c>
      <c r="AP431">
        <f t="shared" si="54"/>
        <v>-10.707395837557224</v>
      </c>
    </row>
    <row r="432" spans="1:42">
      <c r="A432">
        <f>sim_annual_output!B432</f>
        <v>19</v>
      </c>
      <c r="B432" t="str">
        <f>sim_annual_output!C432</f>
        <v>Recreation Center</v>
      </c>
      <c r="C432" t="str">
        <f>sim_annual_output!D432</f>
        <v>1980-2004</v>
      </c>
      <c r="D432" t="str">
        <f>sim_annual_output!E432</f>
        <v>payback_less_than_20</v>
      </c>
      <c r="E432" s="45">
        <f t="array" ref="E432">IFERROR(INDEX(baseline!$J$3:$J$201,MATCH($B432&amp;$C432,baseline!$C$3:$C$201&amp;baseline!$D$3:$D$201,0)),"NA")</f>
        <v>12612.73388</v>
      </c>
      <c r="F432">
        <f>sim_annual_output!G432</f>
        <v>12612.733881903199</v>
      </c>
      <c r="G432">
        <f>$E432/$F432^2*sim_annual_output!I432</f>
        <v>10.810071375172194</v>
      </c>
      <c r="H432">
        <f>$E432/$F432^2*sim_annual_output!J432</f>
        <v>274.06054842384543</v>
      </c>
      <c r="I432">
        <f>$E432/$F432^2*sim_annual_output!K432</f>
        <v>4.9731525899022762</v>
      </c>
      <c r="J432">
        <f>$E432/$F432^2*sim_annual_output!L432</f>
        <v>0</v>
      </c>
      <c r="K432">
        <f>$E432/$F432^2*sim_annual_output!M432</f>
        <v>23.388198593386573</v>
      </c>
      <c r="L432">
        <f>$E432/$F432^2*sim_annual_output!N432</f>
        <v>37.280034469267441</v>
      </c>
      <c r="M432">
        <f>$E432/$F432^2*sim_annual_output!O432</f>
        <v>6.608185796023994</v>
      </c>
      <c r="N432">
        <f>$E432/$F432^2*sim_annual_output!P432</f>
        <v>5.0845920837462408</v>
      </c>
      <c r="O432">
        <f>$E432/$F432^2*sim_annual_output!Q432</f>
        <v>10.859184037478922</v>
      </c>
      <c r="P432">
        <f>$E432/$F432^2*sim_annual_output!R432</f>
        <v>2.6432743184095977</v>
      </c>
      <c r="Q432">
        <f>$E432/$F432^2*sim_annual_output!S432</f>
        <v>0</v>
      </c>
      <c r="R432">
        <f t="array" ref="R432">INDEX(G$3:G$700,MATCH($B432&amp;$C432&amp;"baseline",$B$3:$B$700&amp;$C$3:$C$700&amp;$D$3:$D$700,0))</f>
        <v>12.284111952835538</v>
      </c>
      <c r="S432">
        <f t="array" ref="S432">INDEX(H$3:H$700,MATCH($B432&amp;$C432&amp;"baseline",$B$3:$B$700&amp;$C$3:$C$700&amp;$D$3:$D$700,0))</f>
        <v>352.31662049615386</v>
      </c>
      <c r="T432">
        <f t="array" ref="T432">INDEX(I$3:I$700,MATCH($B432&amp;$C432&amp;"baseline",$B$3:$B$700&amp;$C$3:$C$700&amp;$D$3:$D$700,0))</f>
        <v>1.3458631361273996</v>
      </c>
      <c r="U432">
        <f t="array" ref="U432">INDEX(J$3:J$700,MATCH($B432&amp;$C432&amp;"baseline",$B$3:$B$700&amp;$C$3:$C$700&amp;$D$3:$D$700,0))</f>
        <v>0</v>
      </c>
      <c r="V432">
        <f t="array" ref="V432">INDEX(K$3:K$700,MATCH($B432&amp;$C432&amp;"baseline",$B$3:$B$700&amp;$C$3:$C$700&amp;$D$3:$D$700,0))</f>
        <v>23.394585441847987</v>
      </c>
      <c r="W432">
        <f t="array" ref="W432">INDEX(L$3:L$700,MATCH($B432&amp;$C432&amp;"baseline",$B$3:$B$700&amp;$C$3:$C$700&amp;$D$3:$D$700,0))</f>
        <v>53.257286485876563</v>
      </c>
      <c r="X432">
        <f t="array" ref="X432">INDEX(M$3:M$700,MATCH($B432&amp;$C432&amp;"baseline",$B$3:$B$700&amp;$C$3:$C$700&amp;$D$3:$D$700,0))</f>
        <v>6.608185796023994</v>
      </c>
      <c r="Y432">
        <f t="array" ref="Y432">INDEX(N$3:N$700,MATCH($B432&amp;$C432&amp;"baseline",$B$3:$B$700&amp;$C$3:$C$700&amp;$D$3:$D$700,0))</f>
        <v>5.0845920837462408</v>
      </c>
      <c r="Z432">
        <f t="array" ref="Z432">INDEX(O$3:O$700,MATCH($B432&amp;$C432&amp;"baseline",$B$3:$B$700&amp;$C$3:$C$700&amp;$D$3:$D$700,0))</f>
        <v>16.655579370441945</v>
      </c>
      <c r="AA432">
        <f t="array" ref="AA432">INDEX(P$3:P$700,MATCH($B432&amp;$C432&amp;"baseline",$B$3:$B$700&amp;$C$3:$C$700&amp;$D$3:$D$700,0))</f>
        <v>4.1659870860719836</v>
      </c>
      <c r="AB432">
        <f t="array" ref="AB432">INDEX(Q$3:Q$700,MATCH($B432&amp;$C432&amp;"baseline",$B$3:$B$700&amp;$C$3:$C$700&amp;$D$3:$D$700,0))</f>
        <v>0</v>
      </c>
      <c r="AC432">
        <f t="shared" si="48"/>
        <v>475.11281184912553</v>
      </c>
      <c r="AD432">
        <f t="shared" si="49"/>
        <v>78.262458920769859</v>
      </c>
      <c r="AE432">
        <f t="shared" si="50"/>
        <v>21.14311124112298</v>
      </c>
      <c r="AF432">
        <f t="shared" si="51"/>
        <v>20.922519385450624</v>
      </c>
      <c r="AG432">
        <f>(S432+V432+Y432)*constants!$O$2+(R432+T432+U432+W432+X432+Z432+AA432+AB432)*constants!$N$2</f>
        <v>16.826714490445966</v>
      </c>
      <c r="AH432">
        <f>((S432+V432+Y432)-(H432+K432+N432))*constants!$O$2</f>
        <v>1.2678518345164715</v>
      </c>
      <c r="AI432">
        <f>((R432+T432+U432+W432+X432+Z432+AA432+AB432)-(G432+I432+J432+L432+M432+O432+P432+Q432))*constants!$N$2</f>
        <v>2.389171570246897</v>
      </c>
      <c r="AJ432">
        <f t="shared" si="52"/>
        <v>21.733437070200416</v>
      </c>
      <c r="AK432">
        <f t="shared" si="53"/>
        <v>3.6570234047633683</v>
      </c>
      <c r="AL432">
        <f>COUNTIFS($B:$B,$B432,$AK:$AK,"&lt;"&amp;$AK432)+COUNTIFS($B$2:$B432,$B432,$AK$2:$AK432,$AK432)</f>
        <v>23</v>
      </c>
      <c r="AM432" s="191">
        <f>IF(AK432=0, "NA",IF(((sim_annual_output!F432/E432)/AK432)&lt;0,100,((sim_annual_output!F432/E432)/AK432)))</f>
        <v>10.552862768543482</v>
      </c>
      <c r="AN432">
        <f>(S432+V432)*constants!$F$2+(T432+U432+W432+X432+Y432+Z432+AA432+AB432)*constants!$G$2</f>
        <v>143044.525606613</v>
      </c>
      <c r="AO432">
        <f>(AD432*constants!$F$2+AE432*constants!$G$2)</f>
        <v>32403.486926594796</v>
      </c>
      <c r="AP432">
        <f t="shared" si="54"/>
        <v>22.652727735773464</v>
      </c>
    </row>
    <row r="433" spans="1:42">
      <c r="A433">
        <f>sim_annual_output!B433</f>
        <v>19</v>
      </c>
      <c r="B433" t="str">
        <f>sim_annual_output!C433</f>
        <v>Recreation Center</v>
      </c>
      <c r="C433" t="str">
        <f>sim_annual_output!D433</f>
        <v>1980-2004</v>
      </c>
      <c r="D433" t="str">
        <f>sim_annual_output!E433</f>
        <v>plug_loads_90_percent</v>
      </c>
      <c r="E433" s="45">
        <f t="array" ref="E433">IFERROR(INDEX(baseline!$J$3:$J$201,MATCH($B433&amp;$C433,baseline!$C$3:$C$201&amp;baseline!$D$3:$D$201,0)),"NA")</f>
        <v>12612.73388</v>
      </c>
      <c r="F433">
        <f>sim_annual_output!G433</f>
        <v>12612.733881903199</v>
      </c>
      <c r="G433">
        <f>$E433/$F433^2*sim_annual_output!I433</f>
        <v>12.17817836283762</v>
      </c>
      <c r="H433">
        <f>$E433/$F433^2*sim_annual_output!J433</f>
        <v>346.72504478626371</v>
      </c>
      <c r="I433">
        <f>$E433/$F433^2*sim_annual_output!K433</f>
        <v>1.4537788515098944</v>
      </c>
      <c r="J433">
        <f>$E433/$F433^2*sim_annual_output!L433</f>
        <v>0</v>
      </c>
      <c r="K433">
        <f>$E433/$F433^2*sim_annual_output!M433</f>
        <v>23.394144969540303</v>
      </c>
      <c r="L433">
        <f>$E433/$F433^2*sim_annual_output!N433</f>
        <v>53.257286485876563</v>
      </c>
      <c r="M433">
        <f>$E433/$F433^2*sim_annual_output!O433</f>
        <v>6.608185796023994</v>
      </c>
      <c r="N433">
        <f>$E433/$F433^2*sim_annual_output!P433</f>
        <v>5.0845920837462408</v>
      </c>
      <c r="O433">
        <f>$E433/$F433^2*sim_annual_output!Q433</f>
        <v>16.646109215826748</v>
      </c>
      <c r="P433">
        <f>$E433/$F433^2*sim_annual_output!R433</f>
        <v>4.1882309376100082</v>
      </c>
      <c r="Q433">
        <f>$E433/$F433^2*sim_annual_output!S433</f>
        <v>0</v>
      </c>
      <c r="R433">
        <f t="array" ref="R433">INDEX(G$3:G$700,MATCH($B433&amp;$C433&amp;"baseline",$B$3:$B$700&amp;$C$3:$C$700&amp;$D$3:$D$700,0))</f>
        <v>12.284111952835538</v>
      </c>
      <c r="S433">
        <f t="array" ref="S433">INDEX(H$3:H$700,MATCH($B433&amp;$C433&amp;"baseline",$B$3:$B$700&amp;$C$3:$C$700&amp;$D$3:$D$700,0))</f>
        <v>352.31662049615386</v>
      </c>
      <c r="T433">
        <f t="array" ref="T433">INDEX(I$3:I$700,MATCH($B433&amp;$C433&amp;"baseline",$B$3:$B$700&amp;$C$3:$C$700&amp;$D$3:$D$700,0))</f>
        <v>1.3458631361273996</v>
      </c>
      <c r="U433">
        <f t="array" ref="U433">INDEX(J$3:J$700,MATCH($B433&amp;$C433&amp;"baseline",$B$3:$B$700&amp;$C$3:$C$700&amp;$D$3:$D$700,0))</f>
        <v>0</v>
      </c>
      <c r="V433">
        <f t="array" ref="V433">INDEX(K$3:K$700,MATCH($B433&amp;$C433&amp;"baseline",$B$3:$B$700&amp;$C$3:$C$700&amp;$D$3:$D$700,0))</f>
        <v>23.394585441847987</v>
      </c>
      <c r="W433">
        <f t="array" ref="W433">INDEX(L$3:L$700,MATCH($B433&amp;$C433&amp;"baseline",$B$3:$B$700&amp;$C$3:$C$700&amp;$D$3:$D$700,0))</f>
        <v>53.257286485876563</v>
      </c>
      <c r="X433">
        <f t="array" ref="X433">INDEX(M$3:M$700,MATCH($B433&amp;$C433&amp;"baseline",$B$3:$B$700&amp;$C$3:$C$700&amp;$D$3:$D$700,0))</f>
        <v>6.608185796023994</v>
      </c>
      <c r="Y433">
        <f t="array" ref="Y433">INDEX(N$3:N$700,MATCH($B433&amp;$C433&amp;"baseline",$B$3:$B$700&amp;$C$3:$C$700&amp;$D$3:$D$700,0))</f>
        <v>5.0845920837462408</v>
      </c>
      <c r="Z433">
        <f t="array" ref="Z433">INDEX(O$3:O$700,MATCH($B433&amp;$C433&amp;"baseline",$B$3:$B$700&amp;$C$3:$C$700&amp;$D$3:$D$700,0))</f>
        <v>16.655579370441945</v>
      </c>
      <c r="AA433">
        <f t="array" ref="AA433">INDEX(P$3:P$700,MATCH($B433&amp;$C433&amp;"baseline",$B$3:$B$700&amp;$C$3:$C$700&amp;$D$3:$D$700,0))</f>
        <v>4.1659870860719836</v>
      </c>
      <c r="AB433">
        <f t="array" ref="AB433">INDEX(Q$3:Q$700,MATCH($B433&amp;$C433&amp;"baseline",$B$3:$B$700&amp;$C$3:$C$700&amp;$D$3:$D$700,0))</f>
        <v>0</v>
      </c>
      <c r="AC433">
        <f t="shared" si="48"/>
        <v>475.11281184912553</v>
      </c>
      <c r="AD433">
        <f t="shared" si="49"/>
        <v>5.592016182197824</v>
      </c>
      <c r="AE433">
        <f t="shared" si="50"/>
        <v>-1.4755822307407129E-2</v>
      </c>
      <c r="AF433">
        <f t="shared" si="51"/>
        <v>1.1738812805707928</v>
      </c>
      <c r="AG433">
        <f>(S433+V433+Y433)*constants!$O$2+(R433+T433+U433+W433+X433+Z433+AA433+AB433)*constants!$N$2</f>
        <v>16.826714490445966</v>
      </c>
      <c r="AH433">
        <f>((S433+V433+Y433)-(H433+K433+N433))*constants!$O$2</f>
        <v>9.0590662151604745E-2</v>
      </c>
      <c r="AI433">
        <f>((R433+T433+U433+W433+X433+Z433+AA433+AB433)-(G433+I433+J433+L433+M433+O433+P433+Q433))*constants!$N$2</f>
        <v>-1.6674079207370056E-3</v>
      </c>
      <c r="AJ433">
        <f t="shared" si="52"/>
        <v>0.52846474741909621</v>
      </c>
      <c r="AK433">
        <f t="shared" si="53"/>
        <v>8.8923254230867735E-2</v>
      </c>
      <c r="AL433">
        <f>COUNTIFS($B:$B,$B433,$AK:$AK,"&lt;"&amp;$AK433)+COUNTIFS($B$2:$B433,$B433,$AK$2:$AK433,$AK433)</f>
        <v>6</v>
      </c>
      <c r="AM433" s="191">
        <f>IF(AK433=0, "NA",IF(((sim_annual_output!F433/E433)/AK433)&lt;0,100,((sim_annual_output!F433/E433)/AK433)))</f>
        <v>7.8600235536253917</v>
      </c>
      <c r="AN433">
        <f>(S433+V433)*constants!$F$2+(T433+U433+W433+X433+Y433+Z433+AA433+AB433)*constants!$G$2</f>
        <v>143044.525606613</v>
      </c>
      <c r="AO433">
        <f>(AD433*constants!$F$2+AE433*constants!$G$2)</f>
        <v>988.13333120596633</v>
      </c>
      <c r="AP433">
        <f t="shared" si="54"/>
        <v>0.69078724055713503</v>
      </c>
    </row>
    <row r="434" spans="1:42">
      <c r="A434">
        <f>sim_annual_output!B434</f>
        <v>19</v>
      </c>
      <c r="B434" t="str">
        <f>sim_annual_output!C434</f>
        <v>Recreation Center</v>
      </c>
      <c r="C434" t="str">
        <f>sim_annual_output!D434</f>
        <v>1980-2004</v>
      </c>
      <c r="D434" t="str">
        <f>sim_annual_output!E434</f>
        <v>pumps_to_variable</v>
      </c>
      <c r="E434" s="45">
        <f t="array" ref="E434">IFERROR(INDEX(baseline!$J$3:$J$201,MATCH($B434&amp;$C434,baseline!$C$3:$C$201&amp;baseline!$D$3:$D$201,0)),"NA")</f>
        <v>12612.73388</v>
      </c>
      <c r="F434">
        <f>sim_annual_output!G434</f>
        <v>12612.733881903199</v>
      </c>
      <c r="G434">
        <f>$E434/$F434^2*sim_annual_output!I434</f>
        <v>12.180821196683722</v>
      </c>
      <c r="H434">
        <f>$E434/$F434^2*sim_annual_output!J434</f>
        <v>349.60397178928406</v>
      </c>
      <c r="I434">
        <f>$E434/$F434^2*sim_annual_output!K434</f>
        <v>1.4575228661252055</v>
      </c>
      <c r="J434">
        <f>$E434/$F434^2*sim_annual_output!L434</f>
        <v>0</v>
      </c>
      <c r="K434">
        <f>$E434/$F434^2*sim_annual_output!M434</f>
        <v>23.439293381077874</v>
      </c>
      <c r="L434">
        <f>$E434/$F434^2*sim_annual_output!N434</f>
        <v>53.257286485876563</v>
      </c>
      <c r="M434">
        <f>$E434/$F434^2*sim_annual_output!O434</f>
        <v>6.608185796023994</v>
      </c>
      <c r="N434">
        <f>$E434/$F434^2*sim_annual_output!P434</f>
        <v>5.0845920837462408</v>
      </c>
      <c r="O434">
        <f>$E434/$F434^2*sim_annual_output!Q434</f>
        <v>16.655579370441945</v>
      </c>
      <c r="P434">
        <f>$E434/$F434^2*sim_annual_output!R434</f>
        <v>0.46712088229851328</v>
      </c>
      <c r="Q434">
        <f>$E434/$F434^2*sim_annual_output!S434</f>
        <v>0</v>
      </c>
      <c r="R434">
        <f t="array" ref="R434">INDEX(G$3:G$700,MATCH($B434&amp;$C434&amp;"baseline",$B$3:$B$700&amp;$C$3:$C$700&amp;$D$3:$D$700,0))</f>
        <v>12.284111952835538</v>
      </c>
      <c r="S434">
        <f t="array" ref="S434">INDEX(H$3:H$700,MATCH($B434&amp;$C434&amp;"baseline",$B$3:$B$700&amp;$C$3:$C$700&amp;$D$3:$D$700,0))</f>
        <v>352.31662049615386</v>
      </c>
      <c r="T434">
        <f t="array" ref="T434">INDEX(I$3:I$700,MATCH($B434&amp;$C434&amp;"baseline",$B$3:$B$700&amp;$C$3:$C$700&amp;$D$3:$D$700,0))</f>
        <v>1.3458631361273996</v>
      </c>
      <c r="U434">
        <f t="array" ref="U434">INDEX(J$3:J$700,MATCH($B434&amp;$C434&amp;"baseline",$B$3:$B$700&amp;$C$3:$C$700&amp;$D$3:$D$700,0))</f>
        <v>0</v>
      </c>
      <c r="V434">
        <f t="array" ref="V434">INDEX(K$3:K$700,MATCH($B434&amp;$C434&amp;"baseline",$B$3:$B$700&amp;$C$3:$C$700&amp;$D$3:$D$700,0))</f>
        <v>23.394585441847987</v>
      </c>
      <c r="W434">
        <f t="array" ref="W434">INDEX(L$3:L$700,MATCH($B434&amp;$C434&amp;"baseline",$B$3:$B$700&amp;$C$3:$C$700&amp;$D$3:$D$700,0))</f>
        <v>53.257286485876563</v>
      </c>
      <c r="X434">
        <f t="array" ref="X434">INDEX(M$3:M$700,MATCH($B434&amp;$C434&amp;"baseline",$B$3:$B$700&amp;$C$3:$C$700&amp;$D$3:$D$700,0))</f>
        <v>6.608185796023994</v>
      </c>
      <c r="Y434">
        <f t="array" ref="Y434">INDEX(N$3:N$700,MATCH($B434&amp;$C434&amp;"baseline",$B$3:$B$700&amp;$C$3:$C$700&amp;$D$3:$D$700,0))</f>
        <v>5.0845920837462408</v>
      </c>
      <c r="Z434">
        <f t="array" ref="Z434">INDEX(O$3:O$700,MATCH($B434&amp;$C434&amp;"baseline",$B$3:$B$700&amp;$C$3:$C$700&amp;$D$3:$D$700,0))</f>
        <v>16.655579370441945</v>
      </c>
      <c r="AA434">
        <f t="array" ref="AA434">INDEX(P$3:P$700,MATCH($B434&amp;$C434&amp;"baseline",$B$3:$B$700&amp;$C$3:$C$700&amp;$D$3:$D$700,0))</f>
        <v>4.1659870860719836</v>
      </c>
      <c r="AB434">
        <f t="array" ref="AB434">INDEX(Q$3:Q$700,MATCH($B434&amp;$C434&amp;"baseline",$B$3:$B$700&amp;$C$3:$C$700&amp;$D$3:$D$700,0))</f>
        <v>0</v>
      </c>
      <c r="AC434">
        <f t="shared" si="48"/>
        <v>475.11281184912553</v>
      </c>
      <c r="AD434">
        <f t="shared" si="49"/>
        <v>2.6679407676399478</v>
      </c>
      <c r="AE434">
        <f t="shared" si="50"/>
        <v>3.6904972299274732</v>
      </c>
      <c r="AF434">
        <f t="shared" si="51"/>
        <v>1.338300681225699</v>
      </c>
      <c r="AG434">
        <f>(S434+V434+Y434)*constants!$O$2+(R434+T434+U434+W434+X434+Z434+AA434+AB434)*constants!$N$2</f>
        <v>16.826714490445966</v>
      </c>
      <c r="AH434">
        <f>((S434+V434+Y434)-(H434+K434+N434))*constants!$O$2</f>
        <v>4.3220640435767149E-2</v>
      </c>
      <c r="AI434">
        <f>((R434+T434+U434+W434+X434+Z434+AA434+AB434)-(G434+I434+J434+L434+M434+O434+P434+Q434))*constants!$N$2</f>
        <v>0.41702618698180449</v>
      </c>
      <c r="AJ434">
        <f t="shared" si="52"/>
        <v>2.73521505151166</v>
      </c>
      <c r="AK434">
        <f t="shared" si="53"/>
        <v>0.46024682741757161</v>
      </c>
      <c r="AL434">
        <f>COUNTIFS($B:$B,$B434,$AK:$AK,"&lt;"&amp;$AK434)+COUNTIFS($B$2:$B434,$B434,$AK$2:$AK434,$AK434)</f>
        <v>15</v>
      </c>
      <c r="AM434" s="191">
        <f>IF(AK434=0, "NA",IF(((sim_annual_output!F434/E434)/AK434)&lt;0,100,((sim_annual_output!F434/E434)/AK434)))</f>
        <v>2.360213441581164</v>
      </c>
      <c r="AN434">
        <f>(S434+V434)*constants!$F$2+(T434+U434+W434+X434+Y434+Z434+AA434+AB434)*constants!$G$2</f>
        <v>143044.525606613</v>
      </c>
      <c r="AO434">
        <f>(AD434*constants!$F$2+AE434*constants!$G$2)</f>
        <v>3688.2939874444519</v>
      </c>
      <c r="AP434">
        <f t="shared" si="54"/>
        <v>2.5784237263211565</v>
      </c>
    </row>
    <row r="435" spans="1:42">
      <c r="A435">
        <f>sim_annual_output!B435</f>
        <v>19</v>
      </c>
      <c r="B435" t="str">
        <f>sim_annual_output!C435</f>
        <v>Recreation Center</v>
      </c>
      <c r="C435" t="str">
        <f>sim_annual_output!D435</f>
        <v>1980-2004</v>
      </c>
      <c r="D435" t="str">
        <f>sim_annual_output!E435</f>
        <v>pump_fan_eff_</v>
      </c>
      <c r="E435" s="45">
        <f t="array" ref="E435">IFERROR(INDEX(baseline!$J$3:$J$201,MATCH($B435&amp;$C435,baseline!$C$3:$C$201&amp;baseline!$D$3:$D$201,0)),"NA")</f>
        <v>12612.73388</v>
      </c>
      <c r="F435">
        <f>sim_annual_output!G435</f>
        <v>12612.733881903199</v>
      </c>
      <c r="G435">
        <f>$E435/$F435^2*sim_annual_output!I435</f>
        <v>12.180821196683722</v>
      </c>
      <c r="H435">
        <f>$E435/$F435^2*sim_annual_output!J435</f>
        <v>346.39116677703947</v>
      </c>
      <c r="I435">
        <f>$E435/$F435^2*sim_annual_output!K435</f>
        <v>1.4654513676635113</v>
      </c>
      <c r="J435">
        <f>$E435/$F435^2*sim_annual_output!L435</f>
        <v>0</v>
      </c>
      <c r="K435">
        <f>$E435/$F435^2*sim_annual_output!M435</f>
        <v>23.394144969540303</v>
      </c>
      <c r="L435">
        <f>$E435/$F435^2*sim_annual_output!N435</f>
        <v>53.257286485876563</v>
      </c>
      <c r="M435">
        <f>$E435/$F435^2*sim_annual_output!O435</f>
        <v>6.608185796023994</v>
      </c>
      <c r="N435">
        <f>$E435/$F435^2*sim_annual_output!P435</f>
        <v>5.0845920837462408</v>
      </c>
      <c r="O435">
        <f>$E435/$F435^2*sim_annual_output!Q435</f>
        <v>16.655579370441945</v>
      </c>
      <c r="P435">
        <f>$E435/$F435^2*sim_annual_output!R435</f>
        <v>3.2773342053202152</v>
      </c>
      <c r="Q435">
        <f>$E435/$F435^2*sim_annual_output!S435</f>
        <v>0</v>
      </c>
      <c r="R435">
        <f t="array" ref="R435">INDEX(G$3:G$700,MATCH($B435&amp;$C435&amp;"baseline",$B$3:$B$700&amp;$C$3:$C$700&amp;$D$3:$D$700,0))</f>
        <v>12.284111952835538</v>
      </c>
      <c r="S435">
        <f t="array" ref="S435">INDEX(H$3:H$700,MATCH($B435&amp;$C435&amp;"baseline",$B$3:$B$700&amp;$C$3:$C$700&amp;$D$3:$D$700,0))</f>
        <v>352.31662049615386</v>
      </c>
      <c r="T435">
        <f t="array" ref="T435">INDEX(I$3:I$700,MATCH($B435&amp;$C435&amp;"baseline",$B$3:$B$700&amp;$C$3:$C$700&amp;$D$3:$D$700,0))</f>
        <v>1.3458631361273996</v>
      </c>
      <c r="U435">
        <f t="array" ref="U435">INDEX(J$3:J$700,MATCH($B435&amp;$C435&amp;"baseline",$B$3:$B$700&amp;$C$3:$C$700&amp;$D$3:$D$700,0))</f>
        <v>0</v>
      </c>
      <c r="V435">
        <f t="array" ref="V435">INDEX(K$3:K$700,MATCH($B435&amp;$C435&amp;"baseline",$B$3:$B$700&amp;$C$3:$C$700&amp;$D$3:$D$700,0))</f>
        <v>23.394585441847987</v>
      </c>
      <c r="W435">
        <f t="array" ref="W435">INDEX(L$3:L$700,MATCH($B435&amp;$C435&amp;"baseline",$B$3:$B$700&amp;$C$3:$C$700&amp;$D$3:$D$700,0))</f>
        <v>53.257286485876563</v>
      </c>
      <c r="X435">
        <f t="array" ref="X435">INDEX(M$3:M$700,MATCH($B435&amp;$C435&amp;"baseline",$B$3:$B$700&amp;$C$3:$C$700&amp;$D$3:$D$700,0))</f>
        <v>6.608185796023994</v>
      </c>
      <c r="Y435">
        <f t="array" ref="Y435">INDEX(N$3:N$700,MATCH($B435&amp;$C435&amp;"baseline",$B$3:$B$700&amp;$C$3:$C$700&amp;$D$3:$D$700,0))</f>
        <v>5.0845920837462408</v>
      </c>
      <c r="Z435">
        <f t="array" ref="Z435">INDEX(O$3:O$700,MATCH($B435&amp;$C435&amp;"baseline",$B$3:$B$700&amp;$C$3:$C$700&amp;$D$3:$D$700,0))</f>
        <v>16.655579370441945</v>
      </c>
      <c r="AA435">
        <f t="array" ref="AA435">INDEX(P$3:P$700,MATCH($B435&amp;$C435&amp;"baseline",$B$3:$B$700&amp;$C$3:$C$700&amp;$D$3:$D$700,0))</f>
        <v>4.1659870860719836</v>
      </c>
      <c r="AB435">
        <f t="array" ref="AB435">INDEX(Q$3:Q$700,MATCH($B435&amp;$C435&amp;"baseline",$B$3:$B$700&amp;$C$3:$C$700&amp;$D$3:$D$700,0))</f>
        <v>0</v>
      </c>
      <c r="AC435">
        <f t="shared" si="48"/>
        <v>475.11281184912553</v>
      </c>
      <c r="AD435">
        <f t="shared" si="49"/>
        <v>5.92589419142206</v>
      </c>
      <c r="AE435">
        <f t="shared" si="50"/>
        <v>0.8723554053674718</v>
      </c>
      <c r="AF435">
        <f t="shared" si="51"/>
        <v>1.4308706116197829</v>
      </c>
      <c r="AG435">
        <f>(S435+V435+Y435)*constants!$O$2+(R435+T435+U435+W435+X435+Z435+AA435+AB435)*constants!$N$2</f>
        <v>16.826714490445966</v>
      </c>
      <c r="AH435">
        <f>((S435+V435+Y435)-(H435+K435+N435))*constants!$O$2</f>
        <v>9.5999485901037365E-2</v>
      </c>
      <c r="AI435">
        <f>((R435+T435+U435+W435+X435+Z435+AA435+AB435)-(G435+I435+J435+L435+M435+O435+P435+Q435))*constants!$N$2</f>
        <v>9.8576160806524316E-2</v>
      </c>
      <c r="AJ435">
        <f t="shared" si="52"/>
        <v>1.1563496059675804</v>
      </c>
      <c r="AK435">
        <f t="shared" si="53"/>
        <v>0.19457564670756167</v>
      </c>
      <c r="AL435">
        <f>COUNTIFS($B:$B,$B435,$AK:$AK,"&lt;"&amp;$AK435)+COUNTIFS($B$2:$B435,$B435,$AK$2:$AK435,$AK435)</f>
        <v>13</v>
      </c>
      <c r="AM435" s="191">
        <f>IF(AK435=0, "NA",IF(((sim_annual_output!F435/E435)/AK435)&lt;0,100,((sim_annual_output!F435/E435)/AK435)))</f>
        <v>14.00373169982984</v>
      </c>
      <c r="AN435">
        <f>(S435+V435)*constants!$F$2+(T435+U435+W435+X435+Y435+Z435+AA435+AB435)*constants!$G$2</f>
        <v>143044.525606613</v>
      </c>
      <c r="AO435">
        <f>(AD435*constants!$F$2+AE435*constants!$G$2)</f>
        <v>1819.6842629342493</v>
      </c>
      <c r="AP435">
        <f t="shared" si="54"/>
        <v>1.2721103832652543</v>
      </c>
    </row>
    <row r="436" spans="1:42">
      <c r="A436">
        <f>sim_annual_output!B436</f>
        <v>20</v>
      </c>
      <c r="B436" t="str">
        <f>sim_annual_output!C436</f>
        <v>Storage Building</v>
      </c>
      <c r="C436" t="str">
        <f>sim_annual_output!D436</f>
        <v>1959-pre</v>
      </c>
      <c r="D436" t="str">
        <f>sim_annual_output!E436</f>
        <v>baseline</v>
      </c>
      <c r="E436" s="45">
        <f t="array" ref="E436">IFERROR(INDEX(baseline!$J$3:$J$201,MATCH($B436&amp;$C436,baseline!$C$3:$C$201&amp;baseline!$D$3:$D$201,0)),"NA")</f>
        <v>1171</v>
      </c>
      <c r="F436">
        <f>sim_annual_output!G436</f>
        <v>965.15690399999903</v>
      </c>
      <c r="G436">
        <f>$E436/$F436^2*sim_annual_output!I436</f>
        <v>0</v>
      </c>
      <c r="H436">
        <f>$E436/$F436^2*sim_annual_output!J436</f>
        <v>397.49778261605422</v>
      </c>
      <c r="I436">
        <f>$E436/$F436^2*sim_annual_output!K436</f>
        <v>0</v>
      </c>
      <c r="J436">
        <f>$E436/$F436^2*sim_annual_output!L436</f>
        <v>0</v>
      </c>
      <c r="K436">
        <f>$E436/$F436^2*sim_annual_output!M436</f>
        <v>0</v>
      </c>
      <c r="L436">
        <f>$E436/$F436^2*sim_annual_output!N436</f>
        <v>34.866388715432876</v>
      </c>
      <c r="M436">
        <f>$E436/$F436^2*sim_annual_output!O436</f>
        <v>3.229985935080161</v>
      </c>
      <c r="N436">
        <f>$E436/$F436^2*sim_annual_output!P436</f>
        <v>0</v>
      </c>
      <c r="O436">
        <f>$E436/$F436^2*sim_annual_output!Q436</f>
        <v>16.471182330565533</v>
      </c>
      <c r="P436">
        <f>$E436/$F436^2*sim_annual_output!R436</f>
        <v>0</v>
      </c>
      <c r="Q436">
        <f>$E436/$F436^2*sim_annual_output!S436</f>
        <v>0</v>
      </c>
      <c r="R436">
        <f t="array" ref="R436">INDEX(G$3:G$700,MATCH($B436&amp;$C436&amp;"baseline",$B$3:$B$700&amp;$C$3:$C$700&amp;$D$3:$D$700,0))</f>
        <v>0</v>
      </c>
      <c r="S436">
        <f t="array" ref="S436">INDEX(H$3:H$700,MATCH($B436&amp;$C436&amp;"baseline",$B$3:$B$700&amp;$C$3:$C$700&amp;$D$3:$D$700,0))</f>
        <v>397.49778261605422</v>
      </c>
      <c r="T436">
        <f t="array" ref="T436">INDEX(I$3:I$700,MATCH($B436&amp;$C436&amp;"baseline",$B$3:$B$700&amp;$C$3:$C$700&amp;$D$3:$D$700,0))</f>
        <v>0</v>
      </c>
      <c r="U436">
        <f t="array" ref="U436">INDEX(J$3:J$700,MATCH($B436&amp;$C436&amp;"baseline",$B$3:$B$700&amp;$C$3:$C$700&amp;$D$3:$D$700,0))</f>
        <v>0</v>
      </c>
      <c r="V436">
        <f t="array" ref="V436">INDEX(K$3:K$700,MATCH($B436&amp;$C436&amp;"baseline",$B$3:$B$700&amp;$C$3:$C$700&amp;$D$3:$D$700,0))</f>
        <v>0</v>
      </c>
      <c r="W436">
        <f t="array" ref="W436">INDEX(L$3:L$700,MATCH($B436&amp;$C436&amp;"baseline",$B$3:$B$700&amp;$C$3:$C$700&amp;$D$3:$D$700,0))</f>
        <v>34.866388715432876</v>
      </c>
      <c r="X436">
        <f t="array" ref="X436">INDEX(M$3:M$700,MATCH($B436&amp;$C436&amp;"baseline",$B$3:$B$700&amp;$C$3:$C$700&amp;$D$3:$D$700,0))</f>
        <v>3.229985935080161</v>
      </c>
      <c r="Y436">
        <f t="array" ref="Y436">INDEX(N$3:N$700,MATCH($B436&amp;$C436&amp;"baseline",$B$3:$B$700&amp;$C$3:$C$700&amp;$D$3:$D$700,0))</f>
        <v>0</v>
      </c>
      <c r="Z436">
        <f t="array" ref="Z436">INDEX(O$3:O$700,MATCH($B436&amp;$C436&amp;"baseline",$B$3:$B$700&amp;$C$3:$C$700&amp;$D$3:$D$700,0))</f>
        <v>16.471182330565533</v>
      </c>
      <c r="AA436">
        <f t="array" ref="AA436">INDEX(P$3:P$700,MATCH($B436&amp;$C436&amp;"baseline",$B$3:$B$700&amp;$C$3:$C$700&amp;$D$3:$D$700,0))</f>
        <v>0</v>
      </c>
      <c r="AB436">
        <f t="array" ref="AB436">INDEX(Q$3:Q$700,MATCH($B436&amp;$C436&amp;"baseline",$B$3:$B$700&amp;$C$3:$C$700&amp;$D$3:$D$700,0))</f>
        <v>0</v>
      </c>
      <c r="AC436">
        <f t="shared" si="48"/>
        <v>452.06533959713278</v>
      </c>
      <c r="AD436">
        <f t="shared" si="49"/>
        <v>0</v>
      </c>
      <c r="AE436">
        <f t="shared" si="50"/>
        <v>0</v>
      </c>
      <c r="AF436">
        <f t="shared" si="51"/>
        <v>0</v>
      </c>
      <c r="AG436">
        <f>(S436+V436+Y436)*constants!$O$2+(R436+T436+U436+W436+X436+Z436+AA436+AB436)*constants!$N$2</f>
        <v>12.605598017241956</v>
      </c>
      <c r="AH436">
        <f>((S436+V436+Y436)-(H436+K436+N436))*constants!$O$2</f>
        <v>0</v>
      </c>
      <c r="AI436">
        <f>((R436+T436+U436+W436+X436+Z436+AA436+AB436)-(G436+I436+J436+L436+M436+O436+P436+Q436))*constants!$N$2</f>
        <v>0</v>
      </c>
      <c r="AJ436">
        <f t="shared" si="52"/>
        <v>0</v>
      </c>
      <c r="AK436">
        <f t="shared" si="53"/>
        <v>0</v>
      </c>
      <c r="AL436">
        <f>COUNTIFS($B:$B,$B436,$AK:$AK,"&lt;"&amp;$AK436)+COUNTIFS($B$2:$B436,$B436,$AK$2:$AK436,$AK436)</f>
        <v>2</v>
      </c>
      <c r="AM436" s="191" t="str">
        <f>IF(AK436=0, "NA",IF(((sim_annual_output!F436/E436)/AK436)&lt;0,100,((sim_annual_output!F436/E436)/AK436)))</f>
        <v>NA</v>
      </c>
      <c r="AN436">
        <f>(S436+V436)*constants!$F$2+(T436+U436+W436+X436+Y436+Z436+AA436+AB436)*constants!$G$2</f>
        <v>118625.87766181206</v>
      </c>
      <c r="AO436">
        <f>(AD436*constants!$F$2+AE436*constants!$G$2)</f>
        <v>0</v>
      </c>
      <c r="AP436">
        <f t="shared" si="54"/>
        <v>0</v>
      </c>
    </row>
    <row r="437" spans="1:42">
      <c r="A437">
        <f>sim_annual_output!B437</f>
        <v>20</v>
      </c>
      <c r="B437" t="str">
        <f>sim_annual_output!C437</f>
        <v>Storage Building</v>
      </c>
      <c r="C437" t="str">
        <f>sim_annual_output!D437</f>
        <v>1959-pre</v>
      </c>
      <c r="D437" t="str">
        <f>sim_annual_output!E437</f>
        <v>dcv_enabled</v>
      </c>
      <c r="E437" s="45">
        <f t="array" ref="E437">IFERROR(INDEX(baseline!$J$3:$J$201,MATCH($B437&amp;$C437,baseline!$C$3:$C$201&amp;baseline!$D$3:$D$201,0)),"NA")</f>
        <v>1171</v>
      </c>
      <c r="F437">
        <f>sim_annual_output!G437</f>
        <v>965.15690399999903</v>
      </c>
      <c r="G437">
        <f>$E437/$F437^2*sim_annual_output!I437</f>
        <v>0</v>
      </c>
      <c r="H437">
        <f>$E437/$F437^2*sim_annual_output!J437</f>
        <v>394.06177595646619</v>
      </c>
      <c r="I437">
        <f>$E437/$F437^2*sim_annual_output!K437</f>
        <v>0</v>
      </c>
      <c r="J437">
        <f>$E437/$F437^2*sim_annual_output!L437</f>
        <v>0</v>
      </c>
      <c r="K437">
        <f>$E437/$F437^2*sim_annual_output!M437</f>
        <v>0</v>
      </c>
      <c r="L437">
        <f>$E437/$F437^2*sim_annual_output!N437</f>
        <v>34.866388715432876</v>
      </c>
      <c r="M437">
        <f>$E437/$F437^2*sim_annual_output!O437</f>
        <v>3.229985935080161</v>
      </c>
      <c r="N437">
        <f>$E437/$F437^2*sim_annual_output!P437</f>
        <v>0</v>
      </c>
      <c r="O437">
        <f>$E437/$F437^2*sim_annual_output!Q437</f>
        <v>16.247702222624856</v>
      </c>
      <c r="P437">
        <f>$E437/$F437^2*sim_annual_output!R437</f>
        <v>0</v>
      </c>
      <c r="Q437">
        <f>$E437/$F437^2*sim_annual_output!S437</f>
        <v>0</v>
      </c>
      <c r="R437">
        <f t="array" ref="R437">INDEX(G$3:G$700,MATCH($B437&amp;$C437&amp;"baseline",$B$3:$B$700&amp;$C$3:$C$700&amp;$D$3:$D$700,0))</f>
        <v>0</v>
      </c>
      <c r="S437">
        <f t="array" ref="S437">INDEX(H$3:H$700,MATCH($B437&amp;$C437&amp;"baseline",$B$3:$B$700&amp;$C$3:$C$700&amp;$D$3:$D$700,0))</f>
        <v>397.49778261605422</v>
      </c>
      <c r="T437">
        <f t="array" ref="T437">INDEX(I$3:I$700,MATCH($B437&amp;$C437&amp;"baseline",$B$3:$B$700&amp;$C$3:$C$700&amp;$D$3:$D$700,0))</f>
        <v>0</v>
      </c>
      <c r="U437">
        <f t="array" ref="U437">INDEX(J$3:J$700,MATCH($B437&amp;$C437&amp;"baseline",$B$3:$B$700&amp;$C$3:$C$700&amp;$D$3:$D$700,0))</f>
        <v>0</v>
      </c>
      <c r="V437">
        <f t="array" ref="V437">INDEX(K$3:K$700,MATCH($B437&amp;$C437&amp;"baseline",$B$3:$B$700&amp;$C$3:$C$700&amp;$D$3:$D$700,0))</f>
        <v>0</v>
      </c>
      <c r="W437">
        <f t="array" ref="W437">INDEX(L$3:L$700,MATCH($B437&amp;$C437&amp;"baseline",$B$3:$B$700&amp;$C$3:$C$700&amp;$D$3:$D$700,0))</f>
        <v>34.866388715432876</v>
      </c>
      <c r="X437">
        <f t="array" ref="X437">INDEX(M$3:M$700,MATCH($B437&amp;$C437&amp;"baseline",$B$3:$B$700&amp;$C$3:$C$700&amp;$D$3:$D$700,0))</f>
        <v>3.229985935080161</v>
      </c>
      <c r="Y437">
        <f t="array" ref="Y437">INDEX(N$3:N$700,MATCH($B437&amp;$C437&amp;"baseline",$B$3:$B$700&amp;$C$3:$C$700&amp;$D$3:$D$700,0))</f>
        <v>0</v>
      </c>
      <c r="Z437">
        <f t="array" ref="Z437">INDEX(O$3:O$700,MATCH($B437&amp;$C437&amp;"baseline",$B$3:$B$700&amp;$C$3:$C$700&amp;$D$3:$D$700,0))</f>
        <v>16.471182330565533</v>
      </c>
      <c r="AA437">
        <f t="array" ref="AA437">INDEX(P$3:P$700,MATCH($B437&amp;$C437&amp;"baseline",$B$3:$B$700&amp;$C$3:$C$700&amp;$D$3:$D$700,0))</f>
        <v>0</v>
      </c>
      <c r="AB437">
        <f t="array" ref="AB437">INDEX(Q$3:Q$700,MATCH($B437&amp;$C437&amp;"baseline",$B$3:$B$700&amp;$C$3:$C$700&amp;$D$3:$D$700,0))</f>
        <v>0</v>
      </c>
      <c r="AC437">
        <f t="shared" si="48"/>
        <v>452.06533959713278</v>
      </c>
      <c r="AD437">
        <f t="shared" si="49"/>
        <v>3.4360066595880312</v>
      </c>
      <c r="AE437">
        <f t="shared" si="50"/>
        <v>0.22348010794067363</v>
      </c>
      <c r="AF437">
        <f t="shared" si="51"/>
        <v>0.80950394710417994</v>
      </c>
      <c r="AG437">
        <f>(S437+V437+Y437)*constants!$O$2+(R437+T437+U437+W437+X437+Z437+AA437+AB437)*constants!$N$2</f>
        <v>12.605598017241956</v>
      </c>
      <c r="AH437">
        <f>((S437+V437+Y437)-(H437+K437+N437))*constants!$O$2</f>
        <v>5.5663307885326099E-2</v>
      </c>
      <c r="AI437">
        <f>((R437+T437+U437+W437+X437+Z437+AA437+AB437)-(G437+I437+J437+L437+M437+O437+P437+Q437))*constants!$N$2</f>
        <v>2.5253252197296121E-2</v>
      </c>
      <c r="AJ437">
        <f t="shared" si="52"/>
        <v>0.64190972908976174</v>
      </c>
      <c r="AK437">
        <f t="shared" si="53"/>
        <v>8.0916560082622213E-2</v>
      </c>
      <c r="AL437">
        <f>COUNTIFS($B:$B,$B437,$AK:$AK,"&lt;"&amp;$AK437)+COUNTIFS($B$2:$B437,$B437,$AK$2:$AK437,$AK437)</f>
        <v>20</v>
      </c>
      <c r="AM437" s="191">
        <f>IF(AK437=0, "NA",IF(((sim_annual_output!F437/E437)/AK437)&lt;0,100,((sim_annual_output!F437/E437)/AK437)))</f>
        <v>8.7811197236069649</v>
      </c>
      <c r="AN437">
        <f>(S437+V437)*constants!$F$2+(T437+U437+W437+X437+Y437+Z437+AA437+AB437)*constants!$G$2</f>
        <v>118625.87766181206</v>
      </c>
      <c r="AO437">
        <f>(AD437*constants!$F$2+AE437*constants!$G$2)</f>
        <v>809.47288597464376</v>
      </c>
      <c r="AP437">
        <f t="shared" si="54"/>
        <v>0.68237462342099786</v>
      </c>
    </row>
    <row r="438" spans="1:42">
      <c r="A438">
        <f>sim_annual_output!B438</f>
        <v>20</v>
      </c>
      <c r="B438" t="str">
        <f>sim_annual_output!C438</f>
        <v>Storage Building</v>
      </c>
      <c r="C438" t="str">
        <f>sim_annual_output!D438</f>
        <v>1959-pre</v>
      </c>
      <c r="D438" t="str">
        <f>sim_annual_output!E438</f>
        <v>ecm_cold_deck_reset_control</v>
      </c>
      <c r="E438" s="45">
        <f t="array" ref="E438">IFERROR(INDEX(baseline!$J$3:$J$201,MATCH($B438&amp;$C438,baseline!$C$3:$C$201&amp;baseline!$D$3:$D$201,0)),"NA")</f>
        <v>1171</v>
      </c>
      <c r="F438">
        <f>sim_annual_output!G438</f>
        <v>965.15690399999903</v>
      </c>
      <c r="G438">
        <f>$E438/$F438^2*sim_annual_output!I438</f>
        <v>0</v>
      </c>
      <c r="H438">
        <f>$E438/$F438^2*sim_annual_output!J438</f>
        <v>394.06177595646619</v>
      </c>
      <c r="I438">
        <f>$E438/$F438^2*sim_annual_output!K438</f>
        <v>0</v>
      </c>
      <c r="J438">
        <f>$E438/$F438^2*sim_annual_output!L438</f>
        <v>0</v>
      </c>
      <c r="K438">
        <f>$E438/$F438^2*sim_annual_output!M438</f>
        <v>0</v>
      </c>
      <c r="L438">
        <f>$E438/$F438^2*sim_annual_output!N438</f>
        <v>34.866388715432876</v>
      </c>
      <c r="M438">
        <f>$E438/$F438^2*sim_annual_output!O438</f>
        <v>3.229985935080161</v>
      </c>
      <c r="N438">
        <f>$E438/$F438^2*sim_annual_output!P438</f>
        <v>0</v>
      </c>
      <c r="O438">
        <f>$E438/$F438^2*sim_annual_output!Q438</f>
        <v>16.247702222624856</v>
      </c>
      <c r="P438">
        <f>$E438/$F438^2*sim_annual_output!R438</f>
        <v>0</v>
      </c>
      <c r="Q438">
        <f>$E438/$F438^2*sim_annual_output!S438</f>
        <v>0</v>
      </c>
      <c r="R438">
        <f t="array" ref="R438">INDEX(G$3:G$700,MATCH($B438&amp;$C438&amp;"baseline",$B$3:$B$700&amp;$C$3:$C$700&amp;$D$3:$D$700,0))</f>
        <v>0</v>
      </c>
      <c r="S438">
        <f t="array" ref="S438">INDEX(H$3:H$700,MATCH($B438&amp;$C438&amp;"baseline",$B$3:$B$700&amp;$C$3:$C$700&amp;$D$3:$D$700,0))</f>
        <v>397.49778261605422</v>
      </c>
      <c r="T438">
        <f t="array" ref="T438">INDEX(I$3:I$700,MATCH($B438&amp;$C438&amp;"baseline",$B$3:$B$700&amp;$C$3:$C$700&amp;$D$3:$D$700,0))</f>
        <v>0</v>
      </c>
      <c r="U438">
        <f t="array" ref="U438">INDEX(J$3:J$700,MATCH($B438&amp;$C438&amp;"baseline",$B$3:$B$700&amp;$C$3:$C$700&amp;$D$3:$D$700,0))</f>
        <v>0</v>
      </c>
      <c r="V438">
        <f t="array" ref="V438">INDEX(K$3:K$700,MATCH($B438&amp;$C438&amp;"baseline",$B$3:$B$700&amp;$C$3:$C$700&amp;$D$3:$D$700,0))</f>
        <v>0</v>
      </c>
      <c r="W438">
        <f t="array" ref="W438">INDEX(L$3:L$700,MATCH($B438&amp;$C438&amp;"baseline",$B$3:$B$700&amp;$C$3:$C$700&amp;$D$3:$D$700,0))</f>
        <v>34.866388715432876</v>
      </c>
      <c r="X438">
        <f t="array" ref="X438">INDEX(M$3:M$700,MATCH($B438&amp;$C438&amp;"baseline",$B$3:$B$700&amp;$C$3:$C$700&amp;$D$3:$D$700,0))</f>
        <v>3.229985935080161</v>
      </c>
      <c r="Y438">
        <f t="array" ref="Y438">INDEX(N$3:N$700,MATCH($B438&amp;$C438&amp;"baseline",$B$3:$B$700&amp;$C$3:$C$700&amp;$D$3:$D$700,0))</f>
        <v>0</v>
      </c>
      <c r="Z438">
        <f t="array" ref="Z438">INDEX(O$3:O$700,MATCH($B438&amp;$C438&amp;"baseline",$B$3:$B$700&amp;$C$3:$C$700&amp;$D$3:$D$700,0))</f>
        <v>16.471182330565533</v>
      </c>
      <c r="AA438">
        <f t="array" ref="AA438">INDEX(P$3:P$700,MATCH($B438&amp;$C438&amp;"baseline",$B$3:$B$700&amp;$C$3:$C$700&amp;$D$3:$D$700,0))</f>
        <v>0</v>
      </c>
      <c r="AB438">
        <f t="array" ref="AB438">INDEX(Q$3:Q$700,MATCH($B438&amp;$C438&amp;"baseline",$B$3:$B$700&amp;$C$3:$C$700&amp;$D$3:$D$700,0))</f>
        <v>0</v>
      </c>
      <c r="AC438">
        <f t="shared" si="48"/>
        <v>452.06533959713278</v>
      </c>
      <c r="AD438">
        <f t="shared" si="49"/>
        <v>3.4360066595880312</v>
      </c>
      <c r="AE438">
        <f t="shared" si="50"/>
        <v>0.22348010794067363</v>
      </c>
      <c r="AF438">
        <f t="shared" si="51"/>
        <v>0.80950394710417994</v>
      </c>
      <c r="AG438">
        <f>(S438+V438+Y438)*constants!$O$2+(R438+T438+U438+W438+X438+Z438+AA438+AB438)*constants!$N$2</f>
        <v>12.605598017241956</v>
      </c>
      <c r="AH438">
        <f>((S438+V438+Y438)-(H438+K438+N438))*constants!$O$2</f>
        <v>5.5663307885326099E-2</v>
      </c>
      <c r="AI438">
        <f>((R438+T438+U438+W438+X438+Z438+AA438+AB438)-(G438+I438+J438+L438+M438+O438+P438+Q438))*constants!$N$2</f>
        <v>2.5253252197296121E-2</v>
      </c>
      <c r="AJ438">
        <f t="shared" si="52"/>
        <v>0.64190972908976174</v>
      </c>
      <c r="AK438">
        <f t="shared" si="53"/>
        <v>8.0916560082622213E-2</v>
      </c>
      <c r="AL438">
        <f>COUNTIFS($B:$B,$B438,$AK:$AK,"&lt;"&amp;$AK438)+COUNTIFS($B$2:$B438,$B438,$AK$2:$AK438,$AK438)</f>
        <v>21</v>
      </c>
      <c r="AM438" s="191">
        <f>IF(AK438=0, "NA",IF(((sim_annual_output!F438/E438)/AK438)&lt;0,100,((sim_annual_output!F438/E438)/AK438)))</f>
        <v>0</v>
      </c>
      <c r="AN438">
        <f>(S438+V438)*constants!$F$2+(T438+U438+W438+X438+Y438+Z438+AA438+AB438)*constants!$G$2</f>
        <v>118625.87766181206</v>
      </c>
      <c r="AO438">
        <f>(AD438*constants!$F$2+AE438*constants!$G$2)</f>
        <v>809.47288597464376</v>
      </c>
      <c r="AP438">
        <f t="shared" si="54"/>
        <v>0.68237462342099786</v>
      </c>
    </row>
    <row r="439" spans="1:42">
      <c r="A439">
        <f>sim_annual_output!B439</f>
        <v>20</v>
      </c>
      <c r="B439" t="str">
        <f>sim_annual_output!C439</f>
        <v>Storage Building</v>
      </c>
      <c r="C439" t="str">
        <f>sim_annual_output!D439</f>
        <v>1959-pre</v>
      </c>
      <c r="D439" t="str">
        <f>sim_annual_output!E439</f>
        <v>elec_reduce</v>
      </c>
      <c r="E439" s="45">
        <f t="array" ref="E439">IFERROR(INDEX(baseline!$J$3:$J$201,MATCH($B439&amp;$C439,baseline!$C$3:$C$201&amp;baseline!$D$3:$D$201,0)),"NA")</f>
        <v>1171</v>
      </c>
      <c r="F439">
        <f>sim_annual_output!G439</f>
        <v>965.15690399999903</v>
      </c>
      <c r="G439">
        <f>$E439/$F439^2*sim_annual_output!I439</f>
        <v>0</v>
      </c>
      <c r="H439">
        <f>$E439/$F439^2*sim_annual_output!J439</f>
        <v>404.84469116460406</v>
      </c>
      <c r="I439">
        <f>$E439/$F439^2*sim_annual_output!K439</f>
        <v>0</v>
      </c>
      <c r="J439">
        <f>$E439/$F439^2*sim_annual_output!L439</f>
        <v>0</v>
      </c>
      <c r="K439">
        <f>$E439/$F439^2*sim_annual_output!M439</f>
        <v>0</v>
      </c>
      <c r="L439">
        <f>$E439/$F439^2*sim_annual_output!N439</f>
        <v>24.408218039146298</v>
      </c>
      <c r="M439">
        <f>$E439/$F439^2*sim_annual_output!O439</f>
        <v>3.229985935080161</v>
      </c>
      <c r="N439">
        <f>$E439/$F439^2*sim_annual_output!P439</f>
        <v>0</v>
      </c>
      <c r="O439">
        <f>$E439/$F439^2*sim_annual_output!Q439</f>
        <v>16.635300534834471</v>
      </c>
      <c r="P439">
        <f>$E439/$F439^2*sim_annual_output!R439</f>
        <v>0</v>
      </c>
      <c r="Q439">
        <f>$E439/$F439^2*sim_annual_output!S439</f>
        <v>0</v>
      </c>
      <c r="R439">
        <f t="array" ref="R439">INDEX(G$3:G$700,MATCH($B439&amp;$C439&amp;"baseline",$B$3:$B$700&amp;$C$3:$C$700&amp;$D$3:$D$700,0))</f>
        <v>0</v>
      </c>
      <c r="S439">
        <f t="array" ref="S439">INDEX(H$3:H$700,MATCH($B439&amp;$C439&amp;"baseline",$B$3:$B$700&amp;$C$3:$C$700&amp;$D$3:$D$700,0))</f>
        <v>397.49778261605422</v>
      </c>
      <c r="T439">
        <f t="array" ref="T439">INDEX(I$3:I$700,MATCH($B439&amp;$C439&amp;"baseline",$B$3:$B$700&amp;$C$3:$C$700&amp;$D$3:$D$700,0))</f>
        <v>0</v>
      </c>
      <c r="U439">
        <f t="array" ref="U439">INDEX(J$3:J$700,MATCH($B439&amp;$C439&amp;"baseline",$B$3:$B$700&amp;$C$3:$C$700&amp;$D$3:$D$700,0))</f>
        <v>0</v>
      </c>
      <c r="V439">
        <f t="array" ref="V439">INDEX(K$3:K$700,MATCH($B439&amp;$C439&amp;"baseline",$B$3:$B$700&amp;$C$3:$C$700&amp;$D$3:$D$700,0))</f>
        <v>0</v>
      </c>
      <c r="W439">
        <f t="array" ref="W439">INDEX(L$3:L$700,MATCH($B439&amp;$C439&amp;"baseline",$B$3:$B$700&amp;$C$3:$C$700&amp;$D$3:$D$700,0))</f>
        <v>34.866388715432876</v>
      </c>
      <c r="X439">
        <f t="array" ref="X439">INDEX(M$3:M$700,MATCH($B439&amp;$C439&amp;"baseline",$B$3:$B$700&amp;$C$3:$C$700&amp;$D$3:$D$700,0))</f>
        <v>3.229985935080161</v>
      </c>
      <c r="Y439">
        <f t="array" ref="Y439">INDEX(N$3:N$700,MATCH($B439&amp;$C439&amp;"baseline",$B$3:$B$700&amp;$C$3:$C$700&amp;$D$3:$D$700,0))</f>
        <v>0</v>
      </c>
      <c r="Z439">
        <f t="array" ref="Z439">INDEX(O$3:O$700,MATCH($B439&amp;$C439&amp;"baseline",$B$3:$B$700&amp;$C$3:$C$700&amp;$D$3:$D$700,0))</f>
        <v>16.471182330565533</v>
      </c>
      <c r="AA439">
        <f t="array" ref="AA439">INDEX(P$3:P$700,MATCH($B439&amp;$C439&amp;"baseline",$B$3:$B$700&amp;$C$3:$C$700&amp;$D$3:$D$700,0))</f>
        <v>0</v>
      </c>
      <c r="AB439">
        <f t="array" ref="AB439">INDEX(Q$3:Q$700,MATCH($B439&amp;$C439&amp;"baseline",$B$3:$B$700&amp;$C$3:$C$700&amp;$D$3:$D$700,0))</f>
        <v>0</v>
      </c>
      <c r="AC439">
        <f t="shared" si="48"/>
        <v>452.06533959713278</v>
      </c>
      <c r="AD439">
        <f t="shared" si="49"/>
        <v>-7.346908548549834</v>
      </c>
      <c r="AE439">
        <f t="shared" si="50"/>
        <v>10.29405247201764</v>
      </c>
      <c r="AF439">
        <f t="shared" si="51"/>
        <v>0.65192875129383132</v>
      </c>
      <c r="AG439">
        <f>(S439+V439+Y439)*constants!$O$2+(R439+T439+U439+W439+X439+Z439+AA439+AB439)*constants!$N$2</f>
        <v>12.605598017241956</v>
      </c>
      <c r="AH439">
        <f>((S439+V439+Y439)-(H439+K439+N439))*constants!$O$2</f>
        <v>-0.11901991848650731</v>
      </c>
      <c r="AI439">
        <f>((R439+T439+U439+W439+X439+Z439+AA439+AB439)-(G439+I439+J439+L439+M439+O439+P439+Q439))*constants!$N$2</f>
        <v>1.1632279293379932</v>
      </c>
      <c r="AJ439">
        <f t="shared" si="52"/>
        <v>8.2836848313203113</v>
      </c>
      <c r="AK439">
        <f t="shared" si="53"/>
        <v>1.044208010851486</v>
      </c>
      <c r="AL439">
        <f>COUNTIFS($B:$B,$B439,$AK:$AK,"&lt;"&amp;$AK439)+COUNTIFS($B$2:$B439,$B439,$AK$2:$AK439,$AK439)</f>
        <v>47</v>
      </c>
      <c r="AM439" s="191">
        <f>IF(AK439=0, "NA",IF(((sim_annual_output!F439/E439)/AK439)&lt;0,100,((sim_annual_output!F439/E439)/AK439)))</f>
        <v>36.812874916073568</v>
      </c>
      <c r="AN439">
        <f>(S439+V439)*constants!$F$2+(T439+U439+W439+X439+Y439+Z439+AA439+AB439)*constants!$G$2</f>
        <v>118625.87766181206</v>
      </c>
      <c r="AO439">
        <f>(AD439*constants!$F$2+AE439*constants!$G$2)</f>
        <v>7640.7290204649262</v>
      </c>
      <c r="AP439">
        <f t="shared" si="54"/>
        <v>6.4410305500522531</v>
      </c>
    </row>
    <row r="440" spans="1:42">
      <c r="A440">
        <f>sim_annual_output!B440</f>
        <v>20</v>
      </c>
      <c r="B440" t="str">
        <f>sim_annual_output!C440</f>
        <v>Storage Building</v>
      </c>
      <c r="C440" t="str">
        <f>sim_annual_output!D440</f>
        <v>1959-pre</v>
      </c>
      <c r="D440" t="str">
        <f>sim_annual_output!E440</f>
        <v>envelope_ecm_roof</v>
      </c>
      <c r="E440" s="45">
        <f t="array" ref="E440">IFERROR(INDEX(baseline!$J$3:$J$201,MATCH($B440&amp;$C440,baseline!$C$3:$C$201&amp;baseline!$D$3:$D$201,0)),"NA")</f>
        <v>1171</v>
      </c>
      <c r="F440">
        <f>sim_annual_output!G440</f>
        <v>965.15690399999903</v>
      </c>
      <c r="G440">
        <f>$E440/$F440^2*sim_annual_output!I440</f>
        <v>0</v>
      </c>
      <c r="H440">
        <f>$E440/$F440^2*sim_annual_output!J440</f>
        <v>367.53049689188344</v>
      </c>
      <c r="I440">
        <f>$E440/$F440^2*sim_annual_output!K440</f>
        <v>0</v>
      </c>
      <c r="J440">
        <f>$E440/$F440^2*sim_annual_output!L440</f>
        <v>0</v>
      </c>
      <c r="K440">
        <f>$E440/$F440^2*sim_annual_output!M440</f>
        <v>0</v>
      </c>
      <c r="L440">
        <f>$E440/$F440^2*sim_annual_output!N440</f>
        <v>34.866388715432876</v>
      </c>
      <c r="M440">
        <f>$E440/$F440^2*sim_annual_output!O440</f>
        <v>3.229985935080161</v>
      </c>
      <c r="N440">
        <f>$E440/$F440^2*sim_annual_output!P440</f>
        <v>0</v>
      </c>
      <c r="O440">
        <f>$E440/$F440^2*sim_annual_output!Q440</f>
        <v>15.154744819727457</v>
      </c>
      <c r="P440">
        <f>$E440/$F440^2*sim_annual_output!R440</f>
        <v>0</v>
      </c>
      <c r="Q440">
        <f>$E440/$F440^2*sim_annual_output!S440</f>
        <v>0</v>
      </c>
      <c r="R440">
        <f t="array" ref="R440">INDEX(G$3:G$700,MATCH($B440&amp;$C440&amp;"baseline",$B$3:$B$700&amp;$C$3:$C$700&amp;$D$3:$D$700,0))</f>
        <v>0</v>
      </c>
      <c r="S440">
        <f t="array" ref="S440">INDEX(H$3:H$700,MATCH($B440&amp;$C440&amp;"baseline",$B$3:$B$700&amp;$C$3:$C$700&amp;$D$3:$D$700,0))</f>
        <v>397.49778261605422</v>
      </c>
      <c r="T440">
        <f t="array" ref="T440">INDEX(I$3:I$700,MATCH($B440&amp;$C440&amp;"baseline",$B$3:$B$700&amp;$C$3:$C$700&amp;$D$3:$D$700,0))</f>
        <v>0</v>
      </c>
      <c r="U440">
        <f t="array" ref="U440">INDEX(J$3:J$700,MATCH($B440&amp;$C440&amp;"baseline",$B$3:$B$700&amp;$C$3:$C$700&amp;$D$3:$D$700,0))</f>
        <v>0</v>
      </c>
      <c r="V440">
        <f t="array" ref="V440">INDEX(K$3:K$700,MATCH($B440&amp;$C440&amp;"baseline",$B$3:$B$700&amp;$C$3:$C$700&amp;$D$3:$D$700,0))</f>
        <v>0</v>
      </c>
      <c r="W440">
        <f t="array" ref="W440">INDEX(L$3:L$700,MATCH($B440&amp;$C440&amp;"baseline",$B$3:$B$700&amp;$C$3:$C$700&amp;$D$3:$D$700,0))</f>
        <v>34.866388715432876</v>
      </c>
      <c r="X440">
        <f t="array" ref="X440">INDEX(M$3:M$700,MATCH($B440&amp;$C440&amp;"baseline",$B$3:$B$700&amp;$C$3:$C$700&amp;$D$3:$D$700,0))</f>
        <v>3.229985935080161</v>
      </c>
      <c r="Y440">
        <f t="array" ref="Y440">INDEX(N$3:N$700,MATCH($B440&amp;$C440&amp;"baseline",$B$3:$B$700&amp;$C$3:$C$700&amp;$D$3:$D$700,0))</f>
        <v>0</v>
      </c>
      <c r="Z440">
        <f t="array" ref="Z440">INDEX(O$3:O$700,MATCH($B440&amp;$C440&amp;"baseline",$B$3:$B$700&amp;$C$3:$C$700&amp;$D$3:$D$700,0))</f>
        <v>16.471182330565533</v>
      </c>
      <c r="AA440">
        <f t="array" ref="AA440">INDEX(P$3:P$700,MATCH($B440&amp;$C440&amp;"baseline",$B$3:$B$700&amp;$C$3:$C$700&amp;$D$3:$D$700,0))</f>
        <v>0</v>
      </c>
      <c r="AB440">
        <f t="array" ref="AB440">INDEX(Q$3:Q$700,MATCH($B440&amp;$C440&amp;"baseline",$B$3:$B$700&amp;$C$3:$C$700&amp;$D$3:$D$700,0))</f>
        <v>0</v>
      </c>
      <c r="AC440">
        <f t="shared" si="48"/>
        <v>452.06533959713278</v>
      </c>
      <c r="AD440">
        <f t="shared" si="49"/>
        <v>29.967285724170779</v>
      </c>
      <c r="AE440">
        <f t="shared" si="50"/>
        <v>1.3164375108380781</v>
      </c>
      <c r="AF440">
        <f t="shared" si="51"/>
        <v>6.9201773493380374</v>
      </c>
      <c r="AG440">
        <f>(S440+V440+Y440)*constants!$O$2+(R440+T440+U440+W440+X440+Z440+AA440+AB440)*constants!$N$2</f>
        <v>12.605598017241956</v>
      </c>
      <c r="AH440">
        <f>((S440+V440+Y440)-(H440+K440+N440))*constants!$O$2</f>
        <v>0.48547002873156658</v>
      </c>
      <c r="AI440">
        <f>((R440+T440+U440+W440+X440+Z440+AA440+AB440)-(G440+I440+J440+L440+M440+O440+P440+Q440))*constants!$N$2</f>
        <v>0.14875743872470285</v>
      </c>
      <c r="AJ440">
        <f t="shared" si="52"/>
        <v>5.0313159803189986</v>
      </c>
      <c r="AK440">
        <f t="shared" si="53"/>
        <v>0.63422746745626946</v>
      </c>
      <c r="AL440">
        <f>COUNTIFS($B:$B,$B440,$AK:$AK,"&lt;"&amp;$AK440)+COUNTIFS($B$2:$B440,$B440,$AK$2:$AK440,$AK440)</f>
        <v>40</v>
      </c>
      <c r="AM440" s="191">
        <f>IF(AK440=0, "NA",IF(((sim_annual_output!F440/E440)/AK440)&lt;0,100,((sim_annual_output!F440/E440)/AK440)))</f>
        <v>376.66637413967447</v>
      </c>
      <c r="AN440">
        <f>(S440+V440)*constants!$F$2+(T440+U440+W440+X440+Y440+Z440+AA440+AB440)*constants!$G$2</f>
        <v>118625.87766181206</v>
      </c>
      <c r="AO440">
        <f>(AD440*constants!$F$2+AE440*constants!$G$2)</f>
        <v>6509.4447790556969</v>
      </c>
      <c r="AP440">
        <f t="shared" si="54"/>
        <v>5.4873733348581251</v>
      </c>
    </row>
    <row r="441" spans="1:42">
      <c r="A441">
        <f>sim_annual_output!B441</f>
        <v>20</v>
      </c>
      <c r="B441" t="str">
        <f>sim_annual_output!C441</f>
        <v>Storage Building</v>
      </c>
      <c r="C441" t="str">
        <f>sim_annual_output!D441</f>
        <v>1959-pre</v>
      </c>
      <c r="D441" t="str">
        <f>sim_annual_output!E441</f>
        <v>envelope_ecm_wall</v>
      </c>
      <c r="E441" s="45">
        <f t="array" ref="E441">IFERROR(INDEX(baseline!$J$3:$J$201,MATCH($B441&amp;$C441,baseline!$C$3:$C$201&amp;baseline!$D$3:$D$201,0)),"NA")</f>
        <v>1171</v>
      </c>
      <c r="F441">
        <f>sim_annual_output!G441</f>
        <v>965.15690399999903</v>
      </c>
      <c r="G441">
        <f>$E441/$F441^2*sim_annual_output!I441</f>
        <v>0</v>
      </c>
      <c r="H441">
        <f>$E441/$F441^2*sim_annual_output!J441</f>
        <v>382.01130951110224</v>
      </c>
      <c r="I441">
        <f>$E441/$F441^2*sim_annual_output!K441</f>
        <v>0</v>
      </c>
      <c r="J441">
        <f>$E441/$F441^2*sim_annual_output!L441</f>
        <v>0</v>
      </c>
      <c r="K441">
        <f>$E441/$F441^2*sim_annual_output!M441</f>
        <v>0</v>
      </c>
      <c r="L441">
        <f>$E441/$F441^2*sim_annual_output!N441</f>
        <v>34.866388715432876</v>
      </c>
      <c r="M441">
        <f>$E441/$F441^2*sim_annual_output!O441</f>
        <v>3.229985935080161</v>
      </c>
      <c r="N441">
        <f>$E441/$F441^2*sim_annual_output!P441</f>
        <v>0</v>
      </c>
      <c r="O441">
        <f>$E441/$F441^2*sim_annual_output!Q441</f>
        <v>15.727412596325454</v>
      </c>
      <c r="P441">
        <f>$E441/$F441^2*sim_annual_output!R441</f>
        <v>0</v>
      </c>
      <c r="Q441">
        <f>$E441/$F441^2*sim_annual_output!S441</f>
        <v>0</v>
      </c>
      <c r="R441">
        <f t="array" ref="R441">INDEX(G$3:G$700,MATCH($B441&amp;$C441&amp;"baseline",$B$3:$B$700&amp;$C$3:$C$700&amp;$D$3:$D$700,0))</f>
        <v>0</v>
      </c>
      <c r="S441">
        <f t="array" ref="S441">INDEX(H$3:H$700,MATCH($B441&amp;$C441&amp;"baseline",$B$3:$B$700&amp;$C$3:$C$700&amp;$D$3:$D$700,0))</f>
        <v>397.49778261605422</v>
      </c>
      <c r="T441">
        <f t="array" ref="T441">INDEX(I$3:I$700,MATCH($B441&amp;$C441&amp;"baseline",$B$3:$B$700&amp;$C$3:$C$700&amp;$D$3:$D$700,0))</f>
        <v>0</v>
      </c>
      <c r="U441">
        <f t="array" ref="U441">INDEX(J$3:J$700,MATCH($B441&amp;$C441&amp;"baseline",$B$3:$B$700&amp;$C$3:$C$700&amp;$D$3:$D$700,0))</f>
        <v>0</v>
      </c>
      <c r="V441">
        <f t="array" ref="V441">INDEX(K$3:K$700,MATCH($B441&amp;$C441&amp;"baseline",$B$3:$B$700&amp;$C$3:$C$700&amp;$D$3:$D$700,0))</f>
        <v>0</v>
      </c>
      <c r="W441">
        <f t="array" ref="W441">INDEX(L$3:L$700,MATCH($B441&amp;$C441&amp;"baseline",$B$3:$B$700&amp;$C$3:$C$700&amp;$D$3:$D$700,0))</f>
        <v>34.866388715432876</v>
      </c>
      <c r="X441">
        <f t="array" ref="X441">INDEX(M$3:M$700,MATCH($B441&amp;$C441&amp;"baseline",$B$3:$B$700&amp;$C$3:$C$700&amp;$D$3:$D$700,0))</f>
        <v>3.229985935080161</v>
      </c>
      <c r="Y441">
        <f t="array" ref="Y441">INDEX(N$3:N$700,MATCH($B441&amp;$C441&amp;"baseline",$B$3:$B$700&amp;$C$3:$C$700&amp;$D$3:$D$700,0))</f>
        <v>0</v>
      </c>
      <c r="Z441">
        <f t="array" ref="Z441">INDEX(O$3:O$700,MATCH($B441&amp;$C441&amp;"baseline",$B$3:$B$700&amp;$C$3:$C$700&amp;$D$3:$D$700,0))</f>
        <v>16.471182330565533</v>
      </c>
      <c r="AA441">
        <f t="array" ref="AA441">INDEX(P$3:P$700,MATCH($B441&amp;$C441&amp;"baseline",$B$3:$B$700&amp;$C$3:$C$700&amp;$D$3:$D$700,0))</f>
        <v>0</v>
      </c>
      <c r="AB441">
        <f t="array" ref="AB441">INDEX(Q$3:Q$700,MATCH($B441&amp;$C441&amp;"baseline",$B$3:$B$700&amp;$C$3:$C$700&amp;$D$3:$D$700,0))</f>
        <v>0</v>
      </c>
      <c r="AC441">
        <f t="shared" si="48"/>
        <v>452.06533959713278</v>
      </c>
      <c r="AD441">
        <f t="shared" si="49"/>
        <v>15.486473104951983</v>
      </c>
      <c r="AE441">
        <f t="shared" si="50"/>
        <v>0.74376973424007531</v>
      </c>
      <c r="AF441">
        <f t="shared" si="51"/>
        <v>3.5902426966986609</v>
      </c>
      <c r="AG441">
        <f>(S441+V441+Y441)*constants!$O$2+(R441+T441+U441+W441+X441+Z441+AA441+AB441)*constants!$N$2</f>
        <v>12.605598017241956</v>
      </c>
      <c r="AH441">
        <f>((S441+V441+Y441)-(H441+K441+N441))*constants!$O$2</f>
        <v>0.25088086430022211</v>
      </c>
      <c r="AI441">
        <f>((R441+T441+U441+W441+X441+Z441+AA441+AB441)-(G441+I441+J441+L441+M441+O441+P441+Q441))*constants!$N$2</f>
        <v>8.4045979969128506E-2</v>
      </c>
      <c r="AJ441">
        <f t="shared" si="52"/>
        <v>2.6569691006427236</v>
      </c>
      <c r="AK441">
        <f t="shared" si="53"/>
        <v>0.3349268442693506</v>
      </c>
      <c r="AL441">
        <f>COUNTIFS($B:$B,$B441,$AK:$AK,"&lt;"&amp;$AK441)+COUNTIFS($B$2:$B441,$B441,$AK$2:$AK441,$AK441)</f>
        <v>33</v>
      </c>
      <c r="AM441" s="191">
        <f>IF(AK441=0, "NA",IF(((sim_annual_output!F441/E441)/AK441)&lt;0,100,((sim_annual_output!F441/E441)/AK441)))</f>
        <v>398.33616786636372</v>
      </c>
      <c r="AN441">
        <f>(S441+V441)*constants!$F$2+(T441+U441+W441+X441+Y441+Z441+AA441+AB441)*constants!$G$2</f>
        <v>118625.87766181206</v>
      </c>
      <c r="AO441">
        <f>(AD441*constants!$F$2+AE441*constants!$G$2)</f>
        <v>3419.1583545752706</v>
      </c>
      <c r="AP441">
        <f t="shared" si="54"/>
        <v>2.8823039474766836</v>
      </c>
    </row>
    <row r="442" spans="1:42">
      <c r="A442">
        <f>sim_annual_output!B442</f>
        <v>20</v>
      </c>
      <c r="B442" t="str">
        <f>sim_annual_output!C442</f>
        <v>Storage Building</v>
      </c>
      <c r="C442" t="str">
        <f>sim_annual_output!D442</f>
        <v>1959-pre</v>
      </c>
      <c r="D442" t="str">
        <f>sim_annual_output!E442</f>
        <v>envelope_ecm_windows</v>
      </c>
      <c r="E442" s="45">
        <f t="array" ref="E442">IFERROR(INDEX(baseline!$J$3:$J$201,MATCH($B442&amp;$C442,baseline!$C$3:$C$201&amp;baseline!$D$3:$D$201,0)),"NA")</f>
        <v>1171</v>
      </c>
      <c r="F442">
        <f>sim_annual_output!G442</f>
        <v>965.15690399999903</v>
      </c>
      <c r="G442">
        <f>$E442/$F442^2*sim_annual_output!I442</f>
        <v>0</v>
      </c>
      <c r="H442">
        <f>$E442/$F442^2*sim_annual_output!J442</f>
        <v>394.06177595646619</v>
      </c>
      <c r="I442">
        <f>$E442/$F442^2*sim_annual_output!K442</f>
        <v>0</v>
      </c>
      <c r="J442">
        <f>$E442/$F442^2*sim_annual_output!L442</f>
        <v>0</v>
      </c>
      <c r="K442">
        <f>$E442/$F442^2*sim_annual_output!M442</f>
        <v>0</v>
      </c>
      <c r="L442">
        <f>$E442/$F442^2*sim_annual_output!N442</f>
        <v>34.866388715432876</v>
      </c>
      <c r="M442">
        <f>$E442/$F442^2*sim_annual_output!O442</f>
        <v>3.229985935080161</v>
      </c>
      <c r="N442">
        <f>$E442/$F442^2*sim_annual_output!P442</f>
        <v>0</v>
      </c>
      <c r="O442">
        <f>$E442/$F442^2*sim_annual_output!Q442</f>
        <v>16.247702222624856</v>
      </c>
      <c r="P442">
        <f>$E442/$F442^2*sim_annual_output!R442</f>
        <v>0</v>
      </c>
      <c r="Q442">
        <f>$E442/$F442^2*sim_annual_output!S442</f>
        <v>0</v>
      </c>
      <c r="R442">
        <f t="array" ref="R442">INDEX(G$3:G$700,MATCH($B442&amp;$C442&amp;"baseline",$B$3:$B$700&amp;$C$3:$C$700&amp;$D$3:$D$700,0))</f>
        <v>0</v>
      </c>
      <c r="S442">
        <f t="array" ref="S442">INDEX(H$3:H$700,MATCH($B442&amp;$C442&amp;"baseline",$B$3:$B$700&amp;$C$3:$C$700&amp;$D$3:$D$700,0))</f>
        <v>397.49778261605422</v>
      </c>
      <c r="T442">
        <f t="array" ref="T442">INDEX(I$3:I$700,MATCH($B442&amp;$C442&amp;"baseline",$B$3:$B$700&amp;$C$3:$C$700&amp;$D$3:$D$700,0))</f>
        <v>0</v>
      </c>
      <c r="U442">
        <f t="array" ref="U442">INDEX(J$3:J$700,MATCH($B442&amp;$C442&amp;"baseline",$B$3:$B$700&amp;$C$3:$C$700&amp;$D$3:$D$700,0))</f>
        <v>0</v>
      </c>
      <c r="V442">
        <f t="array" ref="V442">INDEX(K$3:K$700,MATCH($B442&amp;$C442&amp;"baseline",$B$3:$B$700&amp;$C$3:$C$700&amp;$D$3:$D$700,0))</f>
        <v>0</v>
      </c>
      <c r="W442">
        <f t="array" ref="W442">INDEX(L$3:L$700,MATCH($B442&amp;$C442&amp;"baseline",$B$3:$B$700&amp;$C$3:$C$700&amp;$D$3:$D$700,0))</f>
        <v>34.866388715432876</v>
      </c>
      <c r="X442">
        <f t="array" ref="X442">INDEX(M$3:M$700,MATCH($B442&amp;$C442&amp;"baseline",$B$3:$B$700&amp;$C$3:$C$700&amp;$D$3:$D$700,0))</f>
        <v>3.229985935080161</v>
      </c>
      <c r="Y442">
        <f t="array" ref="Y442">INDEX(N$3:N$700,MATCH($B442&amp;$C442&amp;"baseline",$B$3:$B$700&amp;$C$3:$C$700&amp;$D$3:$D$700,0))</f>
        <v>0</v>
      </c>
      <c r="Z442">
        <f t="array" ref="Z442">INDEX(O$3:O$700,MATCH($B442&amp;$C442&amp;"baseline",$B$3:$B$700&amp;$C$3:$C$700&amp;$D$3:$D$700,0))</f>
        <v>16.471182330565533</v>
      </c>
      <c r="AA442">
        <f t="array" ref="AA442">INDEX(P$3:P$700,MATCH($B442&amp;$C442&amp;"baseline",$B$3:$B$700&amp;$C$3:$C$700&amp;$D$3:$D$700,0))</f>
        <v>0</v>
      </c>
      <c r="AB442">
        <f t="array" ref="AB442">INDEX(Q$3:Q$700,MATCH($B442&amp;$C442&amp;"baseline",$B$3:$B$700&amp;$C$3:$C$700&amp;$D$3:$D$700,0))</f>
        <v>0</v>
      </c>
      <c r="AC442">
        <f t="shared" si="48"/>
        <v>452.06533959713278</v>
      </c>
      <c r="AD442">
        <f t="shared" si="49"/>
        <v>3.4360066595880312</v>
      </c>
      <c r="AE442">
        <f t="shared" si="50"/>
        <v>0.22348010794067363</v>
      </c>
      <c r="AF442">
        <f t="shared" si="51"/>
        <v>0.80950394710417994</v>
      </c>
      <c r="AG442">
        <f>(S442+V442+Y442)*constants!$O$2+(R442+T442+U442+W442+X442+Z442+AA442+AB442)*constants!$N$2</f>
        <v>12.605598017241956</v>
      </c>
      <c r="AH442">
        <f>((S442+V442+Y442)-(H442+K442+N442))*constants!$O$2</f>
        <v>5.5663307885326099E-2</v>
      </c>
      <c r="AI442">
        <f>((R442+T442+U442+W442+X442+Z442+AA442+AB442)-(G442+I442+J442+L442+M442+O442+P442+Q442))*constants!$N$2</f>
        <v>2.5253252197296121E-2</v>
      </c>
      <c r="AJ442">
        <f t="shared" si="52"/>
        <v>0.64190972908976174</v>
      </c>
      <c r="AK442">
        <f t="shared" si="53"/>
        <v>8.0916560082622213E-2</v>
      </c>
      <c r="AL442">
        <f>COUNTIFS($B:$B,$B442,$AK:$AK,"&lt;"&amp;$AK442)+COUNTIFS($B$2:$B442,$B442,$AK$2:$AK442,$AK442)</f>
        <v>22</v>
      </c>
      <c r="AM442" s="191">
        <f>IF(AK442=0, "NA",IF(((sim_annual_output!F442/E442)/AK442)&lt;0,100,((sim_annual_output!F442/E442)/AK442)))</f>
        <v>0</v>
      </c>
      <c r="AN442">
        <f>(S442+V442)*constants!$F$2+(T442+U442+W442+X442+Y442+Z442+AA442+AB442)*constants!$G$2</f>
        <v>118625.87766181206</v>
      </c>
      <c r="AO442">
        <f>(AD442*constants!$F$2+AE442*constants!$G$2)</f>
        <v>809.47288597464376</v>
      </c>
      <c r="AP442">
        <f t="shared" si="54"/>
        <v>0.68237462342099786</v>
      </c>
    </row>
    <row r="443" spans="1:42">
      <c r="A443">
        <f>sim_annual_output!B443</f>
        <v>20</v>
      </c>
      <c r="B443" t="str">
        <f>sim_annual_output!C443</f>
        <v>Storage Building</v>
      </c>
      <c r="C443" t="str">
        <f>sim_annual_output!D443</f>
        <v>1959-pre</v>
      </c>
      <c r="D443" t="str">
        <f>sim_annual_output!E443</f>
        <v>exhaust_fans_occ_control</v>
      </c>
      <c r="E443" s="45">
        <f t="array" ref="E443">IFERROR(INDEX(baseline!$J$3:$J$201,MATCH($B443&amp;$C443,baseline!$C$3:$C$201&amp;baseline!$D$3:$D$201,0)),"NA")</f>
        <v>1171</v>
      </c>
      <c r="F443">
        <f>sim_annual_output!G443</f>
        <v>965.15690399999903</v>
      </c>
      <c r="G443">
        <f>$E443/$F443^2*sim_annual_output!I443</f>
        <v>0</v>
      </c>
      <c r="H443">
        <f>$E443/$F443^2*sim_annual_output!J443</f>
        <v>394.06177595646619</v>
      </c>
      <c r="I443">
        <f>$E443/$F443^2*sim_annual_output!K443</f>
        <v>0</v>
      </c>
      <c r="J443">
        <f>$E443/$F443^2*sim_annual_output!L443</f>
        <v>0</v>
      </c>
      <c r="K443">
        <f>$E443/$F443^2*sim_annual_output!M443</f>
        <v>0</v>
      </c>
      <c r="L443">
        <f>$E443/$F443^2*sim_annual_output!N443</f>
        <v>34.866388715432876</v>
      </c>
      <c r="M443">
        <f>$E443/$F443^2*sim_annual_output!O443</f>
        <v>3.229985935080161</v>
      </c>
      <c r="N443">
        <f>$E443/$F443^2*sim_annual_output!P443</f>
        <v>0</v>
      </c>
      <c r="O443">
        <f>$E443/$F443^2*sim_annual_output!Q443</f>
        <v>16.247702222624856</v>
      </c>
      <c r="P443">
        <f>$E443/$F443^2*sim_annual_output!R443</f>
        <v>0</v>
      </c>
      <c r="Q443">
        <f>$E443/$F443^2*sim_annual_output!S443</f>
        <v>0</v>
      </c>
      <c r="R443">
        <f t="array" ref="R443">INDEX(G$3:G$700,MATCH($B443&amp;$C443&amp;"baseline",$B$3:$B$700&amp;$C$3:$C$700&amp;$D$3:$D$700,0))</f>
        <v>0</v>
      </c>
      <c r="S443">
        <f t="array" ref="S443">INDEX(H$3:H$700,MATCH($B443&amp;$C443&amp;"baseline",$B$3:$B$700&amp;$C$3:$C$700&amp;$D$3:$D$700,0))</f>
        <v>397.49778261605422</v>
      </c>
      <c r="T443">
        <f t="array" ref="T443">INDEX(I$3:I$700,MATCH($B443&amp;$C443&amp;"baseline",$B$3:$B$700&amp;$C$3:$C$700&amp;$D$3:$D$700,0))</f>
        <v>0</v>
      </c>
      <c r="U443">
        <f t="array" ref="U443">INDEX(J$3:J$700,MATCH($B443&amp;$C443&amp;"baseline",$B$3:$B$700&amp;$C$3:$C$700&amp;$D$3:$D$700,0))</f>
        <v>0</v>
      </c>
      <c r="V443">
        <f t="array" ref="V443">INDEX(K$3:K$700,MATCH($B443&amp;$C443&amp;"baseline",$B$3:$B$700&amp;$C$3:$C$700&amp;$D$3:$D$700,0))</f>
        <v>0</v>
      </c>
      <c r="W443">
        <f t="array" ref="W443">INDEX(L$3:L$700,MATCH($B443&amp;$C443&amp;"baseline",$B$3:$B$700&amp;$C$3:$C$700&amp;$D$3:$D$700,0))</f>
        <v>34.866388715432876</v>
      </c>
      <c r="X443">
        <f t="array" ref="X443">INDEX(M$3:M$700,MATCH($B443&amp;$C443&amp;"baseline",$B$3:$B$700&amp;$C$3:$C$700&amp;$D$3:$D$700,0))</f>
        <v>3.229985935080161</v>
      </c>
      <c r="Y443">
        <f t="array" ref="Y443">INDEX(N$3:N$700,MATCH($B443&amp;$C443&amp;"baseline",$B$3:$B$700&amp;$C$3:$C$700&amp;$D$3:$D$700,0))</f>
        <v>0</v>
      </c>
      <c r="Z443">
        <f t="array" ref="Z443">INDEX(O$3:O$700,MATCH($B443&amp;$C443&amp;"baseline",$B$3:$B$700&amp;$C$3:$C$700&amp;$D$3:$D$700,0))</f>
        <v>16.471182330565533</v>
      </c>
      <c r="AA443">
        <f t="array" ref="AA443">INDEX(P$3:P$700,MATCH($B443&amp;$C443&amp;"baseline",$B$3:$B$700&amp;$C$3:$C$700&amp;$D$3:$D$700,0))</f>
        <v>0</v>
      </c>
      <c r="AB443">
        <f t="array" ref="AB443">INDEX(Q$3:Q$700,MATCH($B443&amp;$C443&amp;"baseline",$B$3:$B$700&amp;$C$3:$C$700&amp;$D$3:$D$700,0))</f>
        <v>0</v>
      </c>
      <c r="AC443">
        <f t="shared" si="48"/>
        <v>452.06533959713278</v>
      </c>
      <c r="AD443">
        <f t="shared" si="49"/>
        <v>3.4360066595880312</v>
      </c>
      <c r="AE443">
        <f t="shared" si="50"/>
        <v>0.22348010794067363</v>
      </c>
      <c r="AF443">
        <f t="shared" si="51"/>
        <v>0.80950394710417994</v>
      </c>
      <c r="AG443">
        <f>(S443+V443+Y443)*constants!$O$2+(R443+T443+U443+W443+X443+Z443+AA443+AB443)*constants!$N$2</f>
        <v>12.605598017241956</v>
      </c>
      <c r="AH443">
        <f>((S443+V443+Y443)-(H443+K443+N443))*constants!$O$2</f>
        <v>5.5663307885326099E-2</v>
      </c>
      <c r="AI443">
        <f>((R443+T443+U443+W443+X443+Z443+AA443+AB443)-(G443+I443+J443+L443+M443+O443+P443+Q443))*constants!$N$2</f>
        <v>2.5253252197296121E-2</v>
      </c>
      <c r="AJ443">
        <f t="shared" si="52"/>
        <v>0.64190972908976174</v>
      </c>
      <c r="AK443">
        <f t="shared" si="53"/>
        <v>8.0916560082622213E-2</v>
      </c>
      <c r="AL443">
        <f>COUNTIFS($B:$B,$B443,$AK:$AK,"&lt;"&amp;$AK443)+COUNTIFS($B$2:$B443,$B443,$AK$2:$AK443,$AK443)</f>
        <v>23</v>
      </c>
      <c r="AM443" s="191">
        <f>IF(AK443=0, "NA",IF(((sim_annual_output!F443/E443)/AK443)&lt;0,100,((sim_annual_output!F443/E443)/AK443)))</f>
        <v>7.7257474189573117</v>
      </c>
      <c r="AN443">
        <f>(S443+V443)*constants!$F$2+(T443+U443+W443+X443+Y443+Z443+AA443+AB443)*constants!$G$2</f>
        <v>118625.87766181206</v>
      </c>
      <c r="AO443">
        <f>(AD443*constants!$F$2+AE443*constants!$G$2)</f>
        <v>809.47288597464376</v>
      </c>
      <c r="AP443">
        <f t="shared" si="54"/>
        <v>0.68237462342099786</v>
      </c>
    </row>
    <row r="444" spans="1:42">
      <c r="A444">
        <f>sim_annual_output!B444</f>
        <v>20</v>
      </c>
      <c r="B444" t="str">
        <f>sim_annual_output!C444</f>
        <v>Storage Building</v>
      </c>
      <c r="C444" t="str">
        <f>sim_annual_output!D444</f>
        <v>1959-pre</v>
      </c>
      <c r="D444" t="str">
        <f>sim_annual_output!E444</f>
        <v>hrv_enabled</v>
      </c>
      <c r="E444" s="45">
        <f t="array" ref="E444">IFERROR(INDEX(baseline!$J$3:$J$201,MATCH($B444&amp;$C444,baseline!$C$3:$C$201&amp;baseline!$D$3:$D$201,0)),"NA")</f>
        <v>1171</v>
      </c>
      <c r="F444">
        <f>sim_annual_output!G444</f>
        <v>965.15690399999903</v>
      </c>
      <c r="G444">
        <f>$E444/$F444^2*sim_annual_output!I444</f>
        <v>0</v>
      </c>
      <c r="H444">
        <f>$E444/$F444^2*sim_annual_output!J444</f>
        <v>394.06177595646619</v>
      </c>
      <c r="I444">
        <f>$E444/$F444^2*sim_annual_output!K444</f>
        <v>0</v>
      </c>
      <c r="J444">
        <f>$E444/$F444^2*sim_annual_output!L444</f>
        <v>0</v>
      </c>
      <c r="K444">
        <f>$E444/$F444^2*sim_annual_output!M444</f>
        <v>0</v>
      </c>
      <c r="L444">
        <f>$E444/$F444^2*sim_annual_output!N444</f>
        <v>34.866388715432876</v>
      </c>
      <c r="M444">
        <f>$E444/$F444^2*sim_annual_output!O444</f>
        <v>3.229985935080161</v>
      </c>
      <c r="N444">
        <f>$E444/$F444^2*sim_annual_output!P444</f>
        <v>0</v>
      </c>
      <c r="O444">
        <f>$E444/$F444^2*sim_annual_output!Q444</f>
        <v>16.247702222624856</v>
      </c>
      <c r="P444">
        <f>$E444/$F444^2*sim_annual_output!R444</f>
        <v>0</v>
      </c>
      <c r="Q444">
        <f>$E444/$F444^2*sim_annual_output!S444</f>
        <v>0</v>
      </c>
      <c r="R444">
        <f t="array" ref="R444">INDEX(G$3:G$700,MATCH($B444&amp;$C444&amp;"baseline",$B$3:$B$700&amp;$C$3:$C$700&amp;$D$3:$D$700,0))</f>
        <v>0</v>
      </c>
      <c r="S444">
        <f t="array" ref="S444">INDEX(H$3:H$700,MATCH($B444&amp;$C444&amp;"baseline",$B$3:$B$700&amp;$C$3:$C$700&amp;$D$3:$D$700,0))</f>
        <v>397.49778261605422</v>
      </c>
      <c r="T444">
        <f t="array" ref="T444">INDEX(I$3:I$700,MATCH($B444&amp;$C444&amp;"baseline",$B$3:$B$700&amp;$C$3:$C$700&amp;$D$3:$D$700,0))</f>
        <v>0</v>
      </c>
      <c r="U444">
        <f t="array" ref="U444">INDEX(J$3:J$700,MATCH($B444&amp;$C444&amp;"baseline",$B$3:$B$700&amp;$C$3:$C$700&amp;$D$3:$D$700,0))</f>
        <v>0</v>
      </c>
      <c r="V444">
        <f t="array" ref="V444">INDEX(K$3:K$700,MATCH($B444&amp;$C444&amp;"baseline",$B$3:$B$700&amp;$C$3:$C$700&amp;$D$3:$D$700,0))</f>
        <v>0</v>
      </c>
      <c r="W444">
        <f t="array" ref="W444">INDEX(L$3:L$700,MATCH($B444&amp;$C444&amp;"baseline",$B$3:$B$700&amp;$C$3:$C$700&amp;$D$3:$D$700,0))</f>
        <v>34.866388715432876</v>
      </c>
      <c r="X444">
        <f t="array" ref="X444">INDEX(M$3:M$700,MATCH($B444&amp;$C444&amp;"baseline",$B$3:$B$700&amp;$C$3:$C$700&amp;$D$3:$D$700,0))</f>
        <v>3.229985935080161</v>
      </c>
      <c r="Y444">
        <f t="array" ref="Y444">INDEX(N$3:N$700,MATCH($B444&amp;$C444&amp;"baseline",$B$3:$B$700&amp;$C$3:$C$700&amp;$D$3:$D$700,0))</f>
        <v>0</v>
      </c>
      <c r="Z444">
        <f t="array" ref="Z444">INDEX(O$3:O$700,MATCH($B444&amp;$C444&amp;"baseline",$B$3:$B$700&amp;$C$3:$C$700&amp;$D$3:$D$700,0))</f>
        <v>16.471182330565533</v>
      </c>
      <c r="AA444">
        <f t="array" ref="AA444">INDEX(P$3:P$700,MATCH($B444&amp;$C444&amp;"baseline",$B$3:$B$700&amp;$C$3:$C$700&amp;$D$3:$D$700,0))</f>
        <v>0</v>
      </c>
      <c r="AB444">
        <f t="array" ref="AB444">INDEX(Q$3:Q$700,MATCH($B444&amp;$C444&amp;"baseline",$B$3:$B$700&amp;$C$3:$C$700&amp;$D$3:$D$700,0))</f>
        <v>0</v>
      </c>
      <c r="AC444">
        <f t="shared" si="48"/>
        <v>452.06533959713278</v>
      </c>
      <c r="AD444">
        <f t="shared" si="49"/>
        <v>3.4360066595880312</v>
      </c>
      <c r="AE444">
        <f t="shared" si="50"/>
        <v>0.22348010794067363</v>
      </c>
      <c r="AF444">
        <f t="shared" si="51"/>
        <v>0.80950394710417994</v>
      </c>
      <c r="AG444">
        <f>(S444+V444+Y444)*constants!$O$2+(R444+T444+U444+W444+X444+Z444+AA444+AB444)*constants!$N$2</f>
        <v>12.605598017241956</v>
      </c>
      <c r="AH444">
        <f>((S444+V444+Y444)-(H444+K444+N444))*constants!$O$2</f>
        <v>5.5663307885326099E-2</v>
      </c>
      <c r="AI444">
        <f>((R444+T444+U444+W444+X444+Z444+AA444+AB444)-(G444+I444+J444+L444+M444+O444+P444+Q444))*constants!$N$2</f>
        <v>2.5253252197296121E-2</v>
      </c>
      <c r="AJ444">
        <f t="shared" si="52"/>
        <v>0.64190972908976174</v>
      </c>
      <c r="AK444">
        <f t="shared" si="53"/>
        <v>8.0916560082622213E-2</v>
      </c>
      <c r="AL444">
        <f>COUNTIFS($B:$B,$B444,$AK:$AK,"&lt;"&amp;$AK444)+COUNTIFS($B$2:$B444,$B444,$AK$2:$AK444,$AK444)</f>
        <v>24</v>
      </c>
      <c r="AM444" s="191">
        <f>IF(AK444=0, "NA",IF(((sim_annual_output!F444/E444)/AK444)&lt;0,100,((sim_annual_output!F444/E444)/AK444)))</f>
        <v>0</v>
      </c>
      <c r="AN444">
        <f>(S444+V444)*constants!$F$2+(T444+U444+W444+X444+Y444+Z444+AA444+AB444)*constants!$G$2</f>
        <v>118625.87766181206</v>
      </c>
      <c r="AO444">
        <f>(AD444*constants!$F$2+AE444*constants!$G$2)</f>
        <v>809.47288597464376</v>
      </c>
      <c r="AP444">
        <f t="shared" si="54"/>
        <v>0.68237462342099786</v>
      </c>
    </row>
    <row r="445" spans="1:42">
      <c r="A445">
        <f>sim_annual_output!B445</f>
        <v>20</v>
      </c>
      <c r="B445" t="str">
        <f>sim_annual_output!C445</f>
        <v>Storage Building</v>
      </c>
      <c r="C445" t="str">
        <f>sim_annual_output!D445</f>
        <v>1959-pre</v>
      </c>
      <c r="D445" t="str">
        <f>sim_annual_output!E445</f>
        <v>infil_reduce</v>
      </c>
      <c r="E445" s="45">
        <f t="array" ref="E445">IFERROR(INDEX(baseline!$J$3:$J$201,MATCH($B445&amp;$C445,baseline!$C$3:$C$201&amp;baseline!$D$3:$D$201,0)),"NA")</f>
        <v>1171</v>
      </c>
      <c r="F445">
        <f>sim_annual_output!G445</f>
        <v>965.15690399999903</v>
      </c>
      <c r="G445">
        <f>$E445/$F445^2*sim_annual_output!I445</f>
        <v>0</v>
      </c>
      <c r="H445">
        <f>$E445/$F445^2*sim_annual_output!J445</f>
        <v>204.962685871784</v>
      </c>
      <c r="I445">
        <f>$E445/$F445^2*sim_annual_output!K445</f>
        <v>0</v>
      </c>
      <c r="J445">
        <f>$E445/$F445^2*sim_annual_output!L445</f>
        <v>0</v>
      </c>
      <c r="K445">
        <f>$E445/$F445^2*sim_annual_output!M445</f>
        <v>0</v>
      </c>
      <c r="L445">
        <f>$E445/$F445^2*sim_annual_output!N445</f>
        <v>34.866388715432876</v>
      </c>
      <c r="M445">
        <f>$E445/$F445^2*sim_annual_output!O445</f>
        <v>3.229985935080161</v>
      </c>
      <c r="N445">
        <f>$E445/$F445^2*sim_annual_output!P445</f>
        <v>0</v>
      </c>
      <c r="O445">
        <f>$E445/$F445^2*sim_annual_output!Q445</f>
        <v>8.6423947992685388</v>
      </c>
      <c r="P445">
        <f>$E445/$F445^2*sim_annual_output!R445</f>
        <v>0</v>
      </c>
      <c r="Q445">
        <f>$E445/$F445^2*sim_annual_output!S445</f>
        <v>0</v>
      </c>
      <c r="R445">
        <f t="array" ref="R445">INDEX(G$3:G$700,MATCH($B445&amp;$C445&amp;"baseline",$B$3:$B$700&amp;$C$3:$C$700&amp;$D$3:$D$700,0))</f>
        <v>0</v>
      </c>
      <c r="S445">
        <f t="array" ref="S445">INDEX(H$3:H$700,MATCH($B445&amp;$C445&amp;"baseline",$B$3:$B$700&amp;$C$3:$C$700&amp;$D$3:$D$700,0))</f>
        <v>397.49778261605422</v>
      </c>
      <c r="T445">
        <f t="array" ref="T445">INDEX(I$3:I$700,MATCH($B445&amp;$C445&amp;"baseline",$B$3:$B$700&amp;$C$3:$C$700&amp;$D$3:$D$700,0))</f>
        <v>0</v>
      </c>
      <c r="U445">
        <f t="array" ref="U445">INDEX(J$3:J$700,MATCH($B445&amp;$C445&amp;"baseline",$B$3:$B$700&amp;$C$3:$C$700&amp;$D$3:$D$700,0))</f>
        <v>0</v>
      </c>
      <c r="V445">
        <f t="array" ref="V445">INDEX(K$3:K$700,MATCH($B445&amp;$C445&amp;"baseline",$B$3:$B$700&amp;$C$3:$C$700&amp;$D$3:$D$700,0))</f>
        <v>0</v>
      </c>
      <c r="W445">
        <f t="array" ref="W445">INDEX(L$3:L$700,MATCH($B445&amp;$C445&amp;"baseline",$B$3:$B$700&amp;$C$3:$C$700&amp;$D$3:$D$700,0))</f>
        <v>34.866388715432876</v>
      </c>
      <c r="X445">
        <f t="array" ref="X445">INDEX(M$3:M$700,MATCH($B445&amp;$C445&amp;"baseline",$B$3:$B$700&amp;$C$3:$C$700&amp;$D$3:$D$700,0))</f>
        <v>3.229985935080161</v>
      </c>
      <c r="Y445">
        <f t="array" ref="Y445">INDEX(N$3:N$700,MATCH($B445&amp;$C445&amp;"baseline",$B$3:$B$700&amp;$C$3:$C$700&amp;$D$3:$D$700,0))</f>
        <v>0</v>
      </c>
      <c r="Z445">
        <f t="array" ref="Z445">INDEX(O$3:O$700,MATCH($B445&amp;$C445&amp;"baseline",$B$3:$B$700&amp;$C$3:$C$700&amp;$D$3:$D$700,0))</f>
        <v>16.471182330565533</v>
      </c>
      <c r="AA445">
        <f t="array" ref="AA445">INDEX(P$3:P$700,MATCH($B445&amp;$C445&amp;"baseline",$B$3:$B$700&amp;$C$3:$C$700&amp;$D$3:$D$700,0))</f>
        <v>0</v>
      </c>
      <c r="AB445">
        <f t="array" ref="AB445">INDEX(Q$3:Q$700,MATCH($B445&amp;$C445&amp;"baseline",$B$3:$B$700&amp;$C$3:$C$700&amp;$D$3:$D$700,0))</f>
        <v>0</v>
      </c>
      <c r="AC445">
        <f t="shared" si="48"/>
        <v>452.06533959713278</v>
      </c>
      <c r="AD445">
        <f t="shared" si="49"/>
        <v>192.53509674427022</v>
      </c>
      <c r="AE445">
        <f t="shared" si="50"/>
        <v>7.8287875312969959</v>
      </c>
      <c r="AF445">
        <f t="shared" si="51"/>
        <v>44.321885958814178</v>
      </c>
      <c r="AG445">
        <f>(S445+V445+Y445)*constants!$O$2+(R445+T445+U445+W445+X445+Z445+AA445+AB445)*constants!$N$2</f>
        <v>12.605598017241956</v>
      </c>
      <c r="AH445">
        <f>((S445+V445+Y445)-(H445+K445+N445))*constants!$O$2</f>
        <v>3.1190685672571772</v>
      </c>
      <c r="AI445">
        <f>((R445+T445+U445+W445+X445+Z445+AA445+AB445)-(G445+I445+J445+L445+M445+O445+P445+Q445))*constants!$N$2</f>
        <v>0.88465299103656059</v>
      </c>
      <c r="AJ445">
        <f t="shared" si="52"/>
        <v>31.761456718018788</v>
      </c>
      <c r="AK445">
        <f t="shared" si="53"/>
        <v>4.003721558293738</v>
      </c>
      <c r="AL445">
        <f>COUNTIFS($B:$B,$B445,$AK:$AK,"&lt;"&amp;$AK445)+COUNTIFS($B$2:$B445,$B445,$AK$2:$AK445,$AK445)</f>
        <v>59</v>
      </c>
      <c r="AM445" s="191">
        <f>IF(AK445=0, "NA",IF(((sim_annual_output!F445/E445)/AK445)&lt;0,100,((sim_annual_output!F445/E445)/AK445)))</f>
        <v>7.7363696260699042</v>
      </c>
      <c r="AN445">
        <f>(S445+V445)*constants!$F$2+(T445+U445+W445+X445+Y445+Z445+AA445+AB445)*constants!$G$2</f>
        <v>118625.87766181206</v>
      </c>
      <c r="AO445">
        <f>(AD445*constants!$F$2+AE445*constants!$G$2)</f>
        <v>41274.82746945275</v>
      </c>
      <c r="AP445">
        <f t="shared" si="54"/>
        <v>34.794117677360639</v>
      </c>
    </row>
    <row r="446" spans="1:42">
      <c r="A446">
        <f>sim_annual_output!B446</f>
        <v>20</v>
      </c>
      <c r="B446" t="str">
        <f>sim_annual_output!C446</f>
        <v>Storage Building</v>
      </c>
      <c r="C446" t="str">
        <f>sim_annual_output!D446</f>
        <v>1959-pre</v>
      </c>
      <c r="D446" t="str">
        <f>sim_annual_output!E446</f>
        <v>infil_reduce_plus_setback</v>
      </c>
      <c r="E446" s="45">
        <f t="array" ref="E446">IFERROR(INDEX(baseline!$J$3:$J$201,MATCH($B446&amp;$C446,baseline!$C$3:$C$201&amp;baseline!$D$3:$D$201,0)),"NA")</f>
        <v>1171</v>
      </c>
      <c r="F446">
        <f>sim_annual_output!G446</f>
        <v>965.15690399999903</v>
      </c>
      <c r="G446">
        <f>$E446/$F446^2*sim_annual_output!I446</f>
        <v>0</v>
      </c>
      <c r="H446">
        <f>$E446/$F446^2*sim_annual_output!J446</f>
        <v>177.77144211343889</v>
      </c>
      <c r="I446">
        <f>$E446/$F446^2*sim_annual_output!K446</f>
        <v>0</v>
      </c>
      <c r="J446">
        <f>$E446/$F446^2*sim_annual_output!L446</f>
        <v>0</v>
      </c>
      <c r="K446">
        <f>$E446/$F446^2*sim_annual_output!M446</f>
        <v>0</v>
      </c>
      <c r="L446">
        <f>$E446/$F446^2*sim_annual_output!N446</f>
        <v>34.866388715432876</v>
      </c>
      <c r="M446">
        <f>$E446/$F446^2*sim_annual_output!O446</f>
        <v>3.229985935080161</v>
      </c>
      <c r="N446">
        <f>$E446/$F446^2*sim_annual_output!P446</f>
        <v>0</v>
      </c>
      <c r="O446">
        <f>$E446/$F446^2*sim_annual_output!Q446</f>
        <v>8.890318044015233</v>
      </c>
      <c r="P446">
        <f>$E446/$F446^2*sim_annual_output!R446</f>
        <v>0</v>
      </c>
      <c r="Q446">
        <f>$E446/$F446^2*sim_annual_output!S446</f>
        <v>0</v>
      </c>
      <c r="R446">
        <f t="array" ref="R446">INDEX(G$3:G$700,MATCH($B446&amp;$C446&amp;"baseline",$B$3:$B$700&amp;$C$3:$C$700&amp;$D$3:$D$700,0))</f>
        <v>0</v>
      </c>
      <c r="S446">
        <f t="array" ref="S446">INDEX(H$3:H$700,MATCH($B446&amp;$C446&amp;"baseline",$B$3:$B$700&amp;$C$3:$C$700&amp;$D$3:$D$700,0))</f>
        <v>397.49778261605422</v>
      </c>
      <c r="T446">
        <f t="array" ref="T446">INDEX(I$3:I$700,MATCH($B446&amp;$C446&amp;"baseline",$B$3:$B$700&amp;$C$3:$C$700&amp;$D$3:$D$700,0))</f>
        <v>0</v>
      </c>
      <c r="U446">
        <f t="array" ref="U446">INDEX(J$3:J$700,MATCH($B446&amp;$C446&amp;"baseline",$B$3:$B$700&amp;$C$3:$C$700&amp;$D$3:$D$700,0))</f>
        <v>0</v>
      </c>
      <c r="V446">
        <f t="array" ref="V446">INDEX(K$3:K$700,MATCH($B446&amp;$C446&amp;"baseline",$B$3:$B$700&amp;$C$3:$C$700&amp;$D$3:$D$700,0))</f>
        <v>0</v>
      </c>
      <c r="W446">
        <f t="array" ref="W446">INDEX(L$3:L$700,MATCH($B446&amp;$C446&amp;"baseline",$B$3:$B$700&amp;$C$3:$C$700&amp;$D$3:$D$700,0))</f>
        <v>34.866388715432876</v>
      </c>
      <c r="X446">
        <f t="array" ref="X446">INDEX(M$3:M$700,MATCH($B446&amp;$C446&amp;"baseline",$B$3:$B$700&amp;$C$3:$C$700&amp;$D$3:$D$700,0))</f>
        <v>3.229985935080161</v>
      </c>
      <c r="Y446">
        <f t="array" ref="Y446">INDEX(N$3:N$700,MATCH($B446&amp;$C446&amp;"baseline",$B$3:$B$700&amp;$C$3:$C$700&amp;$D$3:$D$700,0))</f>
        <v>0</v>
      </c>
      <c r="Z446">
        <f t="array" ref="Z446">INDEX(O$3:O$700,MATCH($B446&amp;$C446&amp;"baseline",$B$3:$B$700&amp;$C$3:$C$700&amp;$D$3:$D$700,0))</f>
        <v>16.471182330565533</v>
      </c>
      <c r="AA446">
        <f t="array" ref="AA446">INDEX(P$3:P$700,MATCH($B446&amp;$C446&amp;"baseline",$B$3:$B$700&amp;$C$3:$C$700&amp;$D$3:$D$700,0))</f>
        <v>0</v>
      </c>
      <c r="AB446">
        <f t="array" ref="AB446">INDEX(Q$3:Q$700,MATCH($B446&amp;$C446&amp;"baseline",$B$3:$B$700&amp;$C$3:$C$700&amp;$D$3:$D$700,0))</f>
        <v>0</v>
      </c>
      <c r="AC446">
        <f t="shared" si="48"/>
        <v>452.06533959713278</v>
      </c>
      <c r="AD446">
        <f t="shared" si="49"/>
        <v>219.72634050261533</v>
      </c>
      <c r="AE446">
        <f t="shared" si="50"/>
        <v>7.5808642865503018</v>
      </c>
      <c r="AF446">
        <f t="shared" si="51"/>
        <v>50.281936012111672</v>
      </c>
      <c r="AG446">
        <f>(S446+V446+Y446)*constants!$O$2+(R446+T446+U446+W446+X446+Z446+AA446+AB446)*constants!$N$2</f>
        <v>12.605598017241956</v>
      </c>
      <c r="AH446">
        <f>((S446+V446+Y446)-(H446+K446+N446))*constants!$O$2</f>
        <v>3.5595667161423683</v>
      </c>
      <c r="AI446">
        <f>((R446+T446+U446+W446+X446+Z446+AA446+AB446)-(G446+I446+J446+L446+M446+O446+P446+Q446))*constants!$N$2</f>
        <v>0.85663766438018407</v>
      </c>
      <c r="AJ446">
        <f t="shared" si="52"/>
        <v>35.033676105505364</v>
      </c>
      <c r="AK446">
        <f t="shared" si="53"/>
        <v>4.4162043805225526</v>
      </c>
      <c r="AL446">
        <f>COUNTIFS($B:$B,$B446,$AK:$AK,"&lt;"&amp;$AK446)+COUNTIFS($B$2:$B446,$B446,$AK$2:$AK446,$AK446)</f>
        <v>60</v>
      </c>
      <c r="AM446" s="191">
        <f>IF(AK446=0, "NA",IF(((sim_annual_output!F446/E446)/AK446)&lt;0,100,((sim_annual_output!F446/E446)/AK446)))</f>
        <v>7.1059568602033529</v>
      </c>
      <c r="AN446">
        <f>(S446+V446)*constants!$F$2+(T446+U446+W446+X446+Y446+Z446+AA446+AB446)*constants!$G$2</f>
        <v>118625.87766181206</v>
      </c>
      <c r="AO446">
        <f>(AD446*constants!$F$2+AE446*constants!$G$2)</f>
        <v>45926.366879266905</v>
      </c>
      <c r="AP446">
        <f t="shared" si="54"/>
        <v>38.715302077846275</v>
      </c>
    </row>
    <row r="447" spans="1:42">
      <c r="A447">
        <f>sim_annual_output!B447</f>
        <v>20</v>
      </c>
      <c r="B447" t="str">
        <f>sim_annual_output!C447</f>
        <v>Storage Building</v>
      </c>
      <c r="C447" t="str">
        <f>sim_annual_output!D447</f>
        <v>1959-pre</v>
      </c>
      <c r="D447" t="str">
        <f>sim_annual_output!E447</f>
        <v>lights_reduce_70p</v>
      </c>
      <c r="E447" s="45">
        <f t="array" ref="E447">IFERROR(INDEX(baseline!$J$3:$J$201,MATCH($B447&amp;$C447,baseline!$C$3:$C$201&amp;baseline!$D$3:$D$201,0)),"NA")</f>
        <v>1171</v>
      </c>
      <c r="F447">
        <f>sim_annual_output!G447</f>
        <v>965.15690399999903</v>
      </c>
      <c r="G447">
        <f>$E447/$F447^2*sim_annual_output!I447</f>
        <v>0</v>
      </c>
      <c r="H447">
        <f>$E447/$F447^2*sim_annual_output!J447</f>
        <v>404.68406483702177</v>
      </c>
      <c r="I447">
        <f>$E447/$F447^2*sim_annual_output!K447</f>
        <v>0</v>
      </c>
      <c r="J447">
        <f>$E447/$F447^2*sim_annual_output!L447</f>
        <v>0</v>
      </c>
      <c r="K447">
        <f>$E447/$F447^2*sim_annual_output!M447</f>
        <v>0</v>
      </c>
      <c r="L447">
        <f>$E447/$F447^2*sim_annual_output!N447</f>
        <v>24.408218039146298</v>
      </c>
      <c r="M447">
        <f>$E447/$F447^2*sim_annual_output!O447</f>
        <v>3.229985935080161</v>
      </c>
      <c r="N447">
        <f>$E447/$F447^2*sim_annual_output!P447</f>
        <v>0</v>
      </c>
      <c r="O447">
        <f>$E447/$F447^2*sim_annual_output!Q447</f>
        <v>16.617841151401606</v>
      </c>
      <c r="P447">
        <f>$E447/$F447^2*sim_annual_output!R447</f>
        <v>0</v>
      </c>
      <c r="Q447">
        <f>$E447/$F447^2*sim_annual_output!S447</f>
        <v>0</v>
      </c>
      <c r="R447">
        <f t="array" ref="R447">INDEX(G$3:G$700,MATCH($B447&amp;$C447&amp;"baseline",$B$3:$B$700&amp;$C$3:$C$700&amp;$D$3:$D$700,0))</f>
        <v>0</v>
      </c>
      <c r="S447">
        <f t="array" ref="S447">INDEX(H$3:H$700,MATCH($B447&amp;$C447&amp;"baseline",$B$3:$B$700&amp;$C$3:$C$700&amp;$D$3:$D$700,0))</f>
        <v>397.49778261605422</v>
      </c>
      <c r="T447">
        <f t="array" ref="T447">INDEX(I$3:I$700,MATCH($B447&amp;$C447&amp;"baseline",$B$3:$B$700&amp;$C$3:$C$700&amp;$D$3:$D$700,0))</f>
        <v>0</v>
      </c>
      <c r="U447">
        <f t="array" ref="U447">INDEX(J$3:J$700,MATCH($B447&amp;$C447&amp;"baseline",$B$3:$B$700&amp;$C$3:$C$700&amp;$D$3:$D$700,0))</f>
        <v>0</v>
      </c>
      <c r="V447">
        <f t="array" ref="V447">INDEX(K$3:K$700,MATCH($B447&amp;$C447&amp;"baseline",$B$3:$B$700&amp;$C$3:$C$700&amp;$D$3:$D$700,0))</f>
        <v>0</v>
      </c>
      <c r="W447">
        <f t="array" ref="W447">INDEX(L$3:L$700,MATCH($B447&amp;$C447&amp;"baseline",$B$3:$B$700&amp;$C$3:$C$700&amp;$D$3:$D$700,0))</f>
        <v>34.866388715432876</v>
      </c>
      <c r="X447">
        <f t="array" ref="X447">INDEX(M$3:M$700,MATCH($B447&amp;$C447&amp;"baseline",$B$3:$B$700&amp;$C$3:$C$700&amp;$D$3:$D$700,0))</f>
        <v>3.229985935080161</v>
      </c>
      <c r="Y447">
        <f t="array" ref="Y447">INDEX(N$3:N$700,MATCH($B447&amp;$C447&amp;"baseline",$B$3:$B$700&amp;$C$3:$C$700&amp;$D$3:$D$700,0))</f>
        <v>0</v>
      </c>
      <c r="Z447">
        <f t="array" ref="Z447">INDEX(O$3:O$700,MATCH($B447&amp;$C447&amp;"baseline",$B$3:$B$700&amp;$C$3:$C$700&amp;$D$3:$D$700,0))</f>
        <v>16.471182330565533</v>
      </c>
      <c r="AA447">
        <f t="array" ref="AA447">INDEX(P$3:P$700,MATCH($B447&amp;$C447&amp;"baseline",$B$3:$B$700&amp;$C$3:$C$700&amp;$D$3:$D$700,0))</f>
        <v>0</v>
      </c>
      <c r="AB447">
        <f t="array" ref="AB447">INDEX(Q$3:Q$700,MATCH($B447&amp;$C447&amp;"baseline",$B$3:$B$700&amp;$C$3:$C$700&amp;$D$3:$D$700,0))</f>
        <v>0</v>
      </c>
      <c r="AC447">
        <f t="shared" si="48"/>
        <v>452.06533959713278</v>
      </c>
      <c r="AD447">
        <f t="shared" si="49"/>
        <v>-7.1862822209675414</v>
      </c>
      <c r="AE447">
        <f t="shared" si="50"/>
        <v>10.311511855450505</v>
      </c>
      <c r="AF447">
        <f t="shared" si="51"/>
        <v>0.69132255024640354</v>
      </c>
      <c r="AG447">
        <f>(S447+V447+Y447)*constants!$O$2+(R447+T447+U447+W447+X447+Z447+AA447+AB447)*constants!$N$2</f>
        <v>12.605598017241956</v>
      </c>
      <c r="AH447">
        <f>((S447+V447+Y447)-(H447+K447+N447))*constants!$O$2</f>
        <v>-0.11641777197967416</v>
      </c>
      <c r="AI447">
        <f>((R447+T447+U447+W447+X447+Z447+AA447+AB447)-(G447+I447+J447+L447+M447+O447+P447+Q447))*constants!$N$2</f>
        <v>1.165200839665907</v>
      </c>
      <c r="AJ447">
        <f t="shared" si="52"/>
        <v>8.3199786813105252</v>
      </c>
      <c r="AK447">
        <f t="shared" si="53"/>
        <v>1.0487830676862329</v>
      </c>
      <c r="AL447">
        <f>COUNTIFS($B:$B,$B447,$AK:$AK,"&lt;"&amp;$AK447)+COUNTIFS($B$2:$B447,$B447,$AK$2:$AK447,$AK447)</f>
        <v>50</v>
      </c>
      <c r="AM447" s="191">
        <f>IF(AK447=0, "NA",IF(((sim_annual_output!F447/E447)/AK447)&lt;0,100,((sim_annual_output!F447/E447)/AK447)))</f>
        <v>19.317472192045191</v>
      </c>
      <c r="AN447">
        <f>(S447+V447)*constants!$F$2+(T447+U447+W447+X447+Y447+Z447+AA447+AB447)*constants!$G$2</f>
        <v>118625.87766181206</v>
      </c>
      <c r="AO447">
        <f>(AD447*constants!$F$2+AE447*constants!$G$2)</f>
        <v>7684.6707966887489</v>
      </c>
      <c r="AP447">
        <f t="shared" si="54"/>
        <v>6.4780728692240404</v>
      </c>
    </row>
    <row r="448" spans="1:42">
      <c r="A448">
        <f>sim_annual_output!B448</f>
        <v>20</v>
      </c>
      <c r="B448" t="str">
        <f>sim_annual_output!C448</f>
        <v>Storage Building</v>
      </c>
      <c r="C448" t="str">
        <f>sim_annual_output!D448</f>
        <v>1959-pre</v>
      </c>
      <c r="D448" t="str">
        <f>sim_annual_output!E448</f>
        <v>load_reduce</v>
      </c>
      <c r="E448" s="45">
        <f t="array" ref="E448">IFERROR(INDEX(baseline!$J$3:$J$201,MATCH($B448&amp;$C448,baseline!$C$3:$C$201&amp;baseline!$D$3:$D$201,0)),"NA")</f>
        <v>1171</v>
      </c>
      <c r="F448">
        <f>sim_annual_output!G448</f>
        <v>965.15690399999903</v>
      </c>
      <c r="G448">
        <f>$E448/$F448^2*sim_annual_output!I448</f>
        <v>0</v>
      </c>
      <c r="H448">
        <f>$E448/$F448^2*sim_annual_output!J448</f>
        <v>177.77144211343889</v>
      </c>
      <c r="I448">
        <f>$E448/$F448^2*sim_annual_output!K448</f>
        <v>0</v>
      </c>
      <c r="J448">
        <f>$E448/$F448^2*sim_annual_output!L448</f>
        <v>0</v>
      </c>
      <c r="K448">
        <f>$E448/$F448^2*sim_annual_output!M448</f>
        <v>0</v>
      </c>
      <c r="L448">
        <f>$E448/$F448^2*sim_annual_output!N448</f>
        <v>34.866388715432876</v>
      </c>
      <c r="M448">
        <f>$E448/$F448^2*sim_annual_output!O448</f>
        <v>3.229985935080161</v>
      </c>
      <c r="N448">
        <f>$E448/$F448^2*sim_annual_output!P448</f>
        <v>0</v>
      </c>
      <c r="O448">
        <f>$E448/$F448^2*sim_annual_output!Q448</f>
        <v>8.890318044015233</v>
      </c>
      <c r="P448">
        <f>$E448/$F448^2*sim_annual_output!R448</f>
        <v>0</v>
      </c>
      <c r="Q448">
        <f>$E448/$F448^2*sim_annual_output!S448</f>
        <v>0</v>
      </c>
      <c r="R448">
        <f t="array" ref="R448">INDEX(G$3:G$700,MATCH($B448&amp;$C448&amp;"baseline",$B$3:$B$700&amp;$C$3:$C$700&amp;$D$3:$D$700,0))</f>
        <v>0</v>
      </c>
      <c r="S448">
        <f t="array" ref="S448">INDEX(H$3:H$700,MATCH($B448&amp;$C448&amp;"baseline",$B$3:$B$700&amp;$C$3:$C$700&amp;$D$3:$D$700,0))</f>
        <v>397.49778261605422</v>
      </c>
      <c r="T448">
        <f t="array" ref="T448">INDEX(I$3:I$700,MATCH($B448&amp;$C448&amp;"baseline",$B$3:$B$700&amp;$C$3:$C$700&amp;$D$3:$D$700,0))</f>
        <v>0</v>
      </c>
      <c r="U448">
        <f t="array" ref="U448">INDEX(J$3:J$700,MATCH($B448&amp;$C448&amp;"baseline",$B$3:$B$700&amp;$C$3:$C$700&amp;$D$3:$D$700,0))</f>
        <v>0</v>
      </c>
      <c r="V448">
        <f t="array" ref="V448">INDEX(K$3:K$700,MATCH($B448&amp;$C448&amp;"baseline",$B$3:$B$700&amp;$C$3:$C$700&amp;$D$3:$D$700,0))</f>
        <v>0</v>
      </c>
      <c r="W448">
        <f t="array" ref="W448">INDEX(L$3:L$700,MATCH($B448&amp;$C448&amp;"baseline",$B$3:$B$700&amp;$C$3:$C$700&amp;$D$3:$D$700,0))</f>
        <v>34.866388715432876</v>
      </c>
      <c r="X448">
        <f t="array" ref="X448">INDEX(M$3:M$700,MATCH($B448&amp;$C448&amp;"baseline",$B$3:$B$700&amp;$C$3:$C$700&amp;$D$3:$D$700,0))</f>
        <v>3.229985935080161</v>
      </c>
      <c r="Y448">
        <f t="array" ref="Y448">INDEX(N$3:N$700,MATCH($B448&amp;$C448&amp;"baseline",$B$3:$B$700&amp;$C$3:$C$700&amp;$D$3:$D$700,0))</f>
        <v>0</v>
      </c>
      <c r="Z448">
        <f t="array" ref="Z448">INDEX(O$3:O$700,MATCH($B448&amp;$C448&amp;"baseline",$B$3:$B$700&amp;$C$3:$C$700&amp;$D$3:$D$700,0))</f>
        <v>16.471182330565533</v>
      </c>
      <c r="AA448">
        <f t="array" ref="AA448">INDEX(P$3:P$700,MATCH($B448&amp;$C448&amp;"baseline",$B$3:$B$700&amp;$C$3:$C$700&amp;$D$3:$D$700,0))</f>
        <v>0</v>
      </c>
      <c r="AB448">
        <f t="array" ref="AB448">INDEX(Q$3:Q$700,MATCH($B448&amp;$C448&amp;"baseline",$B$3:$B$700&amp;$C$3:$C$700&amp;$D$3:$D$700,0))</f>
        <v>0</v>
      </c>
      <c r="AC448">
        <f t="shared" si="48"/>
        <v>452.06533959713278</v>
      </c>
      <c r="AD448">
        <f t="shared" si="49"/>
        <v>219.72634050261533</v>
      </c>
      <c r="AE448">
        <f t="shared" si="50"/>
        <v>7.5808642865503018</v>
      </c>
      <c r="AF448">
        <f t="shared" si="51"/>
        <v>50.281936012111672</v>
      </c>
      <c r="AG448">
        <f>(S448+V448+Y448)*constants!$O$2+(R448+T448+U448+W448+X448+Z448+AA448+AB448)*constants!$N$2</f>
        <v>12.605598017241956</v>
      </c>
      <c r="AH448">
        <f>((S448+V448+Y448)-(H448+K448+N448))*constants!$O$2</f>
        <v>3.5595667161423683</v>
      </c>
      <c r="AI448">
        <f>((R448+T448+U448+W448+X448+Z448+AA448+AB448)-(G448+I448+J448+L448+M448+O448+P448+Q448))*constants!$N$2</f>
        <v>0.85663766438018407</v>
      </c>
      <c r="AJ448">
        <f t="shared" si="52"/>
        <v>35.033676105505364</v>
      </c>
      <c r="AK448">
        <f t="shared" si="53"/>
        <v>4.4162043805225526</v>
      </c>
      <c r="AL448">
        <f>COUNTIFS($B:$B,$B448,$AK:$AK,"&lt;"&amp;$AK448)+COUNTIFS($B$2:$B448,$B448,$AK$2:$AK448,$AK448)</f>
        <v>61</v>
      </c>
      <c r="AM448" s="191">
        <f>IF(AK448=0, "NA",IF(((sim_annual_output!F448/E448)/AK448)&lt;0,100,((sim_annual_output!F448/E448)/AK448)))</f>
        <v>7.1059568602033529</v>
      </c>
      <c r="AN448">
        <f>(S448+V448)*constants!$F$2+(T448+U448+W448+X448+Y448+Z448+AA448+AB448)*constants!$G$2</f>
        <v>118625.87766181206</v>
      </c>
      <c r="AO448">
        <f>(AD448*constants!$F$2+AE448*constants!$G$2)</f>
        <v>45926.366879266905</v>
      </c>
      <c r="AP448">
        <f t="shared" si="54"/>
        <v>38.715302077846275</v>
      </c>
    </row>
    <row r="449" spans="1:42">
      <c r="A449">
        <f>sim_annual_output!B449</f>
        <v>20</v>
      </c>
      <c r="B449" t="str">
        <f>sim_annual_output!C449</f>
        <v>Storage Building</v>
      </c>
      <c r="C449" t="str">
        <f>sim_annual_output!D449</f>
        <v>1959-pre</v>
      </c>
      <c r="D449" t="str">
        <f>sim_annual_output!E449</f>
        <v>occupancy_setback</v>
      </c>
      <c r="E449" s="45">
        <f t="array" ref="E449">IFERROR(INDEX(baseline!$J$3:$J$201,MATCH($B449&amp;$C449,baseline!$C$3:$C$201&amp;baseline!$D$3:$D$201,0)),"NA")</f>
        <v>1171</v>
      </c>
      <c r="F449">
        <f>sim_annual_output!G449</f>
        <v>965.15690399999903</v>
      </c>
      <c r="G449">
        <f>$E449/$F449^2*sim_annual_output!I449</f>
        <v>0</v>
      </c>
      <c r="H449">
        <f>$E449/$F449^2*sim_annual_output!J449</f>
        <v>347.02619698832592</v>
      </c>
      <c r="I449">
        <f>$E449/$F449^2*sim_annual_output!K449</f>
        <v>0</v>
      </c>
      <c r="J449">
        <f>$E449/$F449^2*sim_annual_output!L449</f>
        <v>0</v>
      </c>
      <c r="K449">
        <f>$E449/$F449^2*sim_annual_output!M449</f>
        <v>0</v>
      </c>
      <c r="L449">
        <f>$E449/$F449^2*sim_annual_output!N449</f>
        <v>34.866388715432876</v>
      </c>
      <c r="M449">
        <f>$E449/$F449^2*sim_annual_output!O449</f>
        <v>3.229985935080161</v>
      </c>
      <c r="N449">
        <f>$E449/$F449^2*sim_annual_output!P449</f>
        <v>0</v>
      </c>
      <c r="O449">
        <f>$E449/$F449^2*sim_annual_output!Q449</f>
        <v>17.407005282567138</v>
      </c>
      <c r="P449">
        <f>$E449/$F449^2*sim_annual_output!R449</f>
        <v>0</v>
      </c>
      <c r="Q449">
        <f>$E449/$F449^2*sim_annual_output!S449</f>
        <v>0</v>
      </c>
      <c r="R449">
        <f t="array" ref="R449">INDEX(G$3:G$700,MATCH($B449&amp;$C449&amp;"baseline",$B$3:$B$700&amp;$C$3:$C$700&amp;$D$3:$D$700,0))</f>
        <v>0</v>
      </c>
      <c r="S449">
        <f t="array" ref="S449">INDEX(H$3:H$700,MATCH($B449&amp;$C449&amp;"baseline",$B$3:$B$700&amp;$C$3:$C$700&amp;$D$3:$D$700,0))</f>
        <v>397.49778261605422</v>
      </c>
      <c r="T449">
        <f t="array" ref="T449">INDEX(I$3:I$700,MATCH($B449&amp;$C449&amp;"baseline",$B$3:$B$700&amp;$C$3:$C$700&amp;$D$3:$D$700,0))</f>
        <v>0</v>
      </c>
      <c r="U449">
        <f t="array" ref="U449">INDEX(J$3:J$700,MATCH($B449&amp;$C449&amp;"baseline",$B$3:$B$700&amp;$C$3:$C$700&amp;$D$3:$D$700,0))</f>
        <v>0</v>
      </c>
      <c r="V449">
        <f t="array" ref="V449">INDEX(K$3:K$700,MATCH($B449&amp;$C449&amp;"baseline",$B$3:$B$700&amp;$C$3:$C$700&amp;$D$3:$D$700,0))</f>
        <v>0</v>
      </c>
      <c r="W449">
        <f t="array" ref="W449">INDEX(L$3:L$700,MATCH($B449&amp;$C449&amp;"baseline",$B$3:$B$700&amp;$C$3:$C$700&amp;$D$3:$D$700,0))</f>
        <v>34.866388715432876</v>
      </c>
      <c r="X449">
        <f t="array" ref="X449">INDEX(M$3:M$700,MATCH($B449&amp;$C449&amp;"baseline",$B$3:$B$700&amp;$C$3:$C$700&amp;$D$3:$D$700,0))</f>
        <v>3.229985935080161</v>
      </c>
      <c r="Y449">
        <f t="array" ref="Y449">INDEX(N$3:N$700,MATCH($B449&amp;$C449&amp;"baseline",$B$3:$B$700&amp;$C$3:$C$700&amp;$D$3:$D$700,0))</f>
        <v>0</v>
      </c>
      <c r="Z449">
        <f t="array" ref="Z449">INDEX(O$3:O$700,MATCH($B449&amp;$C449&amp;"baseline",$B$3:$B$700&amp;$C$3:$C$700&amp;$D$3:$D$700,0))</f>
        <v>16.471182330565533</v>
      </c>
      <c r="AA449">
        <f t="array" ref="AA449">INDEX(P$3:P$700,MATCH($B449&amp;$C449&amp;"baseline",$B$3:$B$700&amp;$C$3:$C$700&amp;$D$3:$D$700,0))</f>
        <v>0</v>
      </c>
      <c r="AB449">
        <f t="array" ref="AB449">INDEX(Q$3:Q$700,MATCH($B449&amp;$C449&amp;"baseline",$B$3:$B$700&amp;$C$3:$C$700&amp;$D$3:$D$700,0))</f>
        <v>0</v>
      </c>
      <c r="AC449">
        <f t="shared" si="48"/>
        <v>452.06533959713278</v>
      </c>
      <c r="AD449">
        <f t="shared" si="49"/>
        <v>50.471585627728302</v>
      </c>
      <c r="AE449">
        <f t="shared" si="50"/>
        <v>-0.93582295200160104</v>
      </c>
      <c r="AF449">
        <f t="shared" si="51"/>
        <v>10.957655528263126</v>
      </c>
      <c r="AG449">
        <f>(S449+V449+Y449)*constants!$O$2+(R449+T449+U449+W449+X449+Z449+AA449+AB449)*constants!$N$2</f>
        <v>12.605598017241956</v>
      </c>
      <c r="AH449">
        <f>((S449+V449+Y449)-(H449+K449+N449))*constants!$O$2</f>
        <v>0.81763968716919844</v>
      </c>
      <c r="AI449">
        <f>((R449+T449+U449+W449+X449+Z449+AA449+AB449)-(G449+I449+J449+L449+M449+O449+P449+Q449))*constants!$N$2</f>
        <v>-0.10574799357618092</v>
      </c>
      <c r="AJ449">
        <f t="shared" si="52"/>
        <v>5.6474249981578897</v>
      </c>
      <c r="AK449">
        <f t="shared" si="53"/>
        <v>0.71189169359301752</v>
      </c>
      <c r="AL449">
        <f>COUNTIFS($B:$B,$B449,$AK:$AK,"&lt;"&amp;$AK449)+COUNTIFS($B$2:$B449,$B449,$AK$2:$AK449,$AK449)</f>
        <v>41</v>
      </c>
      <c r="AM449" s="191">
        <f>IF(AK449=0, "NA",IF(((sim_annual_output!F449/E449)/AK449)&lt;0,100,((sim_annual_output!F449/E449)/AK449)))</f>
        <v>0.5718397372425621</v>
      </c>
      <c r="AN449">
        <f>(S449+V449)*constants!$F$2+(T449+U449+W449+X449+Y449+Z449+AA449+AB449)*constants!$G$2</f>
        <v>118625.87766181206</v>
      </c>
      <c r="AO449">
        <f>(AD449*constants!$F$2+AE449*constants!$G$2)</f>
        <v>8220.2478591219733</v>
      </c>
      <c r="AP449">
        <f t="shared" si="54"/>
        <v>6.9295570419777199</v>
      </c>
    </row>
    <row r="450" spans="1:42">
      <c r="A450">
        <f>sim_annual_output!B450</f>
        <v>20</v>
      </c>
      <c r="B450" t="str">
        <f>sim_annual_output!C450</f>
        <v>Storage Building</v>
      </c>
      <c r="C450" t="str">
        <f>sim_annual_output!D450</f>
        <v>1959-pre</v>
      </c>
      <c r="D450" t="str">
        <f>sim_annual_output!E450</f>
        <v>payback_less_than_20</v>
      </c>
      <c r="E450" s="45">
        <f t="array" ref="E450">IFERROR(INDEX(baseline!$J$3:$J$201,MATCH($B450&amp;$C450,baseline!$C$3:$C$201&amp;baseline!$D$3:$D$201,0)),"NA")</f>
        <v>1171</v>
      </c>
      <c r="F450">
        <f>sim_annual_output!G450</f>
        <v>965.15690399999903</v>
      </c>
      <c r="G450">
        <f>$E450/$F450^2*sim_annual_output!I450</f>
        <v>0</v>
      </c>
      <c r="H450">
        <f>$E450/$F450^2*sim_annual_output!J450</f>
        <v>188.73244303259202</v>
      </c>
      <c r="I450">
        <f>$E450/$F450^2*sim_annual_output!K450</f>
        <v>0</v>
      </c>
      <c r="J450">
        <f>$E450/$F450^2*sim_annual_output!L450</f>
        <v>0</v>
      </c>
      <c r="K450">
        <f>$E450/$F450^2*sim_annual_output!M450</f>
        <v>0</v>
      </c>
      <c r="L450">
        <f>$E450/$F450^2*sim_annual_output!N450</f>
        <v>24.408218039146298</v>
      </c>
      <c r="M450">
        <f>$E450/$F450^2*sim_annual_output!O450</f>
        <v>3.229985935080161</v>
      </c>
      <c r="N450">
        <f>$E450/$F450^2*sim_annual_output!P450</f>
        <v>0</v>
      </c>
      <c r="O450">
        <f>$E450/$F450^2*sim_annual_output!Q450</f>
        <v>9.1731600556276582</v>
      </c>
      <c r="P450">
        <f>$E450/$F450^2*sim_annual_output!R450</f>
        <v>0</v>
      </c>
      <c r="Q450">
        <f>$E450/$F450^2*sim_annual_output!S450</f>
        <v>0</v>
      </c>
      <c r="R450">
        <f t="array" ref="R450">INDEX(G$3:G$700,MATCH($B450&amp;$C450&amp;"baseline",$B$3:$B$700&amp;$C$3:$C$700&amp;$D$3:$D$700,0))</f>
        <v>0</v>
      </c>
      <c r="S450">
        <f t="array" ref="S450">INDEX(H$3:H$700,MATCH($B450&amp;$C450&amp;"baseline",$B$3:$B$700&amp;$C$3:$C$700&amp;$D$3:$D$700,0))</f>
        <v>397.49778261605422</v>
      </c>
      <c r="T450">
        <f t="array" ref="T450">INDEX(I$3:I$700,MATCH($B450&amp;$C450&amp;"baseline",$B$3:$B$700&amp;$C$3:$C$700&amp;$D$3:$D$700,0))</f>
        <v>0</v>
      </c>
      <c r="U450">
        <f t="array" ref="U450">INDEX(J$3:J$700,MATCH($B450&amp;$C450&amp;"baseline",$B$3:$B$700&amp;$C$3:$C$700&amp;$D$3:$D$700,0))</f>
        <v>0</v>
      </c>
      <c r="V450">
        <f t="array" ref="V450">INDEX(K$3:K$700,MATCH($B450&amp;$C450&amp;"baseline",$B$3:$B$700&amp;$C$3:$C$700&amp;$D$3:$D$700,0))</f>
        <v>0</v>
      </c>
      <c r="W450">
        <f t="array" ref="W450">INDEX(L$3:L$700,MATCH($B450&amp;$C450&amp;"baseline",$B$3:$B$700&amp;$C$3:$C$700&amp;$D$3:$D$700,0))</f>
        <v>34.866388715432876</v>
      </c>
      <c r="X450">
        <f t="array" ref="X450">INDEX(M$3:M$700,MATCH($B450&amp;$C450&amp;"baseline",$B$3:$B$700&amp;$C$3:$C$700&amp;$D$3:$D$700,0))</f>
        <v>3.229985935080161</v>
      </c>
      <c r="Y450">
        <f t="array" ref="Y450">INDEX(N$3:N$700,MATCH($B450&amp;$C450&amp;"baseline",$B$3:$B$700&amp;$C$3:$C$700&amp;$D$3:$D$700,0))</f>
        <v>0</v>
      </c>
      <c r="Z450">
        <f t="array" ref="Z450">INDEX(O$3:O$700,MATCH($B450&amp;$C450&amp;"baseline",$B$3:$B$700&amp;$C$3:$C$700&amp;$D$3:$D$700,0))</f>
        <v>16.471182330565533</v>
      </c>
      <c r="AA450">
        <f t="array" ref="AA450">INDEX(P$3:P$700,MATCH($B450&amp;$C450&amp;"baseline",$B$3:$B$700&amp;$C$3:$C$700&amp;$D$3:$D$700,0))</f>
        <v>0</v>
      </c>
      <c r="AB450">
        <f t="array" ref="AB450">INDEX(Q$3:Q$700,MATCH($B450&amp;$C450&amp;"baseline",$B$3:$B$700&amp;$C$3:$C$700&amp;$D$3:$D$700,0))</f>
        <v>0</v>
      </c>
      <c r="AC450">
        <f t="shared" si="48"/>
        <v>452.06533959713278</v>
      </c>
      <c r="AD450">
        <f t="shared" si="49"/>
        <v>208.76533958346221</v>
      </c>
      <c r="AE450">
        <f t="shared" si="50"/>
        <v>17.756192951224449</v>
      </c>
      <c r="AF450">
        <f t="shared" si="51"/>
        <v>50.108139840262012</v>
      </c>
      <c r="AG450">
        <f>(S450+V450+Y450)*constants!$O$2+(R450+T450+U450+W450+X450+Z450+AA450+AB450)*constants!$N$2</f>
        <v>12.605598017241956</v>
      </c>
      <c r="AH450">
        <f>((S450+V450+Y450)-(H450+K450+N450))*constants!$O$2</f>
        <v>3.3819985012520877</v>
      </c>
      <c r="AI450">
        <f>((R450+T450+U450+W450+X450+Z450+AA450+AB450)-(G450+I450+J450+L450+M450+O450+P450+Q450))*constants!$N$2</f>
        <v>2.0064498034883629</v>
      </c>
      <c r="AJ450">
        <f t="shared" si="52"/>
        <v>42.746471031125402</v>
      </c>
      <c r="AK450">
        <f t="shared" si="53"/>
        <v>5.3884483047404501</v>
      </c>
      <c r="AL450">
        <f>COUNTIFS($B:$B,$B450,$AK:$AK,"&lt;"&amp;$AK450)+COUNTIFS($B$2:$B450,$B450,$AK$2:$AK450,$AK450)</f>
        <v>62</v>
      </c>
      <c r="AM450" s="191">
        <f>IF(AK450=0, "NA",IF(((sim_annual_output!F450/E450)/AK450)&lt;0,100,((sim_annual_output!F450/E450)/AK450)))</f>
        <v>10.062362642430569</v>
      </c>
      <c r="AN450">
        <f>(S450+V450)*constants!$F$2+(T450+U450+W450+X450+Y450+Z450+AA450+AB450)*constants!$G$2</f>
        <v>118625.87766181206</v>
      </c>
      <c r="AO450">
        <f>(AD450*constants!$F$2+AE450*constants!$G$2)</f>
        <v>52816.883653005003</v>
      </c>
      <c r="AP450">
        <f t="shared" si="54"/>
        <v>44.523913916640943</v>
      </c>
    </row>
    <row r="451" spans="1:42">
      <c r="A451">
        <f>sim_annual_output!B451</f>
        <v>20</v>
      </c>
      <c r="B451" t="str">
        <f>sim_annual_output!C451</f>
        <v>Storage Building</v>
      </c>
      <c r="C451" t="str">
        <f>sim_annual_output!D451</f>
        <v>1959-pre</v>
      </c>
      <c r="D451" t="str">
        <f>sim_annual_output!E451</f>
        <v>plug_loads_90_percent</v>
      </c>
      <c r="E451" s="45">
        <f t="array" ref="E451">IFERROR(INDEX(baseline!$J$3:$J$201,MATCH($B451&amp;$C451,baseline!$C$3:$C$201&amp;baseline!$D$3:$D$201,0)),"NA")</f>
        <v>1171</v>
      </c>
      <c r="F451">
        <f>sim_annual_output!G451</f>
        <v>965.15690399999903</v>
      </c>
      <c r="G451">
        <f>$E451/$F451^2*sim_annual_output!I451</f>
        <v>0</v>
      </c>
      <c r="H451">
        <f>$E451/$F451^2*sim_annual_output!J451</f>
        <v>394.20145102392911</v>
      </c>
      <c r="I451">
        <f>$E451/$F451^2*sim_annual_output!K451</f>
        <v>0</v>
      </c>
      <c r="J451">
        <f>$E451/$F451^2*sim_annual_output!L451</f>
        <v>0</v>
      </c>
      <c r="K451">
        <f>$E451/$F451^2*sim_annual_output!M451</f>
        <v>0</v>
      </c>
      <c r="L451">
        <f>$E451/$F451^2*sim_annual_output!N451</f>
        <v>34.866388715432876</v>
      </c>
      <c r="M451">
        <f>$E451/$F451^2*sim_annual_output!O451</f>
        <v>3.229985935080161</v>
      </c>
      <c r="N451">
        <f>$E451/$F451^2*sim_annual_output!P451</f>
        <v>0</v>
      </c>
      <c r="O451">
        <f>$E451/$F451^2*sim_annual_output!Q451</f>
        <v>16.261669729371146</v>
      </c>
      <c r="P451">
        <f>$E451/$F451^2*sim_annual_output!R451</f>
        <v>0</v>
      </c>
      <c r="Q451">
        <f>$E451/$F451^2*sim_annual_output!S451</f>
        <v>0</v>
      </c>
      <c r="R451">
        <f t="array" ref="R451">INDEX(G$3:G$700,MATCH($B451&amp;$C451&amp;"baseline",$B$3:$B$700&amp;$C$3:$C$700&amp;$D$3:$D$700,0))</f>
        <v>0</v>
      </c>
      <c r="S451">
        <f t="array" ref="S451">INDEX(H$3:H$700,MATCH($B451&amp;$C451&amp;"baseline",$B$3:$B$700&amp;$C$3:$C$700&amp;$D$3:$D$700,0))</f>
        <v>397.49778261605422</v>
      </c>
      <c r="T451">
        <f t="array" ref="T451">INDEX(I$3:I$700,MATCH($B451&amp;$C451&amp;"baseline",$B$3:$B$700&amp;$C$3:$C$700&amp;$D$3:$D$700,0))</f>
        <v>0</v>
      </c>
      <c r="U451">
        <f t="array" ref="U451">INDEX(J$3:J$700,MATCH($B451&amp;$C451&amp;"baseline",$B$3:$B$700&amp;$C$3:$C$700&amp;$D$3:$D$700,0))</f>
        <v>0</v>
      </c>
      <c r="V451">
        <f t="array" ref="V451">INDEX(K$3:K$700,MATCH($B451&amp;$C451&amp;"baseline",$B$3:$B$700&amp;$C$3:$C$700&amp;$D$3:$D$700,0))</f>
        <v>0</v>
      </c>
      <c r="W451">
        <f t="array" ref="W451">INDEX(L$3:L$700,MATCH($B451&amp;$C451&amp;"baseline",$B$3:$B$700&amp;$C$3:$C$700&amp;$D$3:$D$700,0))</f>
        <v>34.866388715432876</v>
      </c>
      <c r="X451">
        <f t="array" ref="X451">INDEX(M$3:M$700,MATCH($B451&amp;$C451&amp;"baseline",$B$3:$B$700&amp;$C$3:$C$700&amp;$D$3:$D$700,0))</f>
        <v>3.229985935080161</v>
      </c>
      <c r="Y451">
        <f t="array" ref="Y451">INDEX(N$3:N$700,MATCH($B451&amp;$C451&amp;"baseline",$B$3:$B$700&amp;$C$3:$C$700&amp;$D$3:$D$700,0))</f>
        <v>0</v>
      </c>
      <c r="Z451">
        <f t="array" ref="Z451">INDEX(O$3:O$700,MATCH($B451&amp;$C451&amp;"baseline",$B$3:$B$700&amp;$C$3:$C$700&amp;$D$3:$D$700,0))</f>
        <v>16.471182330565533</v>
      </c>
      <c r="AA451">
        <f t="array" ref="AA451">INDEX(P$3:P$700,MATCH($B451&amp;$C451&amp;"baseline",$B$3:$B$700&amp;$C$3:$C$700&amp;$D$3:$D$700,0))</f>
        <v>0</v>
      </c>
      <c r="AB451">
        <f t="array" ref="AB451">INDEX(Q$3:Q$700,MATCH($B451&amp;$C451&amp;"baseline",$B$3:$B$700&amp;$C$3:$C$700&amp;$D$3:$D$700,0))</f>
        <v>0</v>
      </c>
      <c r="AC451">
        <f t="shared" ref="AC451:AC514" si="55">SUM(R451:AB451)</f>
        <v>452.06533959713278</v>
      </c>
      <c r="AD451">
        <f t="shared" ref="AD451:AD493" si="56">(S451+V451+Y451)-(H451+K451+N451)</f>
        <v>3.2963315921251137</v>
      </c>
      <c r="AE451">
        <f t="shared" ref="AE451:AE493" si="57">(R451+T451+U451+W451+X451+Z451+AA451+AB451)-(G451+I451+J451+L451+M451+O451+P451+Q451)</f>
        <v>0.20951260119439041</v>
      </c>
      <c r="AF451">
        <f t="shared" ref="AF451:AF514" si="58">(AD451+AE451)/AC451*100</f>
        <v>0.77551714016469575</v>
      </c>
      <c r="AG451">
        <f>(S451+V451+Y451)*constants!$O$2+(R451+T451+U451+W451+X451+Z451+AA451+AB451)*constants!$N$2</f>
        <v>12.605598017241956</v>
      </c>
      <c r="AH451">
        <f>((S451+V451+Y451)-(H451+K451+N451))*constants!$O$2</f>
        <v>5.340057179242684E-2</v>
      </c>
      <c r="AI451">
        <f>((R451+T451+U451+W451+X451+Z451+AA451+AB451)-(G451+I451+J451+L451+M451+O451+P451+Q451))*constants!$N$2</f>
        <v>2.3674923934966119E-2</v>
      </c>
      <c r="AJ451">
        <f t="shared" ref="AJ451:AJ514" si="59">(AH451+AI451)/AG451*100</f>
        <v>0.61143862926589421</v>
      </c>
      <c r="AK451">
        <f t="shared" ref="AK451:AK502" si="60">AH451+AI451</f>
        <v>7.7075495727392959E-2</v>
      </c>
      <c r="AL451">
        <f>COUNTIFS($B:$B,$B451,$AK:$AK,"&lt;"&amp;$AK451)+COUNTIFS($B$2:$B451,$B451,$AK$2:$AK451,$AK451)</f>
        <v>18</v>
      </c>
      <c r="AM451" s="191">
        <f>IF(AK451=0, "NA",IF(((sim_annual_output!F451/E451)/AK451)&lt;0,100,((sim_annual_output!F451/E451)/AK451)))</f>
        <v>3.0549970772647606</v>
      </c>
      <c r="AN451">
        <f>(S451+V451)*constants!$F$2+(T451+U451+W451+X451+Y451+Z451+AA451+AB451)*constants!$G$2</f>
        <v>118625.87766181206</v>
      </c>
      <c r="AO451">
        <f>(AD451*constants!$F$2+AE451*constants!$G$2)</f>
        <v>772.31931802951499</v>
      </c>
      <c r="AP451">
        <f t="shared" ref="AP451:AP514" si="61">AO451/AN451*100</f>
        <v>0.65105467141942119</v>
      </c>
    </row>
    <row r="452" spans="1:42">
      <c r="A452">
        <f>sim_annual_output!B452</f>
        <v>21</v>
      </c>
      <c r="B452" t="str">
        <f>sim_annual_output!C452</f>
        <v>Storage Building</v>
      </c>
      <c r="C452" t="str">
        <f>sim_annual_output!D452</f>
        <v>1960-1979</v>
      </c>
      <c r="D452" t="str">
        <f>sim_annual_output!E452</f>
        <v>baseline</v>
      </c>
      <c r="E452" s="45">
        <f t="array" ref="E452">IFERROR(INDEX(baseline!$J$3:$J$201,MATCH($B452&amp;$C452,baseline!$C$3:$C$201&amp;baseline!$D$3:$D$201,0)),"NA")</f>
        <v>1171</v>
      </c>
      <c r="F452">
        <f>sim_annual_output!G452</f>
        <v>965.15690399999903</v>
      </c>
      <c r="G452">
        <f>$E452/$F452^2*sim_annual_output!I452</f>
        <v>0</v>
      </c>
      <c r="H452">
        <f>$E452/$F452^2*sim_annual_output!J452</f>
        <v>362.75011770796482</v>
      </c>
      <c r="I452">
        <f>$E452/$F452^2*sim_annual_output!K452</f>
        <v>0</v>
      </c>
      <c r="J452">
        <f>$E452/$F452^2*sim_annual_output!L452</f>
        <v>0</v>
      </c>
      <c r="K452">
        <f>$E452/$F452^2*sim_annual_output!M452</f>
        <v>0</v>
      </c>
      <c r="L452">
        <f>$E452/$F452^2*sim_annual_output!N452</f>
        <v>34.866388715432876</v>
      </c>
      <c r="M452">
        <f>$E452/$F452^2*sim_annual_output!O452</f>
        <v>3.229985935080161</v>
      </c>
      <c r="N452">
        <f>$E452/$F452^2*sim_annual_output!P452</f>
        <v>0</v>
      </c>
      <c r="O452">
        <f>$E452/$F452^2*sim_annual_output!Q452</f>
        <v>15.015069752264532</v>
      </c>
      <c r="P452">
        <f>$E452/$F452^2*sim_annual_output!R452</f>
        <v>0</v>
      </c>
      <c r="Q452">
        <f>$E452/$F452^2*sim_annual_output!S452</f>
        <v>0</v>
      </c>
      <c r="R452">
        <f t="array" ref="R452">INDEX(G$3:G$700,MATCH($B452&amp;$C452&amp;"baseline",$B$3:$B$700&amp;$C$3:$C$700&amp;$D$3:$D$700,0))</f>
        <v>0</v>
      </c>
      <c r="S452">
        <f t="array" ref="S452">INDEX(H$3:H$700,MATCH($B452&amp;$C452&amp;"baseline",$B$3:$B$700&amp;$C$3:$C$700&amp;$D$3:$D$700,0))</f>
        <v>362.75011770796482</v>
      </c>
      <c r="T452">
        <f t="array" ref="T452">INDEX(I$3:I$700,MATCH($B452&amp;$C452&amp;"baseline",$B$3:$B$700&amp;$C$3:$C$700&amp;$D$3:$D$700,0))</f>
        <v>0</v>
      </c>
      <c r="U452">
        <f t="array" ref="U452">INDEX(J$3:J$700,MATCH($B452&amp;$C452&amp;"baseline",$B$3:$B$700&amp;$C$3:$C$700&amp;$D$3:$D$700,0))</f>
        <v>0</v>
      </c>
      <c r="V452">
        <f t="array" ref="V452">INDEX(K$3:K$700,MATCH($B452&amp;$C452&amp;"baseline",$B$3:$B$700&amp;$C$3:$C$700&amp;$D$3:$D$700,0))</f>
        <v>0</v>
      </c>
      <c r="W452">
        <f t="array" ref="W452">INDEX(L$3:L$700,MATCH($B452&amp;$C452&amp;"baseline",$B$3:$B$700&amp;$C$3:$C$700&amp;$D$3:$D$700,0))</f>
        <v>34.866388715432876</v>
      </c>
      <c r="X452">
        <f t="array" ref="X452">INDEX(M$3:M$700,MATCH($B452&amp;$C452&amp;"baseline",$B$3:$B$700&amp;$C$3:$C$700&amp;$D$3:$D$700,0))</f>
        <v>3.229985935080161</v>
      </c>
      <c r="Y452">
        <f t="array" ref="Y452">INDEX(N$3:N$700,MATCH($B452&amp;$C452&amp;"baseline",$B$3:$B$700&amp;$C$3:$C$700&amp;$D$3:$D$700,0))</f>
        <v>0</v>
      </c>
      <c r="Z452">
        <f t="array" ref="Z452">INDEX(O$3:O$700,MATCH($B452&amp;$C452&amp;"baseline",$B$3:$B$700&amp;$C$3:$C$700&amp;$D$3:$D$700,0))</f>
        <v>15.015069752264532</v>
      </c>
      <c r="AA452">
        <f t="array" ref="AA452">INDEX(P$3:P$700,MATCH($B452&amp;$C452&amp;"baseline",$B$3:$B$700&amp;$C$3:$C$700&amp;$D$3:$D$700,0))</f>
        <v>0</v>
      </c>
      <c r="AB452">
        <f t="array" ref="AB452">INDEX(Q$3:Q$700,MATCH($B452&amp;$C452&amp;"baseline",$B$3:$B$700&amp;$C$3:$C$700&amp;$D$3:$D$700,0))</f>
        <v>0</v>
      </c>
      <c r="AC452">
        <f t="shared" si="55"/>
        <v>415.8615621107424</v>
      </c>
      <c r="AD452">
        <f t="shared" si="56"/>
        <v>0</v>
      </c>
      <c r="AE452">
        <f t="shared" si="57"/>
        <v>0</v>
      </c>
      <c r="AF452">
        <f t="shared" si="58"/>
        <v>0</v>
      </c>
      <c r="AG452">
        <f>(S452+V452+Y452)*constants!$O$2+(R452+T452+U452+W452+X452+Z452+AA452+AB452)*constants!$N$2</f>
        <v>11.878145124382895</v>
      </c>
      <c r="AH452">
        <f>((S452+V452+Y452)-(H452+K452+N452))*constants!$O$2</f>
        <v>0</v>
      </c>
      <c r="AI452">
        <f>((R452+T452+U452+W452+X452+Z452+AA452+AB452)-(G452+I452+J452+L452+M452+O452+P452+Q452))*constants!$N$2</f>
        <v>0</v>
      </c>
      <c r="AJ452">
        <f t="shared" si="59"/>
        <v>0</v>
      </c>
      <c r="AK452">
        <f t="shared" si="60"/>
        <v>0</v>
      </c>
      <c r="AL452">
        <f>COUNTIFS($B:$B,$B452,$AK:$AK,"&lt;"&amp;$AK452)+COUNTIFS($B$2:$B452,$B452,$AK$2:$AK452,$AK452)</f>
        <v>3</v>
      </c>
      <c r="AM452" s="191" t="str">
        <f>IF(AK452=0, "NA",IF(((sim_annual_output!F452/E452)/AK452)&lt;0,100,((sim_annual_output!F452/E452)/AK452)))</f>
        <v>NA</v>
      </c>
      <c r="AN452">
        <f>(S452+V452)*constants!$F$2+(T452+U452+W452+X452+Y452+Z452+AA452+AB452)*constants!$G$2</f>
        <v>111139.22770014219</v>
      </c>
      <c r="AO452">
        <f>(AD452*constants!$F$2+AE452*constants!$G$2)</f>
        <v>0</v>
      </c>
      <c r="AP452">
        <f t="shared" si="61"/>
        <v>0</v>
      </c>
    </row>
    <row r="453" spans="1:42">
      <c r="A453">
        <f>sim_annual_output!B453</f>
        <v>21</v>
      </c>
      <c r="B453" t="str">
        <f>sim_annual_output!C453</f>
        <v>Storage Building</v>
      </c>
      <c r="C453" t="str">
        <f>sim_annual_output!D453</f>
        <v>1960-1979</v>
      </c>
      <c r="D453" t="str">
        <f>sim_annual_output!E453</f>
        <v>dcv_enabled</v>
      </c>
      <c r="E453" s="45">
        <f t="array" ref="E453">IFERROR(INDEX(baseline!$J$3:$J$201,MATCH($B453&amp;$C453,baseline!$C$3:$C$201&amp;baseline!$D$3:$D$201,0)),"NA")</f>
        <v>1171</v>
      </c>
      <c r="F453">
        <f>sim_annual_output!G453</f>
        <v>965.15690399999903</v>
      </c>
      <c r="G453">
        <f>$E453/$F453^2*sim_annual_output!I453</f>
        <v>0</v>
      </c>
      <c r="H453">
        <f>$E453/$F453^2*sim_annual_output!J453</f>
        <v>357.78816093634435</v>
      </c>
      <c r="I453">
        <f>$E453/$F453^2*sim_annual_output!K453</f>
        <v>0</v>
      </c>
      <c r="J453">
        <f>$E453/$F453^2*sim_annual_output!L453</f>
        <v>0</v>
      </c>
      <c r="K453">
        <f>$E453/$F453^2*sim_annual_output!M453</f>
        <v>0</v>
      </c>
      <c r="L453">
        <f>$E453/$F453^2*sim_annual_output!N453</f>
        <v>34.866388715432876</v>
      </c>
      <c r="M453">
        <f>$E453/$F453^2*sim_annual_output!O453</f>
        <v>3.229985935080161</v>
      </c>
      <c r="N453">
        <f>$E453/$F453^2*sim_annual_output!P453</f>
        <v>0</v>
      </c>
      <c r="O453">
        <f>$E453/$F453^2*sim_annual_output!Q453</f>
        <v>14.774130260890985</v>
      </c>
      <c r="P453">
        <f>$E453/$F453^2*sim_annual_output!R453</f>
        <v>0</v>
      </c>
      <c r="Q453">
        <f>$E453/$F453^2*sim_annual_output!S453</f>
        <v>0</v>
      </c>
      <c r="R453">
        <f t="array" ref="R453">INDEX(G$3:G$700,MATCH($B453&amp;$C453&amp;"baseline",$B$3:$B$700&amp;$C$3:$C$700&amp;$D$3:$D$700,0))</f>
        <v>0</v>
      </c>
      <c r="S453">
        <f t="array" ref="S453">INDEX(H$3:H$700,MATCH($B453&amp;$C453&amp;"baseline",$B$3:$B$700&amp;$C$3:$C$700&amp;$D$3:$D$700,0))</f>
        <v>362.75011770796482</v>
      </c>
      <c r="T453">
        <f t="array" ref="T453">INDEX(I$3:I$700,MATCH($B453&amp;$C453&amp;"baseline",$B$3:$B$700&amp;$C$3:$C$700&amp;$D$3:$D$700,0))</f>
        <v>0</v>
      </c>
      <c r="U453">
        <f t="array" ref="U453">INDEX(J$3:J$700,MATCH($B453&amp;$C453&amp;"baseline",$B$3:$B$700&amp;$C$3:$C$700&amp;$D$3:$D$700,0))</f>
        <v>0</v>
      </c>
      <c r="V453">
        <f t="array" ref="V453">INDEX(K$3:K$700,MATCH($B453&amp;$C453&amp;"baseline",$B$3:$B$700&amp;$C$3:$C$700&amp;$D$3:$D$700,0))</f>
        <v>0</v>
      </c>
      <c r="W453">
        <f t="array" ref="W453">INDEX(L$3:L$700,MATCH($B453&amp;$C453&amp;"baseline",$B$3:$B$700&amp;$C$3:$C$700&amp;$D$3:$D$700,0))</f>
        <v>34.866388715432876</v>
      </c>
      <c r="X453">
        <f t="array" ref="X453">INDEX(M$3:M$700,MATCH($B453&amp;$C453&amp;"baseline",$B$3:$B$700&amp;$C$3:$C$700&amp;$D$3:$D$700,0))</f>
        <v>3.229985935080161</v>
      </c>
      <c r="Y453">
        <f t="array" ref="Y453">INDEX(N$3:N$700,MATCH($B453&amp;$C453&amp;"baseline",$B$3:$B$700&amp;$C$3:$C$700&amp;$D$3:$D$700,0))</f>
        <v>0</v>
      </c>
      <c r="Z453">
        <f t="array" ref="Z453">INDEX(O$3:O$700,MATCH($B453&amp;$C453&amp;"baseline",$B$3:$B$700&amp;$C$3:$C$700&amp;$D$3:$D$700,0))</f>
        <v>15.015069752264532</v>
      </c>
      <c r="AA453">
        <f t="array" ref="AA453">INDEX(P$3:P$700,MATCH($B453&amp;$C453&amp;"baseline",$B$3:$B$700&amp;$C$3:$C$700&amp;$D$3:$D$700,0))</f>
        <v>0</v>
      </c>
      <c r="AB453">
        <f t="array" ref="AB453">INDEX(Q$3:Q$700,MATCH($B453&amp;$C453&amp;"baseline",$B$3:$B$700&amp;$C$3:$C$700&amp;$D$3:$D$700,0))</f>
        <v>0</v>
      </c>
      <c r="AC453">
        <f t="shared" si="55"/>
        <v>415.8615621107424</v>
      </c>
      <c r="AD453">
        <f t="shared" si="56"/>
        <v>4.9619567716204642</v>
      </c>
      <c r="AE453">
        <f t="shared" si="57"/>
        <v>0.24093949137354542</v>
      </c>
      <c r="AF453">
        <f t="shared" si="58"/>
        <v>1.2511125665440792</v>
      </c>
      <c r="AG453">
        <f>(S453+V453+Y453)*constants!$O$2+(R453+T453+U453+W453+X453+Z453+AA453+AB453)*constants!$N$2</f>
        <v>11.878145124382895</v>
      </c>
      <c r="AH453">
        <f>((S453+V453+Y453)-(H453+K453+N453))*constants!$O$2</f>
        <v>8.0383699700251512E-2</v>
      </c>
      <c r="AI453">
        <f>((R453+T453+U453+W453+X453+Z453+AA453+AB453)-(G453+I453+J453+L453+M453+O453+P453+Q453))*constants!$N$2</f>
        <v>2.7226162525210634E-2</v>
      </c>
      <c r="AJ453">
        <f t="shared" si="59"/>
        <v>0.90594837071459666</v>
      </c>
      <c r="AK453">
        <f t="shared" si="60"/>
        <v>0.10760986222546215</v>
      </c>
      <c r="AL453">
        <f>COUNTIFS($B:$B,$B453,$AK:$AK,"&lt;"&amp;$AK453)+COUNTIFS($B$2:$B453,$B453,$AK$2:$AK453,$AK453)</f>
        <v>26</v>
      </c>
      <c r="AM453" s="191">
        <f>IF(AK453=0, "NA",IF(((sim_annual_output!F453/E453)/AK453)&lt;0,100,((sim_annual_output!F453/E453)/AK453)))</f>
        <v>6.6029078284594034</v>
      </c>
      <c r="AN453">
        <f>(S453+V453)*constants!$F$2+(T453+U453+W453+X453+Y453+Z453+AA453+AB453)*constants!$G$2</f>
        <v>111139.22770014219</v>
      </c>
      <c r="AO453">
        <f>(AD453*constants!$F$2+AE453*constants!$G$2)</f>
        <v>1097.8076196150478</v>
      </c>
      <c r="AP453">
        <f t="shared" si="61"/>
        <v>0.98777690139882379</v>
      </c>
    </row>
    <row r="454" spans="1:42">
      <c r="A454">
        <f>sim_annual_output!B454</f>
        <v>21</v>
      </c>
      <c r="B454" t="str">
        <f>sim_annual_output!C454</f>
        <v>Storage Building</v>
      </c>
      <c r="C454" t="str">
        <f>sim_annual_output!D454</f>
        <v>1960-1979</v>
      </c>
      <c r="D454" t="str">
        <f>sim_annual_output!E454</f>
        <v>ecm_cold_deck_reset_control</v>
      </c>
      <c r="E454" s="45">
        <f t="array" ref="E454">IFERROR(INDEX(baseline!$J$3:$J$201,MATCH($B454&amp;$C454,baseline!$C$3:$C$201&amp;baseline!$D$3:$D$201,0)),"NA")</f>
        <v>1171</v>
      </c>
      <c r="F454">
        <f>sim_annual_output!G454</f>
        <v>965.15690399999903</v>
      </c>
      <c r="G454">
        <f>$E454/$F454^2*sim_annual_output!I454</f>
        <v>0</v>
      </c>
      <c r="H454">
        <f>$E454/$F454^2*sim_annual_output!J454</f>
        <v>357.78816093634435</v>
      </c>
      <c r="I454">
        <f>$E454/$F454^2*sim_annual_output!K454</f>
        <v>0</v>
      </c>
      <c r="J454">
        <f>$E454/$F454^2*sim_annual_output!L454</f>
        <v>0</v>
      </c>
      <c r="K454">
        <f>$E454/$F454^2*sim_annual_output!M454</f>
        <v>0</v>
      </c>
      <c r="L454">
        <f>$E454/$F454^2*sim_annual_output!N454</f>
        <v>34.866388715432876</v>
      </c>
      <c r="M454">
        <f>$E454/$F454^2*sim_annual_output!O454</f>
        <v>3.229985935080161</v>
      </c>
      <c r="N454">
        <f>$E454/$F454^2*sim_annual_output!P454</f>
        <v>0</v>
      </c>
      <c r="O454">
        <f>$E454/$F454^2*sim_annual_output!Q454</f>
        <v>14.774130260890985</v>
      </c>
      <c r="P454">
        <f>$E454/$F454^2*sim_annual_output!R454</f>
        <v>0</v>
      </c>
      <c r="Q454">
        <f>$E454/$F454^2*sim_annual_output!S454</f>
        <v>0</v>
      </c>
      <c r="R454">
        <f t="array" ref="R454">INDEX(G$3:G$700,MATCH($B454&amp;$C454&amp;"baseline",$B$3:$B$700&amp;$C$3:$C$700&amp;$D$3:$D$700,0))</f>
        <v>0</v>
      </c>
      <c r="S454">
        <f t="array" ref="S454">INDEX(H$3:H$700,MATCH($B454&amp;$C454&amp;"baseline",$B$3:$B$700&amp;$C$3:$C$700&amp;$D$3:$D$700,0))</f>
        <v>362.75011770796482</v>
      </c>
      <c r="T454">
        <f t="array" ref="T454">INDEX(I$3:I$700,MATCH($B454&amp;$C454&amp;"baseline",$B$3:$B$700&amp;$C$3:$C$700&amp;$D$3:$D$700,0))</f>
        <v>0</v>
      </c>
      <c r="U454">
        <f t="array" ref="U454">INDEX(J$3:J$700,MATCH($B454&amp;$C454&amp;"baseline",$B$3:$B$700&amp;$C$3:$C$700&amp;$D$3:$D$700,0))</f>
        <v>0</v>
      </c>
      <c r="V454">
        <f t="array" ref="V454">INDEX(K$3:K$700,MATCH($B454&amp;$C454&amp;"baseline",$B$3:$B$700&amp;$C$3:$C$700&amp;$D$3:$D$700,0))</f>
        <v>0</v>
      </c>
      <c r="W454">
        <f t="array" ref="W454">INDEX(L$3:L$700,MATCH($B454&amp;$C454&amp;"baseline",$B$3:$B$700&amp;$C$3:$C$700&amp;$D$3:$D$700,0))</f>
        <v>34.866388715432876</v>
      </c>
      <c r="X454">
        <f t="array" ref="X454">INDEX(M$3:M$700,MATCH($B454&amp;$C454&amp;"baseline",$B$3:$B$700&amp;$C$3:$C$700&amp;$D$3:$D$700,0))</f>
        <v>3.229985935080161</v>
      </c>
      <c r="Y454">
        <f t="array" ref="Y454">INDEX(N$3:N$700,MATCH($B454&amp;$C454&amp;"baseline",$B$3:$B$700&amp;$C$3:$C$700&amp;$D$3:$D$700,0))</f>
        <v>0</v>
      </c>
      <c r="Z454">
        <f t="array" ref="Z454">INDEX(O$3:O$700,MATCH($B454&amp;$C454&amp;"baseline",$B$3:$B$700&amp;$C$3:$C$700&amp;$D$3:$D$700,0))</f>
        <v>15.015069752264532</v>
      </c>
      <c r="AA454">
        <f t="array" ref="AA454">INDEX(P$3:P$700,MATCH($B454&amp;$C454&amp;"baseline",$B$3:$B$700&amp;$C$3:$C$700&amp;$D$3:$D$700,0))</f>
        <v>0</v>
      </c>
      <c r="AB454">
        <f t="array" ref="AB454">INDEX(Q$3:Q$700,MATCH($B454&amp;$C454&amp;"baseline",$B$3:$B$700&amp;$C$3:$C$700&amp;$D$3:$D$700,0))</f>
        <v>0</v>
      </c>
      <c r="AC454">
        <f t="shared" si="55"/>
        <v>415.8615621107424</v>
      </c>
      <c r="AD454">
        <f t="shared" si="56"/>
        <v>4.9619567716204642</v>
      </c>
      <c r="AE454">
        <f t="shared" si="57"/>
        <v>0.24093949137354542</v>
      </c>
      <c r="AF454">
        <f t="shared" si="58"/>
        <v>1.2511125665440792</v>
      </c>
      <c r="AG454">
        <f>(S454+V454+Y454)*constants!$O$2+(R454+T454+U454+W454+X454+Z454+AA454+AB454)*constants!$N$2</f>
        <v>11.878145124382895</v>
      </c>
      <c r="AH454">
        <f>((S454+V454+Y454)-(H454+K454+N454))*constants!$O$2</f>
        <v>8.0383699700251512E-2</v>
      </c>
      <c r="AI454">
        <f>((R454+T454+U454+W454+X454+Z454+AA454+AB454)-(G454+I454+J454+L454+M454+O454+P454+Q454))*constants!$N$2</f>
        <v>2.7226162525210634E-2</v>
      </c>
      <c r="AJ454">
        <f t="shared" si="59"/>
        <v>0.90594837071459666</v>
      </c>
      <c r="AK454">
        <f t="shared" si="60"/>
        <v>0.10760986222546215</v>
      </c>
      <c r="AL454">
        <f>COUNTIFS($B:$B,$B454,$AK:$AK,"&lt;"&amp;$AK454)+COUNTIFS($B$2:$B454,$B454,$AK$2:$AK454,$AK454)</f>
        <v>27</v>
      </c>
      <c r="AM454" s="191">
        <f>IF(AK454=0, "NA",IF(((sim_annual_output!F454/E454)/AK454)&lt;0,100,((sim_annual_output!F454/E454)/AK454)))</f>
        <v>0</v>
      </c>
      <c r="AN454">
        <f>(S454+V454)*constants!$F$2+(T454+U454+W454+X454+Y454+Z454+AA454+AB454)*constants!$G$2</f>
        <v>111139.22770014219</v>
      </c>
      <c r="AO454">
        <f>(AD454*constants!$F$2+AE454*constants!$G$2)</f>
        <v>1097.8076196150478</v>
      </c>
      <c r="AP454">
        <f t="shared" si="61"/>
        <v>0.98777690139882379</v>
      </c>
    </row>
    <row r="455" spans="1:42">
      <c r="A455">
        <f>sim_annual_output!B455</f>
        <v>21</v>
      </c>
      <c r="B455" t="str">
        <f>sim_annual_output!C455</f>
        <v>Storage Building</v>
      </c>
      <c r="C455" t="str">
        <f>sim_annual_output!D455</f>
        <v>1960-1979</v>
      </c>
      <c r="D455" t="str">
        <f>sim_annual_output!E455</f>
        <v>elec_reduce</v>
      </c>
      <c r="E455" s="45">
        <f t="array" ref="E455">IFERROR(INDEX(baseline!$J$3:$J$201,MATCH($B455&amp;$C455,baseline!$C$3:$C$201&amp;baseline!$D$3:$D$201,0)),"NA")</f>
        <v>1171</v>
      </c>
      <c r="F455">
        <f>sim_annual_output!G455</f>
        <v>965.15690399999903</v>
      </c>
      <c r="G455">
        <f>$E455/$F455^2*sim_annual_output!I455</f>
        <v>0</v>
      </c>
      <c r="H455">
        <f>$E455/$F455^2*sim_annual_output!J455</f>
        <v>368.32315289973559</v>
      </c>
      <c r="I455">
        <f>$E455/$F455^2*sim_annual_output!K455</f>
        <v>0</v>
      </c>
      <c r="J455">
        <f>$E455/$F455^2*sim_annual_output!L455</f>
        <v>0</v>
      </c>
      <c r="K455">
        <f>$E455/$F455^2*sim_annual_output!M455</f>
        <v>0</v>
      </c>
      <c r="L455">
        <f>$E455/$F455^2*sim_annual_output!N455</f>
        <v>24.408218039146298</v>
      </c>
      <c r="M455">
        <f>$E455/$F455^2*sim_annual_output!O455</f>
        <v>3.229985935080161</v>
      </c>
      <c r="N455">
        <f>$E455/$F455^2*sim_annual_output!P455</f>
        <v>0</v>
      </c>
      <c r="O455">
        <f>$E455/$F455^2*sim_annual_output!Q455</f>
        <v>15.137285436294592</v>
      </c>
      <c r="P455">
        <f>$E455/$F455^2*sim_annual_output!R455</f>
        <v>0</v>
      </c>
      <c r="Q455">
        <f>$E455/$F455^2*sim_annual_output!S455</f>
        <v>0</v>
      </c>
      <c r="R455">
        <f t="array" ref="R455">INDEX(G$3:G$700,MATCH($B455&amp;$C455&amp;"baseline",$B$3:$B$700&amp;$C$3:$C$700&amp;$D$3:$D$700,0))</f>
        <v>0</v>
      </c>
      <c r="S455">
        <f t="array" ref="S455">INDEX(H$3:H$700,MATCH($B455&amp;$C455&amp;"baseline",$B$3:$B$700&amp;$C$3:$C$700&amp;$D$3:$D$700,0))</f>
        <v>362.75011770796482</v>
      </c>
      <c r="T455">
        <f t="array" ref="T455">INDEX(I$3:I$700,MATCH($B455&amp;$C455&amp;"baseline",$B$3:$B$700&amp;$C$3:$C$700&amp;$D$3:$D$700,0))</f>
        <v>0</v>
      </c>
      <c r="U455">
        <f t="array" ref="U455">INDEX(J$3:J$700,MATCH($B455&amp;$C455&amp;"baseline",$B$3:$B$700&amp;$C$3:$C$700&amp;$D$3:$D$700,0))</f>
        <v>0</v>
      </c>
      <c r="V455">
        <f t="array" ref="V455">INDEX(K$3:K$700,MATCH($B455&amp;$C455&amp;"baseline",$B$3:$B$700&amp;$C$3:$C$700&amp;$D$3:$D$700,0))</f>
        <v>0</v>
      </c>
      <c r="W455">
        <f t="array" ref="W455">INDEX(L$3:L$700,MATCH($B455&amp;$C455&amp;"baseline",$B$3:$B$700&amp;$C$3:$C$700&amp;$D$3:$D$700,0))</f>
        <v>34.866388715432876</v>
      </c>
      <c r="X455">
        <f t="array" ref="X455">INDEX(M$3:M$700,MATCH($B455&amp;$C455&amp;"baseline",$B$3:$B$700&amp;$C$3:$C$700&amp;$D$3:$D$700,0))</f>
        <v>3.229985935080161</v>
      </c>
      <c r="Y455">
        <f t="array" ref="Y455">INDEX(N$3:N$700,MATCH($B455&amp;$C455&amp;"baseline",$B$3:$B$700&amp;$C$3:$C$700&amp;$D$3:$D$700,0))</f>
        <v>0</v>
      </c>
      <c r="Z455">
        <f t="array" ref="Z455">INDEX(O$3:O$700,MATCH($B455&amp;$C455&amp;"baseline",$B$3:$B$700&amp;$C$3:$C$700&amp;$D$3:$D$700,0))</f>
        <v>15.015069752264532</v>
      </c>
      <c r="AA455">
        <f t="array" ref="AA455">INDEX(P$3:P$700,MATCH($B455&amp;$C455&amp;"baseline",$B$3:$B$700&amp;$C$3:$C$700&amp;$D$3:$D$700,0))</f>
        <v>0</v>
      </c>
      <c r="AB455">
        <f t="array" ref="AB455">INDEX(Q$3:Q$700,MATCH($B455&amp;$C455&amp;"baseline",$B$3:$B$700&amp;$C$3:$C$700&amp;$D$3:$D$700,0))</f>
        <v>0</v>
      </c>
      <c r="AC455">
        <f t="shared" si="55"/>
        <v>415.8615621107424</v>
      </c>
      <c r="AD455">
        <f t="shared" si="56"/>
        <v>-5.5730351917707708</v>
      </c>
      <c r="AE455">
        <f t="shared" si="57"/>
        <v>10.335954992256511</v>
      </c>
      <c r="AF455">
        <f t="shared" si="58"/>
        <v>1.1453137857490643</v>
      </c>
      <c r="AG455">
        <f>(S455+V455+Y455)*constants!$O$2+(R455+T455+U455+W455+X455+Z455+AA455+AB455)*constants!$N$2</f>
        <v>11.878145124382895</v>
      </c>
      <c r="AH455">
        <f>((S455+V455+Y455)-(H455+K455+N455))*constants!$O$2</f>
        <v>-9.0283170106686475E-2</v>
      </c>
      <c r="AI455">
        <f>((R455+T455+U455+W455+X455+Z455+AA455+AB455)-(G455+I455+J455+L455+M455+O455+P455+Q455))*constants!$N$2</f>
        <v>1.1679629141249857</v>
      </c>
      <c r="AJ455">
        <f t="shared" si="59"/>
        <v>9.0727948912333893</v>
      </c>
      <c r="AK455">
        <f t="shared" si="60"/>
        <v>1.0776797440182992</v>
      </c>
      <c r="AL455">
        <f>COUNTIFS($B:$B,$B455,$AK:$AK,"&lt;"&amp;$AK455)+COUNTIFS($B$2:$B455,$B455,$AK$2:$AK455,$AK455)</f>
        <v>51</v>
      </c>
      <c r="AM455" s="191">
        <f>IF(AK455=0, "NA",IF(((sim_annual_output!F455/E455)/AK455)&lt;0,100,((sim_annual_output!F455/E455)/AK455)))</f>
        <v>35.669501169713939</v>
      </c>
      <c r="AN455">
        <f>(S455+V455)*constants!$F$2+(T455+U455+W455+X455+Y455+Z455+AA455+AB455)*constants!$G$2</f>
        <v>111139.22770014219</v>
      </c>
      <c r="AO455">
        <f>(AD455*constants!$F$2+AE455*constants!$G$2)</f>
        <v>7994.7075439361961</v>
      </c>
      <c r="AP455">
        <f t="shared" si="61"/>
        <v>7.1934165005233046</v>
      </c>
    </row>
    <row r="456" spans="1:42">
      <c r="A456">
        <f>sim_annual_output!B456</f>
        <v>21</v>
      </c>
      <c r="B456" t="str">
        <f>sim_annual_output!C456</f>
        <v>Storage Building</v>
      </c>
      <c r="C456" t="str">
        <f>sim_annual_output!D456</f>
        <v>1960-1979</v>
      </c>
      <c r="D456" t="str">
        <f>sim_annual_output!E456</f>
        <v>envelope_ecm_roof</v>
      </c>
      <c r="E456" s="45">
        <f t="array" ref="E456">IFERROR(INDEX(baseline!$J$3:$J$201,MATCH($B456&amp;$C456,baseline!$C$3:$C$201&amp;baseline!$D$3:$D$201,0)),"NA")</f>
        <v>1171</v>
      </c>
      <c r="F456">
        <f>sim_annual_output!G456</f>
        <v>965.15690399999903</v>
      </c>
      <c r="G456">
        <f>$E456/$F456^2*sim_annual_output!I456</f>
        <v>0</v>
      </c>
      <c r="H456">
        <f>$E456/$F456^2*sim_annual_output!J456</f>
        <v>281.1659108028698</v>
      </c>
      <c r="I456">
        <f>$E456/$F456^2*sim_annual_output!K456</f>
        <v>0</v>
      </c>
      <c r="J456">
        <f>$E456/$F456^2*sim_annual_output!L456</f>
        <v>0</v>
      </c>
      <c r="K456">
        <f>$E456/$F456^2*sim_annual_output!M456</f>
        <v>0</v>
      </c>
      <c r="L456">
        <f>$E456/$F456^2*sim_annual_output!N456</f>
        <v>34.866388715432876</v>
      </c>
      <c r="M456">
        <f>$E456/$F456^2*sim_annual_output!O456</f>
        <v>3.229985935080161</v>
      </c>
      <c r="N456">
        <f>$E456/$F456^2*sim_annual_output!P456</f>
        <v>0</v>
      </c>
      <c r="O456">
        <f>$E456/$F456^2*sim_annual_output!Q456</f>
        <v>11.687311269960324</v>
      </c>
      <c r="P456">
        <f>$E456/$F456^2*sim_annual_output!R456</f>
        <v>0</v>
      </c>
      <c r="Q456">
        <f>$E456/$F456^2*sim_annual_output!S456</f>
        <v>0</v>
      </c>
      <c r="R456">
        <f t="array" ref="R456">INDEX(G$3:G$700,MATCH($B456&amp;$C456&amp;"baseline",$B$3:$B$700&amp;$C$3:$C$700&amp;$D$3:$D$700,0))</f>
        <v>0</v>
      </c>
      <c r="S456">
        <f t="array" ref="S456">INDEX(H$3:H$700,MATCH($B456&amp;$C456&amp;"baseline",$B$3:$B$700&amp;$C$3:$C$700&amp;$D$3:$D$700,0))</f>
        <v>362.75011770796482</v>
      </c>
      <c r="T456">
        <f t="array" ref="T456">INDEX(I$3:I$700,MATCH($B456&amp;$C456&amp;"baseline",$B$3:$B$700&amp;$C$3:$C$700&amp;$D$3:$D$700,0))</f>
        <v>0</v>
      </c>
      <c r="U456">
        <f t="array" ref="U456">INDEX(J$3:J$700,MATCH($B456&amp;$C456&amp;"baseline",$B$3:$B$700&amp;$C$3:$C$700&amp;$D$3:$D$700,0))</f>
        <v>0</v>
      </c>
      <c r="V456">
        <f t="array" ref="V456">INDEX(K$3:K$700,MATCH($B456&amp;$C456&amp;"baseline",$B$3:$B$700&amp;$C$3:$C$700&amp;$D$3:$D$700,0))</f>
        <v>0</v>
      </c>
      <c r="W456">
        <f t="array" ref="W456">INDEX(L$3:L$700,MATCH($B456&amp;$C456&amp;"baseline",$B$3:$B$700&amp;$C$3:$C$700&amp;$D$3:$D$700,0))</f>
        <v>34.866388715432876</v>
      </c>
      <c r="X456">
        <f t="array" ref="X456">INDEX(M$3:M$700,MATCH($B456&amp;$C456&amp;"baseline",$B$3:$B$700&amp;$C$3:$C$700&amp;$D$3:$D$700,0))</f>
        <v>3.229985935080161</v>
      </c>
      <c r="Y456">
        <f t="array" ref="Y456">INDEX(N$3:N$700,MATCH($B456&amp;$C456&amp;"baseline",$B$3:$B$700&amp;$C$3:$C$700&amp;$D$3:$D$700,0))</f>
        <v>0</v>
      </c>
      <c r="Z456">
        <f t="array" ref="Z456">INDEX(O$3:O$700,MATCH($B456&amp;$C456&amp;"baseline",$B$3:$B$700&amp;$C$3:$C$700&amp;$D$3:$D$700,0))</f>
        <v>15.015069752264532</v>
      </c>
      <c r="AA456">
        <f t="array" ref="AA456">INDEX(P$3:P$700,MATCH($B456&amp;$C456&amp;"baseline",$B$3:$B$700&amp;$C$3:$C$700&amp;$D$3:$D$700,0))</f>
        <v>0</v>
      </c>
      <c r="AB456">
        <f t="array" ref="AB456">INDEX(Q$3:Q$700,MATCH($B456&amp;$C456&amp;"baseline",$B$3:$B$700&amp;$C$3:$C$700&amp;$D$3:$D$700,0))</f>
        <v>0</v>
      </c>
      <c r="AC456">
        <f t="shared" si="55"/>
        <v>415.8615621107424</v>
      </c>
      <c r="AD456">
        <f t="shared" si="56"/>
        <v>81.584206905095016</v>
      </c>
      <c r="AE456">
        <f t="shared" si="57"/>
        <v>3.3277584823042048</v>
      </c>
      <c r="AF456">
        <f t="shared" si="58"/>
        <v>20.418325020571984</v>
      </c>
      <c r="AG456">
        <f>(S456+V456+Y456)*constants!$O$2+(R456+T456+U456+W456+X456+Z456+AA456+AB456)*constants!$N$2</f>
        <v>11.878145124382895</v>
      </c>
      <c r="AH456">
        <f>((S456+V456+Y456)-(H456+K456+N456))*constants!$O$2</f>
        <v>1.3216641518625392</v>
      </c>
      <c r="AI456">
        <f>((R456+T456+U456+W456+X456+Z456+AA456+AB456)-(G456+I456+J456+L456+M456+O456+P456+Q456))*constants!$N$2</f>
        <v>0.37603670850037513</v>
      </c>
      <c r="AJ456">
        <f t="shared" si="59"/>
        <v>14.29264285446348</v>
      </c>
      <c r="AK456">
        <f t="shared" si="60"/>
        <v>1.6977008603629142</v>
      </c>
      <c r="AL456">
        <f>COUNTIFS($B:$B,$B456,$AK:$AK,"&lt;"&amp;$AK456)+COUNTIFS($B$2:$B456,$B456,$AK$2:$AK456,$AK456)</f>
        <v>53</v>
      </c>
      <c r="AM456" s="191">
        <f>IF(AK456=0, "NA",IF(((sim_annual_output!F456/E456)/AK456)&lt;0,100,((sim_annual_output!F456/E456)/AK456)))</f>
        <v>92.192117419839235</v>
      </c>
      <c r="AN456">
        <f>(S456+V456)*constants!$F$2+(T456+U456+W456+X456+Y456+Z456+AA456+AB456)*constants!$G$2</f>
        <v>111139.22770014219</v>
      </c>
      <c r="AO456">
        <f>(AD456*constants!$F$2+AE456*constants!$G$2)</f>
        <v>17498.722915616665</v>
      </c>
      <c r="AP456">
        <f t="shared" si="61"/>
        <v>15.744866396614594</v>
      </c>
    </row>
    <row r="457" spans="1:42">
      <c r="A457">
        <f>sim_annual_output!B457</f>
        <v>21</v>
      </c>
      <c r="B457" t="str">
        <f>sim_annual_output!C457</f>
        <v>Storage Building</v>
      </c>
      <c r="C457" t="str">
        <f>sim_annual_output!D457</f>
        <v>1960-1979</v>
      </c>
      <c r="D457" t="str">
        <f>sim_annual_output!E457</f>
        <v>envelope_ecm_wall</v>
      </c>
      <c r="E457" s="45">
        <f t="array" ref="E457">IFERROR(INDEX(baseline!$J$3:$J$201,MATCH($B457&amp;$C457,baseline!$C$3:$C$201&amp;baseline!$D$3:$D$201,0)),"NA")</f>
        <v>1171</v>
      </c>
      <c r="F457">
        <f>sim_annual_output!G457</f>
        <v>965.15690399999903</v>
      </c>
      <c r="G457">
        <f>$E457/$F457^2*sim_annual_output!I457</f>
        <v>0</v>
      </c>
      <c r="H457">
        <f>$E457/$F457^2*sim_annual_output!J457</f>
        <v>353.56997389896401</v>
      </c>
      <c r="I457">
        <f>$E457/$F457^2*sim_annual_output!K457</f>
        <v>0</v>
      </c>
      <c r="J457">
        <f>$E457/$F457^2*sim_annual_output!L457</f>
        <v>0</v>
      </c>
      <c r="K457">
        <f>$E457/$F457^2*sim_annual_output!M457</f>
        <v>0</v>
      </c>
      <c r="L457">
        <f>$E457/$F457^2*sim_annual_output!N457</f>
        <v>34.866388715432876</v>
      </c>
      <c r="M457">
        <f>$E457/$F457^2*sim_annual_output!O457</f>
        <v>3.229985935080161</v>
      </c>
      <c r="N457">
        <f>$E457/$F457^2*sim_annual_output!P457</f>
        <v>0</v>
      </c>
      <c r="O457">
        <f>$E457/$F457^2*sim_annual_output!Q457</f>
        <v>14.589060796502608</v>
      </c>
      <c r="P457">
        <f>$E457/$F457^2*sim_annual_output!R457</f>
        <v>0</v>
      </c>
      <c r="Q457">
        <f>$E457/$F457^2*sim_annual_output!S457</f>
        <v>0</v>
      </c>
      <c r="R457">
        <f t="array" ref="R457">INDEX(G$3:G$700,MATCH($B457&amp;$C457&amp;"baseline",$B$3:$B$700&amp;$C$3:$C$700&amp;$D$3:$D$700,0))</f>
        <v>0</v>
      </c>
      <c r="S457">
        <f t="array" ref="S457">INDEX(H$3:H$700,MATCH($B457&amp;$C457&amp;"baseline",$B$3:$B$700&amp;$C$3:$C$700&amp;$D$3:$D$700,0))</f>
        <v>362.75011770796482</v>
      </c>
      <c r="T457">
        <f t="array" ref="T457">INDEX(I$3:I$700,MATCH($B457&amp;$C457&amp;"baseline",$B$3:$B$700&amp;$C$3:$C$700&amp;$D$3:$D$700,0))</f>
        <v>0</v>
      </c>
      <c r="U457">
        <f t="array" ref="U457">INDEX(J$3:J$700,MATCH($B457&amp;$C457&amp;"baseline",$B$3:$B$700&amp;$C$3:$C$700&amp;$D$3:$D$700,0))</f>
        <v>0</v>
      </c>
      <c r="V457">
        <f t="array" ref="V457">INDEX(K$3:K$700,MATCH($B457&amp;$C457&amp;"baseline",$B$3:$B$700&amp;$C$3:$C$700&amp;$D$3:$D$700,0))</f>
        <v>0</v>
      </c>
      <c r="W457">
        <f t="array" ref="W457">INDEX(L$3:L$700,MATCH($B457&amp;$C457&amp;"baseline",$B$3:$B$700&amp;$C$3:$C$700&amp;$D$3:$D$700,0))</f>
        <v>34.866388715432876</v>
      </c>
      <c r="X457">
        <f t="array" ref="X457">INDEX(M$3:M$700,MATCH($B457&amp;$C457&amp;"baseline",$B$3:$B$700&amp;$C$3:$C$700&amp;$D$3:$D$700,0))</f>
        <v>3.229985935080161</v>
      </c>
      <c r="Y457">
        <f t="array" ref="Y457">INDEX(N$3:N$700,MATCH($B457&amp;$C457&amp;"baseline",$B$3:$B$700&amp;$C$3:$C$700&amp;$D$3:$D$700,0))</f>
        <v>0</v>
      </c>
      <c r="Z457">
        <f t="array" ref="Z457">INDEX(O$3:O$700,MATCH($B457&amp;$C457&amp;"baseline",$B$3:$B$700&amp;$C$3:$C$700&amp;$D$3:$D$700,0))</f>
        <v>15.015069752264532</v>
      </c>
      <c r="AA457">
        <f t="array" ref="AA457">INDEX(P$3:P$700,MATCH($B457&amp;$C457&amp;"baseline",$B$3:$B$700&amp;$C$3:$C$700&amp;$D$3:$D$700,0))</f>
        <v>0</v>
      </c>
      <c r="AB457">
        <f t="array" ref="AB457">INDEX(Q$3:Q$700,MATCH($B457&amp;$C457&amp;"baseline",$B$3:$B$700&amp;$C$3:$C$700&amp;$D$3:$D$700,0))</f>
        <v>0</v>
      </c>
      <c r="AC457">
        <f t="shared" si="55"/>
        <v>415.8615621107424</v>
      </c>
      <c r="AD457">
        <f t="shared" si="56"/>
        <v>9.1801438090008105</v>
      </c>
      <c r="AE457">
        <f t="shared" si="57"/>
        <v>0.42600895576192244</v>
      </c>
      <c r="AF457">
        <f t="shared" si="58"/>
        <v>2.3099400473575509</v>
      </c>
      <c r="AG457">
        <f>(S457+V457+Y457)*constants!$O$2+(R457+T457+U457+W457+X457+Z457+AA457+AB457)*constants!$N$2</f>
        <v>11.878145124382895</v>
      </c>
      <c r="AH457">
        <f>((S457+V457+Y457)-(H457+K457+N457))*constants!$O$2</f>
        <v>0.14871832970581311</v>
      </c>
      <c r="AI457">
        <f>((R457+T457+U457+W457+X457+Z457+AA457+AB457)-(G457+I457+J457+L457+M457+O457+P457+Q457))*constants!$N$2</f>
        <v>4.8139012001097235E-2</v>
      </c>
      <c r="AJ457">
        <f t="shared" si="59"/>
        <v>1.6573070933677256</v>
      </c>
      <c r="AK457">
        <f t="shared" si="60"/>
        <v>0.19685734170691035</v>
      </c>
      <c r="AL457">
        <f>COUNTIFS($B:$B,$B457,$AK:$AK,"&lt;"&amp;$AK457)+COUNTIFS($B$2:$B457,$B457,$AK$2:$AK457,$AK457)</f>
        <v>32</v>
      </c>
      <c r="AM457" s="191">
        <f>IF(AK457=0, "NA",IF(((sim_annual_output!F457/E457)/AK457)&lt;0,100,((sim_annual_output!F457/E457)/AK457)))</f>
        <v>677.71653576659185</v>
      </c>
      <c r="AN457">
        <f>(S457+V457)*constants!$F$2+(T457+U457+W457+X457+Y457+Z457+AA457+AB457)*constants!$G$2</f>
        <v>111139.22770014219</v>
      </c>
      <c r="AO457">
        <f>(AD457*constants!$F$2+AE457*constants!$G$2)</f>
        <v>2013.8735333240177</v>
      </c>
      <c r="AP457">
        <f t="shared" si="61"/>
        <v>1.8120276476614756</v>
      </c>
    </row>
    <row r="458" spans="1:42">
      <c r="A458">
        <f>sim_annual_output!B458</f>
        <v>21</v>
      </c>
      <c r="B458" t="str">
        <f>sim_annual_output!C458</f>
        <v>Storage Building</v>
      </c>
      <c r="C458" t="str">
        <f>sim_annual_output!D458</f>
        <v>1960-1979</v>
      </c>
      <c r="D458" t="str">
        <f>sim_annual_output!E458</f>
        <v>envelope_ecm_windows</v>
      </c>
      <c r="E458" s="45">
        <f t="array" ref="E458">IFERROR(INDEX(baseline!$J$3:$J$201,MATCH($B458&amp;$C458,baseline!$C$3:$C$201&amp;baseline!$D$3:$D$201,0)),"NA")</f>
        <v>1171</v>
      </c>
      <c r="F458">
        <f>sim_annual_output!G458</f>
        <v>965.15690399999903</v>
      </c>
      <c r="G458">
        <f>$E458/$F458^2*sim_annual_output!I458</f>
        <v>0</v>
      </c>
      <c r="H458">
        <f>$E458/$F458^2*sim_annual_output!J458</f>
        <v>357.78816093634435</v>
      </c>
      <c r="I458">
        <f>$E458/$F458^2*sim_annual_output!K458</f>
        <v>0</v>
      </c>
      <c r="J458">
        <f>$E458/$F458^2*sim_annual_output!L458</f>
        <v>0</v>
      </c>
      <c r="K458">
        <f>$E458/$F458^2*sim_annual_output!M458</f>
        <v>0</v>
      </c>
      <c r="L458">
        <f>$E458/$F458^2*sim_annual_output!N458</f>
        <v>34.866388715432876</v>
      </c>
      <c r="M458">
        <f>$E458/$F458^2*sim_annual_output!O458</f>
        <v>3.229985935080161</v>
      </c>
      <c r="N458">
        <f>$E458/$F458^2*sim_annual_output!P458</f>
        <v>0</v>
      </c>
      <c r="O458">
        <f>$E458/$F458^2*sim_annual_output!Q458</f>
        <v>14.774130260890985</v>
      </c>
      <c r="P458">
        <f>$E458/$F458^2*sim_annual_output!R458</f>
        <v>0</v>
      </c>
      <c r="Q458">
        <f>$E458/$F458^2*sim_annual_output!S458</f>
        <v>0</v>
      </c>
      <c r="R458">
        <f t="array" ref="R458">INDEX(G$3:G$700,MATCH($B458&amp;$C458&amp;"baseline",$B$3:$B$700&amp;$C$3:$C$700&amp;$D$3:$D$700,0))</f>
        <v>0</v>
      </c>
      <c r="S458">
        <f t="array" ref="S458">INDEX(H$3:H$700,MATCH($B458&amp;$C458&amp;"baseline",$B$3:$B$700&amp;$C$3:$C$700&amp;$D$3:$D$700,0))</f>
        <v>362.75011770796482</v>
      </c>
      <c r="T458">
        <f t="array" ref="T458">INDEX(I$3:I$700,MATCH($B458&amp;$C458&amp;"baseline",$B$3:$B$700&amp;$C$3:$C$700&amp;$D$3:$D$700,0))</f>
        <v>0</v>
      </c>
      <c r="U458">
        <f t="array" ref="U458">INDEX(J$3:J$700,MATCH($B458&amp;$C458&amp;"baseline",$B$3:$B$700&amp;$C$3:$C$700&amp;$D$3:$D$700,0))</f>
        <v>0</v>
      </c>
      <c r="V458">
        <f t="array" ref="V458">INDEX(K$3:K$700,MATCH($B458&amp;$C458&amp;"baseline",$B$3:$B$700&amp;$C$3:$C$700&amp;$D$3:$D$700,0))</f>
        <v>0</v>
      </c>
      <c r="W458">
        <f t="array" ref="W458">INDEX(L$3:L$700,MATCH($B458&amp;$C458&amp;"baseline",$B$3:$B$700&amp;$C$3:$C$700&amp;$D$3:$D$700,0))</f>
        <v>34.866388715432876</v>
      </c>
      <c r="X458">
        <f t="array" ref="X458">INDEX(M$3:M$700,MATCH($B458&amp;$C458&amp;"baseline",$B$3:$B$700&amp;$C$3:$C$700&amp;$D$3:$D$700,0))</f>
        <v>3.229985935080161</v>
      </c>
      <c r="Y458">
        <f t="array" ref="Y458">INDEX(N$3:N$700,MATCH($B458&amp;$C458&amp;"baseline",$B$3:$B$700&amp;$C$3:$C$700&amp;$D$3:$D$700,0))</f>
        <v>0</v>
      </c>
      <c r="Z458">
        <f t="array" ref="Z458">INDEX(O$3:O$700,MATCH($B458&amp;$C458&amp;"baseline",$B$3:$B$700&amp;$C$3:$C$700&amp;$D$3:$D$700,0))</f>
        <v>15.015069752264532</v>
      </c>
      <c r="AA458">
        <f t="array" ref="AA458">INDEX(P$3:P$700,MATCH($B458&amp;$C458&amp;"baseline",$B$3:$B$700&amp;$C$3:$C$700&amp;$D$3:$D$700,0))</f>
        <v>0</v>
      </c>
      <c r="AB458">
        <f t="array" ref="AB458">INDEX(Q$3:Q$700,MATCH($B458&amp;$C458&amp;"baseline",$B$3:$B$700&amp;$C$3:$C$700&amp;$D$3:$D$700,0))</f>
        <v>0</v>
      </c>
      <c r="AC458">
        <f t="shared" si="55"/>
        <v>415.8615621107424</v>
      </c>
      <c r="AD458">
        <f t="shared" si="56"/>
        <v>4.9619567716204642</v>
      </c>
      <c r="AE458">
        <f t="shared" si="57"/>
        <v>0.24093949137354542</v>
      </c>
      <c r="AF458">
        <f t="shared" si="58"/>
        <v>1.2511125665440792</v>
      </c>
      <c r="AG458">
        <f>(S458+V458+Y458)*constants!$O$2+(R458+T458+U458+W458+X458+Z458+AA458+AB458)*constants!$N$2</f>
        <v>11.878145124382895</v>
      </c>
      <c r="AH458">
        <f>((S458+V458+Y458)-(H458+K458+N458))*constants!$O$2</f>
        <v>8.0383699700251512E-2</v>
      </c>
      <c r="AI458">
        <f>((R458+T458+U458+W458+X458+Z458+AA458+AB458)-(G458+I458+J458+L458+M458+O458+P458+Q458))*constants!$N$2</f>
        <v>2.7226162525210634E-2</v>
      </c>
      <c r="AJ458">
        <f t="shared" si="59"/>
        <v>0.90594837071459666</v>
      </c>
      <c r="AK458">
        <f t="shared" si="60"/>
        <v>0.10760986222546215</v>
      </c>
      <c r="AL458">
        <f>COUNTIFS($B:$B,$B458,$AK:$AK,"&lt;"&amp;$AK458)+COUNTIFS($B$2:$B458,$B458,$AK$2:$AK458,$AK458)</f>
        <v>28</v>
      </c>
      <c r="AM458" s="191">
        <f>IF(AK458=0, "NA",IF(((sim_annual_output!F458/E458)/AK458)&lt;0,100,((sim_annual_output!F458/E458)/AK458)))</f>
        <v>0</v>
      </c>
      <c r="AN458">
        <f>(S458+V458)*constants!$F$2+(T458+U458+W458+X458+Y458+Z458+AA458+AB458)*constants!$G$2</f>
        <v>111139.22770014219</v>
      </c>
      <c r="AO458">
        <f>(AD458*constants!$F$2+AE458*constants!$G$2)</f>
        <v>1097.8076196150478</v>
      </c>
      <c r="AP458">
        <f t="shared" si="61"/>
        <v>0.98777690139882379</v>
      </c>
    </row>
    <row r="459" spans="1:42">
      <c r="A459">
        <f>sim_annual_output!B459</f>
        <v>21</v>
      </c>
      <c r="B459" t="str">
        <f>sim_annual_output!C459</f>
        <v>Storage Building</v>
      </c>
      <c r="C459" t="str">
        <f>sim_annual_output!D459</f>
        <v>1960-1979</v>
      </c>
      <c r="D459" t="str">
        <f>sim_annual_output!E459</f>
        <v>exhaust_fans_occ_control</v>
      </c>
      <c r="E459" s="45">
        <f t="array" ref="E459">IFERROR(INDEX(baseline!$J$3:$J$201,MATCH($B459&amp;$C459,baseline!$C$3:$C$201&amp;baseline!$D$3:$D$201,0)),"NA")</f>
        <v>1171</v>
      </c>
      <c r="F459">
        <f>sim_annual_output!G459</f>
        <v>965.15690399999903</v>
      </c>
      <c r="G459">
        <f>$E459/$F459^2*sim_annual_output!I459</f>
        <v>0</v>
      </c>
      <c r="H459">
        <f>$E459/$F459^2*sim_annual_output!J459</f>
        <v>357.78816093634435</v>
      </c>
      <c r="I459">
        <f>$E459/$F459^2*sim_annual_output!K459</f>
        <v>0</v>
      </c>
      <c r="J459">
        <f>$E459/$F459^2*sim_annual_output!L459</f>
        <v>0</v>
      </c>
      <c r="K459">
        <f>$E459/$F459^2*sim_annual_output!M459</f>
        <v>0</v>
      </c>
      <c r="L459">
        <f>$E459/$F459^2*sim_annual_output!N459</f>
        <v>34.866388715432876</v>
      </c>
      <c r="M459">
        <f>$E459/$F459^2*sim_annual_output!O459</f>
        <v>3.229985935080161</v>
      </c>
      <c r="N459">
        <f>$E459/$F459^2*sim_annual_output!P459</f>
        <v>0</v>
      </c>
      <c r="O459">
        <f>$E459/$F459^2*sim_annual_output!Q459</f>
        <v>14.774130260890985</v>
      </c>
      <c r="P459">
        <f>$E459/$F459^2*sim_annual_output!R459</f>
        <v>0</v>
      </c>
      <c r="Q459">
        <f>$E459/$F459^2*sim_annual_output!S459</f>
        <v>0</v>
      </c>
      <c r="R459">
        <f t="array" ref="R459">INDEX(G$3:G$700,MATCH($B459&amp;$C459&amp;"baseline",$B$3:$B$700&amp;$C$3:$C$700&amp;$D$3:$D$700,0))</f>
        <v>0</v>
      </c>
      <c r="S459">
        <f t="array" ref="S459">INDEX(H$3:H$700,MATCH($B459&amp;$C459&amp;"baseline",$B$3:$B$700&amp;$C$3:$C$700&amp;$D$3:$D$700,0))</f>
        <v>362.75011770796482</v>
      </c>
      <c r="T459">
        <f t="array" ref="T459">INDEX(I$3:I$700,MATCH($B459&amp;$C459&amp;"baseline",$B$3:$B$700&amp;$C$3:$C$700&amp;$D$3:$D$700,0))</f>
        <v>0</v>
      </c>
      <c r="U459">
        <f t="array" ref="U459">INDEX(J$3:J$700,MATCH($B459&amp;$C459&amp;"baseline",$B$3:$B$700&amp;$C$3:$C$700&amp;$D$3:$D$700,0))</f>
        <v>0</v>
      </c>
      <c r="V459">
        <f t="array" ref="V459">INDEX(K$3:K$700,MATCH($B459&amp;$C459&amp;"baseline",$B$3:$B$700&amp;$C$3:$C$700&amp;$D$3:$D$700,0))</f>
        <v>0</v>
      </c>
      <c r="W459">
        <f t="array" ref="W459">INDEX(L$3:L$700,MATCH($B459&amp;$C459&amp;"baseline",$B$3:$B$700&amp;$C$3:$C$700&amp;$D$3:$D$700,0))</f>
        <v>34.866388715432876</v>
      </c>
      <c r="X459">
        <f t="array" ref="X459">INDEX(M$3:M$700,MATCH($B459&amp;$C459&amp;"baseline",$B$3:$B$700&amp;$C$3:$C$700&amp;$D$3:$D$700,0))</f>
        <v>3.229985935080161</v>
      </c>
      <c r="Y459">
        <f t="array" ref="Y459">INDEX(N$3:N$700,MATCH($B459&amp;$C459&amp;"baseline",$B$3:$B$700&amp;$C$3:$C$700&amp;$D$3:$D$700,0))</f>
        <v>0</v>
      </c>
      <c r="Z459">
        <f t="array" ref="Z459">INDEX(O$3:O$700,MATCH($B459&amp;$C459&amp;"baseline",$B$3:$B$700&amp;$C$3:$C$700&amp;$D$3:$D$700,0))</f>
        <v>15.015069752264532</v>
      </c>
      <c r="AA459">
        <f t="array" ref="AA459">INDEX(P$3:P$700,MATCH($B459&amp;$C459&amp;"baseline",$B$3:$B$700&amp;$C$3:$C$700&amp;$D$3:$D$700,0))</f>
        <v>0</v>
      </c>
      <c r="AB459">
        <f t="array" ref="AB459">INDEX(Q$3:Q$700,MATCH($B459&amp;$C459&amp;"baseline",$B$3:$B$700&amp;$C$3:$C$700&amp;$D$3:$D$700,0))</f>
        <v>0</v>
      </c>
      <c r="AC459">
        <f t="shared" si="55"/>
        <v>415.8615621107424</v>
      </c>
      <c r="AD459">
        <f t="shared" si="56"/>
        <v>4.9619567716204642</v>
      </c>
      <c r="AE459">
        <f t="shared" si="57"/>
        <v>0.24093949137354542</v>
      </c>
      <c r="AF459">
        <f t="shared" si="58"/>
        <v>1.2511125665440792</v>
      </c>
      <c r="AG459">
        <f>(S459+V459+Y459)*constants!$O$2+(R459+T459+U459+W459+X459+Z459+AA459+AB459)*constants!$N$2</f>
        <v>11.878145124382895</v>
      </c>
      <c r="AH459">
        <f>((S459+V459+Y459)-(H459+K459+N459))*constants!$O$2</f>
        <v>8.0383699700251512E-2</v>
      </c>
      <c r="AI459">
        <f>((R459+T459+U459+W459+X459+Z459+AA459+AB459)-(G459+I459+J459+L459+M459+O459+P459+Q459))*constants!$N$2</f>
        <v>2.7226162525210634E-2</v>
      </c>
      <c r="AJ459">
        <f t="shared" si="59"/>
        <v>0.90594837071459666</v>
      </c>
      <c r="AK459">
        <f t="shared" si="60"/>
        <v>0.10760986222546215</v>
      </c>
      <c r="AL459">
        <f>COUNTIFS($B:$B,$B459,$AK:$AK,"&lt;"&amp;$AK459)+COUNTIFS($B$2:$B459,$B459,$AK$2:$AK459,$AK459)</f>
        <v>29</v>
      </c>
      <c r="AM459" s="191">
        <f>IF(AK459=0, "NA",IF(((sim_annual_output!F459/E459)/AK459)&lt;0,100,((sim_annual_output!F459/E459)/AK459)))</f>
        <v>5.8093272519895942</v>
      </c>
      <c r="AN459">
        <f>(S459+V459)*constants!$F$2+(T459+U459+W459+X459+Y459+Z459+AA459+AB459)*constants!$G$2</f>
        <v>111139.22770014219</v>
      </c>
      <c r="AO459">
        <f>(AD459*constants!$F$2+AE459*constants!$G$2)</f>
        <v>1097.8076196150478</v>
      </c>
      <c r="AP459">
        <f t="shared" si="61"/>
        <v>0.98777690139882379</v>
      </c>
    </row>
    <row r="460" spans="1:42">
      <c r="A460">
        <f>sim_annual_output!B460</f>
        <v>21</v>
      </c>
      <c r="B460" t="str">
        <f>sim_annual_output!C460</f>
        <v>Storage Building</v>
      </c>
      <c r="C460" t="str">
        <f>sim_annual_output!D460</f>
        <v>1960-1979</v>
      </c>
      <c r="D460" t="str">
        <f>sim_annual_output!E460</f>
        <v>hrv_enabled</v>
      </c>
      <c r="E460" s="45">
        <f t="array" ref="E460">IFERROR(INDEX(baseline!$J$3:$J$201,MATCH($B460&amp;$C460,baseline!$C$3:$C$201&amp;baseline!$D$3:$D$201,0)),"NA")</f>
        <v>1171</v>
      </c>
      <c r="F460">
        <f>sim_annual_output!G460</f>
        <v>965.15690399999903</v>
      </c>
      <c r="G460">
        <f>$E460/$F460^2*sim_annual_output!I460</f>
        <v>0</v>
      </c>
      <c r="H460">
        <f>$E460/$F460^2*sim_annual_output!J460</f>
        <v>357.78816093634435</v>
      </c>
      <c r="I460">
        <f>$E460/$F460^2*sim_annual_output!K460</f>
        <v>0</v>
      </c>
      <c r="J460">
        <f>$E460/$F460^2*sim_annual_output!L460</f>
        <v>0</v>
      </c>
      <c r="K460">
        <f>$E460/$F460^2*sim_annual_output!M460</f>
        <v>0</v>
      </c>
      <c r="L460">
        <f>$E460/$F460^2*sim_annual_output!N460</f>
        <v>34.866388715432876</v>
      </c>
      <c r="M460">
        <f>$E460/$F460^2*sim_annual_output!O460</f>
        <v>3.229985935080161</v>
      </c>
      <c r="N460">
        <f>$E460/$F460^2*sim_annual_output!P460</f>
        <v>0</v>
      </c>
      <c r="O460">
        <f>$E460/$F460^2*sim_annual_output!Q460</f>
        <v>14.774130260890985</v>
      </c>
      <c r="P460">
        <f>$E460/$F460^2*sim_annual_output!R460</f>
        <v>0</v>
      </c>
      <c r="Q460">
        <f>$E460/$F460^2*sim_annual_output!S460</f>
        <v>0</v>
      </c>
      <c r="R460">
        <f t="array" ref="R460">INDEX(G$3:G$700,MATCH($B460&amp;$C460&amp;"baseline",$B$3:$B$700&amp;$C$3:$C$700&amp;$D$3:$D$700,0))</f>
        <v>0</v>
      </c>
      <c r="S460">
        <f t="array" ref="S460">INDEX(H$3:H$700,MATCH($B460&amp;$C460&amp;"baseline",$B$3:$B$700&amp;$C$3:$C$700&amp;$D$3:$D$700,0))</f>
        <v>362.75011770796482</v>
      </c>
      <c r="T460">
        <f t="array" ref="T460">INDEX(I$3:I$700,MATCH($B460&amp;$C460&amp;"baseline",$B$3:$B$700&amp;$C$3:$C$700&amp;$D$3:$D$700,0))</f>
        <v>0</v>
      </c>
      <c r="U460">
        <f t="array" ref="U460">INDEX(J$3:J$700,MATCH($B460&amp;$C460&amp;"baseline",$B$3:$B$700&amp;$C$3:$C$700&amp;$D$3:$D$700,0))</f>
        <v>0</v>
      </c>
      <c r="V460">
        <f t="array" ref="V460">INDEX(K$3:K$700,MATCH($B460&amp;$C460&amp;"baseline",$B$3:$B$700&amp;$C$3:$C$700&amp;$D$3:$D$700,0))</f>
        <v>0</v>
      </c>
      <c r="W460">
        <f t="array" ref="W460">INDEX(L$3:L$700,MATCH($B460&amp;$C460&amp;"baseline",$B$3:$B$700&amp;$C$3:$C$700&amp;$D$3:$D$700,0))</f>
        <v>34.866388715432876</v>
      </c>
      <c r="X460">
        <f t="array" ref="X460">INDEX(M$3:M$700,MATCH($B460&amp;$C460&amp;"baseline",$B$3:$B$700&amp;$C$3:$C$700&amp;$D$3:$D$700,0))</f>
        <v>3.229985935080161</v>
      </c>
      <c r="Y460">
        <f t="array" ref="Y460">INDEX(N$3:N$700,MATCH($B460&amp;$C460&amp;"baseline",$B$3:$B$700&amp;$C$3:$C$700&amp;$D$3:$D$700,0))</f>
        <v>0</v>
      </c>
      <c r="Z460">
        <f t="array" ref="Z460">INDEX(O$3:O$700,MATCH($B460&amp;$C460&amp;"baseline",$B$3:$B$700&amp;$C$3:$C$700&amp;$D$3:$D$700,0))</f>
        <v>15.015069752264532</v>
      </c>
      <c r="AA460">
        <f t="array" ref="AA460">INDEX(P$3:P$700,MATCH($B460&amp;$C460&amp;"baseline",$B$3:$B$700&amp;$C$3:$C$700&amp;$D$3:$D$700,0))</f>
        <v>0</v>
      </c>
      <c r="AB460">
        <f t="array" ref="AB460">INDEX(Q$3:Q$700,MATCH($B460&amp;$C460&amp;"baseline",$B$3:$B$700&amp;$C$3:$C$700&amp;$D$3:$D$700,0))</f>
        <v>0</v>
      </c>
      <c r="AC460">
        <f t="shared" si="55"/>
        <v>415.8615621107424</v>
      </c>
      <c r="AD460">
        <f t="shared" si="56"/>
        <v>4.9619567716204642</v>
      </c>
      <c r="AE460">
        <f t="shared" si="57"/>
        <v>0.24093949137354542</v>
      </c>
      <c r="AF460">
        <f t="shared" si="58"/>
        <v>1.2511125665440792</v>
      </c>
      <c r="AG460">
        <f>(S460+V460+Y460)*constants!$O$2+(R460+T460+U460+W460+X460+Z460+AA460+AB460)*constants!$N$2</f>
        <v>11.878145124382895</v>
      </c>
      <c r="AH460">
        <f>((S460+V460+Y460)-(H460+K460+N460))*constants!$O$2</f>
        <v>8.0383699700251512E-2</v>
      </c>
      <c r="AI460">
        <f>((R460+T460+U460+W460+X460+Z460+AA460+AB460)-(G460+I460+J460+L460+M460+O460+P460+Q460))*constants!$N$2</f>
        <v>2.7226162525210634E-2</v>
      </c>
      <c r="AJ460">
        <f t="shared" si="59"/>
        <v>0.90594837071459666</v>
      </c>
      <c r="AK460">
        <f t="shared" si="60"/>
        <v>0.10760986222546215</v>
      </c>
      <c r="AL460">
        <f>COUNTIFS($B:$B,$B460,$AK:$AK,"&lt;"&amp;$AK460)+COUNTIFS($B$2:$B460,$B460,$AK$2:$AK460,$AK460)</f>
        <v>30</v>
      </c>
      <c r="AM460" s="191">
        <f>IF(AK460=0, "NA",IF(((sim_annual_output!F460/E460)/AK460)&lt;0,100,((sim_annual_output!F460/E460)/AK460)))</f>
        <v>0</v>
      </c>
      <c r="AN460">
        <f>(S460+V460)*constants!$F$2+(T460+U460+W460+X460+Y460+Z460+AA460+AB460)*constants!$G$2</f>
        <v>111139.22770014219</v>
      </c>
      <c r="AO460">
        <f>(AD460*constants!$F$2+AE460*constants!$G$2)</f>
        <v>1097.8076196150478</v>
      </c>
      <c r="AP460">
        <f t="shared" si="61"/>
        <v>0.98777690139882379</v>
      </c>
    </row>
    <row r="461" spans="1:42">
      <c r="A461">
        <f>sim_annual_output!B461</f>
        <v>21</v>
      </c>
      <c r="B461" t="str">
        <f>sim_annual_output!C461</f>
        <v>Storage Building</v>
      </c>
      <c r="C461" t="str">
        <f>sim_annual_output!D461</f>
        <v>1960-1979</v>
      </c>
      <c r="D461" t="str">
        <f>sim_annual_output!E461</f>
        <v>infil_reduce</v>
      </c>
      <c r="E461" s="45">
        <f t="array" ref="E461">IFERROR(INDEX(baseline!$J$3:$J$201,MATCH($B461&amp;$C461,baseline!$C$3:$C$201&amp;baseline!$D$3:$D$201,0)),"NA")</f>
        <v>1171</v>
      </c>
      <c r="F461">
        <f>sim_annual_output!G461</f>
        <v>965.15690399999903</v>
      </c>
      <c r="G461">
        <f>$E461/$F461^2*sim_annual_output!I461</f>
        <v>0</v>
      </c>
      <c r="H461">
        <f>$E461/$F461^2*sim_annual_output!J461</f>
        <v>263.55288479579485</v>
      </c>
      <c r="I461">
        <f>$E461/$F461^2*sim_annual_output!K461</f>
        <v>0</v>
      </c>
      <c r="J461">
        <f>$E461/$F461^2*sim_annual_output!L461</f>
        <v>0</v>
      </c>
      <c r="K461">
        <f>$E461/$F461^2*sim_annual_output!M461</f>
        <v>0</v>
      </c>
      <c r="L461">
        <f>$E461/$F461^2*sim_annual_output!N461</f>
        <v>34.866388715432876</v>
      </c>
      <c r="M461">
        <f>$E461/$F461^2*sim_annual_output!O461</f>
        <v>3.229985935080161</v>
      </c>
      <c r="N461">
        <f>$E461/$F461^2*sim_annual_output!P461</f>
        <v>0</v>
      </c>
      <c r="O461">
        <f>$E461/$F461^2*sim_annual_output!Q461</f>
        <v>10.943541535720243</v>
      </c>
      <c r="P461">
        <f>$E461/$F461^2*sim_annual_output!R461</f>
        <v>0</v>
      </c>
      <c r="Q461">
        <f>$E461/$F461^2*sim_annual_output!S461</f>
        <v>0</v>
      </c>
      <c r="R461">
        <f t="array" ref="R461">INDEX(G$3:G$700,MATCH($B461&amp;$C461&amp;"baseline",$B$3:$B$700&amp;$C$3:$C$700&amp;$D$3:$D$700,0))</f>
        <v>0</v>
      </c>
      <c r="S461">
        <f t="array" ref="S461">INDEX(H$3:H$700,MATCH($B461&amp;$C461&amp;"baseline",$B$3:$B$700&amp;$C$3:$C$700&amp;$D$3:$D$700,0))</f>
        <v>362.75011770796482</v>
      </c>
      <c r="T461">
        <f t="array" ref="T461">INDEX(I$3:I$700,MATCH($B461&amp;$C461&amp;"baseline",$B$3:$B$700&amp;$C$3:$C$700&amp;$D$3:$D$700,0))</f>
        <v>0</v>
      </c>
      <c r="U461">
        <f t="array" ref="U461">INDEX(J$3:J$700,MATCH($B461&amp;$C461&amp;"baseline",$B$3:$B$700&amp;$C$3:$C$700&amp;$D$3:$D$700,0))</f>
        <v>0</v>
      </c>
      <c r="V461">
        <f t="array" ref="V461">INDEX(K$3:K$700,MATCH($B461&amp;$C461&amp;"baseline",$B$3:$B$700&amp;$C$3:$C$700&amp;$D$3:$D$700,0))</f>
        <v>0</v>
      </c>
      <c r="W461">
        <f t="array" ref="W461">INDEX(L$3:L$700,MATCH($B461&amp;$C461&amp;"baseline",$B$3:$B$700&amp;$C$3:$C$700&amp;$D$3:$D$700,0))</f>
        <v>34.866388715432876</v>
      </c>
      <c r="X461">
        <f t="array" ref="X461">INDEX(M$3:M$700,MATCH($B461&amp;$C461&amp;"baseline",$B$3:$B$700&amp;$C$3:$C$700&amp;$D$3:$D$700,0))</f>
        <v>3.229985935080161</v>
      </c>
      <c r="Y461">
        <f t="array" ref="Y461">INDEX(N$3:N$700,MATCH($B461&amp;$C461&amp;"baseline",$B$3:$B$700&amp;$C$3:$C$700&amp;$D$3:$D$700,0))</f>
        <v>0</v>
      </c>
      <c r="Z461">
        <f t="array" ref="Z461">INDEX(O$3:O$700,MATCH($B461&amp;$C461&amp;"baseline",$B$3:$B$700&amp;$C$3:$C$700&amp;$D$3:$D$700,0))</f>
        <v>15.015069752264532</v>
      </c>
      <c r="AA461">
        <f t="array" ref="AA461">INDEX(P$3:P$700,MATCH($B461&amp;$C461&amp;"baseline",$B$3:$B$700&amp;$C$3:$C$700&amp;$D$3:$D$700,0))</f>
        <v>0</v>
      </c>
      <c r="AB461">
        <f t="array" ref="AB461">INDEX(Q$3:Q$700,MATCH($B461&amp;$C461&amp;"baseline",$B$3:$B$700&amp;$C$3:$C$700&amp;$D$3:$D$700,0))</f>
        <v>0</v>
      </c>
      <c r="AC461">
        <f t="shared" si="55"/>
        <v>415.8615621107424</v>
      </c>
      <c r="AD461">
        <f t="shared" si="56"/>
        <v>99.197232912169966</v>
      </c>
      <c r="AE461">
        <f t="shared" si="57"/>
        <v>4.0715282165442872</v>
      </c>
      <c r="AF461">
        <f t="shared" si="58"/>
        <v>24.832485263741248</v>
      </c>
      <c r="AG461">
        <f>(S461+V461+Y461)*constants!$O$2+(R461+T461+U461+W461+X461+Z461+AA461+AB461)*constants!$N$2</f>
        <v>11.878145124382895</v>
      </c>
      <c r="AH461">
        <f>((S461+V461+Y461)-(H461+K461+N461))*constants!$O$2</f>
        <v>1.6069951731771535</v>
      </c>
      <c r="AI461">
        <f>((R461+T461+U461+W461+X461+Z461+AA461+AB461)-(G461+I461+J461+L461+M461+O461+P461+Q461))*constants!$N$2</f>
        <v>0.46008268846950445</v>
      </c>
      <c r="AJ461">
        <f t="shared" si="59"/>
        <v>17.402362405923615</v>
      </c>
      <c r="AK461">
        <f t="shared" si="60"/>
        <v>2.0670778616466579</v>
      </c>
      <c r="AL461">
        <f>COUNTIFS($B:$B,$B461,$AK:$AK,"&lt;"&amp;$AK461)+COUNTIFS($B$2:$B461,$B461,$AK$2:$AK461,$AK461)</f>
        <v>55</v>
      </c>
      <c r="AM461" s="191">
        <f>IF(AK461=0, "NA",IF(((sim_annual_output!F461/E461)/AK461)&lt;0,100,((sim_annual_output!F461/E461)/AK461)))</f>
        <v>14.984568520389688</v>
      </c>
      <c r="AN461">
        <f>(S461+V461)*constants!$F$2+(T461+U461+W461+X461+Y461+Z461+AA461+AB461)*constants!$G$2</f>
        <v>111139.22770014219</v>
      </c>
      <c r="AO461">
        <f>(AD461*constants!$F$2+AE461*constants!$G$2)</f>
        <v>21298.534239671953</v>
      </c>
      <c r="AP461">
        <f t="shared" si="61"/>
        <v>19.163831421553692</v>
      </c>
    </row>
    <row r="462" spans="1:42">
      <c r="A462">
        <f>sim_annual_output!B462</f>
        <v>21</v>
      </c>
      <c r="B462" t="str">
        <f>sim_annual_output!C462</f>
        <v>Storage Building</v>
      </c>
      <c r="C462" t="str">
        <f>sim_annual_output!D462</f>
        <v>1960-1979</v>
      </c>
      <c r="D462" t="str">
        <f>sim_annual_output!E462</f>
        <v>infil_reduce_plus_setback</v>
      </c>
      <c r="E462" s="45">
        <f t="array" ref="E462">IFERROR(INDEX(baseline!$J$3:$J$201,MATCH($B462&amp;$C462,baseline!$C$3:$C$201&amp;baseline!$D$3:$D$201,0)),"NA")</f>
        <v>1171</v>
      </c>
      <c r="F462">
        <f>sim_annual_output!G462</f>
        <v>965.15690399999903</v>
      </c>
      <c r="G462">
        <f>$E462/$F462^2*sim_annual_output!I462</f>
        <v>0</v>
      </c>
      <c r="H462">
        <f>$E462/$F462^2*sim_annual_output!J462</f>
        <v>228.75982549078</v>
      </c>
      <c r="I462">
        <f>$E462/$F462^2*sim_annual_output!K462</f>
        <v>0</v>
      </c>
      <c r="J462">
        <f>$E462/$F462^2*sim_annual_output!L462</f>
        <v>0</v>
      </c>
      <c r="K462">
        <f>$E462/$F462^2*sim_annual_output!M462</f>
        <v>0</v>
      </c>
      <c r="L462">
        <f>$E462/$F462^2*sim_annual_output!N462</f>
        <v>34.866388715432876</v>
      </c>
      <c r="M462">
        <f>$E462/$F462^2*sim_annual_output!O462</f>
        <v>3.229985935080161</v>
      </c>
      <c r="N462">
        <f>$E462/$F462^2*sim_annual_output!P462</f>
        <v>0</v>
      </c>
      <c r="O462">
        <f>$E462/$F462^2*sim_annual_output!Q462</f>
        <v>11.474306792079361</v>
      </c>
      <c r="P462">
        <f>$E462/$F462^2*sim_annual_output!R462</f>
        <v>0</v>
      </c>
      <c r="Q462">
        <f>$E462/$F462^2*sim_annual_output!S462</f>
        <v>0</v>
      </c>
      <c r="R462">
        <f t="array" ref="R462">INDEX(G$3:G$700,MATCH($B462&amp;$C462&amp;"baseline",$B$3:$B$700&amp;$C$3:$C$700&amp;$D$3:$D$700,0))</f>
        <v>0</v>
      </c>
      <c r="S462">
        <f t="array" ref="S462">INDEX(H$3:H$700,MATCH($B462&amp;$C462&amp;"baseline",$B$3:$B$700&amp;$C$3:$C$700&amp;$D$3:$D$700,0))</f>
        <v>362.75011770796482</v>
      </c>
      <c r="T462">
        <f t="array" ref="T462">INDEX(I$3:I$700,MATCH($B462&amp;$C462&amp;"baseline",$B$3:$B$700&amp;$C$3:$C$700&amp;$D$3:$D$700,0))</f>
        <v>0</v>
      </c>
      <c r="U462">
        <f t="array" ref="U462">INDEX(J$3:J$700,MATCH($B462&amp;$C462&amp;"baseline",$B$3:$B$700&amp;$C$3:$C$700&amp;$D$3:$D$700,0))</f>
        <v>0</v>
      </c>
      <c r="V462">
        <f t="array" ref="V462">INDEX(K$3:K$700,MATCH($B462&amp;$C462&amp;"baseline",$B$3:$B$700&amp;$C$3:$C$700&amp;$D$3:$D$700,0))</f>
        <v>0</v>
      </c>
      <c r="W462">
        <f t="array" ref="W462">INDEX(L$3:L$700,MATCH($B462&amp;$C462&amp;"baseline",$B$3:$B$700&amp;$C$3:$C$700&amp;$D$3:$D$700,0))</f>
        <v>34.866388715432876</v>
      </c>
      <c r="X462">
        <f t="array" ref="X462">INDEX(M$3:M$700,MATCH($B462&amp;$C462&amp;"baseline",$B$3:$B$700&amp;$C$3:$C$700&amp;$D$3:$D$700,0))</f>
        <v>3.229985935080161</v>
      </c>
      <c r="Y462">
        <f t="array" ref="Y462">INDEX(N$3:N$700,MATCH($B462&amp;$C462&amp;"baseline",$B$3:$B$700&amp;$C$3:$C$700&amp;$D$3:$D$700,0))</f>
        <v>0</v>
      </c>
      <c r="Z462">
        <f t="array" ref="Z462">INDEX(O$3:O$700,MATCH($B462&amp;$C462&amp;"baseline",$B$3:$B$700&amp;$C$3:$C$700&amp;$D$3:$D$700,0))</f>
        <v>15.015069752264532</v>
      </c>
      <c r="AA462">
        <f t="array" ref="AA462">INDEX(P$3:P$700,MATCH($B462&amp;$C462&amp;"baseline",$B$3:$B$700&amp;$C$3:$C$700&amp;$D$3:$D$700,0))</f>
        <v>0</v>
      </c>
      <c r="AB462">
        <f t="array" ref="AB462">INDEX(Q$3:Q$700,MATCH($B462&amp;$C462&amp;"baseline",$B$3:$B$700&amp;$C$3:$C$700&amp;$D$3:$D$700,0))</f>
        <v>0</v>
      </c>
      <c r="AC462">
        <f t="shared" si="55"/>
        <v>415.8615621107424</v>
      </c>
      <c r="AD462">
        <f t="shared" si="56"/>
        <v>133.99029221718482</v>
      </c>
      <c r="AE462">
        <f t="shared" si="57"/>
        <v>3.5407629601851696</v>
      </c>
      <c r="AF462">
        <f t="shared" si="58"/>
        <v>33.071355399936188</v>
      </c>
      <c r="AG462">
        <f>(S462+V462+Y462)*constants!$O$2+(R462+T462+U462+W462+X462+Z462+AA462+AB462)*constants!$N$2</f>
        <v>11.878145124382895</v>
      </c>
      <c r="AH462">
        <f>((S462+V462+Y462)-(H462+K462+N462))*constants!$O$2</f>
        <v>2.170642733918394</v>
      </c>
      <c r="AI462">
        <f>((R462+T462+U462+W462+X462+Z462+AA462+AB462)-(G462+I462+J462+L462+M462+O462+P462+Q462))*constants!$N$2</f>
        <v>0.40010621450092415</v>
      </c>
      <c r="AJ462">
        <f t="shared" si="59"/>
        <v>21.642680077567043</v>
      </c>
      <c r="AK462">
        <f t="shared" si="60"/>
        <v>2.5707489484193182</v>
      </c>
      <c r="AL462">
        <f>COUNTIFS($B:$B,$B462,$AK:$AK,"&lt;"&amp;$AK462)+COUNTIFS($B$2:$B462,$B462,$AK$2:$AK462,$AK462)</f>
        <v>56</v>
      </c>
      <c r="AM462" s="191">
        <f>IF(AK462=0, "NA",IF(((sim_annual_output!F462/E462)/AK462)&lt;0,100,((sim_annual_output!F462/E462)/AK462)))</f>
        <v>12.207087678915459</v>
      </c>
      <c r="AN462">
        <f>(S462+V462)*constants!$F$2+(T462+U462+W462+X462+Y462+Z462+AA462+AB462)*constants!$G$2</f>
        <v>111139.22770014219</v>
      </c>
      <c r="AO462">
        <f>(AD462*constants!$F$2+AE462*constants!$G$2)</f>
        <v>27064.726082237179</v>
      </c>
      <c r="AP462">
        <f t="shared" si="61"/>
        <v>24.352091194352031</v>
      </c>
    </row>
    <row r="463" spans="1:42">
      <c r="A463">
        <f>sim_annual_output!B463</f>
        <v>21</v>
      </c>
      <c r="B463" t="str">
        <f>sim_annual_output!C463</f>
        <v>Storage Building</v>
      </c>
      <c r="C463" t="str">
        <f>sim_annual_output!D463</f>
        <v>1960-1979</v>
      </c>
      <c r="D463" t="str">
        <f>sim_annual_output!E463</f>
        <v>lights_reduce_70p</v>
      </c>
      <c r="E463" s="45">
        <f t="array" ref="E463">IFERROR(INDEX(baseline!$J$3:$J$201,MATCH($B463&amp;$C463,baseline!$C$3:$C$201&amp;baseline!$D$3:$D$201,0)),"NA")</f>
        <v>1171</v>
      </c>
      <c r="F463">
        <f>sim_annual_output!G463</f>
        <v>965.15690399999903</v>
      </c>
      <c r="G463">
        <f>$E463/$F463^2*sim_annual_output!I463</f>
        <v>0</v>
      </c>
      <c r="H463">
        <f>$E463/$F463^2*sim_annual_output!J463</f>
        <v>368.10316466848144</v>
      </c>
      <c r="I463">
        <f>$E463/$F463^2*sim_annual_output!K463</f>
        <v>0</v>
      </c>
      <c r="J463">
        <f>$E463/$F463^2*sim_annual_output!L463</f>
        <v>0</v>
      </c>
      <c r="K463">
        <f>$E463/$F463^2*sim_annual_output!M463</f>
        <v>0</v>
      </c>
      <c r="L463">
        <f>$E463/$F463^2*sim_annual_output!N463</f>
        <v>24.408218039146298</v>
      </c>
      <c r="M463">
        <f>$E463/$F463^2*sim_annual_output!O463</f>
        <v>3.229985935080161</v>
      </c>
      <c r="N463">
        <f>$E463/$F463^2*sim_annual_output!P463</f>
        <v>0</v>
      </c>
      <c r="O463">
        <f>$E463/$F463^2*sim_annual_output!Q463</f>
        <v>15.1233179295483</v>
      </c>
      <c r="P463">
        <f>$E463/$F463^2*sim_annual_output!R463</f>
        <v>0</v>
      </c>
      <c r="Q463">
        <f>$E463/$F463^2*sim_annual_output!S463</f>
        <v>0</v>
      </c>
      <c r="R463">
        <f t="array" ref="R463">INDEX(G$3:G$700,MATCH($B463&amp;$C463&amp;"baseline",$B$3:$B$700&amp;$C$3:$C$700&amp;$D$3:$D$700,0))</f>
        <v>0</v>
      </c>
      <c r="S463">
        <f t="array" ref="S463">INDEX(H$3:H$700,MATCH($B463&amp;$C463&amp;"baseline",$B$3:$B$700&amp;$C$3:$C$700&amp;$D$3:$D$700,0))</f>
        <v>362.75011770796482</v>
      </c>
      <c r="T463">
        <f t="array" ref="T463">INDEX(I$3:I$700,MATCH($B463&amp;$C463&amp;"baseline",$B$3:$B$700&amp;$C$3:$C$700&amp;$D$3:$D$700,0))</f>
        <v>0</v>
      </c>
      <c r="U463">
        <f t="array" ref="U463">INDEX(J$3:J$700,MATCH($B463&amp;$C463&amp;"baseline",$B$3:$B$700&amp;$C$3:$C$700&amp;$D$3:$D$700,0))</f>
        <v>0</v>
      </c>
      <c r="V463">
        <f t="array" ref="V463">INDEX(K$3:K$700,MATCH($B463&amp;$C463&amp;"baseline",$B$3:$B$700&amp;$C$3:$C$700&amp;$D$3:$D$700,0))</f>
        <v>0</v>
      </c>
      <c r="W463">
        <f t="array" ref="W463">INDEX(L$3:L$700,MATCH($B463&amp;$C463&amp;"baseline",$B$3:$B$700&amp;$C$3:$C$700&amp;$D$3:$D$700,0))</f>
        <v>34.866388715432876</v>
      </c>
      <c r="X463">
        <f t="array" ref="X463">INDEX(M$3:M$700,MATCH($B463&amp;$C463&amp;"baseline",$B$3:$B$700&amp;$C$3:$C$700&amp;$D$3:$D$700,0))</f>
        <v>3.229985935080161</v>
      </c>
      <c r="Y463">
        <f t="array" ref="Y463">INDEX(N$3:N$700,MATCH($B463&amp;$C463&amp;"baseline",$B$3:$B$700&amp;$C$3:$C$700&amp;$D$3:$D$700,0))</f>
        <v>0</v>
      </c>
      <c r="Z463">
        <f t="array" ref="Z463">INDEX(O$3:O$700,MATCH($B463&amp;$C463&amp;"baseline",$B$3:$B$700&amp;$C$3:$C$700&amp;$D$3:$D$700,0))</f>
        <v>15.015069752264532</v>
      </c>
      <c r="AA463">
        <f t="array" ref="AA463">INDEX(P$3:P$700,MATCH($B463&amp;$C463&amp;"baseline",$B$3:$B$700&amp;$C$3:$C$700&amp;$D$3:$D$700,0))</f>
        <v>0</v>
      </c>
      <c r="AB463">
        <f t="array" ref="AB463">INDEX(Q$3:Q$700,MATCH($B463&amp;$C463&amp;"baseline",$B$3:$B$700&amp;$C$3:$C$700&amp;$D$3:$D$700,0))</f>
        <v>0</v>
      </c>
      <c r="AC463">
        <f t="shared" si="55"/>
        <v>415.8615621107424</v>
      </c>
      <c r="AD463">
        <f t="shared" si="56"/>
        <v>-5.3530469605166218</v>
      </c>
      <c r="AE463">
        <f t="shared" si="57"/>
        <v>10.349922499002801</v>
      </c>
      <c r="AF463">
        <f t="shared" si="58"/>
        <v>1.2015718676003844</v>
      </c>
      <c r="AG463">
        <f>(S463+V463+Y463)*constants!$O$2+(R463+T463+U463+W463+X463+Z463+AA463+AB463)*constants!$N$2</f>
        <v>11.878145124382895</v>
      </c>
      <c r="AH463">
        <f>((S463+V463+Y463)-(H463+K463+N463))*constants!$O$2</f>
        <v>-8.6719360760369263E-2</v>
      </c>
      <c r="AI463">
        <f>((R463+T463+U463+W463+X463+Z463+AA463+AB463)-(G463+I463+J463+L463+M463+O463+P463+Q463))*constants!$N$2</f>
        <v>1.1695412423873166</v>
      </c>
      <c r="AJ463">
        <f t="shared" si="59"/>
        <v>9.1160856370089451</v>
      </c>
      <c r="AK463">
        <f t="shared" si="60"/>
        <v>1.0828218816269473</v>
      </c>
      <c r="AL463">
        <f>COUNTIFS($B:$B,$B463,$AK:$AK,"&lt;"&amp;$AK463)+COUNTIFS($B$2:$B463,$B463,$AK$2:$AK463,$AK463)</f>
        <v>52</v>
      </c>
      <c r="AM463" s="191">
        <f>IF(AK463=0, "NA",IF(((sim_annual_output!F463/E463)/AK463)&lt;0,100,((sim_annual_output!F463/E463)/AK463)))</f>
        <v>18.710221957351017</v>
      </c>
      <c r="AN463">
        <f>(S463+V463)*constants!$F$2+(T463+U463+W463+X463+Y463+Z463+AA463+AB463)*constants!$G$2</f>
        <v>111139.22770014219</v>
      </c>
      <c r="AO463">
        <f>(AD463*constants!$F$2+AE463*constants!$G$2)</f>
        <v>8046.2371681999621</v>
      </c>
      <c r="AP463">
        <f t="shared" si="61"/>
        <v>7.239781429747751</v>
      </c>
    </row>
    <row r="464" spans="1:42">
      <c r="A464">
        <f>sim_annual_output!B464</f>
        <v>21</v>
      </c>
      <c r="B464" t="str">
        <f>sim_annual_output!C464</f>
        <v>Storage Building</v>
      </c>
      <c r="C464" t="str">
        <f>sim_annual_output!D464</f>
        <v>1960-1979</v>
      </c>
      <c r="D464" t="str">
        <f>sim_annual_output!E464</f>
        <v>load_reduce</v>
      </c>
      <c r="E464" s="45">
        <f t="array" ref="E464">IFERROR(INDEX(baseline!$J$3:$J$201,MATCH($B464&amp;$C464,baseline!$C$3:$C$201&amp;baseline!$D$3:$D$201,0)),"NA")</f>
        <v>1171</v>
      </c>
      <c r="F464">
        <f>sim_annual_output!G464</f>
        <v>965.15690399999903</v>
      </c>
      <c r="G464">
        <f>$E464/$F464^2*sim_annual_output!I464</f>
        <v>0</v>
      </c>
      <c r="H464">
        <f>$E464/$F464^2*sim_annual_output!J464</f>
        <v>228.75982549078</v>
      </c>
      <c r="I464">
        <f>$E464/$F464^2*sim_annual_output!K464</f>
        <v>0</v>
      </c>
      <c r="J464">
        <f>$E464/$F464^2*sim_annual_output!L464</f>
        <v>0</v>
      </c>
      <c r="K464">
        <f>$E464/$F464^2*sim_annual_output!M464</f>
        <v>0</v>
      </c>
      <c r="L464">
        <f>$E464/$F464^2*sim_annual_output!N464</f>
        <v>34.866388715432876</v>
      </c>
      <c r="M464">
        <f>$E464/$F464^2*sim_annual_output!O464</f>
        <v>3.229985935080161</v>
      </c>
      <c r="N464">
        <f>$E464/$F464^2*sim_annual_output!P464</f>
        <v>0</v>
      </c>
      <c r="O464">
        <f>$E464/$F464^2*sim_annual_output!Q464</f>
        <v>11.474306792079361</v>
      </c>
      <c r="P464">
        <f>$E464/$F464^2*sim_annual_output!R464</f>
        <v>0</v>
      </c>
      <c r="Q464">
        <f>$E464/$F464^2*sim_annual_output!S464</f>
        <v>0</v>
      </c>
      <c r="R464">
        <f t="array" ref="R464">INDEX(G$3:G$700,MATCH($B464&amp;$C464&amp;"baseline",$B$3:$B$700&amp;$C$3:$C$700&amp;$D$3:$D$700,0))</f>
        <v>0</v>
      </c>
      <c r="S464">
        <f t="array" ref="S464">INDEX(H$3:H$700,MATCH($B464&amp;$C464&amp;"baseline",$B$3:$B$700&amp;$C$3:$C$700&amp;$D$3:$D$700,0))</f>
        <v>362.75011770796482</v>
      </c>
      <c r="T464">
        <f t="array" ref="T464">INDEX(I$3:I$700,MATCH($B464&amp;$C464&amp;"baseline",$B$3:$B$700&amp;$C$3:$C$700&amp;$D$3:$D$700,0))</f>
        <v>0</v>
      </c>
      <c r="U464">
        <f t="array" ref="U464">INDEX(J$3:J$700,MATCH($B464&amp;$C464&amp;"baseline",$B$3:$B$700&amp;$C$3:$C$700&amp;$D$3:$D$700,0))</f>
        <v>0</v>
      </c>
      <c r="V464">
        <f t="array" ref="V464">INDEX(K$3:K$700,MATCH($B464&amp;$C464&amp;"baseline",$B$3:$B$700&amp;$C$3:$C$700&amp;$D$3:$D$700,0))</f>
        <v>0</v>
      </c>
      <c r="W464">
        <f t="array" ref="W464">INDEX(L$3:L$700,MATCH($B464&amp;$C464&amp;"baseline",$B$3:$B$700&amp;$C$3:$C$700&amp;$D$3:$D$700,0))</f>
        <v>34.866388715432876</v>
      </c>
      <c r="X464">
        <f t="array" ref="X464">INDEX(M$3:M$700,MATCH($B464&amp;$C464&amp;"baseline",$B$3:$B$700&amp;$C$3:$C$700&amp;$D$3:$D$700,0))</f>
        <v>3.229985935080161</v>
      </c>
      <c r="Y464">
        <f t="array" ref="Y464">INDEX(N$3:N$700,MATCH($B464&amp;$C464&amp;"baseline",$B$3:$B$700&amp;$C$3:$C$700&amp;$D$3:$D$700,0))</f>
        <v>0</v>
      </c>
      <c r="Z464">
        <f t="array" ref="Z464">INDEX(O$3:O$700,MATCH($B464&amp;$C464&amp;"baseline",$B$3:$B$700&amp;$C$3:$C$700&amp;$D$3:$D$700,0))</f>
        <v>15.015069752264532</v>
      </c>
      <c r="AA464">
        <f t="array" ref="AA464">INDEX(P$3:P$700,MATCH($B464&amp;$C464&amp;"baseline",$B$3:$B$700&amp;$C$3:$C$700&amp;$D$3:$D$700,0))</f>
        <v>0</v>
      </c>
      <c r="AB464">
        <f t="array" ref="AB464">INDEX(Q$3:Q$700,MATCH($B464&amp;$C464&amp;"baseline",$B$3:$B$700&amp;$C$3:$C$700&amp;$D$3:$D$700,0))</f>
        <v>0</v>
      </c>
      <c r="AC464">
        <f t="shared" si="55"/>
        <v>415.8615621107424</v>
      </c>
      <c r="AD464">
        <f t="shared" si="56"/>
        <v>133.99029221718482</v>
      </c>
      <c r="AE464">
        <f t="shared" si="57"/>
        <v>3.5407629601851696</v>
      </c>
      <c r="AF464">
        <f t="shared" si="58"/>
        <v>33.071355399936188</v>
      </c>
      <c r="AG464">
        <f>(S464+V464+Y464)*constants!$O$2+(R464+T464+U464+W464+X464+Z464+AA464+AB464)*constants!$N$2</f>
        <v>11.878145124382895</v>
      </c>
      <c r="AH464">
        <f>((S464+V464+Y464)-(H464+K464+N464))*constants!$O$2</f>
        <v>2.170642733918394</v>
      </c>
      <c r="AI464">
        <f>((R464+T464+U464+W464+X464+Z464+AA464+AB464)-(G464+I464+J464+L464+M464+O464+P464+Q464))*constants!$N$2</f>
        <v>0.40010621450092415</v>
      </c>
      <c r="AJ464">
        <f t="shared" si="59"/>
        <v>21.642680077567043</v>
      </c>
      <c r="AK464">
        <f t="shared" si="60"/>
        <v>2.5707489484193182</v>
      </c>
      <c r="AL464">
        <f>COUNTIFS($B:$B,$B464,$AK:$AK,"&lt;"&amp;$AK464)+COUNTIFS($B$2:$B464,$B464,$AK$2:$AK464,$AK464)</f>
        <v>57</v>
      </c>
      <c r="AM464" s="191">
        <f>IF(AK464=0, "NA",IF(((sim_annual_output!F464/E464)/AK464)&lt;0,100,((sim_annual_output!F464/E464)/AK464)))</f>
        <v>12.207087678915459</v>
      </c>
      <c r="AN464">
        <f>(S464+V464)*constants!$F$2+(T464+U464+W464+X464+Y464+Z464+AA464+AB464)*constants!$G$2</f>
        <v>111139.22770014219</v>
      </c>
      <c r="AO464">
        <f>(AD464*constants!$F$2+AE464*constants!$G$2)</f>
        <v>27064.726082237179</v>
      </c>
      <c r="AP464">
        <f t="shared" si="61"/>
        <v>24.352091194352031</v>
      </c>
    </row>
    <row r="465" spans="1:42">
      <c r="A465">
        <f>sim_annual_output!B465</f>
        <v>21</v>
      </c>
      <c r="B465" t="str">
        <f>sim_annual_output!C465</f>
        <v>Storage Building</v>
      </c>
      <c r="C465" t="str">
        <f>sim_annual_output!D465</f>
        <v>1960-1979</v>
      </c>
      <c r="D465" t="str">
        <f>sim_annual_output!E465</f>
        <v>occupancy_setback</v>
      </c>
      <c r="E465" s="45">
        <f t="array" ref="E465">IFERROR(INDEX(baseline!$J$3:$J$201,MATCH($B465&amp;$C465,baseline!$C$3:$C$201&amp;baseline!$D$3:$D$201,0)),"NA")</f>
        <v>1171</v>
      </c>
      <c r="F465">
        <f>sim_annual_output!G465</f>
        <v>965.15690399999903</v>
      </c>
      <c r="G465">
        <f>$E465/$F465^2*sim_annual_output!I465</f>
        <v>0</v>
      </c>
      <c r="H465">
        <f>$E465/$F465^2*sim_annual_output!J465</f>
        <v>313.05023682796917</v>
      </c>
      <c r="I465">
        <f>$E465/$F465^2*sim_annual_output!K465</f>
        <v>0</v>
      </c>
      <c r="J465">
        <f>$E465/$F465^2*sim_annual_output!L465</f>
        <v>0</v>
      </c>
      <c r="K465">
        <f>$E465/$F465^2*sim_annual_output!M465</f>
        <v>0</v>
      </c>
      <c r="L465">
        <f>$E465/$F465^2*sim_annual_output!N465</f>
        <v>34.866388715432876</v>
      </c>
      <c r="M465">
        <f>$E465/$F465^2*sim_annual_output!O465</f>
        <v>3.229985935080161</v>
      </c>
      <c r="N465">
        <f>$E465/$F465^2*sim_annual_output!P465</f>
        <v>0</v>
      </c>
      <c r="O465">
        <f>$E465/$F465^2*sim_annual_output!Q465</f>
        <v>15.790266376683771</v>
      </c>
      <c r="P465">
        <f>$E465/$F465^2*sim_annual_output!R465</f>
        <v>0</v>
      </c>
      <c r="Q465">
        <f>$E465/$F465^2*sim_annual_output!S465</f>
        <v>0</v>
      </c>
      <c r="R465">
        <f t="array" ref="R465">INDEX(G$3:G$700,MATCH($B465&amp;$C465&amp;"baseline",$B$3:$B$700&amp;$C$3:$C$700&amp;$D$3:$D$700,0))</f>
        <v>0</v>
      </c>
      <c r="S465">
        <f t="array" ref="S465">INDEX(H$3:H$700,MATCH($B465&amp;$C465&amp;"baseline",$B$3:$B$700&amp;$C$3:$C$700&amp;$D$3:$D$700,0))</f>
        <v>362.75011770796482</v>
      </c>
      <c r="T465">
        <f t="array" ref="T465">INDEX(I$3:I$700,MATCH($B465&amp;$C465&amp;"baseline",$B$3:$B$700&amp;$C$3:$C$700&amp;$D$3:$D$700,0))</f>
        <v>0</v>
      </c>
      <c r="U465">
        <f t="array" ref="U465">INDEX(J$3:J$700,MATCH($B465&amp;$C465&amp;"baseline",$B$3:$B$700&amp;$C$3:$C$700&amp;$D$3:$D$700,0))</f>
        <v>0</v>
      </c>
      <c r="V465">
        <f t="array" ref="V465">INDEX(K$3:K$700,MATCH($B465&amp;$C465&amp;"baseline",$B$3:$B$700&amp;$C$3:$C$700&amp;$D$3:$D$700,0))</f>
        <v>0</v>
      </c>
      <c r="W465">
        <f t="array" ref="W465">INDEX(L$3:L$700,MATCH($B465&amp;$C465&amp;"baseline",$B$3:$B$700&amp;$C$3:$C$700&amp;$D$3:$D$700,0))</f>
        <v>34.866388715432876</v>
      </c>
      <c r="X465">
        <f t="array" ref="X465">INDEX(M$3:M$700,MATCH($B465&amp;$C465&amp;"baseline",$B$3:$B$700&amp;$C$3:$C$700&amp;$D$3:$D$700,0))</f>
        <v>3.229985935080161</v>
      </c>
      <c r="Y465">
        <f t="array" ref="Y465">INDEX(N$3:N$700,MATCH($B465&amp;$C465&amp;"baseline",$B$3:$B$700&amp;$C$3:$C$700&amp;$D$3:$D$700,0))</f>
        <v>0</v>
      </c>
      <c r="Z465">
        <f t="array" ref="Z465">INDEX(O$3:O$700,MATCH($B465&amp;$C465&amp;"baseline",$B$3:$B$700&amp;$C$3:$C$700&amp;$D$3:$D$700,0))</f>
        <v>15.015069752264532</v>
      </c>
      <c r="AA465">
        <f t="array" ref="AA465">INDEX(P$3:P$700,MATCH($B465&amp;$C465&amp;"baseline",$B$3:$B$700&amp;$C$3:$C$700&amp;$D$3:$D$700,0))</f>
        <v>0</v>
      </c>
      <c r="AB465">
        <f t="array" ref="AB465">INDEX(Q$3:Q$700,MATCH($B465&amp;$C465&amp;"baseline",$B$3:$B$700&amp;$C$3:$C$700&amp;$D$3:$D$700,0))</f>
        <v>0</v>
      </c>
      <c r="AC465">
        <f t="shared" si="55"/>
        <v>415.8615621107424</v>
      </c>
      <c r="AD465">
        <f t="shared" si="56"/>
        <v>49.699880879995646</v>
      </c>
      <c r="AE465">
        <f t="shared" si="57"/>
        <v>-0.77519662441923742</v>
      </c>
      <c r="AF465">
        <f t="shared" si="58"/>
        <v>11.764656489831573</v>
      </c>
      <c r="AG465">
        <f>(S465+V465+Y465)*constants!$O$2+(R465+T465+U465+W465+X465+Z465+AA465+AB465)*constants!$N$2</f>
        <v>11.878145124382895</v>
      </c>
      <c r="AH465">
        <f>((S465+V465+Y465)-(H465+K465+N465))*constants!$O$2</f>
        <v>0.80513807025592943</v>
      </c>
      <c r="AI465">
        <f>((R465+T465+U465+W465+X465+Z465+AA465+AB465)-(G465+I465+J465+L465+M465+O465+P465+Q465))*constants!$N$2</f>
        <v>-8.759721855937383E-2</v>
      </c>
      <c r="AJ465">
        <f t="shared" si="59"/>
        <v>6.0408493429131589</v>
      </c>
      <c r="AK465">
        <f t="shared" si="60"/>
        <v>0.71754085169655557</v>
      </c>
      <c r="AL465">
        <f>COUNTIFS($B:$B,$B465,$AK:$AK,"&lt;"&amp;$AK465)+COUNTIFS($B$2:$B465,$B465,$AK$2:$AK465,$AK465)</f>
        <v>42</v>
      </c>
      <c r="AM465" s="191">
        <f>IF(AK465=0, "NA",IF(((sim_annual_output!F465/E465)/AK465)&lt;0,100,((sim_annual_output!F465/E465)/AK465)))</f>
        <v>0.56733767568337579</v>
      </c>
      <c r="AN465">
        <f>(S465+V465)*constants!$F$2+(T465+U465+W465+X465+Y465+Z465+AA465+AB465)*constants!$G$2</f>
        <v>111139.22770014219</v>
      </c>
      <c r="AO465">
        <f>(AD465*constants!$F$2+AE465*constants!$G$2)</f>
        <v>8221.8576142744823</v>
      </c>
      <c r="AP465">
        <f t="shared" si="61"/>
        <v>7.3977998447653084</v>
      </c>
    </row>
    <row r="466" spans="1:42">
      <c r="A466">
        <f>sim_annual_output!B466</f>
        <v>21</v>
      </c>
      <c r="B466" t="str">
        <f>sim_annual_output!C466</f>
        <v>Storage Building</v>
      </c>
      <c r="C466" t="str">
        <f>sim_annual_output!D466</f>
        <v>1960-1979</v>
      </c>
      <c r="D466" t="str">
        <f>sim_annual_output!E466</f>
        <v>payback_less_than_20</v>
      </c>
      <c r="E466" s="45">
        <f t="array" ref="E466">IFERROR(INDEX(baseline!$J$3:$J$201,MATCH($B466&amp;$C466,baseline!$C$3:$C$201&amp;baseline!$D$3:$D$201,0)),"NA")</f>
        <v>1171</v>
      </c>
      <c r="F466">
        <f>sim_annual_output!G466</f>
        <v>965.15690399999903</v>
      </c>
      <c r="G466">
        <f>$E466/$F466^2*sim_annual_output!I466</f>
        <v>0</v>
      </c>
      <c r="H466">
        <f>$E466/$F466^2*sim_annual_output!J466</f>
        <v>239.75574517679885</v>
      </c>
      <c r="I466">
        <f>$E466/$F466^2*sim_annual_output!K466</f>
        <v>0</v>
      </c>
      <c r="J466">
        <f>$E466/$F466^2*sim_annual_output!L466</f>
        <v>0</v>
      </c>
      <c r="K466">
        <f>$E466/$F466^2*sim_annual_output!M466</f>
        <v>0</v>
      </c>
      <c r="L466">
        <f>$E466/$F466^2*sim_annual_output!N466</f>
        <v>24.408218039146298</v>
      </c>
      <c r="M466">
        <f>$E466/$F466^2*sim_annual_output!O466</f>
        <v>3.229985935080161</v>
      </c>
      <c r="N466">
        <f>$E466/$F466^2*sim_annual_output!P466</f>
        <v>0</v>
      </c>
      <c r="O466">
        <f>$E466/$F466^2*sim_annual_output!Q466</f>
        <v>11.792067570557519</v>
      </c>
      <c r="P466">
        <f>$E466/$F466^2*sim_annual_output!R466</f>
        <v>0</v>
      </c>
      <c r="Q466">
        <f>$E466/$F466^2*sim_annual_output!S466</f>
        <v>0</v>
      </c>
      <c r="R466">
        <f t="array" ref="R466">INDEX(G$3:G$700,MATCH($B466&amp;$C466&amp;"baseline",$B$3:$B$700&amp;$C$3:$C$700&amp;$D$3:$D$700,0))</f>
        <v>0</v>
      </c>
      <c r="S466">
        <f t="array" ref="S466">INDEX(H$3:H$700,MATCH($B466&amp;$C466&amp;"baseline",$B$3:$B$700&amp;$C$3:$C$700&amp;$D$3:$D$700,0))</f>
        <v>362.75011770796482</v>
      </c>
      <c r="T466">
        <f t="array" ref="T466">INDEX(I$3:I$700,MATCH($B466&amp;$C466&amp;"baseline",$B$3:$B$700&amp;$C$3:$C$700&amp;$D$3:$D$700,0))</f>
        <v>0</v>
      </c>
      <c r="U466">
        <f t="array" ref="U466">INDEX(J$3:J$700,MATCH($B466&amp;$C466&amp;"baseline",$B$3:$B$700&amp;$C$3:$C$700&amp;$D$3:$D$700,0))</f>
        <v>0</v>
      </c>
      <c r="V466">
        <f t="array" ref="V466">INDEX(K$3:K$700,MATCH($B466&amp;$C466&amp;"baseline",$B$3:$B$700&amp;$C$3:$C$700&amp;$D$3:$D$700,0))</f>
        <v>0</v>
      </c>
      <c r="W466">
        <f t="array" ref="W466">INDEX(L$3:L$700,MATCH($B466&amp;$C466&amp;"baseline",$B$3:$B$700&amp;$C$3:$C$700&amp;$D$3:$D$700,0))</f>
        <v>34.866388715432876</v>
      </c>
      <c r="X466">
        <f t="array" ref="X466">INDEX(M$3:M$700,MATCH($B466&amp;$C466&amp;"baseline",$B$3:$B$700&amp;$C$3:$C$700&amp;$D$3:$D$700,0))</f>
        <v>3.229985935080161</v>
      </c>
      <c r="Y466">
        <f t="array" ref="Y466">INDEX(N$3:N$700,MATCH($B466&amp;$C466&amp;"baseline",$B$3:$B$700&amp;$C$3:$C$700&amp;$D$3:$D$700,0))</f>
        <v>0</v>
      </c>
      <c r="Z466">
        <f t="array" ref="Z466">INDEX(O$3:O$700,MATCH($B466&amp;$C466&amp;"baseline",$B$3:$B$700&amp;$C$3:$C$700&amp;$D$3:$D$700,0))</f>
        <v>15.015069752264532</v>
      </c>
      <c r="AA466">
        <f t="array" ref="AA466">INDEX(P$3:P$700,MATCH($B466&amp;$C466&amp;"baseline",$B$3:$B$700&amp;$C$3:$C$700&amp;$D$3:$D$700,0))</f>
        <v>0</v>
      </c>
      <c r="AB466">
        <f t="array" ref="AB466">INDEX(Q$3:Q$700,MATCH($B466&amp;$C466&amp;"baseline",$B$3:$B$700&amp;$C$3:$C$700&amp;$D$3:$D$700,0))</f>
        <v>0</v>
      </c>
      <c r="AC466">
        <f t="shared" si="55"/>
        <v>415.8615621107424</v>
      </c>
      <c r="AD466">
        <f t="shared" si="56"/>
        <v>122.99437253116596</v>
      </c>
      <c r="AE466">
        <f t="shared" si="57"/>
        <v>13.681172857993587</v>
      </c>
      <c r="AF466">
        <f t="shared" si="58"/>
        <v>32.865635548390344</v>
      </c>
      <c r="AG466">
        <f>(S466+V466+Y466)*constants!$O$2+(R466+T466+U466+W466+X466+Z466+AA466+AB466)*constants!$N$2</f>
        <v>11.878145124382895</v>
      </c>
      <c r="AH466">
        <f>((S466+V466+Y466)-(H466+K466+N466))*constants!$O$2</f>
        <v>1.9925088350048885</v>
      </c>
      <c r="AI466">
        <f>((R466+T466+U466+W466+X466+Z466+AA466+AB466)-(G466+I466+J466+L466+M466+O466+P466+Q466))*constants!$N$2</f>
        <v>1.5459725329532754</v>
      </c>
      <c r="AJ466">
        <f t="shared" si="59"/>
        <v>29.78984791737</v>
      </c>
      <c r="AK466">
        <f t="shared" si="60"/>
        <v>3.5384813679581639</v>
      </c>
      <c r="AL466">
        <f>COUNTIFS($B:$B,$B466,$AK:$AK,"&lt;"&amp;$AK466)+COUNTIFS($B$2:$B466,$B466,$AK$2:$AK466,$AK466)</f>
        <v>58</v>
      </c>
      <c r="AM466" s="191">
        <f>IF(AK466=0, "NA",IF(((sim_annual_output!F466/E466)/AK466)&lt;0,100,((sim_annual_output!F466/E466)/AK466)))</f>
        <v>15.323104824931129</v>
      </c>
      <c r="AN466">
        <f>(S466+V466)*constants!$F$2+(T466+U466+W466+X466+Y466+Z466+AA466+AB466)*constants!$G$2</f>
        <v>111139.22770014219</v>
      </c>
      <c r="AO466">
        <f>(AD466*constants!$F$2+AE466*constants!$G$2)</f>
        <v>33918.61306953313</v>
      </c>
      <c r="AP466">
        <f t="shared" si="61"/>
        <v>30.519028943629895</v>
      </c>
    </row>
    <row r="467" spans="1:42">
      <c r="A467">
        <f>sim_annual_output!B467</f>
        <v>21</v>
      </c>
      <c r="B467" t="str">
        <f>sim_annual_output!C467</f>
        <v>Storage Building</v>
      </c>
      <c r="C467" t="str">
        <f>sim_annual_output!D467</f>
        <v>1960-1979</v>
      </c>
      <c r="D467" t="str">
        <f>sim_annual_output!E467</f>
        <v>plug_loads_90_percent</v>
      </c>
      <c r="E467" s="45">
        <f t="array" ref="E467">IFERROR(INDEX(baseline!$J$3:$J$201,MATCH($B467&amp;$C467,baseline!$C$3:$C$201&amp;baseline!$D$3:$D$201,0)),"NA")</f>
        <v>1171</v>
      </c>
      <c r="F467">
        <f>sim_annual_output!G467</f>
        <v>965.15690399999903</v>
      </c>
      <c r="G467">
        <f>$E467/$F467^2*sim_annual_output!I467</f>
        <v>0</v>
      </c>
      <c r="H467">
        <f>$E467/$F467^2*sim_annual_output!J467</f>
        <v>357.9837060307924</v>
      </c>
      <c r="I467">
        <f>$E467/$F467^2*sim_annual_output!K467</f>
        <v>0</v>
      </c>
      <c r="J467">
        <f>$E467/$F467^2*sim_annual_output!L467</f>
        <v>0</v>
      </c>
      <c r="K467">
        <f>$E467/$F467^2*sim_annual_output!M467</f>
        <v>0</v>
      </c>
      <c r="L467">
        <f>$E467/$F467^2*sim_annual_output!N467</f>
        <v>34.866388715432876</v>
      </c>
      <c r="M467">
        <f>$E467/$F467^2*sim_annual_output!O467</f>
        <v>3.229985935080161</v>
      </c>
      <c r="N467">
        <f>$E467/$F467^2*sim_annual_output!P467</f>
        <v>0</v>
      </c>
      <c r="O467">
        <f>$E467/$F467^2*sim_annual_output!Q467</f>
        <v>14.791589644323849</v>
      </c>
      <c r="P467">
        <f>$E467/$F467^2*sim_annual_output!R467</f>
        <v>0</v>
      </c>
      <c r="Q467">
        <f>$E467/$F467^2*sim_annual_output!S467</f>
        <v>0</v>
      </c>
      <c r="R467">
        <f t="array" ref="R467">INDEX(G$3:G$700,MATCH($B467&amp;$C467&amp;"baseline",$B$3:$B$700&amp;$C$3:$C$700&amp;$D$3:$D$700,0))</f>
        <v>0</v>
      </c>
      <c r="S467">
        <f t="array" ref="S467">INDEX(H$3:H$700,MATCH($B467&amp;$C467&amp;"baseline",$B$3:$B$700&amp;$C$3:$C$700&amp;$D$3:$D$700,0))</f>
        <v>362.75011770796482</v>
      </c>
      <c r="T467">
        <f t="array" ref="T467">INDEX(I$3:I$700,MATCH($B467&amp;$C467&amp;"baseline",$B$3:$B$700&amp;$C$3:$C$700&amp;$D$3:$D$700,0))</f>
        <v>0</v>
      </c>
      <c r="U467">
        <f t="array" ref="U467">INDEX(J$3:J$700,MATCH($B467&amp;$C467&amp;"baseline",$B$3:$B$700&amp;$C$3:$C$700&amp;$D$3:$D$700,0))</f>
        <v>0</v>
      </c>
      <c r="V467">
        <f t="array" ref="V467">INDEX(K$3:K$700,MATCH($B467&amp;$C467&amp;"baseline",$B$3:$B$700&amp;$C$3:$C$700&amp;$D$3:$D$700,0))</f>
        <v>0</v>
      </c>
      <c r="W467">
        <f t="array" ref="W467">INDEX(L$3:L$700,MATCH($B467&amp;$C467&amp;"baseline",$B$3:$B$700&amp;$C$3:$C$700&amp;$D$3:$D$700,0))</f>
        <v>34.866388715432876</v>
      </c>
      <c r="X467">
        <f t="array" ref="X467">INDEX(M$3:M$700,MATCH($B467&amp;$C467&amp;"baseline",$B$3:$B$700&amp;$C$3:$C$700&amp;$D$3:$D$700,0))</f>
        <v>3.229985935080161</v>
      </c>
      <c r="Y467">
        <f t="array" ref="Y467">INDEX(N$3:N$700,MATCH($B467&amp;$C467&amp;"baseline",$B$3:$B$700&amp;$C$3:$C$700&amp;$D$3:$D$700,0))</f>
        <v>0</v>
      </c>
      <c r="Z467">
        <f t="array" ref="Z467">INDEX(O$3:O$700,MATCH($B467&amp;$C467&amp;"baseline",$B$3:$B$700&amp;$C$3:$C$700&amp;$D$3:$D$700,0))</f>
        <v>15.015069752264532</v>
      </c>
      <c r="AA467">
        <f t="array" ref="AA467">INDEX(P$3:P$700,MATCH($B467&amp;$C467&amp;"baseline",$B$3:$B$700&amp;$C$3:$C$700&amp;$D$3:$D$700,0))</f>
        <v>0</v>
      </c>
      <c r="AB467">
        <f t="array" ref="AB467">INDEX(Q$3:Q$700,MATCH($B467&amp;$C467&amp;"baseline",$B$3:$B$700&amp;$C$3:$C$700&amp;$D$3:$D$700,0))</f>
        <v>0</v>
      </c>
      <c r="AC467">
        <f t="shared" si="55"/>
        <v>415.8615621107424</v>
      </c>
      <c r="AD467">
        <f t="shared" si="56"/>
        <v>4.7664116771724139</v>
      </c>
      <c r="AE467">
        <f t="shared" si="57"/>
        <v>0.22348010794068074</v>
      </c>
      <c r="AF467">
        <f t="shared" si="58"/>
        <v>1.1998925218734942</v>
      </c>
      <c r="AG467">
        <f>(S467+V467+Y467)*constants!$O$2+(R467+T467+U467+W467+X467+Z467+AA467+AB467)*constants!$N$2</f>
        <v>11.878145124382895</v>
      </c>
      <c r="AH467">
        <f>((S467+V467+Y467)-(H467+K467+N467))*constants!$O$2</f>
        <v>7.7215869170193102E-2</v>
      </c>
      <c r="AI467">
        <f>((R467+T467+U467+W467+X467+Z467+AA467+AB467)-(G467+I467+J467+L467+M467+O467+P467+Q467))*constants!$N$2</f>
        <v>2.5253252197296926E-2</v>
      </c>
      <c r="AJ467">
        <f t="shared" si="59"/>
        <v>0.86266938393559667</v>
      </c>
      <c r="AK467">
        <f t="shared" si="60"/>
        <v>0.10246912136749003</v>
      </c>
      <c r="AL467">
        <f>COUNTIFS($B:$B,$B467,$AK:$AK,"&lt;"&amp;$AK467)+COUNTIFS($B$2:$B467,$B467,$AK$2:$AK467,$AK467)</f>
        <v>25</v>
      </c>
      <c r="AM467" s="191">
        <f>IF(AK467=0, "NA",IF(((sim_annual_output!F467/E467)/AK467)&lt;0,100,((sim_annual_output!F467/E467)/AK467)))</f>
        <v>2.2979158114516944</v>
      </c>
      <c r="AN467">
        <f>(S467+V467)*constants!$F$2+(T467+U467+W467+X467+Y467+Z467+AA467+AB467)*constants!$G$2</f>
        <v>111139.22770014219</v>
      </c>
      <c r="AO467">
        <f>(AD467*constants!$F$2+AE467*constants!$G$2)</f>
        <v>1047.6153841222545</v>
      </c>
      <c r="AP467">
        <f t="shared" si="61"/>
        <v>0.94261531756254424</v>
      </c>
    </row>
    <row r="468" spans="1:42">
      <c r="A468">
        <f>sim_annual_output!B468</f>
        <v>22</v>
      </c>
      <c r="B468" t="str">
        <f>sim_annual_output!C468</f>
        <v>Storage Building</v>
      </c>
      <c r="C468" t="str">
        <f>sim_annual_output!D468</f>
        <v>1980-2004</v>
      </c>
      <c r="D468" t="str">
        <f>sim_annual_output!E468</f>
        <v>baseline</v>
      </c>
      <c r="E468" s="45">
        <f t="array" ref="E468">IFERROR(INDEX(baseline!$J$3:$J$201,MATCH($B468&amp;$C468,baseline!$C$3:$C$201&amp;baseline!$D$3:$D$201,0)),"NA")</f>
        <v>1171</v>
      </c>
      <c r="F468">
        <f>sim_annual_output!G468</f>
        <v>965.15690399999903</v>
      </c>
      <c r="G468">
        <f>$E468/$F468^2*sim_annual_output!I468</f>
        <v>0</v>
      </c>
      <c r="H468">
        <f>$E468/$F468^2*sim_annual_output!J468</f>
        <v>219.94283685718281</v>
      </c>
      <c r="I468">
        <f>$E468/$F468^2*sim_annual_output!K468</f>
        <v>0</v>
      </c>
      <c r="J468">
        <f>$E468/$F468^2*sim_annual_output!L468</f>
        <v>0</v>
      </c>
      <c r="K468">
        <f>$E468/$F468^2*sim_annual_output!M468</f>
        <v>0</v>
      </c>
      <c r="L468">
        <f>$E468/$F468^2*sim_annual_output!N468</f>
        <v>34.866388715432876</v>
      </c>
      <c r="M468">
        <f>$E468/$F468^2*sim_annual_output!O468</f>
        <v>3.229985935080161</v>
      </c>
      <c r="N468">
        <f>$E468/$F468^2*sim_annual_output!P468</f>
        <v>0</v>
      </c>
      <c r="O468">
        <f>$E468/$F468^2*sim_annual_output!Q468</f>
        <v>9.281408232911426</v>
      </c>
      <c r="P468">
        <f>$E468/$F468^2*sim_annual_output!R468</f>
        <v>0</v>
      </c>
      <c r="Q468">
        <f>$E468/$F468^2*sim_annual_output!S468</f>
        <v>0</v>
      </c>
      <c r="R468">
        <f t="array" ref="R468">INDEX(G$3:G$700,MATCH($B468&amp;$C468&amp;"baseline",$B$3:$B$700&amp;$C$3:$C$700&amp;$D$3:$D$700,0))</f>
        <v>0</v>
      </c>
      <c r="S468">
        <f t="array" ref="S468">INDEX(H$3:H$700,MATCH($B468&amp;$C468&amp;"baseline",$B$3:$B$700&amp;$C$3:$C$700&amp;$D$3:$D$700,0))</f>
        <v>219.94283685718281</v>
      </c>
      <c r="T468">
        <f t="array" ref="T468">INDEX(I$3:I$700,MATCH($B468&amp;$C468&amp;"baseline",$B$3:$B$700&amp;$C$3:$C$700&amp;$D$3:$D$700,0))</f>
        <v>0</v>
      </c>
      <c r="U468">
        <f t="array" ref="U468">INDEX(J$3:J$700,MATCH($B468&amp;$C468&amp;"baseline",$B$3:$B$700&amp;$C$3:$C$700&amp;$D$3:$D$700,0))</f>
        <v>0</v>
      </c>
      <c r="V468">
        <f t="array" ref="V468">INDEX(K$3:K$700,MATCH($B468&amp;$C468&amp;"baseline",$B$3:$B$700&amp;$C$3:$C$700&amp;$D$3:$D$700,0))</f>
        <v>0</v>
      </c>
      <c r="W468">
        <f t="array" ref="W468">INDEX(L$3:L$700,MATCH($B468&amp;$C468&amp;"baseline",$B$3:$B$700&amp;$C$3:$C$700&amp;$D$3:$D$700,0))</f>
        <v>34.866388715432876</v>
      </c>
      <c r="X468">
        <f t="array" ref="X468">INDEX(M$3:M$700,MATCH($B468&amp;$C468&amp;"baseline",$B$3:$B$700&amp;$C$3:$C$700&amp;$D$3:$D$700,0))</f>
        <v>3.229985935080161</v>
      </c>
      <c r="Y468">
        <f t="array" ref="Y468">INDEX(N$3:N$700,MATCH($B468&amp;$C468&amp;"baseline",$B$3:$B$700&amp;$C$3:$C$700&amp;$D$3:$D$700,0))</f>
        <v>0</v>
      </c>
      <c r="Z468">
        <f t="array" ref="Z468">INDEX(O$3:O$700,MATCH($B468&amp;$C468&amp;"baseline",$B$3:$B$700&amp;$C$3:$C$700&amp;$D$3:$D$700,0))</f>
        <v>9.281408232911426</v>
      </c>
      <c r="AA468">
        <f t="array" ref="AA468">INDEX(P$3:P$700,MATCH($B468&amp;$C468&amp;"baseline",$B$3:$B$700&amp;$C$3:$C$700&amp;$D$3:$D$700,0))</f>
        <v>0</v>
      </c>
      <c r="AB468">
        <f t="array" ref="AB468">INDEX(Q$3:Q$700,MATCH($B468&amp;$C468&amp;"baseline",$B$3:$B$700&amp;$C$3:$C$700&amp;$D$3:$D$700,0))</f>
        <v>0</v>
      </c>
      <c r="AC468">
        <f t="shared" si="55"/>
        <v>267.32061974060724</v>
      </c>
      <c r="AD468">
        <f t="shared" si="56"/>
        <v>0</v>
      </c>
      <c r="AE468">
        <f t="shared" si="57"/>
        <v>0</v>
      </c>
      <c r="AF468">
        <f t="shared" si="58"/>
        <v>0</v>
      </c>
      <c r="AG468">
        <f>(S468+V468+Y468)*constants!$O$2+(R468+T468+U468+W468+X468+Z468+AA468+AB468)*constants!$N$2</f>
        <v>8.9167634229133252</v>
      </c>
      <c r="AH468">
        <f>((S468+V468+Y468)-(H468+K468+N468))*constants!$O$2</f>
        <v>0</v>
      </c>
      <c r="AI468">
        <f>((R468+T468+U468+W468+X468+Z468+AA468+AB468)-(G468+I468+J468+L468+M468+O468+P468+Q468))*constants!$N$2</f>
        <v>0</v>
      </c>
      <c r="AJ468">
        <f t="shared" si="59"/>
        <v>0</v>
      </c>
      <c r="AK468">
        <f t="shared" si="60"/>
        <v>0</v>
      </c>
      <c r="AL468">
        <f>COUNTIFS($B:$B,$B468,$AK:$AK,"&lt;"&amp;$AK468)+COUNTIFS($B$2:$B468,$B468,$AK$2:$AK468,$AK468)</f>
        <v>4</v>
      </c>
      <c r="AM468" s="191" t="str">
        <f>IF(AK468=0, "NA",IF(((sim_annual_output!F468/E468)/AK468)&lt;0,100,((sim_annual_output!F468/E468)/AK468)))</f>
        <v>NA</v>
      </c>
      <c r="AN468">
        <f>(S468+V468)*constants!$F$2+(T468+U468+W468+X468+Y468+Z468+AA468+AB468)*constants!$G$2</f>
        <v>80588.438906014999</v>
      </c>
      <c r="AO468">
        <f>(AD468*constants!$F$2+AE468*constants!$G$2)</f>
        <v>0</v>
      </c>
      <c r="AP468">
        <f t="shared" si="61"/>
        <v>0</v>
      </c>
    </row>
    <row r="469" spans="1:42">
      <c r="A469">
        <f>sim_annual_output!B469</f>
        <v>22</v>
      </c>
      <c r="B469" t="str">
        <f>sim_annual_output!C469</f>
        <v>Storage Building</v>
      </c>
      <c r="C469" t="str">
        <f>sim_annual_output!D469</f>
        <v>1980-2004</v>
      </c>
      <c r="D469" t="str">
        <f>sim_annual_output!E469</f>
        <v>dcv_enabled</v>
      </c>
      <c r="E469" s="45">
        <f t="array" ref="E469">IFERROR(INDEX(baseline!$J$3:$J$201,MATCH($B469&amp;$C469,baseline!$C$3:$C$201&amp;baseline!$D$3:$D$201,0)),"NA")</f>
        <v>1171</v>
      </c>
      <c r="F469">
        <f>sim_annual_output!G469</f>
        <v>965.15690399999903</v>
      </c>
      <c r="G469">
        <f>$E469/$F469^2*sim_annual_output!I469</f>
        <v>0</v>
      </c>
      <c r="H469">
        <f>$E469/$F469^2*sim_annual_output!J469</f>
        <v>216.91188789323732</v>
      </c>
      <c r="I469">
        <f>$E469/$F469^2*sim_annual_output!K469</f>
        <v>0</v>
      </c>
      <c r="J469">
        <f>$E469/$F469^2*sim_annual_output!L469</f>
        <v>0</v>
      </c>
      <c r="K469">
        <f>$E469/$F469^2*sim_annual_output!M469</f>
        <v>0</v>
      </c>
      <c r="L469">
        <f>$E469/$F469^2*sim_annual_output!N469</f>
        <v>34.866388715432876</v>
      </c>
      <c r="M469">
        <f>$E469/$F469^2*sim_annual_output!O469</f>
        <v>3.229985935080161</v>
      </c>
      <c r="N469">
        <f>$E469/$F469^2*sim_annual_output!P469</f>
        <v>0</v>
      </c>
      <c r="O469">
        <f>$E469/$F469^2*sim_annual_output!Q469</f>
        <v>9.0998306452096216</v>
      </c>
      <c r="P469">
        <f>$E469/$F469^2*sim_annual_output!R469</f>
        <v>0</v>
      </c>
      <c r="Q469">
        <f>$E469/$F469^2*sim_annual_output!S469</f>
        <v>0</v>
      </c>
      <c r="R469">
        <f t="array" ref="R469">INDEX(G$3:G$700,MATCH($B469&amp;$C469&amp;"baseline",$B$3:$B$700&amp;$C$3:$C$700&amp;$D$3:$D$700,0))</f>
        <v>0</v>
      </c>
      <c r="S469">
        <f t="array" ref="S469">INDEX(H$3:H$700,MATCH($B469&amp;$C469&amp;"baseline",$B$3:$B$700&amp;$C$3:$C$700&amp;$D$3:$D$700,0))</f>
        <v>219.94283685718281</v>
      </c>
      <c r="T469">
        <f t="array" ref="T469">INDEX(I$3:I$700,MATCH($B469&amp;$C469&amp;"baseline",$B$3:$B$700&amp;$C$3:$C$700&amp;$D$3:$D$700,0))</f>
        <v>0</v>
      </c>
      <c r="U469">
        <f t="array" ref="U469">INDEX(J$3:J$700,MATCH($B469&amp;$C469&amp;"baseline",$B$3:$B$700&amp;$C$3:$C$700&amp;$D$3:$D$700,0))</f>
        <v>0</v>
      </c>
      <c r="V469">
        <f t="array" ref="V469">INDEX(K$3:K$700,MATCH($B469&amp;$C469&amp;"baseline",$B$3:$B$700&amp;$C$3:$C$700&amp;$D$3:$D$700,0))</f>
        <v>0</v>
      </c>
      <c r="W469">
        <f t="array" ref="W469">INDEX(L$3:L$700,MATCH($B469&amp;$C469&amp;"baseline",$B$3:$B$700&amp;$C$3:$C$700&amp;$D$3:$D$700,0))</f>
        <v>34.866388715432876</v>
      </c>
      <c r="X469">
        <f t="array" ref="X469">INDEX(M$3:M$700,MATCH($B469&amp;$C469&amp;"baseline",$B$3:$B$700&amp;$C$3:$C$700&amp;$D$3:$D$700,0))</f>
        <v>3.229985935080161</v>
      </c>
      <c r="Y469">
        <f t="array" ref="Y469">INDEX(N$3:N$700,MATCH($B469&amp;$C469&amp;"baseline",$B$3:$B$700&amp;$C$3:$C$700&amp;$D$3:$D$700,0))</f>
        <v>0</v>
      </c>
      <c r="Z469">
        <f t="array" ref="Z469">INDEX(O$3:O$700,MATCH($B469&amp;$C469&amp;"baseline",$B$3:$B$700&amp;$C$3:$C$700&amp;$D$3:$D$700,0))</f>
        <v>9.281408232911426</v>
      </c>
      <c r="AA469">
        <f t="array" ref="AA469">INDEX(P$3:P$700,MATCH($B469&amp;$C469&amp;"baseline",$B$3:$B$700&amp;$C$3:$C$700&amp;$D$3:$D$700,0))</f>
        <v>0</v>
      </c>
      <c r="AB469">
        <f t="array" ref="AB469">INDEX(Q$3:Q$700,MATCH($B469&amp;$C469&amp;"baseline",$B$3:$B$700&amp;$C$3:$C$700&amp;$D$3:$D$700,0))</f>
        <v>0</v>
      </c>
      <c r="AC469">
        <f t="shared" si="55"/>
        <v>267.32061974060724</v>
      </c>
      <c r="AD469">
        <f t="shared" si="56"/>
        <v>3.030948963945491</v>
      </c>
      <c r="AE469">
        <f t="shared" si="57"/>
        <v>0.18157758770180266</v>
      </c>
      <c r="AF469">
        <f t="shared" si="58"/>
        <v>1.2017503755469918</v>
      </c>
      <c r="AG469">
        <f>(S469+V469+Y469)*constants!$O$2+(R469+T469+U469+W469+X469+Z469+AA469+AB469)*constants!$N$2</f>
        <v>8.9167634229133252</v>
      </c>
      <c r="AH469">
        <f>((S469+V469+Y469)-(H469+K469+N469))*constants!$O$2</f>
        <v>4.9101373215916948E-2</v>
      </c>
      <c r="AI469">
        <f>((R469+T469+U469+W469+X469+Z469+AA469+AB469)-(G469+I469+J469+L469+M469+O469+P469+Q469))*constants!$N$2</f>
        <v>2.05182674103037E-2</v>
      </c>
      <c r="AJ469">
        <f t="shared" si="59"/>
        <v>0.78077254407490149</v>
      </c>
      <c r="AK469">
        <f t="shared" si="60"/>
        <v>6.9619640626220641E-2</v>
      </c>
      <c r="AL469">
        <f>COUNTIFS($B:$B,$B469,$AK:$AK,"&lt;"&amp;$AK469)+COUNTIFS($B$2:$B469,$B469,$AK$2:$AK469,$AK469)</f>
        <v>13</v>
      </c>
      <c r="AM469" s="191">
        <f>IF(AK469=0, "NA",IF(((sim_annual_output!F469/E469)/AK469)&lt;0,100,((sim_annual_output!F469/E469)/AK469)))</f>
        <v>10.205999274295795</v>
      </c>
      <c r="AN469">
        <f>(S469+V469)*constants!$F$2+(T469+U469+W469+X469+Y469+Z469+AA469+AB469)*constants!$G$2</f>
        <v>80588.438906014999</v>
      </c>
      <c r="AO469">
        <f>(AD469*constants!$F$2+AE469*constants!$G$2)</f>
        <v>700.51236584681112</v>
      </c>
      <c r="AP469">
        <f t="shared" si="61"/>
        <v>0.8692467249102227</v>
      </c>
    </row>
    <row r="470" spans="1:42">
      <c r="A470">
        <f>sim_annual_output!B470</f>
        <v>22</v>
      </c>
      <c r="B470" t="str">
        <f>sim_annual_output!C470</f>
        <v>Storage Building</v>
      </c>
      <c r="C470" t="str">
        <f>sim_annual_output!D470</f>
        <v>1980-2004</v>
      </c>
      <c r="D470" t="str">
        <f>sim_annual_output!E470</f>
        <v>ecm_cold_deck_reset_control</v>
      </c>
      <c r="E470" s="45">
        <f t="array" ref="E470">IFERROR(INDEX(baseline!$J$3:$J$201,MATCH($B470&amp;$C470,baseline!$C$3:$C$201&amp;baseline!$D$3:$D$201,0)),"NA")</f>
        <v>1171</v>
      </c>
      <c r="F470">
        <f>sim_annual_output!G470</f>
        <v>965.15690399999903</v>
      </c>
      <c r="G470">
        <f>$E470/$F470^2*sim_annual_output!I470</f>
        <v>0</v>
      </c>
      <c r="H470">
        <f>$E470/$F470^2*sim_annual_output!J470</f>
        <v>216.91188789323732</v>
      </c>
      <c r="I470">
        <f>$E470/$F470^2*sim_annual_output!K470</f>
        <v>0</v>
      </c>
      <c r="J470">
        <f>$E470/$F470^2*sim_annual_output!L470</f>
        <v>0</v>
      </c>
      <c r="K470">
        <f>$E470/$F470^2*sim_annual_output!M470</f>
        <v>0</v>
      </c>
      <c r="L470">
        <f>$E470/$F470^2*sim_annual_output!N470</f>
        <v>34.866388715432876</v>
      </c>
      <c r="M470">
        <f>$E470/$F470^2*sim_annual_output!O470</f>
        <v>3.229985935080161</v>
      </c>
      <c r="N470">
        <f>$E470/$F470^2*sim_annual_output!P470</f>
        <v>0</v>
      </c>
      <c r="O470">
        <f>$E470/$F470^2*sim_annual_output!Q470</f>
        <v>9.0998306452096216</v>
      </c>
      <c r="P470">
        <f>$E470/$F470^2*sim_annual_output!R470</f>
        <v>0</v>
      </c>
      <c r="Q470">
        <f>$E470/$F470^2*sim_annual_output!S470</f>
        <v>0</v>
      </c>
      <c r="R470">
        <f t="array" ref="R470">INDEX(G$3:G$700,MATCH($B470&amp;$C470&amp;"baseline",$B$3:$B$700&amp;$C$3:$C$700&amp;$D$3:$D$700,0))</f>
        <v>0</v>
      </c>
      <c r="S470">
        <f t="array" ref="S470">INDEX(H$3:H$700,MATCH($B470&amp;$C470&amp;"baseline",$B$3:$B$700&amp;$C$3:$C$700&amp;$D$3:$D$700,0))</f>
        <v>219.94283685718281</v>
      </c>
      <c r="T470">
        <f t="array" ref="T470">INDEX(I$3:I$700,MATCH($B470&amp;$C470&amp;"baseline",$B$3:$B$700&amp;$C$3:$C$700&amp;$D$3:$D$700,0))</f>
        <v>0</v>
      </c>
      <c r="U470">
        <f t="array" ref="U470">INDEX(J$3:J$700,MATCH($B470&amp;$C470&amp;"baseline",$B$3:$B$700&amp;$C$3:$C$700&amp;$D$3:$D$700,0))</f>
        <v>0</v>
      </c>
      <c r="V470">
        <f t="array" ref="V470">INDEX(K$3:K$700,MATCH($B470&amp;$C470&amp;"baseline",$B$3:$B$700&amp;$C$3:$C$700&amp;$D$3:$D$700,0))</f>
        <v>0</v>
      </c>
      <c r="W470">
        <f t="array" ref="W470">INDEX(L$3:L$700,MATCH($B470&amp;$C470&amp;"baseline",$B$3:$B$700&amp;$C$3:$C$700&amp;$D$3:$D$700,0))</f>
        <v>34.866388715432876</v>
      </c>
      <c r="X470">
        <f t="array" ref="X470">INDEX(M$3:M$700,MATCH($B470&amp;$C470&amp;"baseline",$B$3:$B$700&amp;$C$3:$C$700&amp;$D$3:$D$700,0))</f>
        <v>3.229985935080161</v>
      </c>
      <c r="Y470">
        <f t="array" ref="Y470">INDEX(N$3:N$700,MATCH($B470&amp;$C470&amp;"baseline",$B$3:$B$700&amp;$C$3:$C$700&amp;$D$3:$D$700,0))</f>
        <v>0</v>
      </c>
      <c r="Z470">
        <f t="array" ref="Z470">INDEX(O$3:O$700,MATCH($B470&amp;$C470&amp;"baseline",$B$3:$B$700&amp;$C$3:$C$700&amp;$D$3:$D$700,0))</f>
        <v>9.281408232911426</v>
      </c>
      <c r="AA470">
        <f t="array" ref="AA470">INDEX(P$3:P$700,MATCH($B470&amp;$C470&amp;"baseline",$B$3:$B$700&amp;$C$3:$C$700&amp;$D$3:$D$700,0))</f>
        <v>0</v>
      </c>
      <c r="AB470">
        <f t="array" ref="AB470">INDEX(Q$3:Q$700,MATCH($B470&amp;$C470&amp;"baseline",$B$3:$B$700&amp;$C$3:$C$700&amp;$D$3:$D$700,0))</f>
        <v>0</v>
      </c>
      <c r="AC470">
        <f t="shared" si="55"/>
        <v>267.32061974060724</v>
      </c>
      <c r="AD470">
        <f t="shared" si="56"/>
        <v>3.030948963945491</v>
      </c>
      <c r="AE470">
        <f t="shared" si="57"/>
        <v>0.18157758770180266</v>
      </c>
      <c r="AF470">
        <f t="shared" si="58"/>
        <v>1.2017503755469918</v>
      </c>
      <c r="AG470">
        <f>(S470+V470+Y470)*constants!$O$2+(R470+T470+U470+W470+X470+Z470+AA470+AB470)*constants!$N$2</f>
        <v>8.9167634229133252</v>
      </c>
      <c r="AH470">
        <f>((S470+V470+Y470)-(H470+K470+N470))*constants!$O$2</f>
        <v>4.9101373215916948E-2</v>
      </c>
      <c r="AI470">
        <f>((R470+T470+U470+W470+X470+Z470+AA470+AB470)-(G470+I470+J470+L470+M470+O470+P470+Q470))*constants!$N$2</f>
        <v>2.05182674103037E-2</v>
      </c>
      <c r="AJ470">
        <f t="shared" si="59"/>
        <v>0.78077254407490149</v>
      </c>
      <c r="AK470">
        <f t="shared" si="60"/>
        <v>6.9619640626220641E-2</v>
      </c>
      <c r="AL470">
        <f>COUNTIFS($B:$B,$B470,$AK:$AK,"&lt;"&amp;$AK470)+COUNTIFS($B$2:$B470,$B470,$AK$2:$AK470,$AK470)</f>
        <v>14</v>
      </c>
      <c r="AM470" s="191">
        <f>IF(AK470=0, "NA",IF(((sim_annual_output!F470/E470)/AK470)&lt;0,100,((sim_annual_output!F470/E470)/AK470)))</f>
        <v>0</v>
      </c>
      <c r="AN470">
        <f>(S470+V470)*constants!$F$2+(T470+U470+W470+X470+Y470+Z470+AA470+AB470)*constants!$G$2</f>
        <v>80588.438906014999</v>
      </c>
      <c r="AO470">
        <f>(AD470*constants!$F$2+AE470*constants!$G$2)</f>
        <v>700.51236584681112</v>
      </c>
      <c r="AP470">
        <f t="shared" si="61"/>
        <v>0.8692467249102227</v>
      </c>
    </row>
    <row r="471" spans="1:42">
      <c r="A471">
        <f>sim_annual_output!B471</f>
        <v>22</v>
      </c>
      <c r="B471" t="str">
        <f>sim_annual_output!C471</f>
        <v>Storage Building</v>
      </c>
      <c r="C471" t="str">
        <f>sim_annual_output!D471</f>
        <v>1980-2004</v>
      </c>
      <c r="D471" t="str">
        <f>sim_annual_output!E471</f>
        <v>elec_reduce</v>
      </c>
      <c r="E471" s="45">
        <f t="array" ref="E471">IFERROR(INDEX(baseline!$J$3:$J$201,MATCH($B471&amp;$C471,baseline!$C$3:$C$201&amp;baseline!$D$3:$D$201,0)),"NA")</f>
        <v>1171</v>
      </c>
      <c r="F471">
        <f>sim_annual_output!G471</f>
        <v>965.15690399999903</v>
      </c>
      <c r="G471">
        <f>$E471/$F471^2*sim_annual_output!I471</f>
        <v>0</v>
      </c>
      <c r="H471">
        <f>$E471/$F471^2*sim_annual_output!J471</f>
        <v>227.05578966773231</v>
      </c>
      <c r="I471">
        <f>$E471/$F471^2*sim_annual_output!K471</f>
        <v>0</v>
      </c>
      <c r="J471">
        <f>$E471/$F471^2*sim_annual_output!L471</f>
        <v>0</v>
      </c>
      <c r="K471">
        <f>$E471/$F471^2*sim_annual_output!M471</f>
        <v>0</v>
      </c>
      <c r="L471">
        <f>$E471/$F471^2*sim_annual_output!N471</f>
        <v>24.408218039146298</v>
      </c>
      <c r="M471">
        <f>$E471/$F471^2*sim_annual_output!O471</f>
        <v>3.229985935080161</v>
      </c>
      <c r="N471">
        <f>$E471/$F471^2*sim_annual_output!P471</f>
        <v>0</v>
      </c>
      <c r="O471">
        <f>$E471/$F471^2*sim_annual_output!Q471</f>
        <v>9.4804452040460951</v>
      </c>
      <c r="P471">
        <f>$E471/$F471^2*sim_annual_output!R471</f>
        <v>0</v>
      </c>
      <c r="Q471">
        <f>$E471/$F471^2*sim_annual_output!S471</f>
        <v>0</v>
      </c>
      <c r="R471">
        <f t="array" ref="R471">INDEX(G$3:G$700,MATCH($B471&amp;$C471&amp;"baseline",$B$3:$B$700&amp;$C$3:$C$700&amp;$D$3:$D$700,0))</f>
        <v>0</v>
      </c>
      <c r="S471">
        <f t="array" ref="S471">INDEX(H$3:H$700,MATCH($B471&amp;$C471&amp;"baseline",$B$3:$B$700&amp;$C$3:$C$700&amp;$D$3:$D$700,0))</f>
        <v>219.94283685718281</v>
      </c>
      <c r="T471">
        <f t="array" ref="T471">INDEX(I$3:I$700,MATCH($B471&amp;$C471&amp;"baseline",$B$3:$B$700&amp;$C$3:$C$700&amp;$D$3:$D$700,0))</f>
        <v>0</v>
      </c>
      <c r="U471">
        <f t="array" ref="U471">INDEX(J$3:J$700,MATCH($B471&amp;$C471&amp;"baseline",$B$3:$B$700&amp;$C$3:$C$700&amp;$D$3:$D$700,0))</f>
        <v>0</v>
      </c>
      <c r="V471">
        <f t="array" ref="V471">INDEX(K$3:K$700,MATCH($B471&amp;$C471&amp;"baseline",$B$3:$B$700&amp;$C$3:$C$700&amp;$D$3:$D$700,0))</f>
        <v>0</v>
      </c>
      <c r="W471">
        <f t="array" ref="W471">INDEX(L$3:L$700,MATCH($B471&amp;$C471&amp;"baseline",$B$3:$B$700&amp;$C$3:$C$700&amp;$D$3:$D$700,0))</f>
        <v>34.866388715432876</v>
      </c>
      <c r="X471">
        <f t="array" ref="X471">INDEX(M$3:M$700,MATCH($B471&amp;$C471&amp;"baseline",$B$3:$B$700&amp;$C$3:$C$700&amp;$D$3:$D$700,0))</f>
        <v>3.229985935080161</v>
      </c>
      <c r="Y471">
        <f t="array" ref="Y471">INDEX(N$3:N$700,MATCH($B471&amp;$C471&amp;"baseline",$B$3:$B$700&amp;$C$3:$C$700&amp;$D$3:$D$700,0))</f>
        <v>0</v>
      </c>
      <c r="Z471">
        <f t="array" ref="Z471">INDEX(O$3:O$700,MATCH($B471&amp;$C471&amp;"baseline",$B$3:$B$700&amp;$C$3:$C$700&amp;$D$3:$D$700,0))</f>
        <v>9.281408232911426</v>
      </c>
      <c r="AA471">
        <f t="array" ref="AA471">INDEX(P$3:P$700,MATCH($B471&amp;$C471&amp;"baseline",$B$3:$B$700&amp;$C$3:$C$700&amp;$D$3:$D$700,0))</f>
        <v>0</v>
      </c>
      <c r="AB471">
        <f t="array" ref="AB471">INDEX(Q$3:Q$700,MATCH($B471&amp;$C471&amp;"baseline",$B$3:$B$700&amp;$C$3:$C$700&amp;$D$3:$D$700,0))</f>
        <v>0</v>
      </c>
      <c r="AC471">
        <f t="shared" si="55"/>
        <v>267.32061974060724</v>
      </c>
      <c r="AD471">
        <f t="shared" si="56"/>
        <v>-7.1129528105495012</v>
      </c>
      <c r="AE471">
        <f t="shared" si="57"/>
        <v>10.259133705151903</v>
      </c>
      <c r="AF471">
        <f t="shared" si="58"/>
        <v>1.1769316177911295</v>
      </c>
      <c r="AG471">
        <f>(S471+V471+Y471)*constants!$O$2+(R471+T471+U471+W471+X471+Z471+AA471+AB471)*constants!$N$2</f>
        <v>8.9167634229133252</v>
      </c>
      <c r="AH471">
        <f>((S471+V471+Y471)-(H471+K471+N471))*constants!$O$2</f>
        <v>-0.11522983553090191</v>
      </c>
      <c r="AI471">
        <f>((R471+T471+U471+W471+X471+Z471+AA471+AB471)-(G471+I471+J471+L471+M471+O471+P471+Q471))*constants!$N$2</f>
        <v>1.1592821086821652</v>
      </c>
      <c r="AJ471">
        <f t="shared" si="59"/>
        <v>11.708870400983969</v>
      </c>
      <c r="AK471">
        <f t="shared" si="60"/>
        <v>1.0440522731512634</v>
      </c>
      <c r="AL471">
        <f>COUNTIFS($B:$B,$B471,$AK:$AK,"&lt;"&amp;$AK471)+COUNTIFS($B$2:$B471,$B471,$AK$2:$AK471,$AK471)</f>
        <v>46</v>
      </c>
      <c r="AM471" s="191">
        <f>IF(AK471=0, "NA",IF(((sim_annual_output!F471/E471)/AK471)&lt;0,100,((sim_annual_output!F471/E471)/AK471)))</f>
        <v>36.81836616648836</v>
      </c>
      <c r="AN471">
        <f>(S471+V471)*constants!$F$2+(T471+U471+W471+X471+Y471+Z471+AA471+AB471)*constants!$G$2</f>
        <v>80588.438906014999</v>
      </c>
      <c r="AO471">
        <f>(AD471*constants!$F$2+AE471*constants!$G$2)</f>
        <v>7652.2277703937953</v>
      </c>
      <c r="AP471">
        <f t="shared" si="61"/>
        <v>9.4954411256409692</v>
      </c>
    </row>
    <row r="472" spans="1:42">
      <c r="A472">
        <f>sim_annual_output!B472</f>
        <v>22</v>
      </c>
      <c r="B472" t="str">
        <f>sim_annual_output!C472</f>
        <v>Storage Building</v>
      </c>
      <c r="C472" t="str">
        <f>sim_annual_output!D472</f>
        <v>1980-2004</v>
      </c>
      <c r="D472" t="str">
        <f>sim_annual_output!E472</f>
        <v>envelope_ecm_roof</v>
      </c>
      <c r="E472" s="45">
        <f t="array" ref="E472">IFERROR(INDEX(baseline!$J$3:$J$201,MATCH($B472&amp;$C472,baseline!$C$3:$C$201&amp;baseline!$D$3:$D$201,0)),"NA")</f>
        <v>1171</v>
      </c>
      <c r="F472">
        <f>sim_annual_output!G472</f>
        <v>965.15690399999903</v>
      </c>
      <c r="G472">
        <f>$E472/$F472^2*sim_annual_output!I472</f>
        <v>0</v>
      </c>
      <c r="H472">
        <f>$E472/$F472^2*sim_annual_output!J472</f>
        <v>190.09776681704213</v>
      </c>
      <c r="I472">
        <f>$E472/$F472^2*sim_annual_output!K472</f>
        <v>0</v>
      </c>
      <c r="J472">
        <f>$E472/$F472^2*sim_annual_output!L472</f>
        <v>0</v>
      </c>
      <c r="K472">
        <f>$E472/$F472^2*sim_annual_output!M472</f>
        <v>0</v>
      </c>
      <c r="L472">
        <f>$E472/$F472^2*sim_annual_output!N472</f>
        <v>34.866388715432876</v>
      </c>
      <c r="M472">
        <f>$E472/$F472^2*sim_annual_output!O472</f>
        <v>3.229985935080161</v>
      </c>
      <c r="N472">
        <f>$E472/$F472^2*sim_annual_output!P472</f>
        <v>0</v>
      </c>
      <c r="O472">
        <f>$E472/$F472^2*sim_annual_output!Q472</f>
        <v>8.0383001324913845</v>
      </c>
      <c r="P472">
        <f>$E472/$F472^2*sim_annual_output!R472</f>
        <v>0</v>
      </c>
      <c r="Q472">
        <f>$E472/$F472^2*sim_annual_output!S472</f>
        <v>0</v>
      </c>
      <c r="R472">
        <f t="array" ref="R472">INDEX(G$3:G$700,MATCH($B472&amp;$C472&amp;"baseline",$B$3:$B$700&amp;$C$3:$C$700&amp;$D$3:$D$700,0))</f>
        <v>0</v>
      </c>
      <c r="S472">
        <f t="array" ref="S472">INDEX(H$3:H$700,MATCH($B472&amp;$C472&amp;"baseline",$B$3:$B$700&amp;$C$3:$C$700&amp;$D$3:$D$700,0))</f>
        <v>219.94283685718281</v>
      </c>
      <c r="T472">
        <f t="array" ref="T472">INDEX(I$3:I$700,MATCH($B472&amp;$C472&amp;"baseline",$B$3:$B$700&amp;$C$3:$C$700&amp;$D$3:$D$700,0))</f>
        <v>0</v>
      </c>
      <c r="U472">
        <f t="array" ref="U472">INDEX(J$3:J$700,MATCH($B472&amp;$C472&amp;"baseline",$B$3:$B$700&amp;$C$3:$C$700&amp;$D$3:$D$700,0))</f>
        <v>0</v>
      </c>
      <c r="V472">
        <f t="array" ref="V472">INDEX(K$3:K$700,MATCH($B472&amp;$C472&amp;"baseline",$B$3:$B$700&amp;$C$3:$C$700&amp;$D$3:$D$700,0))</f>
        <v>0</v>
      </c>
      <c r="W472">
        <f t="array" ref="W472">INDEX(L$3:L$700,MATCH($B472&amp;$C472&amp;"baseline",$B$3:$B$700&amp;$C$3:$C$700&amp;$D$3:$D$700,0))</f>
        <v>34.866388715432876</v>
      </c>
      <c r="X472">
        <f t="array" ref="X472">INDEX(M$3:M$700,MATCH($B472&amp;$C472&amp;"baseline",$B$3:$B$700&amp;$C$3:$C$700&amp;$D$3:$D$700,0))</f>
        <v>3.229985935080161</v>
      </c>
      <c r="Y472">
        <f t="array" ref="Y472">INDEX(N$3:N$700,MATCH($B472&amp;$C472&amp;"baseline",$B$3:$B$700&amp;$C$3:$C$700&amp;$D$3:$D$700,0))</f>
        <v>0</v>
      </c>
      <c r="Z472">
        <f t="array" ref="Z472">INDEX(O$3:O$700,MATCH($B472&amp;$C472&amp;"baseline",$B$3:$B$700&amp;$C$3:$C$700&amp;$D$3:$D$700,0))</f>
        <v>9.281408232911426</v>
      </c>
      <c r="AA472">
        <f t="array" ref="AA472">INDEX(P$3:P$700,MATCH($B472&amp;$C472&amp;"baseline",$B$3:$B$700&amp;$C$3:$C$700&amp;$D$3:$D$700,0))</f>
        <v>0</v>
      </c>
      <c r="AB472">
        <f t="array" ref="AB472">INDEX(Q$3:Q$700,MATCH($B472&amp;$C472&amp;"baseline",$B$3:$B$700&amp;$C$3:$C$700&amp;$D$3:$D$700,0))</f>
        <v>0</v>
      </c>
      <c r="AC472">
        <f t="shared" si="55"/>
        <v>267.32061974060724</v>
      </c>
      <c r="AD472">
        <f t="shared" si="56"/>
        <v>29.845070040140683</v>
      </c>
      <c r="AE472">
        <f t="shared" si="57"/>
        <v>1.2431081004200379</v>
      </c>
      <c r="AF472">
        <f t="shared" si="58"/>
        <v>11.629547384233556</v>
      </c>
      <c r="AG472">
        <f>(S472+V472+Y472)*constants!$O$2+(R472+T472+U472+W472+X472+Z472+AA472+AB472)*constants!$N$2</f>
        <v>8.9167634229133252</v>
      </c>
      <c r="AH472">
        <f>((S472+V472+Y472)-(H472+K472+N472))*constants!$O$2</f>
        <v>0.48349013465027907</v>
      </c>
      <c r="AI472">
        <f>((R472+T472+U472+W472+X472+Z472+AA472+AB472)-(G472+I472+J472+L472+M472+O472+P472+Q472))*constants!$N$2</f>
        <v>0.14047121534746429</v>
      </c>
      <c r="AJ472">
        <f t="shared" si="59"/>
        <v>6.997621450787352</v>
      </c>
      <c r="AK472">
        <f t="shared" si="60"/>
        <v>0.62396134999774333</v>
      </c>
      <c r="AL472">
        <f>COUNTIFS($B:$B,$B472,$AK:$AK,"&lt;"&amp;$AK472)+COUNTIFS($B$2:$B472,$B472,$AK$2:$AK472,$AK472)</f>
        <v>39</v>
      </c>
      <c r="AM472" s="191">
        <f>IF(AK472=0, "NA",IF(((sim_annual_output!F472/E472)/AK472)&lt;0,100,((sim_annual_output!F472/E472)/AK472)))</f>
        <v>217.53345455865133</v>
      </c>
      <c r="AN472">
        <f>(S472+V472)*constants!$F$2+(T472+U472+W472+X472+Y472+Z472+AA472+AB472)*constants!$G$2</f>
        <v>80588.438906014999</v>
      </c>
      <c r="AO472">
        <f>(AD472*constants!$F$2+AE472*constants!$G$2)</f>
        <v>6423.7715845506154</v>
      </c>
      <c r="AP472">
        <f t="shared" si="61"/>
        <v>7.9710832865769214</v>
      </c>
    </row>
    <row r="473" spans="1:42">
      <c r="A473">
        <f>sim_annual_output!B473</f>
        <v>22</v>
      </c>
      <c r="B473" t="str">
        <f>sim_annual_output!C473</f>
        <v>Storage Building</v>
      </c>
      <c r="C473" t="str">
        <f>sim_annual_output!D473</f>
        <v>1980-2004</v>
      </c>
      <c r="D473" t="str">
        <f>sim_annual_output!E473</f>
        <v>envelope_ecm_wall</v>
      </c>
      <c r="E473" s="45">
        <f t="array" ref="E473">IFERROR(INDEX(baseline!$J$3:$J$201,MATCH($B473&amp;$C473,baseline!$C$3:$C$201&amp;baseline!$D$3:$D$201,0)),"NA")</f>
        <v>1171</v>
      </c>
      <c r="F473">
        <f>sim_annual_output!G473</f>
        <v>965.15690399999903</v>
      </c>
      <c r="G473">
        <f>$E473/$F473^2*sim_annual_output!I473</f>
        <v>0</v>
      </c>
      <c r="H473">
        <f>$E473/$F473^2*sim_annual_output!J473</f>
        <v>213.99966273663532</v>
      </c>
      <c r="I473">
        <f>$E473/$F473^2*sim_annual_output!K473</f>
        <v>0</v>
      </c>
      <c r="J473">
        <f>$E473/$F473^2*sim_annual_output!L473</f>
        <v>0</v>
      </c>
      <c r="K473">
        <f>$E473/$F473^2*sim_annual_output!M473</f>
        <v>0</v>
      </c>
      <c r="L473">
        <f>$E473/$F473^2*sim_annual_output!N473</f>
        <v>34.866388715432876</v>
      </c>
      <c r="M473">
        <f>$E473/$F473^2*sim_annual_output!O473</f>
        <v>3.229985935080161</v>
      </c>
      <c r="N473">
        <f>$E473/$F473^2*sim_annual_output!P473</f>
        <v>0</v>
      </c>
      <c r="O473">
        <f>$E473/$F473^2*sim_annual_output!Q473</f>
        <v>8.9706312078064148</v>
      </c>
      <c r="P473">
        <f>$E473/$F473^2*sim_annual_output!R473</f>
        <v>0</v>
      </c>
      <c r="Q473">
        <f>$E473/$F473^2*sim_annual_output!S473</f>
        <v>0</v>
      </c>
      <c r="R473">
        <f t="array" ref="R473">INDEX(G$3:G$700,MATCH($B473&amp;$C473&amp;"baseline",$B$3:$B$700&amp;$C$3:$C$700&amp;$D$3:$D$700,0))</f>
        <v>0</v>
      </c>
      <c r="S473">
        <f t="array" ref="S473">INDEX(H$3:H$700,MATCH($B473&amp;$C473&amp;"baseline",$B$3:$B$700&amp;$C$3:$C$700&amp;$D$3:$D$700,0))</f>
        <v>219.94283685718281</v>
      </c>
      <c r="T473">
        <f t="array" ref="T473">INDEX(I$3:I$700,MATCH($B473&amp;$C473&amp;"baseline",$B$3:$B$700&amp;$C$3:$C$700&amp;$D$3:$D$700,0))</f>
        <v>0</v>
      </c>
      <c r="U473">
        <f t="array" ref="U473">INDEX(J$3:J$700,MATCH($B473&amp;$C473&amp;"baseline",$B$3:$B$700&amp;$C$3:$C$700&amp;$D$3:$D$700,0))</f>
        <v>0</v>
      </c>
      <c r="V473">
        <f t="array" ref="V473">INDEX(K$3:K$700,MATCH($B473&amp;$C473&amp;"baseline",$B$3:$B$700&amp;$C$3:$C$700&amp;$D$3:$D$700,0))</f>
        <v>0</v>
      </c>
      <c r="W473">
        <f t="array" ref="W473">INDEX(L$3:L$700,MATCH($B473&amp;$C473&amp;"baseline",$B$3:$B$700&amp;$C$3:$C$700&amp;$D$3:$D$700,0))</f>
        <v>34.866388715432876</v>
      </c>
      <c r="X473">
        <f t="array" ref="X473">INDEX(M$3:M$700,MATCH($B473&amp;$C473&amp;"baseline",$B$3:$B$700&amp;$C$3:$C$700&amp;$D$3:$D$700,0))</f>
        <v>3.229985935080161</v>
      </c>
      <c r="Y473">
        <f t="array" ref="Y473">INDEX(N$3:N$700,MATCH($B473&amp;$C473&amp;"baseline",$B$3:$B$700&amp;$C$3:$C$700&amp;$D$3:$D$700,0))</f>
        <v>0</v>
      </c>
      <c r="Z473">
        <f t="array" ref="Z473">INDEX(O$3:O$700,MATCH($B473&amp;$C473&amp;"baseline",$B$3:$B$700&amp;$C$3:$C$700&amp;$D$3:$D$700,0))</f>
        <v>9.281408232911426</v>
      </c>
      <c r="AA473">
        <f t="array" ref="AA473">INDEX(P$3:P$700,MATCH($B473&amp;$C473&amp;"baseline",$B$3:$B$700&amp;$C$3:$C$700&amp;$D$3:$D$700,0))</f>
        <v>0</v>
      </c>
      <c r="AB473">
        <f t="array" ref="AB473">INDEX(Q$3:Q$700,MATCH($B473&amp;$C473&amp;"baseline",$B$3:$B$700&amp;$C$3:$C$700&amp;$D$3:$D$700,0))</f>
        <v>0</v>
      </c>
      <c r="AC473">
        <f t="shared" si="55"/>
        <v>267.32061974060724</v>
      </c>
      <c r="AD473">
        <f t="shared" si="56"/>
        <v>5.9431741205474964</v>
      </c>
      <c r="AE473">
        <f t="shared" si="57"/>
        <v>0.31077702510501126</v>
      </c>
      <c r="AF473">
        <f t="shared" si="58"/>
        <v>2.3394944810920264</v>
      </c>
      <c r="AG473">
        <f>(S473+V473+Y473)*constants!$O$2+(R473+T473+U473+W473+X473+Z473+AA473+AB473)*constants!$N$2</f>
        <v>8.9167634229133252</v>
      </c>
      <c r="AH473">
        <f>((S473+V473+Y473)-(H473+K473+N473))*constants!$O$2</f>
        <v>9.6279420752869438E-2</v>
      </c>
      <c r="AI473">
        <f>((R473+T473+U473+W473+X473+Z473+AA473+AB473)-(G473+I473+J473+L473+M473+O473+P473+Q473))*constants!$N$2</f>
        <v>3.5117803836866274E-2</v>
      </c>
      <c r="AJ473">
        <f t="shared" si="59"/>
        <v>1.4735977434602052</v>
      </c>
      <c r="AK473">
        <f t="shared" si="60"/>
        <v>0.13139722458973571</v>
      </c>
      <c r="AL473">
        <f>COUNTIFS($B:$B,$B473,$AK:$AK,"&lt;"&amp;$AK473)+COUNTIFS($B$2:$B473,$B473,$AK$2:$AK473,$AK473)</f>
        <v>31</v>
      </c>
      <c r="AM473" s="191">
        <f>IF(AK473=0, "NA",IF(((sim_annual_output!F473/E473)/AK473)&lt;0,100,((sim_annual_output!F473/E473)/AK473)))</f>
        <v>1015.3447006083056</v>
      </c>
      <c r="AN473">
        <f>(S473+V473)*constants!$F$2+(T473+U473+W473+X473+Y473+Z473+AA473+AB473)*constants!$G$2</f>
        <v>80588.438906014999</v>
      </c>
      <c r="AO473">
        <f>(AD473*constants!$F$2+AE473*constants!$G$2)</f>
        <v>1334.2041794193615</v>
      </c>
      <c r="AP473">
        <f t="shared" si="61"/>
        <v>1.6555776455421305</v>
      </c>
    </row>
    <row r="474" spans="1:42">
      <c r="A474">
        <f>sim_annual_output!B474</f>
        <v>22</v>
      </c>
      <c r="B474" t="str">
        <f>sim_annual_output!C474</f>
        <v>Storage Building</v>
      </c>
      <c r="C474" t="str">
        <f>sim_annual_output!D474</f>
        <v>1980-2004</v>
      </c>
      <c r="D474" t="str">
        <f>sim_annual_output!E474</f>
        <v>envelope_ecm_windows</v>
      </c>
      <c r="E474" s="45">
        <f t="array" ref="E474">IFERROR(INDEX(baseline!$J$3:$J$201,MATCH($B474&amp;$C474,baseline!$C$3:$C$201&amp;baseline!$D$3:$D$201,0)),"NA")</f>
        <v>1171</v>
      </c>
      <c r="F474">
        <f>sim_annual_output!G474</f>
        <v>965.15690399999903</v>
      </c>
      <c r="G474">
        <f>$E474/$F474^2*sim_annual_output!I474</f>
        <v>0</v>
      </c>
      <c r="H474">
        <f>$E474/$F474^2*sim_annual_output!J474</f>
        <v>216.91188789323732</v>
      </c>
      <c r="I474">
        <f>$E474/$F474^2*sim_annual_output!K474</f>
        <v>0</v>
      </c>
      <c r="J474">
        <f>$E474/$F474^2*sim_annual_output!L474</f>
        <v>0</v>
      </c>
      <c r="K474">
        <f>$E474/$F474^2*sim_annual_output!M474</f>
        <v>0</v>
      </c>
      <c r="L474">
        <f>$E474/$F474^2*sim_annual_output!N474</f>
        <v>34.866388715432876</v>
      </c>
      <c r="M474">
        <f>$E474/$F474^2*sim_annual_output!O474</f>
        <v>3.229985935080161</v>
      </c>
      <c r="N474">
        <f>$E474/$F474^2*sim_annual_output!P474</f>
        <v>0</v>
      </c>
      <c r="O474">
        <f>$E474/$F474^2*sim_annual_output!Q474</f>
        <v>9.0998306452096216</v>
      </c>
      <c r="P474">
        <f>$E474/$F474^2*sim_annual_output!R474</f>
        <v>0</v>
      </c>
      <c r="Q474">
        <f>$E474/$F474^2*sim_annual_output!S474</f>
        <v>0</v>
      </c>
      <c r="R474">
        <f t="array" ref="R474">INDEX(G$3:G$700,MATCH($B474&amp;$C474&amp;"baseline",$B$3:$B$700&amp;$C$3:$C$700&amp;$D$3:$D$700,0))</f>
        <v>0</v>
      </c>
      <c r="S474">
        <f t="array" ref="S474">INDEX(H$3:H$700,MATCH($B474&amp;$C474&amp;"baseline",$B$3:$B$700&amp;$C$3:$C$700&amp;$D$3:$D$700,0))</f>
        <v>219.94283685718281</v>
      </c>
      <c r="T474">
        <f t="array" ref="T474">INDEX(I$3:I$700,MATCH($B474&amp;$C474&amp;"baseline",$B$3:$B$700&amp;$C$3:$C$700&amp;$D$3:$D$700,0))</f>
        <v>0</v>
      </c>
      <c r="U474">
        <f t="array" ref="U474">INDEX(J$3:J$700,MATCH($B474&amp;$C474&amp;"baseline",$B$3:$B$700&amp;$C$3:$C$700&amp;$D$3:$D$700,0))</f>
        <v>0</v>
      </c>
      <c r="V474">
        <f t="array" ref="V474">INDEX(K$3:K$700,MATCH($B474&amp;$C474&amp;"baseline",$B$3:$B$700&amp;$C$3:$C$700&amp;$D$3:$D$700,0))</f>
        <v>0</v>
      </c>
      <c r="W474">
        <f t="array" ref="W474">INDEX(L$3:L$700,MATCH($B474&amp;$C474&amp;"baseline",$B$3:$B$700&amp;$C$3:$C$700&amp;$D$3:$D$700,0))</f>
        <v>34.866388715432876</v>
      </c>
      <c r="X474">
        <f t="array" ref="X474">INDEX(M$3:M$700,MATCH($B474&amp;$C474&amp;"baseline",$B$3:$B$700&amp;$C$3:$C$700&amp;$D$3:$D$700,0))</f>
        <v>3.229985935080161</v>
      </c>
      <c r="Y474">
        <f t="array" ref="Y474">INDEX(N$3:N$700,MATCH($B474&amp;$C474&amp;"baseline",$B$3:$B$700&amp;$C$3:$C$700&amp;$D$3:$D$700,0))</f>
        <v>0</v>
      </c>
      <c r="Z474">
        <f t="array" ref="Z474">INDEX(O$3:O$700,MATCH($B474&amp;$C474&amp;"baseline",$B$3:$B$700&amp;$C$3:$C$700&amp;$D$3:$D$700,0))</f>
        <v>9.281408232911426</v>
      </c>
      <c r="AA474">
        <f t="array" ref="AA474">INDEX(P$3:P$700,MATCH($B474&amp;$C474&amp;"baseline",$B$3:$B$700&amp;$C$3:$C$700&amp;$D$3:$D$700,0))</f>
        <v>0</v>
      </c>
      <c r="AB474">
        <f t="array" ref="AB474">INDEX(Q$3:Q$700,MATCH($B474&amp;$C474&amp;"baseline",$B$3:$B$700&amp;$C$3:$C$700&amp;$D$3:$D$700,0))</f>
        <v>0</v>
      </c>
      <c r="AC474">
        <f t="shared" si="55"/>
        <v>267.32061974060724</v>
      </c>
      <c r="AD474">
        <f t="shared" si="56"/>
        <v>3.030948963945491</v>
      </c>
      <c r="AE474">
        <f t="shared" si="57"/>
        <v>0.18157758770180266</v>
      </c>
      <c r="AF474">
        <f t="shared" si="58"/>
        <v>1.2017503755469918</v>
      </c>
      <c r="AG474">
        <f>(S474+V474+Y474)*constants!$O$2+(R474+T474+U474+W474+X474+Z474+AA474+AB474)*constants!$N$2</f>
        <v>8.9167634229133252</v>
      </c>
      <c r="AH474">
        <f>((S474+V474+Y474)-(H474+K474+N474))*constants!$O$2</f>
        <v>4.9101373215916948E-2</v>
      </c>
      <c r="AI474">
        <f>((R474+T474+U474+W474+X474+Z474+AA474+AB474)-(G474+I474+J474+L474+M474+O474+P474+Q474))*constants!$N$2</f>
        <v>2.05182674103037E-2</v>
      </c>
      <c r="AJ474">
        <f t="shared" si="59"/>
        <v>0.78077254407490149</v>
      </c>
      <c r="AK474">
        <f t="shared" si="60"/>
        <v>6.9619640626220641E-2</v>
      </c>
      <c r="AL474">
        <f>COUNTIFS($B:$B,$B474,$AK:$AK,"&lt;"&amp;$AK474)+COUNTIFS($B$2:$B474,$B474,$AK$2:$AK474,$AK474)</f>
        <v>15</v>
      </c>
      <c r="AM474" s="191">
        <f>IF(AK474=0, "NA",IF(((sim_annual_output!F474/E474)/AK474)&lt;0,100,((sim_annual_output!F474/E474)/AK474)))</f>
        <v>0</v>
      </c>
      <c r="AN474">
        <f>(S474+V474)*constants!$F$2+(T474+U474+W474+X474+Y474+Z474+AA474+AB474)*constants!$G$2</f>
        <v>80588.438906014999</v>
      </c>
      <c r="AO474">
        <f>(AD474*constants!$F$2+AE474*constants!$G$2)</f>
        <v>700.51236584681112</v>
      </c>
      <c r="AP474">
        <f t="shared" si="61"/>
        <v>0.8692467249102227</v>
      </c>
    </row>
    <row r="475" spans="1:42">
      <c r="A475">
        <f>sim_annual_output!B475</f>
        <v>22</v>
      </c>
      <c r="B475" t="str">
        <f>sim_annual_output!C475</f>
        <v>Storage Building</v>
      </c>
      <c r="C475" t="str">
        <f>sim_annual_output!D475</f>
        <v>1980-2004</v>
      </c>
      <c r="D475" t="str">
        <f>sim_annual_output!E475</f>
        <v>exhaust_fans_occ_control</v>
      </c>
      <c r="E475" s="45">
        <f t="array" ref="E475">IFERROR(INDEX(baseline!$J$3:$J$201,MATCH($B475&amp;$C475,baseline!$C$3:$C$201&amp;baseline!$D$3:$D$201,0)),"NA")</f>
        <v>1171</v>
      </c>
      <c r="F475">
        <f>sim_annual_output!G475</f>
        <v>965.15690399999903</v>
      </c>
      <c r="G475">
        <f>$E475/$F475^2*sim_annual_output!I475</f>
        <v>0</v>
      </c>
      <c r="H475">
        <f>$E475/$F475^2*sim_annual_output!J475</f>
        <v>216.91188789323732</v>
      </c>
      <c r="I475">
        <f>$E475/$F475^2*sim_annual_output!K475</f>
        <v>0</v>
      </c>
      <c r="J475">
        <f>$E475/$F475^2*sim_annual_output!L475</f>
        <v>0</v>
      </c>
      <c r="K475">
        <f>$E475/$F475^2*sim_annual_output!M475</f>
        <v>0</v>
      </c>
      <c r="L475">
        <f>$E475/$F475^2*sim_annual_output!N475</f>
        <v>34.866388715432876</v>
      </c>
      <c r="M475">
        <f>$E475/$F475^2*sim_annual_output!O475</f>
        <v>3.229985935080161</v>
      </c>
      <c r="N475">
        <f>$E475/$F475^2*sim_annual_output!P475</f>
        <v>0</v>
      </c>
      <c r="O475">
        <f>$E475/$F475^2*sim_annual_output!Q475</f>
        <v>9.0998306452096216</v>
      </c>
      <c r="P475">
        <f>$E475/$F475^2*sim_annual_output!R475</f>
        <v>0</v>
      </c>
      <c r="Q475">
        <f>$E475/$F475^2*sim_annual_output!S475</f>
        <v>0</v>
      </c>
      <c r="R475">
        <f t="array" ref="R475">INDEX(G$3:G$700,MATCH($B475&amp;$C475&amp;"baseline",$B$3:$B$700&amp;$C$3:$C$700&amp;$D$3:$D$700,0))</f>
        <v>0</v>
      </c>
      <c r="S475">
        <f t="array" ref="S475">INDEX(H$3:H$700,MATCH($B475&amp;$C475&amp;"baseline",$B$3:$B$700&amp;$C$3:$C$700&amp;$D$3:$D$700,0))</f>
        <v>219.94283685718281</v>
      </c>
      <c r="T475">
        <f t="array" ref="T475">INDEX(I$3:I$700,MATCH($B475&amp;$C475&amp;"baseline",$B$3:$B$700&amp;$C$3:$C$700&amp;$D$3:$D$700,0))</f>
        <v>0</v>
      </c>
      <c r="U475">
        <f t="array" ref="U475">INDEX(J$3:J$700,MATCH($B475&amp;$C475&amp;"baseline",$B$3:$B$700&amp;$C$3:$C$700&amp;$D$3:$D$700,0))</f>
        <v>0</v>
      </c>
      <c r="V475">
        <f t="array" ref="V475">INDEX(K$3:K$700,MATCH($B475&amp;$C475&amp;"baseline",$B$3:$B$700&amp;$C$3:$C$700&amp;$D$3:$D$700,0))</f>
        <v>0</v>
      </c>
      <c r="W475">
        <f t="array" ref="W475">INDEX(L$3:L$700,MATCH($B475&amp;$C475&amp;"baseline",$B$3:$B$700&amp;$C$3:$C$700&amp;$D$3:$D$700,0))</f>
        <v>34.866388715432876</v>
      </c>
      <c r="X475">
        <f t="array" ref="X475">INDEX(M$3:M$700,MATCH($B475&amp;$C475&amp;"baseline",$B$3:$B$700&amp;$C$3:$C$700&amp;$D$3:$D$700,0))</f>
        <v>3.229985935080161</v>
      </c>
      <c r="Y475">
        <f t="array" ref="Y475">INDEX(N$3:N$700,MATCH($B475&amp;$C475&amp;"baseline",$B$3:$B$700&amp;$C$3:$C$700&amp;$D$3:$D$700,0))</f>
        <v>0</v>
      </c>
      <c r="Z475">
        <f t="array" ref="Z475">INDEX(O$3:O$700,MATCH($B475&amp;$C475&amp;"baseline",$B$3:$B$700&amp;$C$3:$C$700&amp;$D$3:$D$700,0))</f>
        <v>9.281408232911426</v>
      </c>
      <c r="AA475">
        <f t="array" ref="AA475">INDEX(P$3:P$700,MATCH($B475&amp;$C475&amp;"baseline",$B$3:$B$700&amp;$C$3:$C$700&amp;$D$3:$D$700,0))</f>
        <v>0</v>
      </c>
      <c r="AB475">
        <f t="array" ref="AB475">INDEX(Q$3:Q$700,MATCH($B475&amp;$C475&amp;"baseline",$B$3:$B$700&amp;$C$3:$C$700&amp;$D$3:$D$700,0))</f>
        <v>0</v>
      </c>
      <c r="AC475">
        <f t="shared" si="55"/>
        <v>267.32061974060724</v>
      </c>
      <c r="AD475">
        <f t="shared" si="56"/>
        <v>3.030948963945491</v>
      </c>
      <c r="AE475">
        <f t="shared" si="57"/>
        <v>0.18157758770180266</v>
      </c>
      <c r="AF475">
        <f t="shared" si="58"/>
        <v>1.2017503755469918</v>
      </c>
      <c r="AG475">
        <f>(S475+V475+Y475)*constants!$O$2+(R475+T475+U475+W475+X475+Z475+AA475+AB475)*constants!$N$2</f>
        <v>8.9167634229133252</v>
      </c>
      <c r="AH475">
        <f>((S475+V475+Y475)-(H475+K475+N475))*constants!$O$2</f>
        <v>4.9101373215916948E-2</v>
      </c>
      <c r="AI475">
        <f>((R475+T475+U475+W475+X475+Z475+AA475+AB475)-(G475+I475+J475+L475+M475+O475+P475+Q475))*constants!$N$2</f>
        <v>2.05182674103037E-2</v>
      </c>
      <c r="AJ475">
        <f t="shared" si="59"/>
        <v>0.78077254407490149</v>
      </c>
      <c r="AK475">
        <f t="shared" si="60"/>
        <v>6.9619640626220641E-2</v>
      </c>
      <c r="AL475">
        <f>COUNTIFS($B:$B,$B475,$AK:$AK,"&lt;"&amp;$AK475)+COUNTIFS($B$2:$B475,$B475,$AK$2:$AK475,$AK475)</f>
        <v>16</v>
      </c>
      <c r="AM475" s="191">
        <f>IF(AK475=0, "NA",IF(((sim_annual_output!F475/E475)/AK475)&lt;0,100,((sim_annual_output!F475/E475)/AK475)))</f>
        <v>8.9793756415022035</v>
      </c>
      <c r="AN475">
        <f>(S475+V475)*constants!$F$2+(T475+U475+W475+X475+Y475+Z475+AA475+AB475)*constants!$G$2</f>
        <v>80588.438906014999</v>
      </c>
      <c r="AO475">
        <f>(AD475*constants!$F$2+AE475*constants!$G$2)</f>
        <v>700.51236584681112</v>
      </c>
      <c r="AP475">
        <f t="shared" si="61"/>
        <v>0.8692467249102227</v>
      </c>
    </row>
    <row r="476" spans="1:42">
      <c r="A476">
        <f>sim_annual_output!B476</f>
        <v>22</v>
      </c>
      <c r="B476" t="str">
        <f>sim_annual_output!C476</f>
        <v>Storage Building</v>
      </c>
      <c r="C476" t="str">
        <f>sim_annual_output!D476</f>
        <v>1980-2004</v>
      </c>
      <c r="D476" t="str">
        <f>sim_annual_output!E476</f>
        <v>hrv_enabled</v>
      </c>
      <c r="E476" s="45">
        <f t="array" ref="E476">IFERROR(INDEX(baseline!$J$3:$J$201,MATCH($B476&amp;$C476,baseline!$C$3:$C$201&amp;baseline!$D$3:$D$201,0)),"NA")</f>
        <v>1171</v>
      </c>
      <c r="F476">
        <f>sim_annual_output!G476</f>
        <v>965.15690399999903</v>
      </c>
      <c r="G476">
        <f>$E476/$F476^2*sim_annual_output!I476</f>
        <v>0</v>
      </c>
      <c r="H476">
        <f>$E476/$F476^2*sim_annual_output!J476</f>
        <v>216.91188789323732</v>
      </c>
      <c r="I476">
        <f>$E476/$F476^2*sim_annual_output!K476</f>
        <v>0</v>
      </c>
      <c r="J476">
        <f>$E476/$F476^2*sim_annual_output!L476</f>
        <v>0</v>
      </c>
      <c r="K476">
        <f>$E476/$F476^2*sim_annual_output!M476</f>
        <v>0</v>
      </c>
      <c r="L476">
        <f>$E476/$F476^2*sim_annual_output!N476</f>
        <v>34.866388715432876</v>
      </c>
      <c r="M476">
        <f>$E476/$F476^2*sim_annual_output!O476</f>
        <v>3.229985935080161</v>
      </c>
      <c r="N476">
        <f>$E476/$F476^2*sim_annual_output!P476</f>
        <v>0</v>
      </c>
      <c r="O476">
        <f>$E476/$F476^2*sim_annual_output!Q476</f>
        <v>9.0998306452096216</v>
      </c>
      <c r="P476">
        <f>$E476/$F476^2*sim_annual_output!R476</f>
        <v>0</v>
      </c>
      <c r="Q476">
        <f>$E476/$F476^2*sim_annual_output!S476</f>
        <v>0</v>
      </c>
      <c r="R476">
        <f t="array" ref="R476">INDEX(G$3:G$700,MATCH($B476&amp;$C476&amp;"baseline",$B$3:$B$700&amp;$C$3:$C$700&amp;$D$3:$D$700,0))</f>
        <v>0</v>
      </c>
      <c r="S476">
        <f t="array" ref="S476">INDEX(H$3:H$700,MATCH($B476&amp;$C476&amp;"baseline",$B$3:$B$700&amp;$C$3:$C$700&amp;$D$3:$D$700,0))</f>
        <v>219.94283685718281</v>
      </c>
      <c r="T476">
        <f t="array" ref="T476">INDEX(I$3:I$700,MATCH($B476&amp;$C476&amp;"baseline",$B$3:$B$700&amp;$C$3:$C$700&amp;$D$3:$D$700,0))</f>
        <v>0</v>
      </c>
      <c r="U476">
        <f t="array" ref="U476">INDEX(J$3:J$700,MATCH($B476&amp;$C476&amp;"baseline",$B$3:$B$700&amp;$C$3:$C$700&amp;$D$3:$D$700,0))</f>
        <v>0</v>
      </c>
      <c r="V476">
        <f t="array" ref="V476">INDEX(K$3:K$700,MATCH($B476&amp;$C476&amp;"baseline",$B$3:$B$700&amp;$C$3:$C$700&amp;$D$3:$D$700,0))</f>
        <v>0</v>
      </c>
      <c r="W476">
        <f t="array" ref="W476">INDEX(L$3:L$700,MATCH($B476&amp;$C476&amp;"baseline",$B$3:$B$700&amp;$C$3:$C$700&amp;$D$3:$D$700,0))</f>
        <v>34.866388715432876</v>
      </c>
      <c r="X476">
        <f t="array" ref="X476">INDEX(M$3:M$700,MATCH($B476&amp;$C476&amp;"baseline",$B$3:$B$700&amp;$C$3:$C$700&amp;$D$3:$D$700,0))</f>
        <v>3.229985935080161</v>
      </c>
      <c r="Y476">
        <f t="array" ref="Y476">INDEX(N$3:N$700,MATCH($B476&amp;$C476&amp;"baseline",$B$3:$B$700&amp;$C$3:$C$700&amp;$D$3:$D$700,0))</f>
        <v>0</v>
      </c>
      <c r="Z476">
        <f t="array" ref="Z476">INDEX(O$3:O$700,MATCH($B476&amp;$C476&amp;"baseline",$B$3:$B$700&amp;$C$3:$C$700&amp;$D$3:$D$700,0))</f>
        <v>9.281408232911426</v>
      </c>
      <c r="AA476">
        <f t="array" ref="AA476">INDEX(P$3:P$700,MATCH($B476&amp;$C476&amp;"baseline",$B$3:$B$700&amp;$C$3:$C$700&amp;$D$3:$D$700,0))</f>
        <v>0</v>
      </c>
      <c r="AB476">
        <f t="array" ref="AB476">INDEX(Q$3:Q$700,MATCH($B476&amp;$C476&amp;"baseline",$B$3:$B$700&amp;$C$3:$C$700&amp;$D$3:$D$700,0))</f>
        <v>0</v>
      </c>
      <c r="AC476">
        <f t="shared" si="55"/>
        <v>267.32061974060724</v>
      </c>
      <c r="AD476">
        <f t="shared" si="56"/>
        <v>3.030948963945491</v>
      </c>
      <c r="AE476">
        <f t="shared" si="57"/>
        <v>0.18157758770180266</v>
      </c>
      <c r="AF476">
        <f t="shared" si="58"/>
        <v>1.2017503755469918</v>
      </c>
      <c r="AG476">
        <f>(S476+V476+Y476)*constants!$O$2+(R476+T476+U476+W476+X476+Z476+AA476+AB476)*constants!$N$2</f>
        <v>8.9167634229133252</v>
      </c>
      <c r="AH476">
        <f>((S476+V476+Y476)-(H476+K476+N476))*constants!$O$2</f>
        <v>4.9101373215916948E-2</v>
      </c>
      <c r="AI476">
        <f>((R476+T476+U476+W476+X476+Z476+AA476+AB476)-(G476+I476+J476+L476+M476+O476+P476+Q476))*constants!$N$2</f>
        <v>2.05182674103037E-2</v>
      </c>
      <c r="AJ476">
        <f t="shared" si="59"/>
        <v>0.78077254407490149</v>
      </c>
      <c r="AK476">
        <f t="shared" si="60"/>
        <v>6.9619640626220641E-2</v>
      </c>
      <c r="AL476">
        <f>COUNTIFS($B:$B,$B476,$AK:$AK,"&lt;"&amp;$AK476)+COUNTIFS($B$2:$B476,$B476,$AK$2:$AK476,$AK476)</f>
        <v>17</v>
      </c>
      <c r="AM476" s="191">
        <f>IF(AK476=0, "NA",IF(((sim_annual_output!F476/E476)/AK476)&lt;0,100,((sim_annual_output!F476/E476)/AK476)))</f>
        <v>0</v>
      </c>
      <c r="AN476">
        <f>(S476+V476)*constants!$F$2+(T476+U476+W476+X476+Y476+Z476+AA476+AB476)*constants!$G$2</f>
        <v>80588.438906014999</v>
      </c>
      <c r="AO476">
        <f>(AD476*constants!$F$2+AE476*constants!$G$2)</f>
        <v>700.51236584681112</v>
      </c>
      <c r="AP476">
        <f t="shared" si="61"/>
        <v>0.8692467249102227</v>
      </c>
    </row>
    <row r="477" spans="1:42">
      <c r="A477">
        <f>sim_annual_output!B477</f>
        <v>22</v>
      </c>
      <c r="B477" t="str">
        <f>sim_annual_output!C477</f>
        <v>Storage Building</v>
      </c>
      <c r="C477" t="str">
        <f>sim_annual_output!D477</f>
        <v>1980-2004</v>
      </c>
      <c r="D477" t="str">
        <f>sim_annual_output!E477</f>
        <v>infil_reduce</v>
      </c>
      <c r="E477" s="45">
        <f t="array" ref="E477">IFERROR(INDEX(baseline!$J$3:$J$201,MATCH($B477&amp;$C477,baseline!$C$3:$C$201&amp;baseline!$D$3:$D$201,0)),"NA")</f>
        <v>1171</v>
      </c>
      <c r="F477">
        <f>sim_annual_output!G477</f>
        <v>965.15690399999903</v>
      </c>
      <c r="G477">
        <f>$E477/$F477^2*sim_annual_output!I477</f>
        <v>0</v>
      </c>
      <c r="H477">
        <f>$E477/$F477^2*sim_annual_output!J477</f>
        <v>193.40806591591345</v>
      </c>
      <c r="I477">
        <f>$E477/$F477^2*sim_annual_output!K477</f>
        <v>0</v>
      </c>
      <c r="J477">
        <f>$E477/$F477^2*sim_annual_output!L477</f>
        <v>0</v>
      </c>
      <c r="K477">
        <f>$E477/$F477^2*sim_annual_output!M477</f>
        <v>0</v>
      </c>
      <c r="L477">
        <f>$E477/$F477^2*sim_annual_output!N477</f>
        <v>34.866388715432876</v>
      </c>
      <c r="M477">
        <f>$E477/$F477^2*sim_annual_output!O477</f>
        <v>3.229985935080161</v>
      </c>
      <c r="N477">
        <f>$E477/$F477^2*sim_annual_output!P477</f>
        <v>0</v>
      </c>
      <c r="O477">
        <f>$E477/$F477^2*sim_annual_output!Q477</f>
        <v>8.164007693208017</v>
      </c>
      <c r="P477">
        <f>$E477/$F477^2*sim_annual_output!R477</f>
        <v>0</v>
      </c>
      <c r="Q477">
        <f>$E477/$F477^2*sim_annual_output!S477</f>
        <v>0</v>
      </c>
      <c r="R477">
        <f t="array" ref="R477">INDEX(G$3:G$700,MATCH($B477&amp;$C477&amp;"baseline",$B$3:$B$700&amp;$C$3:$C$700&amp;$D$3:$D$700,0))</f>
        <v>0</v>
      </c>
      <c r="S477">
        <f t="array" ref="S477">INDEX(H$3:H$700,MATCH($B477&amp;$C477&amp;"baseline",$B$3:$B$700&amp;$C$3:$C$700&amp;$D$3:$D$700,0))</f>
        <v>219.94283685718281</v>
      </c>
      <c r="T477">
        <f t="array" ref="T477">INDEX(I$3:I$700,MATCH($B477&amp;$C477&amp;"baseline",$B$3:$B$700&amp;$C$3:$C$700&amp;$D$3:$D$700,0))</f>
        <v>0</v>
      </c>
      <c r="U477">
        <f t="array" ref="U477">INDEX(J$3:J$700,MATCH($B477&amp;$C477&amp;"baseline",$B$3:$B$700&amp;$C$3:$C$700&amp;$D$3:$D$700,0))</f>
        <v>0</v>
      </c>
      <c r="V477">
        <f t="array" ref="V477">INDEX(K$3:K$700,MATCH($B477&amp;$C477&amp;"baseline",$B$3:$B$700&amp;$C$3:$C$700&amp;$D$3:$D$700,0))</f>
        <v>0</v>
      </c>
      <c r="W477">
        <f t="array" ref="W477">INDEX(L$3:L$700,MATCH($B477&amp;$C477&amp;"baseline",$B$3:$B$700&amp;$C$3:$C$700&amp;$D$3:$D$700,0))</f>
        <v>34.866388715432876</v>
      </c>
      <c r="X477">
        <f t="array" ref="X477">INDEX(M$3:M$700,MATCH($B477&amp;$C477&amp;"baseline",$B$3:$B$700&amp;$C$3:$C$700&amp;$D$3:$D$700,0))</f>
        <v>3.229985935080161</v>
      </c>
      <c r="Y477">
        <f t="array" ref="Y477">INDEX(N$3:N$700,MATCH($B477&amp;$C477&amp;"baseline",$B$3:$B$700&amp;$C$3:$C$700&amp;$D$3:$D$700,0))</f>
        <v>0</v>
      </c>
      <c r="Z477">
        <f t="array" ref="Z477">INDEX(O$3:O$700,MATCH($B477&amp;$C477&amp;"baseline",$B$3:$B$700&amp;$C$3:$C$700&amp;$D$3:$D$700,0))</f>
        <v>9.281408232911426</v>
      </c>
      <c r="AA477">
        <f t="array" ref="AA477">INDEX(P$3:P$700,MATCH($B477&amp;$C477&amp;"baseline",$B$3:$B$700&amp;$C$3:$C$700&amp;$D$3:$D$700,0))</f>
        <v>0</v>
      </c>
      <c r="AB477">
        <f t="array" ref="AB477">INDEX(Q$3:Q$700,MATCH($B477&amp;$C477&amp;"baseline",$B$3:$B$700&amp;$C$3:$C$700&amp;$D$3:$D$700,0))</f>
        <v>0</v>
      </c>
      <c r="AC477">
        <f t="shared" si="55"/>
        <v>267.32061974060724</v>
      </c>
      <c r="AD477">
        <f t="shared" si="56"/>
        <v>26.534770941269358</v>
      </c>
      <c r="AE477">
        <f t="shared" si="57"/>
        <v>1.1174005397034108</v>
      </c>
      <c r="AF477">
        <f t="shared" si="58"/>
        <v>10.344196982561565</v>
      </c>
      <c r="AG477">
        <f>(S477+V477+Y477)*constants!$O$2+(R477+T477+U477+W477+X477+Z477+AA477+AB477)*constants!$N$2</f>
        <v>8.9167634229133252</v>
      </c>
      <c r="AH477">
        <f>((S477+V477+Y477)-(H477+K477+N477))*constants!$O$2</f>
        <v>0.4298632892485636</v>
      </c>
      <c r="AI477">
        <f>((R477+T477+U477+W477+X477+Z477+AA477+AB477)-(G477+I477+J477+L477+M477+O477+P477+Q477))*constants!$N$2</f>
        <v>0.12626626098648541</v>
      </c>
      <c r="AJ477">
        <f t="shared" si="59"/>
        <v>6.2368992408833899</v>
      </c>
      <c r="AK477">
        <f t="shared" si="60"/>
        <v>0.55612955023504895</v>
      </c>
      <c r="AL477">
        <f>COUNTIFS($B:$B,$B477,$AK:$AK,"&lt;"&amp;$AK477)+COUNTIFS($B$2:$B477,$B477,$AK$2:$AK477,$AK477)</f>
        <v>38</v>
      </c>
      <c r="AM477" s="191">
        <f>IF(AK477=0, "NA",IF(((sim_annual_output!F477/E477)/AK477)&lt;0,100,((sim_annual_output!F477/E477)/AK477)))</f>
        <v>49.980275460953941</v>
      </c>
      <c r="AN477">
        <f>(S477+V477)*constants!$F$2+(T477+U477+W477+X477+Y477+Z477+AA477+AB477)*constants!$G$2</f>
        <v>80588.438906014999</v>
      </c>
      <c r="AO477">
        <f>(AD477*constants!$F$2+AE477*constants!$G$2)</f>
        <v>5721.8624680291823</v>
      </c>
      <c r="AP477">
        <f t="shared" si="61"/>
        <v>7.1001033717779478</v>
      </c>
    </row>
    <row r="478" spans="1:42">
      <c r="A478">
        <f>sim_annual_output!B478</f>
        <v>22</v>
      </c>
      <c r="B478" t="str">
        <f>sim_annual_output!C478</f>
        <v>Storage Building</v>
      </c>
      <c r="C478" t="str">
        <f>sim_annual_output!D478</f>
        <v>1980-2004</v>
      </c>
      <c r="D478" t="str">
        <f>sim_annual_output!E478</f>
        <v>infil_reduce_plus_setback</v>
      </c>
      <c r="E478" s="45">
        <f t="array" ref="E478">IFERROR(INDEX(baseline!$J$3:$J$201,MATCH($B478&amp;$C478,baseline!$C$3:$C$201&amp;baseline!$D$3:$D$201,0)),"NA")</f>
        <v>1171</v>
      </c>
      <c r="F478">
        <f>sim_annual_output!G478</f>
        <v>965.15690399999903</v>
      </c>
      <c r="G478">
        <f>$E478/$F478^2*sim_annual_output!I478</f>
        <v>0</v>
      </c>
      <c r="H478">
        <f>$E478/$F478^2*sim_annual_output!J478</f>
        <v>167.25740141016718</v>
      </c>
      <c r="I478">
        <f>$E478/$F478^2*sim_annual_output!K478</f>
        <v>0</v>
      </c>
      <c r="J478">
        <f>$E478/$F478^2*sim_annual_output!L478</f>
        <v>0</v>
      </c>
      <c r="K478">
        <f>$E478/$F478^2*sim_annual_output!M478</f>
        <v>0</v>
      </c>
      <c r="L478">
        <f>$E478/$F478^2*sim_annual_output!N478</f>
        <v>34.866388715432876</v>
      </c>
      <c r="M478">
        <f>$E478/$F478^2*sim_annual_output!O478</f>
        <v>3.229985935080161</v>
      </c>
      <c r="N478">
        <f>$E478/$F478^2*sim_annual_output!P478</f>
        <v>0</v>
      </c>
      <c r="O478">
        <f>$E478/$F478^2*sim_annual_output!Q478</f>
        <v>8.37701217108898</v>
      </c>
      <c r="P478">
        <f>$E478/$F478^2*sim_annual_output!R478</f>
        <v>0</v>
      </c>
      <c r="Q478">
        <f>$E478/$F478^2*sim_annual_output!S478</f>
        <v>0</v>
      </c>
      <c r="R478">
        <f t="array" ref="R478">INDEX(G$3:G$700,MATCH($B478&amp;$C478&amp;"baseline",$B$3:$B$700&amp;$C$3:$C$700&amp;$D$3:$D$700,0))</f>
        <v>0</v>
      </c>
      <c r="S478">
        <f t="array" ref="S478">INDEX(H$3:H$700,MATCH($B478&amp;$C478&amp;"baseline",$B$3:$B$700&amp;$C$3:$C$700&amp;$D$3:$D$700,0))</f>
        <v>219.94283685718281</v>
      </c>
      <c r="T478">
        <f t="array" ref="T478">INDEX(I$3:I$700,MATCH($B478&amp;$C478&amp;"baseline",$B$3:$B$700&amp;$C$3:$C$700&amp;$D$3:$D$700,0))</f>
        <v>0</v>
      </c>
      <c r="U478">
        <f t="array" ref="U478">INDEX(J$3:J$700,MATCH($B478&amp;$C478&amp;"baseline",$B$3:$B$700&amp;$C$3:$C$700&amp;$D$3:$D$700,0))</f>
        <v>0</v>
      </c>
      <c r="V478">
        <f t="array" ref="V478">INDEX(K$3:K$700,MATCH($B478&amp;$C478&amp;"baseline",$B$3:$B$700&amp;$C$3:$C$700&amp;$D$3:$D$700,0))</f>
        <v>0</v>
      </c>
      <c r="W478">
        <f t="array" ref="W478">INDEX(L$3:L$700,MATCH($B478&amp;$C478&amp;"baseline",$B$3:$B$700&amp;$C$3:$C$700&amp;$D$3:$D$700,0))</f>
        <v>34.866388715432876</v>
      </c>
      <c r="X478">
        <f t="array" ref="X478">INDEX(M$3:M$700,MATCH($B478&amp;$C478&amp;"baseline",$B$3:$B$700&amp;$C$3:$C$700&amp;$D$3:$D$700,0))</f>
        <v>3.229985935080161</v>
      </c>
      <c r="Y478">
        <f t="array" ref="Y478">INDEX(N$3:N$700,MATCH($B478&amp;$C478&amp;"baseline",$B$3:$B$700&amp;$C$3:$C$700&amp;$D$3:$D$700,0))</f>
        <v>0</v>
      </c>
      <c r="Z478">
        <f t="array" ref="Z478">INDEX(O$3:O$700,MATCH($B478&amp;$C478&amp;"baseline",$B$3:$B$700&amp;$C$3:$C$700&amp;$D$3:$D$700,0))</f>
        <v>9.281408232911426</v>
      </c>
      <c r="AA478">
        <f t="array" ref="AA478">INDEX(P$3:P$700,MATCH($B478&amp;$C478&amp;"baseline",$B$3:$B$700&amp;$C$3:$C$700&amp;$D$3:$D$700,0))</f>
        <v>0</v>
      </c>
      <c r="AB478">
        <f t="array" ref="AB478">INDEX(Q$3:Q$700,MATCH($B478&amp;$C478&amp;"baseline",$B$3:$B$700&amp;$C$3:$C$700&amp;$D$3:$D$700,0))</f>
        <v>0</v>
      </c>
      <c r="AC478">
        <f t="shared" si="55"/>
        <v>267.32061974060724</v>
      </c>
      <c r="AD478">
        <f t="shared" si="56"/>
        <v>52.685435447015635</v>
      </c>
      <c r="AE478">
        <f t="shared" si="57"/>
        <v>0.90439606182244603</v>
      </c>
      <c r="AF478">
        <f t="shared" si="58"/>
        <v>20.047025014695315</v>
      </c>
      <c r="AG478">
        <f>(S478+V478+Y478)*constants!$O$2+(R478+T478+U478+W478+X478+Z478+AA478+AB478)*constants!$N$2</f>
        <v>8.9167634229133252</v>
      </c>
      <c r="AH478">
        <f>((S478+V478+Y478)-(H478+K478+N478))*constants!$O$2</f>
        <v>0.85350405424165321</v>
      </c>
      <c r="AI478">
        <f>((R478+T478+U478+W478+X478+Z478+AA478+AB478)-(G478+I478+J478+L478+M478+O478+P478+Q478))*constants!$N$2</f>
        <v>0.1021967549859364</v>
      </c>
      <c r="AJ478">
        <f t="shared" si="59"/>
        <v>10.718023613497852</v>
      </c>
      <c r="AK478">
        <f t="shared" si="60"/>
        <v>0.9557008092275896</v>
      </c>
      <c r="AL478">
        <f>COUNTIFS($B:$B,$B478,$AK:$AK,"&lt;"&amp;$AK478)+COUNTIFS($B$2:$B478,$B478,$AK$2:$AK478,$AK478)</f>
        <v>43</v>
      </c>
      <c r="AM478" s="191">
        <f>IF(AK478=0, "NA",IF(((sim_annual_output!F478/E478)/AK478)&lt;0,100,((sim_annual_output!F478/E478)/AK478)))</f>
        <v>29.509858942703293</v>
      </c>
      <c r="AN478">
        <f>(S478+V478)*constants!$F$2+(T478+U478+W478+X478+Y478+Z478+AA478+AB478)*constants!$G$2</f>
        <v>80588.438906014999</v>
      </c>
      <c r="AO478">
        <f>(AD478*constants!$F$2+AE478*constants!$G$2)</f>
        <v>10217.517518801327</v>
      </c>
      <c r="AP478">
        <f t="shared" si="61"/>
        <v>12.678639340212742</v>
      </c>
    </row>
    <row r="479" spans="1:42">
      <c r="A479">
        <f>sim_annual_output!B479</f>
        <v>22</v>
      </c>
      <c r="B479" t="str">
        <f>sim_annual_output!C479</f>
        <v>Storage Building</v>
      </c>
      <c r="C479" t="str">
        <f>sim_annual_output!D479</f>
        <v>1980-2004</v>
      </c>
      <c r="D479" t="str">
        <f>sim_annual_output!E479</f>
        <v>lights_reduce_70p</v>
      </c>
      <c r="E479" s="45">
        <f t="array" ref="E479">IFERROR(INDEX(baseline!$J$3:$J$201,MATCH($B479&amp;$C479,baseline!$C$3:$C$201&amp;baseline!$D$3:$D$201,0)),"NA")</f>
        <v>1171</v>
      </c>
      <c r="F479">
        <f>sim_annual_output!G479</f>
        <v>965.15690399999903</v>
      </c>
      <c r="G479">
        <f>$E479/$F479^2*sim_annual_output!I479</f>
        <v>0</v>
      </c>
      <c r="H479">
        <f>$E479/$F479^2*sim_annual_output!J479</f>
        <v>226.92659023032908</v>
      </c>
      <c r="I479">
        <f>$E479/$F479^2*sim_annual_output!K479</f>
        <v>0</v>
      </c>
      <c r="J479">
        <f>$E479/$F479^2*sim_annual_output!L479</f>
        <v>0</v>
      </c>
      <c r="K479">
        <f>$E479/$F479^2*sim_annual_output!M479</f>
        <v>0</v>
      </c>
      <c r="L479">
        <f>$E479/$F479^2*sim_annual_output!N479</f>
        <v>24.408218039146298</v>
      </c>
      <c r="M479">
        <f>$E479/$F479^2*sim_annual_output!O479</f>
        <v>3.229985935080161</v>
      </c>
      <c r="N479">
        <f>$E479/$F479^2*sim_annual_output!P479</f>
        <v>0</v>
      </c>
      <c r="O479">
        <f>$E479/$F479^2*sim_annual_output!Q479</f>
        <v>9.4664776972998013</v>
      </c>
      <c r="P479">
        <f>$E479/$F479^2*sim_annual_output!R479</f>
        <v>0</v>
      </c>
      <c r="Q479">
        <f>$E479/$F479^2*sim_annual_output!S479</f>
        <v>0</v>
      </c>
      <c r="R479">
        <f t="array" ref="R479">INDEX(G$3:G$700,MATCH($B479&amp;$C479&amp;"baseline",$B$3:$B$700&amp;$C$3:$C$700&amp;$D$3:$D$700,0))</f>
        <v>0</v>
      </c>
      <c r="S479">
        <f t="array" ref="S479">INDEX(H$3:H$700,MATCH($B479&amp;$C479&amp;"baseline",$B$3:$B$700&amp;$C$3:$C$700&amp;$D$3:$D$700,0))</f>
        <v>219.94283685718281</v>
      </c>
      <c r="T479">
        <f t="array" ref="T479">INDEX(I$3:I$700,MATCH($B479&amp;$C479&amp;"baseline",$B$3:$B$700&amp;$C$3:$C$700&amp;$D$3:$D$700,0))</f>
        <v>0</v>
      </c>
      <c r="U479">
        <f t="array" ref="U479">INDEX(J$3:J$700,MATCH($B479&amp;$C479&amp;"baseline",$B$3:$B$700&amp;$C$3:$C$700&amp;$D$3:$D$700,0))</f>
        <v>0</v>
      </c>
      <c r="V479">
        <f t="array" ref="V479">INDEX(K$3:K$700,MATCH($B479&amp;$C479&amp;"baseline",$B$3:$B$700&amp;$C$3:$C$700&amp;$D$3:$D$700,0))</f>
        <v>0</v>
      </c>
      <c r="W479">
        <f t="array" ref="W479">INDEX(L$3:L$700,MATCH($B479&amp;$C479&amp;"baseline",$B$3:$B$700&amp;$C$3:$C$700&amp;$D$3:$D$700,0))</f>
        <v>34.866388715432876</v>
      </c>
      <c r="X479">
        <f t="array" ref="X479">INDEX(M$3:M$700,MATCH($B479&amp;$C479&amp;"baseline",$B$3:$B$700&amp;$C$3:$C$700&amp;$D$3:$D$700,0))</f>
        <v>3.229985935080161</v>
      </c>
      <c r="Y479">
        <f t="array" ref="Y479">INDEX(N$3:N$700,MATCH($B479&amp;$C479&amp;"baseline",$B$3:$B$700&amp;$C$3:$C$700&amp;$D$3:$D$700,0))</f>
        <v>0</v>
      </c>
      <c r="Z479">
        <f t="array" ref="Z479">INDEX(O$3:O$700,MATCH($B479&amp;$C479&amp;"baseline",$B$3:$B$700&amp;$C$3:$C$700&amp;$D$3:$D$700,0))</f>
        <v>9.281408232911426</v>
      </c>
      <c r="AA479">
        <f t="array" ref="AA479">INDEX(P$3:P$700,MATCH($B479&amp;$C479&amp;"baseline",$B$3:$B$700&amp;$C$3:$C$700&amp;$D$3:$D$700,0))</f>
        <v>0</v>
      </c>
      <c r="AB479">
        <f t="array" ref="AB479">INDEX(Q$3:Q$700,MATCH($B479&amp;$C479&amp;"baseline",$B$3:$B$700&amp;$C$3:$C$700&amp;$D$3:$D$700,0))</f>
        <v>0</v>
      </c>
      <c r="AC479">
        <f t="shared" si="55"/>
        <v>267.32061974060724</v>
      </c>
      <c r="AD479">
        <f t="shared" si="56"/>
        <v>-6.9837533731462713</v>
      </c>
      <c r="AE479">
        <f t="shared" si="57"/>
        <v>10.273101211898194</v>
      </c>
      <c r="AF479">
        <f t="shared" si="58"/>
        <v>1.2304878845274707</v>
      </c>
      <c r="AG479">
        <f>(S479+V479+Y479)*constants!$O$2+(R479+T479+U479+W479+X479+Z479+AA479+AB479)*constants!$N$2</f>
        <v>8.9167634229133252</v>
      </c>
      <c r="AH479">
        <f>((S479+V479+Y479)-(H479+K479+N479))*constants!$O$2</f>
        <v>-0.11313680464496959</v>
      </c>
      <c r="AI479">
        <f>((R479+T479+U479+W479+X479+Z479+AA479+AB479)-(G479+I479+J479+L479+M479+O479+P479+Q479))*constants!$N$2</f>
        <v>1.1608604369444959</v>
      </c>
      <c r="AJ479">
        <f t="shared" si="59"/>
        <v>11.750044075490445</v>
      </c>
      <c r="AK479">
        <f t="shared" si="60"/>
        <v>1.0477236322995263</v>
      </c>
      <c r="AL479">
        <f>COUNTIFS($B:$B,$B479,$AK:$AK,"&lt;"&amp;$AK479)+COUNTIFS($B$2:$B479,$B479,$AK$2:$AK479,$AK479)</f>
        <v>49</v>
      </c>
      <c r="AM479" s="191">
        <f>IF(AK479=0, "NA",IF(((sim_annual_output!F479/E479)/AK479)&lt;0,100,((sim_annual_output!F479/E479)/AK479)))</f>
        <v>19.337005600466128</v>
      </c>
      <c r="AN479">
        <f>(S479+V479)*constants!$F$2+(T479+U479+W479+X479+Y479+Z479+AA479+AB479)*constants!$G$2</f>
        <v>80588.438906014999</v>
      </c>
      <c r="AO479">
        <f>(AD479*constants!$F$2+AE479*constants!$G$2)</f>
        <v>7687.5062005582458</v>
      </c>
      <c r="AP479">
        <f t="shared" si="61"/>
        <v>9.5392171692563483</v>
      </c>
    </row>
    <row r="480" spans="1:42">
      <c r="A480">
        <f>sim_annual_output!B480</f>
        <v>22</v>
      </c>
      <c r="B480" t="str">
        <f>sim_annual_output!C480</f>
        <v>Storage Building</v>
      </c>
      <c r="C480" t="str">
        <f>sim_annual_output!D480</f>
        <v>1980-2004</v>
      </c>
      <c r="D480" t="str">
        <f>sim_annual_output!E480</f>
        <v>load_reduce</v>
      </c>
      <c r="E480" s="45">
        <f t="array" ref="E480">IFERROR(INDEX(baseline!$J$3:$J$201,MATCH($B480&amp;$C480,baseline!$C$3:$C$201&amp;baseline!$D$3:$D$201,0)),"NA")</f>
        <v>1171</v>
      </c>
      <c r="F480">
        <f>sim_annual_output!G480</f>
        <v>965.15690399999903</v>
      </c>
      <c r="G480">
        <f>$E480/$F480^2*sim_annual_output!I480</f>
        <v>0</v>
      </c>
      <c r="H480">
        <f>$E480/$F480^2*sim_annual_output!J480</f>
        <v>167.25740141016718</v>
      </c>
      <c r="I480">
        <f>$E480/$F480^2*sim_annual_output!K480</f>
        <v>0</v>
      </c>
      <c r="J480">
        <f>$E480/$F480^2*sim_annual_output!L480</f>
        <v>0</v>
      </c>
      <c r="K480">
        <f>$E480/$F480^2*sim_annual_output!M480</f>
        <v>0</v>
      </c>
      <c r="L480">
        <f>$E480/$F480^2*sim_annual_output!N480</f>
        <v>34.866388715432876</v>
      </c>
      <c r="M480">
        <f>$E480/$F480^2*sim_annual_output!O480</f>
        <v>3.229985935080161</v>
      </c>
      <c r="N480">
        <f>$E480/$F480^2*sim_annual_output!P480</f>
        <v>0</v>
      </c>
      <c r="O480">
        <f>$E480/$F480^2*sim_annual_output!Q480</f>
        <v>8.37701217108898</v>
      </c>
      <c r="P480">
        <f>$E480/$F480^2*sim_annual_output!R480</f>
        <v>0</v>
      </c>
      <c r="Q480">
        <f>$E480/$F480^2*sim_annual_output!S480</f>
        <v>0</v>
      </c>
      <c r="R480">
        <f t="array" ref="R480">INDEX(G$3:G$700,MATCH($B480&amp;$C480&amp;"baseline",$B$3:$B$700&amp;$C$3:$C$700&amp;$D$3:$D$700,0))</f>
        <v>0</v>
      </c>
      <c r="S480">
        <f t="array" ref="S480">INDEX(H$3:H$700,MATCH($B480&amp;$C480&amp;"baseline",$B$3:$B$700&amp;$C$3:$C$700&amp;$D$3:$D$700,0))</f>
        <v>219.94283685718281</v>
      </c>
      <c r="T480">
        <f t="array" ref="T480">INDEX(I$3:I$700,MATCH($B480&amp;$C480&amp;"baseline",$B$3:$B$700&amp;$C$3:$C$700&amp;$D$3:$D$700,0))</f>
        <v>0</v>
      </c>
      <c r="U480">
        <f t="array" ref="U480">INDEX(J$3:J$700,MATCH($B480&amp;$C480&amp;"baseline",$B$3:$B$700&amp;$C$3:$C$700&amp;$D$3:$D$700,0))</f>
        <v>0</v>
      </c>
      <c r="V480">
        <f t="array" ref="V480">INDEX(K$3:K$700,MATCH($B480&amp;$C480&amp;"baseline",$B$3:$B$700&amp;$C$3:$C$700&amp;$D$3:$D$700,0))</f>
        <v>0</v>
      </c>
      <c r="W480">
        <f t="array" ref="W480">INDEX(L$3:L$700,MATCH($B480&amp;$C480&amp;"baseline",$B$3:$B$700&amp;$C$3:$C$700&amp;$D$3:$D$700,0))</f>
        <v>34.866388715432876</v>
      </c>
      <c r="X480">
        <f t="array" ref="X480">INDEX(M$3:M$700,MATCH($B480&amp;$C480&amp;"baseline",$B$3:$B$700&amp;$C$3:$C$700&amp;$D$3:$D$700,0))</f>
        <v>3.229985935080161</v>
      </c>
      <c r="Y480">
        <f t="array" ref="Y480">INDEX(N$3:N$700,MATCH($B480&amp;$C480&amp;"baseline",$B$3:$B$700&amp;$C$3:$C$700&amp;$D$3:$D$700,0))</f>
        <v>0</v>
      </c>
      <c r="Z480">
        <f t="array" ref="Z480">INDEX(O$3:O$700,MATCH($B480&amp;$C480&amp;"baseline",$B$3:$B$700&amp;$C$3:$C$700&amp;$D$3:$D$700,0))</f>
        <v>9.281408232911426</v>
      </c>
      <c r="AA480">
        <f t="array" ref="AA480">INDEX(P$3:P$700,MATCH($B480&amp;$C480&amp;"baseline",$B$3:$B$700&amp;$C$3:$C$700&amp;$D$3:$D$700,0))</f>
        <v>0</v>
      </c>
      <c r="AB480">
        <f t="array" ref="AB480">INDEX(Q$3:Q$700,MATCH($B480&amp;$C480&amp;"baseline",$B$3:$B$700&amp;$C$3:$C$700&amp;$D$3:$D$700,0))</f>
        <v>0</v>
      </c>
      <c r="AC480">
        <f t="shared" si="55"/>
        <v>267.32061974060724</v>
      </c>
      <c r="AD480">
        <f t="shared" si="56"/>
        <v>52.685435447015635</v>
      </c>
      <c r="AE480">
        <f t="shared" si="57"/>
        <v>0.90439606182244603</v>
      </c>
      <c r="AF480">
        <f t="shared" si="58"/>
        <v>20.047025014695315</v>
      </c>
      <c r="AG480">
        <f>(S480+V480+Y480)*constants!$O$2+(R480+T480+U480+W480+X480+Z480+AA480+AB480)*constants!$N$2</f>
        <v>8.9167634229133252</v>
      </c>
      <c r="AH480">
        <f>((S480+V480+Y480)-(H480+K480+N480))*constants!$O$2</f>
        <v>0.85350405424165321</v>
      </c>
      <c r="AI480">
        <f>((R480+T480+U480+W480+X480+Z480+AA480+AB480)-(G480+I480+J480+L480+M480+O480+P480+Q480))*constants!$N$2</f>
        <v>0.1021967549859364</v>
      </c>
      <c r="AJ480">
        <f t="shared" si="59"/>
        <v>10.718023613497852</v>
      </c>
      <c r="AK480">
        <f t="shared" si="60"/>
        <v>0.9557008092275896</v>
      </c>
      <c r="AL480">
        <f>COUNTIFS($B:$B,$B480,$AK:$AK,"&lt;"&amp;$AK480)+COUNTIFS($B$2:$B480,$B480,$AK$2:$AK480,$AK480)</f>
        <v>44</v>
      </c>
      <c r="AM480" s="191">
        <f>IF(AK480=0, "NA",IF(((sim_annual_output!F480/E480)/AK480)&lt;0,100,((sim_annual_output!F480/E480)/AK480)))</f>
        <v>29.509858942703293</v>
      </c>
      <c r="AN480">
        <f>(S480+V480)*constants!$F$2+(T480+U480+W480+X480+Y480+Z480+AA480+AB480)*constants!$G$2</f>
        <v>80588.438906014999</v>
      </c>
      <c r="AO480">
        <f>(AD480*constants!$F$2+AE480*constants!$G$2)</f>
        <v>10217.517518801327</v>
      </c>
      <c r="AP480">
        <f t="shared" si="61"/>
        <v>12.678639340212742</v>
      </c>
    </row>
    <row r="481" spans="1:42">
      <c r="A481">
        <f>sim_annual_output!B481</f>
        <v>22</v>
      </c>
      <c r="B481" t="str">
        <f>sim_annual_output!C481</f>
        <v>Storage Building</v>
      </c>
      <c r="C481" t="str">
        <f>sim_annual_output!D481</f>
        <v>1980-2004</v>
      </c>
      <c r="D481" t="str">
        <f>sim_annual_output!E481</f>
        <v>occupancy_setback</v>
      </c>
      <c r="E481" s="45">
        <f t="array" ref="E481">IFERROR(INDEX(baseline!$J$3:$J$201,MATCH($B481&amp;$C481,baseline!$C$3:$C$201&amp;baseline!$D$3:$D$201,0)),"NA")</f>
        <v>1171</v>
      </c>
      <c r="F481">
        <f>sim_annual_output!G481</f>
        <v>965.15690399999903</v>
      </c>
      <c r="G481">
        <f>$E481/$F481^2*sim_annual_output!I481</f>
        <v>0</v>
      </c>
      <c r="H481">
        <f>$E481/$F481^2*sim_annual_output!J481</f>
        <v>188.15279150262089</v>
      </c>
      <c r="I481">
        <f>$E481/$F481^2*sim_annual_output!K481</f>
        <v>0</v>
      </c>
      <c r="J481">
        <f>$E481/$F481^2*sim_annual_output!L481</f>
        <v>0</v>
      </c>
      <c r="K481">
        <f>$E481/$F481^2*sim_annual_output!M481</f>
        <v>0</v>
      </c>
      <c r="L481">
        <f>$E481/$F481^2*sim_annual_output!N481</f>
        <v>34.866388715432876</v>
      </c>
      <c r="M481">
        <f>$E481/$F481^2*sim_annual_output!O481</f>
        <v>3.229985935080161</v>
      </c>
      <c r="N481">
        <f>$E481/$F481^2*sim_annual_output!P481</f>
        <v>0</v>
      </c>
      <c r="O481">
        <f>$E481/$F481^2*sim_annual_output!Q481</f>
        <v>9.4106076703146311</v>
      </c>
      <c r="P481">
        <f>$E481/$F481^2*sim_annual_output!R481</f>
        <v>0</v>
      </c>
      <c r="Q481">
        <f>$E481/$F481^2*sim_annual_output!S481</f>
        <v>0</v>
      </c>
      <c r="R481">
        <f t="array" ref="R481">INDEX(G$3:G$700,MATCH($B481&amp;$C481&amp;"baseline",$B$3:$B$700&amp;$C$3:$C$700&amp;$D$3:$D$700,0))</f>
        <v>0</v>
      </c>
      <c r="S481">
        <f t="array" ref="S481">INDEX(H$3:H$700,MATCH($B481&amp;$C481&amp;"baseline",$B$3:$B$700&amp;$C$3:$C$700&amp;$D$3:$D$700,0))</f>
        <v>219.94283685718281</v>
      </c>
      <c r="T481">
        <f t="array" ref="T481">INDEX(I$3:I$700,MATCH($B481&amp;$C481&amp;"baseline",$B$3:$B$700&amp;$C$3:$C$700&amp;$D$3:$D$700,0))</f>
        <v>0</v>
      </c>
      <c r="U481">
        <f t="array" ref="U481">INDEX(J$3:J$700,MATCH($B481&amp;$C481&amp;"baseline",$B$3:$B$700&amp;$C$3:$C$700&amp;$D$3:$D$700,0))</f>
        <v>0</v>
      </c>
      <c r="V481">
        <f t="array" ref="V481">INDEX(K$3:K$700,MATCH($B481&amp;$C481&amp;"baseline",$B$3:$B$700&amp;$C$3:$C$700&amp;$D$3:$D$700,0))</f>
        <v>0</v>
      </c>
      <c r="W481">
        <f t="array" ref="W481">INDEX(L$3:L$700,MATCH($B481&amp;$C481&amp;"baseline",$B$3:$B$700&amp;$C$3:$C$700&amp;$D$3:$D$700,0))</f>
        <v>34.866388715432876</v>
      </c>
      <c r="X481">
        <f t="array" ref="X481">INDEX(M$3:M$700,MATCH($B481&amp;$C481&amp;"baseline",$B$3:$B$700&amp;$C$3:$C$700&amp;$D$3:$D$700,0))</f>
        <v>3.229985935080161</v>
      </c>
      <c r="Y481">
        <f t="array" ref="Y481">INDEX(N$3:N$700,MATCH($B481&amp;$C481&amp;"baseline",$B$3:$B$700&amp;$C$3:$C$700&amp;$D$3:$D$700,0))</f>
        <v>0</v>
      </c>
      <c r="Z481">
        <f t="array" ref="Z481">INDEX(O$3:O$700,MATCH($B481&amp;$C481&amp;"baseline",$B$3:$B$700&amp;$C$3:$C$700&amp;$D$3:$D$700,0))</f>
        <v>9.281408232911426</v>
      </c>
      <c r="AA481">
        <f t="array" ref="AA481">INDEX(P$3:P$700,MATCH($B481&amp;$C481&amp;"baseline",$B$3:$B$700&amp;$C$3:$C$700&amp;$D$3:$D$700,0))</f>
        <v>0</v>
      </c>
      <c r="AB481">
        <f t="array" ref="AB481">INDEX(Q$3:Q$700,MATCH($B481&amp;$C481&amp;"baseline",$B$3:$B$700&amp;$C$3:$C$700&amp;$D$3:$D$700,0))</f>
        <v>0</v>
      </c>
      <c r="AC481">
        <f t="shared" si="55"/>
        <v>267.32061974060724</v>
      </c>
      <c r="AD481">
        <f t="shared" si="56"/>
        <v>31.790045354561926</v>
      </c>
      <c r="AE481">
        <f t="shared" si="57"/>
        <v>-0.12919943740320861</v>
      </c>
      <c r="AF481">
        <f t="shared" si="58"/>
        <v>11.843772451178889</v>
      </c>
      <c r="AG481">
        <f>(S481+V481+Y481)*constants!$O$2+(R481+T481+U481+W481+X481+Z481+AA481+AB481)*constants!$N$2</f>
        <v>8.9167634229133252</v>
      </c>
      <c r="AH481">
        <f>((S481+V481+Y481)-(H481+K481+N481))*constants!$O$2</f>
        <v>0.51499873474390312</v>
      </c>
      <c r="AI481">
        <f>((R481+T481+U481+W481+X481+Z481+AA481+AB481)-(G481+I481+J481+L481+M481+O481+P481+Q481))*constants!$N$2</f>
        <v>-1.4599536426562573E-2</v>
      </c>
      <c r="AJ481">
        <f t="shared" si="59"/>
        <v>5.6118927303988952</v>
      </c>
      <c r="AK481">
        <f t="shared" si="60"/>
        <v>0.50039919831734059</v>
      </c>
      <c r="AL481">
        <f>COUNTIFS($B:$B,$B481,$AK:$AK,"&lt;"&amp;$AK481)+COUNTIFS($B$2:$B481,$B481,$AK$2:$AK481,$AK481)</f>
        <v>37</v>
      </c>
      <c r="AM481" s="191">
        <f>IF(AK481=0, "NA",IF(((sim_annual_output!F481/E481)/AK481)&lt;0,100,((sim_annual_output!F481/E481)/AK481)))</f>
        <v>0.81352640127778286</v>
      </c>
      <c r="AN481">
        <f>(S481+V481)*constants!$F$2+(T481+U481+W481+X481+Y481+Z481+AA481+AB481)*constants!$G$2</f>
        <v>80588.438906014999</v>
      </c>
      <c r="AO481">
        <f>(AD481*constants!$F$2+AE481*constants!$G$2)</f>
        <v>5578.0146079257938</v>
      </c>
      <c r="AP481">
        <f t="shared" si="61"/>
        <v>6.9216064781091813</v>
      </c>
    </row>
    <row r="482" spans="1:42">
      <c r="A482">
        <f>sim_annual_output!B482</f>
        <v>22</v>
      </c>
      <c r="B482" t="str">
        <f>sim_annual_output!C482</f>
        <v>Storage Building</v>
      </c>
      <c r="C482" t="str">
        <f>sim_annual_output!D482</f>
        <v>1980-2004</v>
      </c>
      <c r="D482" t="str">
        <f>sim_annual_output!E482</f>
        <v>payback_less_than_20</v>
      </c>
      <c r="E482" s="45">
        <f t="array" ref="E482">IFERROR(INDEX(baseline!$J$3:$J$201,MATCH($B482&amp;$C482,baseline!$C$3:$C$201&amp;baseline!$D$3:$D$201,0)),"NA")</f>
        <v>1171</v>
      </c>
      <c r="F482">
        <f>sim_annual_output!G482</f>
        <v>965.15690399999903</v>
      </c>
      <c r="G482">
        <f>$E482/$F482^2*sim_annual_output!I482</f>
        <v>0</v>
      </c>
      <c r="H482">
        <f>$E482/$F482^2*sim_annual_output!J482</f>
        <v>178.19395919251428</v>
      </c>
      <c r="I482">
        <f>$E482/$F482^2*sim_annual_output!K482</f>
        <v>0</v>
      </c>
      <c r="J482">
        <f>$E482/$F482^2*sim_annual_output!L482</f>
        <v>0</v>
      </c>
      <c r="K482">
        <f>$E482/$F482^2*sim_annual_output!M482</f>
        <v>0</v>
      </c>
      <c r="L482">
        <f>$E482/$F482^2*sim_annual_output!N482</f>
        <v>24.408218039146298</v>
      </c>
      <c r="M482">
        <f>$E482/$F482^2*sim_annual_output!O482</f>
        <v>3.229985935080161</v>
      </c>
      <c r="N482">
        <f>$E482/$F482^2*sim_annual_output!P482</f>
        <v>0</v>
      </c>
      <c r="O482">
        <f>$E482/$F482^2*sim_annual_output!Q482</f>
        <v>8.6598541827014053</v>
      </c>
      <c r="P482">
        <f>$E482/$F482^2*sim_annual_output!R482</f>
        <v>0</v>
      </c>
      <c r="Q482">
        <f>$E482/$F482^2*sim_annual_output!S482</f>
        <v>0</v>
      </c>
      <c r="R482">
        <f t="array" ref="R482">INDEX(G$3:G$700,MATCH($B482&amp;$C482&amp;"baseline",$B$3:$B$700&amp;$C$3:$C$700&amp;$D$3:$D$700,0))</f>
        <v>0</v>
      </c>
      <c r="S482">
        <f t="array" ref="S482">INDEX(H$3:H$700,MATCH($B482&amp;$C482&amp;"baseline",$B$3:$B$700&amp;$C$3:$C$700&amp;$D$3:$D$700,0))</f>
        <v>219.94283685718281</v>
      </c>
      <c r="T482">
        <f t="array" ref="T482">INDEX(I$3:I$700,MATCH($B482&amp;$C482&amp;"baseline",$B$3:$B$700&amp;$C$3:$C$700&amp;$D$3:$D$700,0))</f>
        <v>0</v>
      </c>
      <c r="U482">
        <f t="array" ref="U482">INDEX(J$3:J$700,MATCH($B482&amp;$C482&amp;"baseline",$B$3:$B$700&amp;$C$3:$C$700&amp;$D$3:$D$700,0))</f>
        <v>0</v>
      </c>
      <c r="V482">
        <f t="array" ref="V482">INDEX(K$3:K$700,MATCH($B482&amp;$C482&amp;"baseline",$B$3:$B$700&amp;$C$3:$C$700&amp;$D$3:$D$700,0))</f>
        <v>0</v>
      </c>
      <c r="W482">
        <f t="array" ref="W482">INDEX(L$3:L$700,MATCH($B482&amp;$C482&amp;"baseline",$B$3:$B$700&amp;$C$3:$C$700&amp;$D$3:$D$700,0))</f>
        <v>34.866388715432876</v>
      </c>
      <c r="X482">
        <f t="array" ref="X482">INDEX(M$3:M$700,MATCH($B482&amp;$C482&amp;"baseline",$B$3:$B$700&amp;$C$3:$C$700&amp;$D$3:$D$700,0))</f>
        <v>3.229985935080161</v>
      </c>
      <c r="Y482">
        <f t="array" ref="Y482">INDEX(N$3:N$700,MATCH($B482&amp;$C482&amp;"baseline",$B$3:$B$700&amp;$C$3:$C$700&amp;$D$3:$D$700,0))</f>
        <v>0</v>
      </c>
      <c r="Z482">
        <f t="array" ref="Z482">INDEX(O$3:O$700,MATCH($B482&amp;$C482&amp;"baseline",$B$3:$B$700&amp;$C$3:$C$700&amp;$D$3:$D$700,0))</f>
        <v>9.281408232911426</v>
      </c>
      <c r="AA482">
        <f t="array" ref="AA482">INDEX(P$3:P$700,MATCH($B482&amp;$C482&amp;"baseline",$B$3:$B$700&amp;$C$3:$C$700&amp;$D$3:$D$700,0))</f>
        <v>0</v>
      </c>
      <c r="AB482">
        <f t="array" ref="AB482">INDEX(Q$3:Q$700,MATCH($B482&amp;$C482&amp;"baseline",$B$3:$B$700&amp;$C$3:$C$700&amp;$D$3:$D$700,0))</f>
        <v>0</v>
      </c>
      <c r="AC482">
        <f t="shared" si="55"/>
        <v>267.32061974060724</v>
      </c>
      <c r="AD482">
        <f t="shared" si="56"/>
        <v>41.748877664668527</v>
      </c>
      <c r="AE482">
        <f t="shared" si="57"/>
        <v>11.079724726496593</v>
      </c>
      <c r="AF482">
        <f t="shared" si="58"/>
        <v>19.762262425707004</v>
      </c>
      <c r="AG482">
        <f>(S482+V482+Y482)*constants!$O$2+(R482+T482+U482+W482+X482+Z482+AA482+AB482)*constants!$N$2</f>
        <v>8.9167634229133252</v>
      </c>
      <c r="AH482">
        <f>((S482+V482+Y482)-(H482+K482+N482))*constants!$O$2</f>
        <v>0.67633181816763011</v>
      </c>
      <c r="AI482">
        <f>((R482+T482+U482+W482+X482+Z482+AA482+AB482)-(G482+I482+J482+L482+M482+O482+P482+Q482))*constants!$N$2</f>
        <v>1.252008894094115</v>
      </c>
      <c r="AJ482">
        <f t="shared" si="59"/>
        <v>21.626016311103484</v>
      </c>
      <c r="AK482">
        <f t="shared" si="60"/>
        <v>1.9283407122617451</v>
      </c>
      <c r="AL482">
        <f>COUNTIFS($B:$B,$B482,$AK:$AK,"&lt;"&amp;$AK482)+COUNTIFS($B$2:$B482,$B482,$AK$2:$AK482,$AK482)</f>
        <v>54</v>
      </c>
      <c r="AM482" s="191">
        <f>IF(AK482=0, "NA",IF(((sim_annual_output!F482/E482)/AK482)&lt;0,100,((sim_annual_output!F482/E482)/AK482)))</f>
        <v>26.469263888704162</v>
      </c>
      <c r="AN482">
        <f>(S482+V482)*constants!$F$2+(T482+U482+W482+X482+Y482+Z482+AA482+AB482)*constants!$G$2</f>
        <v>80588.438906014999</v>
      </c>
      <c r="AO482">
        <f>(AD482*constants!$F$2+AE482*constants!$G$2)</f>
        <v>17112.409614027703</v>
      </c>
      <c r="AP482">
        <f t="shared" si="61"/>
        <v>21.234323243293971</v>
      </c>
    </row>
    <row r="483" spans="1:42">
      <c r="A483">
        <f>sim_annual_output!B483</f>
        <v>22</v>
      </c>
      <c r="B483" t="str">
        <f>sim_annual_output!C483</f>
        <v>Storage Building</v>
      </c>
      <c r="C483" t="str">
        <f>sim_annual_output!D483</f>
        <v>1980-2004</v>
      </c>
      <c r="D483" t="str">
        <f>sim_annual_output!E483</f>
        <v>plug_loads_90_percent</v>
      </c>
      <c r="E483" s="45">
        <f t="array" ref="E483">IFERROR(INDEX(baseline!$J$3:$J$201,MATCH($B483&amp;$C483,baseline!$C$3:$C$201&amp;baseline!$D$3:$D$201,0)),"NA")</f>
        <v>1171</v>
      </c>
      <c r="F483">
        <f>sim_annual_output!G483</f>
        <v>965.15690399999903</v>
      </c>
      <c r="G483">
        <f>$E483/$F483^2*sim_annual_output!I483</f>
        <v>0</v>
      </c>
      <c r="H483">
        <f>$E483/$F483^2*sim_annual_output!J483</f>
        <v>217.02362794720767</v>
      </c>
      <c r="I483">
        <f>$E483/$F483^2*sim_annual_output!K483</f>
        <v>0</v>
      </c>
      <c r="J483">
        <f>$E483/$F483^2*sim_annual_output!L483</f>
        <v>0</v>
      </c>
      <c r="K483">
        <f>$E483/$F483^2*sim_annual_output!M483</f>
        <v>0</v>
      </c>
      <c r="L483">
        <f>$E483/$F483^2*sim_annual_output!N483</f>
        <v>34.866388715432876</v>
      </c>
      <c r="M483">
        <f>$E483/$F483^2*sim_annual_output!O483</f>
        <v>3.229985935080161</v>
      </c>
      <c r="N483">
        <f>$E483/$F483^2*sim_annual_output!P483</f>
        <v>0</v>
      </c>
      <c r="O483">
        <f>$E483/$F483^2*sim_annual_output!Q483</f>
        <v>9.1103062752693393</v>
      </c>
      <c r="P483">
        <f>$E483/$F483^2*sim_annual_output!R483</f>
        <v>0</v>
      </c>
      <c r="Q483">
        <f>$E483/$F483^2*sim_annual_output!S483</f>
        <v>0</v>
      </c>
      <c r="R483">
        <f t="array" ref="R483">INDEX(G$3:G$700,MATCH($B483&amp;$C483&amp;"baseline",$B$3:$B$700&amp;$C$3:$C$700&amp;$D$3:$D$700,0))</f>
        <v>0</v>
      </c>
      <c r="S483">
        <f t="array" ref="S483">INDEX(H$3:H$700,MATCH($B483&amp;$C483&amp;"baseline",$B$3:$B$700&amp;$C$3:$C$700&amp;$D$3:$D$700,0))</f>
        <v>219.94283685718281</v>
      </c>
      <c r="T483">
        <f t="array" ref="T483">INDEX(I$3:I$700,MATCH($B483&amp;$C483&amp;"baseline",$B$3:$B$700&amp;$C$3:$C$700&amp;$D$3:$D$700,0))</f>
        <v>0</v>
      </c>
      <c r="U483">
        <f t="array" ref="U483">INDEX(J$3:J$700,MATCH($B483&amp;$C483&amp;"baseline",$B$3:$B$700&amp;$C$3:$C$700&amp;$D$3:$D$700,0))</f>
        <v>0</v>
      </c>
      <c r="V483">
        <f t="array" ref="V483">INDEX(K$3:K$700,MATCH($B483&amp;$C483&amp;"baseline",$B$3:$B$700&amp;$C$3:$C$700&amp;$D$3:$D$700,0))</f>
        <v>0</v>
      </c>
      <c r="W483">
        <f t="array" ref="W483">INDEX(L$3:L$700,MATCH($B483&amp;$C483&amp;"baseline",$B$3:$B$700&amp;$C$3:$C$700&amp;$D$3:$D$700,0))</f>
        <v>34.866388715432876</v>
      </c>
      <c r="X483">
        <f t="array" ref="X483">INDEX(M$3:M$700,MATCH($B483&amp;$C483&amp;"baseline",$B$3:$B$700&amp;$C$3:$C$700&amp;$D$3:$D$700,0))</f>
        <v>3.229985935080161</v>
      </c>
      <c r="Y483">
        <f t="array" ref="Y483">INDEX(N$3:N$700,MATCH($B483&amp;$C483&amp;"baseline",$B$3:$B$700&amp;$C$3:$C$700&amp;$D$3:$D$700,0))</f>
        <v>0</v>
      </c>
      <c r="Z483">
        <f t="array" ref="Z483">INDEX(O$3:O$700,MATCH($B483&amp;$C483&amp;"baseline",$B$3:$B$700&amp;$C$3:$C$700&amp;$D$3:$D$700,0))</f>
        <v>9.281408232911426</v>
      </c>
      <c r="AA483">
        <f t="array" ref="AA483">INDEX(P$3:P$700,MATCH($B483&amp;$C483&amp;"baseline",$B$3:$B$700&amp;$C$3:$C$700&amp;$D$3:$D$700,0))</f>
        <v>0</v>
      </c>
      <c r="AB483">
        <f t="array" ref="AB483">INDEX(Q$3:Q$700,MATCH($B483&amp;$C483&amp;"baseline",$B$3:$B$700&amp;$C$3:$C$700&amp;$D$3:$D$700,0))</f>
        <v>0</v>
      </c>
      <c r="AC483">
        <f t="shared" si="55"/>
        <v>267.32061974060724</v>
      </c>
      <c r="AD483">
        <f t="shared" si="56"/>
        <v>2.9192089099751399</v>
      </c>
      <c r="AE483">
        <f t="shared" si="57"/>
        <v>0.17110195764208669</v>
      </c>
      <c r="AF483">
        <f t="shared" si="58"/>
        <v>1.1560316112598754</v>
      </c>
      <c r="AG483">
        <f>(S483+V483+Y483)*constants!$O$2+(R483+T483+U483+W483+X483+Z483+AA483+AB483)*constants!$N$2</f>
        <v>8.9167634229133252</v>
      </c>
      <c r="AH483">
        <f>((S483+V483+Y483)-(H483+K483+N483))*constants!$O$2</f>
        <v>4.7291184341597264E-2</v>
      </c>
      <c r="AI483">
        <f>((R483+T483+U483+W483+X483+Z483+AA483+AB483)-(G483+I483+J483+L483+M483+O483+P483+Q483))*constants!$N$2</f>
        <v>1.9334521213555795E-2</v>
      </c>
      <c r="AJ483">
        <f t="shared" si="59"/>
        <v>0.74719606650038051</v>
      </c>
      <c r="AK483">
        <f t="shared" si="60"/>
        <v>6.6625705555153056E-2</v>
      </c>
      <c r="AL483">
        <f>COUNTIFS($B:$B,$B483,$AK:$AK,"&lt;"&amp;$AK483)+COUNTIFS($B$2:$B483,$B483,$AK$2:$AK483,$AK483)</f>
        <v>12</v>
      </c>
      <c r="AM483" s="191">
        <f>IF(AK483=0, "NA",IF(((sim_annual_output!F483/E483)/AK483)&lt;0,100,((sim_annual_output!F483/E483)/AK483)))</f>
        <v>3.5341526549538558</v>
      </c>
      <c r="AN483">
        <f>(S483+V483)*constants!$F$2+(T483+U483+W483+X483+Y483+Z483+AA483+AB483)*constants!$G$2</f>
        <v>80588.438906014999</v>
      </c>
      <c r="AO483">
        <f>(AD483*constants!$F$2+AE483*constants!$G$2)</f>
        <v>671.39709803416542</v>
      </c>
      <c r="AP483">
        <f t="shared" si="61"/>
        <v>0.83311838167900465</v>
      </c>
    </row>
    <row r="484" spans="1:42">
      <c r="A484">
        <f>sim_annual_output!B484</f>
        <v>23</v>
      </c>
      <c r="B484" t="str">
        <f>sim_annual_output!C484</f>
        <v>Storage Building</v>
      </c>
      <c r="C484" t="str">
        <f>sim_annual_output!D484</f>
        <v>2005-2014</v>
      </c>
      <c r="D484" t="str">
        <f>sim_annual_output!E484</f>
        <v>baseline</v>
      </c>
      <c r="E484" s="45">
        <f t="array" ref="E484">IFERROR(INDEX(baseline!$J$3:$J$201,MATCH($B484&amp;$C484,baseline!$C$3:$C$201&amp;baseline!$D$3:$D$201,0)),"NA")</f>
        <v>1171</v>
      </c>
      <c r="F484">
        <f>sim_annual_output!G484</f>
        <v>965.15690399999903</v>
      </c>
      <c r="G484">
        <f>$E484/$F484^2*sim_annual_output!I484</f>
        <v>0</v>
      </c>
      <c r="H484">
        <f>$E484/$F484^2*sim_annual_output!J484</f>
        <v>131.97897124571867</v>
      </c>
      <c r="I484">
        <f>$E484/$F484^2*sim_annual_output!K484</f>
        <v>0</v>
      </c>
      <c r="J484">
        <f>$E484/$F484^2*sim_annual_output!L484</f>
        <v>0</v>
      </c>
      <c r="K484">
        <f>$E484/$F484^2*sim_annual_output!M484</f>
        <v>0</v>
      </c>
      <c r="L484">
        <f>$E484/$F484^2*sim_annual_output!N484</f>
        <v>34.866388715432876</v>
      </c>
      <c r="M484">
        <f>$E484/$F484^2*sim_annual_output!O484</f>
        <v>3.229985935080161</v>
      </c>
      <c r="N484">
        <f>$E484/$F484^2*sim_annual_output!P484</f>
        <v>0</v>
      </c>
      <c r="O484">
        <f>$E484/$F484^2*sim_annual_output!Q484</f>
        <v>5.3495550838300616</v>
      </c>
      <c r="P484">
        <f>$E484/$F484^2*sim_annual_output!R484</f>
        <v>0</v>
      </c>
      <c r="Q484">
        <f>$E484/$F484^2*sim_annual_output!S484</f>
        <v>0</v>
      </c>
      <c r="R484">
        <f t="array" ref="R484">INDEX(G$3:G$700,MATCH($B484&amp;$C484&amp;"baseline",$B$3:$B$700&amp;$C$3:$C$700&amp;$D$3:$D$700,0))</f>
        <v>0</v>
      </c>
      <c r="S484">
        <f t="array" ref="S484">INDEX(H$3:H$700,MATCH($B484&amp;$C484&amp;"baseline",$B$3:$B$700&amp;$C$3:$C$700&amp;$D$3:$D$700,0))</f>
        <v>131.97897124571867</v>
      </c>
      <c r="T484">
        <f t="array" ref="T484">INDEX(I$3:I$700,MATCH($B484&amp;$C484&amp;"baseline",$B$3:$B$700&amp;$C$3:$C$700&amp;$D$3:$D$700,0))</f>
        <v>0</v>
      </c>
      <c r="U484">
        <f t="array" ref="U484">INDEX(J$3:J$700,MATCH($B484&amp;$C484&amp;"baseline",$B$3:$B$700&amp;$C$3:$C$700&amp;$D$3:$D$700,0))</f>
        <v>0</v>
      </c>
      <c r="V484">
        <f t="array" ref="V484">INDEX(K$3:K$700,MATCH($B484&amp;$C484&amp;"baseline",$B$3:$B$700&amp;$C$3:$C$700&amp;$D$3:$D$700,0))</f>
        <v>0</v>
      </c>
      <c r="W484">
        <f t="array" ref="W484">INDEX(L$3:L$700,MATCH($B484&amp;$C484&amp;"baseline",$B$3:$B$700&amp;$C$3:$C$700&amp;$D$3:$D$700,0))</f>
        <v>34.866388715432876</v>
      </c>
      <c r="X484">
        <f t="array" ref="X484">INDEX(M$3:M$700,MATCH($B484&amp;$C484&amp;"baseline",$B$3:$B$700&amp;$C$3:$C$700&amp;$D$3:$D$700,0))</f>
        <v>3.229985935080161</v>
      </c>
      <c r="Y484">
        <f t="array" ref="Y484">INDEX(N$3:N$700,MATCH($B484&amp;$C484&amp;"baseline",$B$3:$B$700&amp;$C$3:$C$700&amp;$D$3:$D$700,0))</f>
        <v>0</v>
      </c>
      <c r="Z484">
        <f t="array" ref="Z484">INDEX(O$3:O$700,MATCH($B484&amp;$C484&amp;"baseline",$B$3:$B$700&amp;$C$3:$C$700&amp;$D$3:$D$700,0))</f>
        <v>5.3495550838300616</v>
      </c>
      <c r="AA484">
        <f t="array" ref="AA484">INDEX(P$3:P$700,MATCH($B484&amp;$C484&amp;"baseline",$B$3:$B$700&amp;$C$3:$C$700&amp;$D$3:$D$700,0))</f>
        <v>0</v>
      </c>
      <c r="AB484">
        <f t="array" ref="AB484">INDEX(Q$3:Q$700,MATCH($B484&amp;$C484&amp;"baseline",$B$3:$B$700&amp;$C$3:$C$700&amp;$D$3:$D$700,0))</f>
        <v>0</v>
      </c>
      <c r="AC484">
        <f t="shared" si="55"/>
        <v>175.42490098006175</v>
      </c>
      <c r="AD484">
        <f t="shared" si="56"/>
        <v>0</v>
      </c>
      <c r="AE484">
        <f t="shared" si="57"/>
        <v>0</v>
      </c>
      <c r="AF484">
        <f t="shared" si="58"/>
        <v>0</v>
      </c>
      <c r="AG484">
        <f>(S484+V484+Y484)*constants!$O$2+(R484+T484+U484+W484+X484+Z484+AA484+AB484)*constants!$N$2</f>
        <v>7.0474493941614123</v>
      </c>
      <c r="AH484">
        <f>((S484+V484+Y484)-(H484+K484+N484))*constants!$O$2</f>
        <v>0</v>
      </c>
      <c r="AI484">
        <f>((R484+T484+U484+W484+X484+Z484+AA484+AB484)-(G484+I484+J484+L484+M484+O484+P484+Q484))*constants!$N$2</f>
        <v>0</v>
      </c>
      <c r="AJ484">
        <f t="shared" si="59"/>
        <v>0</v>
      </c>
      <c r="AK484">
        <f t="shared" si="60"/>
        <v>0</v>
      </c>
      <c r="AL484">
        <f>COUNTIFS($B:$B,$B484,$AK:$AK,"&lt;"&amp;$AK484)+COUNTIFS($B$2:$B484,$B484,$AK$2:$AK484,$AK484)</f>
        <v>5</v>
      </c>
      <c r="AM484" s="191" t="str">
        <f>IF(AK484=0, "NA",IF(((sim_annual_output!F484/E484)/AK484)&lt;0,100,((sim_annual_output!F484/E484)/AK484)))</f>
        <v>NA</v>
      </c>
      <c r="AN484">
        <f>(S484+V484)*constants!$F$2+(T484+U484+W484+X484+Y484+Z484+AA484+AB484)*constants!$G$2</f>
        <v>61422.194721862135</v>
      </c>
      <c r="AO484">
        <f>(AD484*constants!$F$2+AE484*constants!$G$2)</f>
        <v>0</v>
      </c>
      <c r="AP484">
        <f t="shared" si="61"/>
        <v>0</v>
      </c>
    </row>
    <row r="485" spans="1:42">
      <c r="A485">
        <f>sim_annual_output!B485</f>
        <v>23</v>
      </c>
      <c r="B485" t="str">
        <f>sim_annual_output!C485</f>
        <v>Storage Building</v>
      </c>
      <c r="C485" t="str">
        <f>sim_annual_output!D485</f>
        <v>2005-2014</v>
      </c>
      <c r="D485" t="str">
        <f>sim_annual_output!E485</f>
        <v>dcv_enabled</v>
      </c>
      <c r="E485" s="45">
        <f t="array" ref="E485">IFERROR(INDEX(baseline!$J$3:$J$201,MATCH($B485&amp;$C485,baseline!$C$3:$C$201&amp;baseline!$D$3:$D$201,0)),"NA")</f>
        <v>1171</v>
      </c>
      <c r="F485">
        <f>sim_annual_output!G485</f>
        <v>965.15690399999903</v>
      </c>
      <c r="G485">
        <f>$E485/$F485^2*sim_annual_output!I485</f>
        <v>0</v>
      </c>
      <c r="H485">
        <f>$E485/$F485^2*sim_annual_output!J485</f>
        <v>129.5416413184906</v>
      </c>
      <c r="I485">
        <f>$E485/$F485^2*sim_annual_output!K485</f>
        <v>0</v>
      </c>
      <c r="J485">
        <f>$E485/$F485^2*sim_annual_output!L485</f>
        <v>0</v>
      </c>
      <c r="K485">
        <f>$E485/$F485^2*sim_annual_output!M485</f>
        <v>0</v>
      </c>
      <c r="L485">
        <f>$E485/$F485^2*sim_annual_output!N485</f>
        <v>34.866388715432876</v>
      </c>
      <c r="M485">
        <f>$E485/$F485^2*sim_annual_output!O485</f>
        <v>3.229985935080161</v>
      </c>
      <c r="N485">
        <f>$E485/$F485^2*sim_annual_output!P485</f>
        <v>0</v>
      </c>
      <c r="O485">
        <f>$E485/$F485^2*sim_annual_output!Q485</f>
        <v>5.1994043863074157</v>
      </c>
      <c r="P485">
        <f>$E485/$F485^2*sim_annual_output!R485</f>
        <v>0</v>
      </c>
      <c r="Q485">
        <f>$E485/$F485^2*sim_annual_output!S485</f>
        <v>0</v>
      </c>
      <c r="R485">
        <f t="array" ref="R485">INDEX(G$3:G$700,MATCH($B485&amp;$C485&amp;"baseline",$B$3:$B$700&amp;$C$3:$C$700&amp;$D$3:$D$700,0))</f>
        <v>0</v>
      </c>
      <c r="S485">
        <f t="array" ref="S485">INDEX(H$3:H$700,MATCH($B485&amp;$C485&amp;"baseline",$B$3:$B$700&amp;$C$3:$C$700&amp;$D$3:$D$700,0))</f>
        <v>131.97897124571867</v>
      </c>
      <c r="T485">
        <f t="array" ref="T485">INDEX(I$3:I$700,MATCH($B485&amp;$C485&amp;"baseline",$B$3:$B$700&amp;$C$3:$C$700&amp;$D$3:$D$700,0))</f>
        <v>0</v>
      </c>
      <c r="U485">
        <f t="array" ref="U485">INDEX(J$3:J$700,MATCH($B485&amp;$C485&amp;"baseline",$B$3:$B$700&amp;$C$3:$C$700&amp;$D$3:$D$700,0))</f>
        <v>0</v>
      </c>
      <c r="V485">
        <f t="array" ref="V485">INDEX(K$3:K$700,MATCH($B485&amp;$C485&amp;"baseline",$B$3:$B$700&amp;$C$3:$C$700&amp;$D$3:$D$700,0))</f>
        <v>0</v>
      </c>
      <c r="W485">
        <f t="array" ref="W485">INDEX(L$3:L$700,MATCH($B485&amp;$C485&amp;"baseline",$B$3:$B$700&amp;$C$3:$C$700&amp;$D$3:$D$700,0))</f>
        <v>34.866388715432876</v>
      </c>
      <c r="X485">
        <f t="array" ref="X485">INDEX(M$3:M$700,MATCH($B485&amp;$C485&amp;"baseline",$B$3:$B$700&amp;$C$3:$C$700&amp;$D$3:$D$700,0))</f>
        <v>3.229985935080161</v>
      </c>
      <c r="Y485">
        <f t="array" ref="Y485">INDEX(N$3:N$700,MATCH($B485&amp;$C485&amp;"baseline",$B$3:$B$700&amp;$C$3:$C$700&amp;$D$3:$D$700,0))</f>
        <v>0</v>
      </c>
      <c r="Z485">
        <f t="array" ref="Z485">INDEX(O$3:O$700,MATCH($B485&amp;$C485&amp;"baseline",$B$3:$B$700&amp;$C$3:$C$700&amp;$D$3:$D$700,0))</f>
        <v>5.3495550838300616</v>
      </c>
      <c r="AA485">
        <f t="array" ref="AA485">INDEX(P$3:P$700,MATCH($B485&amp;$C485&amp;"baseline",$B$3:$B$700&amp;$C$3:$C$700&amp;$D$3:$D$700,0))</f>
        <v>0</v>
      </c>
      <c r="AB485">
        <f t="array" ref="AB485">INDEX(Q$3:Q$700,MATCH($B485&amp;$C485&amp;"baseline",$B$3:$B$700&amp;$C$3:$C$700&amp;$D$3:$D$700,0))</f>
        <v>0</v>
      </c>
      <c r="AC485">
        <f t="shared" si="55"/>
        <v>175.42490098006175</v>
      </c>
      <c r="AD485">
        <f t="shared" si="56"/>
        <v>2.4373299272280633</v>
      </c>
      <c r="AE485">
        <f t="shared" si="57"/>
        <v>0.15015069752264765</v>
      </c>
      <c r="AF485">
        <f t="shared" si="58"/>
        <v>1.4749790994864498</v>
      </c>
      <c r="AG485">
        <f>(S485+V485+Y485)*constants!$O$2+(R485+T485+U485+W485+X485+Z485+AA485+AB485)*constants!$N$2</f>
        <v>7.0474493941614123</v>
      </c>
      <c r="AH485">
        <f>((S485+V485+Y485)-(H485+K485+N485))*constants!$O$2</f>
        <v>3.9484744821094625E-2</v>
      </c>
      <c r="AI485">
        <f>((R485+T485+U485+W485+X485+Z485+AA485+AB485)-(G485+I485+J485+L485+M485+O485+P485+Q485))*constants!$N$2</f>
        <v>1.6967028820059186E-2</v>
      </c>
      <c r="AJ485">
        <f t="shared" si="59"/>
        <v>0.80102417887416544</v>
      </c>
      <c r="AK485">
        <f t="shared" si="60"/>
        <v>5.6451773641153807E-2</v>
      </c>
      <c r="AL485">
        <f>COUNTIFS($B:$B,$B485,$AK:$AK,"&lt;"&amp;$AK485)+COUNTIFS($B$2:$B485,$B485,$AK$2:$AK485,$AK485)</f>
        <v>7</v>
      </c>
      <c r="AM485" s="191">
        <f>IF(AK485=0, "NA",IF(((sim_annual_output!F485/E485)/AK485)&lt;0,100,((sim_annual_output!F485/E485)/AK485)))</f>
        <v>12.586637334454871</v>
      </c>
      <c r="AN485">
        <f>(S485+V485)*constants!$F$2+(T485+U485+W485+X485+Y485+Z485+AA485+AB485)*constants!$G$2</f>
        <v>61422.194721862135</v>
      </c>
      <c r="AO485">
        <f>(AD485*constants!$F$2+AE485*constants!$G$2)</f>
        <v>566.91316381852675</v>
      </c>
      <c r="AP485">
        <f t="shared" si="61"/>
        <v>0.92297770599972417</v>
      </c>
    </row>
    <row r="486" spans="1:42">
      <c r="A486">
        <f>sim_annual_output!B486</f>
        <v>23</v>
      </c>
      <c r="B486" t="str">
        <f>sim_annual_output!C486</f>
        <v>Storage Building</v>
      </c>
      <c r="C486" t="str">
        <f>sim_annual_output!D486</f>
        <v>2005-2014</v>
      </c>
      <c r="D486" t="str">
        <f>sim_annual_output!E486</f>
        <v>ecm_cold_deck_reset_control</v>
      </c>
      <c r="E486" s="45">
        <f t="array" ref="E486">IFERROR(INDEX(baseline!$J$3:$J$201,MATCH($B486&amp;$C486,baseline!$C$3:$C$201&amp;baseline!$D$3:$D$201,0)),"NA")</f>
        <v>1171</v>
      </c>
      <c r="F486">
        <f>sim_annual_output!G486</f>
        <v>965.15690399999903</v>
      </c>
      <c r="G486">
        <f>$E486/$F486^2*sim_annual_output!I486</f>
        <v>0</v>
      </c>
      <c r="H486">
        <f>$E486/$F486^2*sim_annual_output!J486</f>
        <v>129.5416413184906</v>
      </c>
      <c r="I486">
        <f>$E486/$F486^2*sim_annual_output!K486</f>
        <v>0</v>
      </c>
      <c r="J486">
        <f>$E486/$F486^2*sim_annual_output!L486</f>
        <v>0</v>
      </c>
      <c r="K486">
        <f>$E486/$F486^2*sim_annual_output!M486</f>
        <v>0</v>
      </c>
      <c r="L486">
        <f>$E486/$F486^2*sim_annual_output!N486</f>
        <v>34.866388715432876</v>
      </c>
      <c r="M486">
        <f>$E486/$F486^2*sim_annual_output!O486</f>
        <v>3.229985935080161</v>
      </c>
      <c r="N486">
        <f>$E486/$F486^2*sim_annual_output!P486</f>
        <v>0</v>
      </c>
      <c r="O486">
        <f>$E486/$F486^2*sim_annual_output!Q486</f>
        <v>5.1994043863074157</v>
      </c>
      <c r="P486">
        <f>$E486/$F486^2*sim_annual_output!R486</f>
        <v>0</v>
      </c>
      <c r="Q486">
        <f>$E486/$F486^2*sim_annual_output!S486</f>
        <v>0</v>
      </c>
      <c r="R486">
        <f t="array" ref="R486">INDEX(G$3:G$700,MATCH($B486&amp;$C486&amp;"baseline",$B$3:$B$700&amp;$C$3:$C$700&amp;$D$3:$D$700,0))</f>
        <v>0</v>
      </c>
      <c r="S486">
        <f t="array" ref="S486">INDEX(H$3:H$700,MATCH($B486&amp;$C486&amp;"baseline",$B$3:$B$700&amp;$C$3:$C$700&amp;$D$3:$D$700,0))</f>
        <v>131.97897124571867</v>
      </c>
      <c r="T486">
        <f t="array" ref="T486">INDEX(I$3:I$700,MATCH($B486&amp;$C486&amp;"baseline",$B$3:$B$700&amp;$C$3:$C$700&amp;$D$3:$D$700,0))</f>
        <v>0</v>
      </c>
      <c r="U486">
        <f t="array" ref="U486">INDEX(J$3:J$700,MATCH($B486&amp;$C486&amp;"baseline",$B$3:$B$700&amp;$C$3:$C$700&amp;$D$3:$D$700,0))</f>
        <v>0</v>
      </c>
      <c r="V486">
        <f t="array" ref="V486">INDEX(K$3:K$700,MATCH($B486&amp;$C486&amp;"baseline",$B$3:$B$700&amp;$C$3:$C$700&amp;$D$3:$D$700,0))</f>
        <v>0</v>
      </c>
      <c r="W486">
        <f t="array" ref="W486">INDEX(L$3:L$700,MATCH($B486&amp;$C486&amp;"baseline",$B$3:$B$700&amp;$C$3:$C$700&amp;$D$3:$D$700,0))</f>
        <v>34.866388715432876</v>
      </c>
      <c r="X486">
        <f t="array" ref="X486">INDEX(M$3:M$700,MATCH($B486&amp;$C486&amp;"baseline",$B$3:$B$700&amp;$C$3:$C$700&amp;$D$3:$D$700,0))</f>
        <v>3.229985935080161</v>
      </c>
      <c r="Y486">
        <f t="array" ref="Y486">INDEX(N$3:N$700,MATCH($B486&amp;$C486&amp;"baseline",$B$3:$B$700&amp;$C$3:$C$700&amp;$D$3:$D$700,0))</f>
        <v>0</v>
      </c>
      <c r="Z486">
        <f t="array" ref="Z486">INDEX(O$3:O$700,MATCH($B486&amp;$C486&amp;"baseline",$B$3:$B$700&amp;$C$3:$C$700&amp;$D$3:$D$700,0))</f>
        <v>5.3495550838300616</v>
      </c>
      <c r="AA486">
        <f t="array" ref="AA486">INDEX(P$3:P$700,MATCH($B486&amp;$C486&amp;"baseline",$B$3:$B$700&amp;$C$3:$C$700&amp;$D$3:$D$700,0))</f>
        <v>0</v>
      </c>
      <c r="AB486">
        <f t="array" ref="AB486">INDEX(Q$3:Q$700,MATCH($B486&amp;$C486&amp;"baseline",$B$3:$B$700&amp;$C$3:$C$700&amp;$D$3:$D$700,0))</f>
        <v>0</v>
      </c>
      <c r="AC486">
        <f t="shared" si="55"/>
        <v>175.42490098006175</v>
      </c>
      <c r="AD486">
        <f t="shared" si="56"/>
        <v>2.4373299272280633</v>
      </c>
      <c r="AE486">
        <f t="shared" si="57"/>
        <v>0.15015069752264765</v>
      </c>
      <c r="AF486">
        <f t="shared" si="58"/>
        <v>1.4749790994864498</v>
      </c>
      <c r="AG486">
        <f>(S486+V486+Y486)*constants!$O$2+(R486+T486+U486+W486+X486+Z486+AA486+AB486)*constants!$N$2</f>
        <v>7.0474493941614123</v>
      </c>
      <c r="AH486">
        <f>((S486+V486+Y486)-(H486+K486+N486))*constants!$O$2</f>
        <v>3.9484744821094625E-2</v>
      </c>
      <c r="AI486">
        <f>((R486+T486+U486+W486+X486+Z486+AA486+AB486)-(G486+I486+J486+L486+M486+O486+P486+Q486))*constants!$N$2</f>
        <v>1.6967028820059186E-2</v>
      </c>
      <c r="AJ486">
        <f t="shared" si="59"/>
        <v>0.80102417887416544</v>
      </c>
      <c r="AK486">
        <f t="shared" si="60"/>
        <v>5.6451773641153807E-2</v>
      </c>
      <c r="AL486">
        <f>COUNTIFS($B:$B,$B486,$AK:$AK,"&lt;"&amp;$AK486)+COUNTIFS($B$2:$B486,$B486,$AK$2:$AK486,$AK486)</f>
        <v>8</v>
      </c>
      <c r="AM486" s="191">
        <f>IF(AK486=0, "NA",IF(((sim_annual_output!F486/E486)/AK486)&lt;0,100,((sim_annual_output!F486/E486)/AK486)))</f>
        <v>0</v>
      </c>
      <c r="AN486">
        <f>(S486+V486)*constants!$F$2+(T486+U486+W486+X486+Y486+Z486+AA486+AB486)*constants!$G$2</f>
        <v>61422.194721862135</v>
      </c>
      <c r="AO486">
        <f>(AD486*constants!$F$2+AE486*constants!$G$2)</f>
        <v>566.91316381852675</v>
      </c>
      <c r="AP486">
        <f t="shared" si="61"/>
        <v>0.92297770599972417</v>
      </c>
    </row>
    <row r="487" spans="1:42">
      <c r="A487">
        <f>sim_annual_output!B487</f>
        <v>23</v>
      </c>
      <c r="B487" t="str">
        <f>sim_annual_output!C487</f>
        <v>Storage Building</v>
      </c>
      <c r="C487" t="str">
        <f>sim_annual_output!D487</f>
        <v>2005-2014</v>
      </c>
      <c r="D487" t="str">
        <f>sim_annual_output!E487</f>
        <v>elec_reduce</v>
      </c>
      <c r="E487" s="45">
        <f t="array" ref="E487">IFERROR(INDEX(baseline!$J$3:$J$201,MATCH($B487&amp;$C487,baseline!$C$3:$C$201&amp;baseline!$D$3:$D$201,0)),"NA")</f>
        <v>1171</v>
      </c>
      <c r="F487">
        <f>sim_annual_output!G487</f>
        <v>965.15690399999903</v>
      </c>
      <c r="G487">
        <f>$E487/$F487^2*sim_annual_output!I487</f>
        <v>0</v>
      </c>
      <c r="H487">
        <f>$E487/$F487^2*sim_annual_output!J487</f>
        <v>139.0989078096413</v>
      </c>
      <c r="I487">
        <f>$E487/$F487^2*sim_annual_output!K487</f>
        <v>0</v>
      </c>
      <c r="J487">
        <f>$E487/$F487^2*sim_annual_output!L487</f>
        <v>0</v>
      </c>
      <c r="K487">
        <f>$E487/$F487^2*sim_annual_output!M487</f>
        <v>0</v>
      </c>
      <c r="L487">
        <f>$E487/$F487^2*sim_annual_output!N487</f>
        <v>24.408218039146298</v>
      </c>
      <c r="M487">
        <f>$E487/$F487^2*sim_annual_output!O487</f>
        <v>3.229985935080161</v>
      </c>
      <c r="N487">
        <f>$E487/$F487^2*sim_annual_output!P487</f>
        <v>0</v>
      </c>
      <c r="O487">
        <f>$E487/$F487^2*sim_annual_output!Q487</f>
        <v>5.5625595617110228</v>
      </c>
      <c r="P487">
        <f>$E487/$F487^2*sim_annual_output!R487</f>
        <v>0</v>
      </c>
      <c r="Q487">
        <f>$E487/$F487^2*sim_annual_output!S487</f>
        <v>0</v>
      </c>
      <c r="R487">
        <f t="array" ref="R487">INDEX(G$3:G$700,MATCH($B487&amp;$C487&amp;"baseline",$B$3:$B$700&amp;$C$3:$C$700&amp;$D$3:$D$700,0))</f>
        <v>0</v>
      </c>
      <c r="S487">
        <f t="array" ref="S487">INDEX(H$3:H$700,MATCH($B487&amp;$C487&amp;"baseline",$B$3:$B$700&amp;$C$3:$C$700&amp;$D$3:$D$700,0))</f>
        <v>131.97897124571867</v>
      </c>
      <c r="T487">
        <f t="array" ref="T487">INDEX(I$3:I$700,MATCH($B487&amp;$C487&amp;"baseline",$B$3:$B$700&amp;$C$3:$C$700&amp;$D$3:$D$700,0))</f>
        <v>0</v>
      </c>
      <c r="U487">
        <f t="array" ref="U487">INDEX(J$3:J$700,MATCH($B487&amp;$C487&amp;"baseline",$B$3:$B$700&amp;$C$3:$C$700&amp;$D$3:$D$700,0))</f>
        <v>0</v>
      </c>
      <c r="V487">
        <f t="array" ref="V487">INDEX(K$3:K$700,MATCH($B487&amp;$C487&amp;"baseline",$B$3:$B$700&amp;$C$3:$C$700&amp;$D$3:$D$700,0))</f>
        <v>0</v>
      </c>
      <c r="W487">
        <f t="array" ref="W487">INDEX(L$3:L$700,MATCH($B487&amp;$C487&amp;"baseline",$B$3:$B$700&amp;$C$3:$C$700&amp;$D$3:$D$700,0))</f>
        <v>34.866388715432876</v>
      </c>
      <c r="X487">
        <f t="array" ref="X487">INDEX(M$3:M$700,MATCH($B487&amp;$C487&amp;"baseline",$B$3:$B$700&amp;$C$3:$C$700&amp;$D$3:$D$700,0))</f>
        <v>3.229985935080161</v>
      </c>
      <c r="Y487">
        <f t="array" ref="Y487">INDEX(N$3:N$700,MATCH($B487&amp;$C487&amp;"baseline",$B$3:$B$700&amp;$C$3:$C$700&amp;$D$3:$D$700,0))</f>
        <v>0</v>
      </c>
      <c r="Z487">
        <f t="array" ref="Z487">INDEX(O$3:O$700,MATCH($B487&amp;$C487&amp;"baseline",$B$3:$B$700&amp;$C$3:$C$700&amp;$D$3:$D$700,0))</f>
        <v>5.3495550838300616</v>
      </c>
      <c r="AA487">
        <f t="array" ref="AA487">INDEX(P$3:P$700,MATCH($B487&amp;$C487&amp;"baseline",$B$3:$B$700&amp;$C$3:$C$700&amp;$D$3:$D$700,0))</f>
        <v>0</v>
      </c>
      <c r="AB487">
        <f t="array" ref="AB487">INDEX(Q$3:Q$700,MATCH($B487&amp;$C487&amp;"baseline",$B$3:$B$700&amp;$C$3:$C$700&amp;$D$3:$D$700,0))</f>
        <v>0</v>
      </c>
      <c r="AC487">
        <f t="shared" si="55"/>
        <v>175.42490098006175</v>
      </c>
      <c r="AD487">
        <f t="shared" si="56"/>
        <v>-7.1199365639226357</v>
      </c>
      <c r="AE487">
        <f t="shared" si="57"/>
        <v>10.245166198405613</v>
      </c>
      <c r="AF487">
        <f t="shared" si="58"/>
        <v>1.7815199649667643</v>
      </c>
      <c r="AG487">
        <f>(S487+V487+Y487)*constants!$O$2+(R487+T487+U487+W487+X487+Z487+AA487+AB487)*constants!$N$2</f>
        <v>7.0474493941614123</v>
      </c>
      <c r="AH487">
        <f>((S487+V487+Y487)-(H487+K487+N487))*constants!$O$2</f>
        <v>-0.11534297233554669</v>
      </c>
      <c r="AI487">
        <f>((R487+T487+U487+W487+X487+Z487+AA487+AB487)-(G487+I487+J487+L487+M487+O487+P487+Q487))*constants!$N$2</f>
        <v>1.1577037804198342</v>
      </c>
      <c r="AJ487">
        <f t="shared" si="59"/>
        <v>14.790610755542993</v>
      </c>
      <c r="AK487">
        <f t="shared" si="60"/>
        <v>1.0423608080842874</v>
      </c>
      <c r="AL487">
        <f>COUNTIFS($B:$B,$B487,$AK:$AK,"&lt;"&amp;$AK487)+COUNTIFS($B$2:$B487,$B487,$AK$2:$AK487,$AK487)</f>
        <v>45</v>
      </c>
      <c r="AM487" s="191">
        <f>IF(AK487=0, "NA",IF(((sim_annual_output!F487/E487)/AK487)&lt;0,100,((sim_annual_output!F487/E487)/AK487)))</f>
        <v>23.607589396940863</v>
      </c>
      <c r="AN487">
        <f>(S487+V487)*constants!$F$2+(T487+U487+W487+X487+Y487+Z487+AA487+AB487)*constants!$G$2</f>
        <v>61422.194721862135</v>
      </c>
      <c r="AO487">
        <f>(AD487*constants!$F$2+AE487*constants!$G$2)</f>
        <v>7638.8259476707317</v>
      </c>
      <c r="AP487">
        <f t="shared" si="61"/>
        <v>12.436589057524881</v>
      </c>
    </row>
    <row r="488" spans="1:42">
      <c r="A488">
        <f>sim_annual_output!B488</f>
        <v>23</v>
      </c>
      <c r="B488" t="str">
        <f>sim_annual_output!C488</f>
        <v>Storage Building</v>
      </c>
      <c r="C488" t="str">
        <f>sim_annual_output!D488</f>
        <v>2005-2014</v>
      </c>
      <c r="D488" t="str">
        <f>sim_annual_output!E488</f>
        <v>envelope_ecm_roof</v>
      </c>
      <c r="E488" s="45">
        <f t="array" ref="E488">IFERROR(INDEX(baseline!$J$3:$J$201,MATCH($B488&amp;$C488,baseline!$C$3:$C$201&amp;baseline!$D$3:$D$201,0)),"NA")</f>
        <v>1171</v>
      </c>
      <c r="F488">
        <f>sim_annual_output!G488</f>
        <v>965.15690399999903</v>
      </c>
      <c r="G488">
        <f>$E488/$F488^2*sim_annual_output!I488</f>
        <v>0</v>
      </c>
      <c r="H488">
        <f>$E488/$F488^2*sim_annual_output!J488</f>
        <v>111.53054136914632</v>
      </c>
      <c r="I488">
        <f>$E488/$F488^2*sim_annual_output!K488</f>
        <v>0</v>
      </c>
      <c r="J488">
        <f>$E488/$F488^2*sim_annual_output!L488</f>
        <v>0</v>
      </c>
      <c r="K488">
        <f>$E488/$F488^2*sim_annual_output!M488</f>
        <v>0</v>
      </c>
      <c r="L488">
        <f>$E488/$F488^2*sim_annual_output!N488</f>
        <v>34.866388715432876</v>
      </c>
      <c r="M488">
        <f>$E488/$F488^2*sim_annual_output!O488</f>
        <v>3.229985935080161</v>
      </c>
      <c r="N488">
        <f>$E488/$F488^2*sim_annual_output!P488</f>
        <v>0</v>
      </c>
      <c r="O488">
        <f>$E488/$F488^2*sim_annual_output!Q488</f>
        <v>4.5149965557390788</v>
      </c>
      <c r="P488">
        <f>$E488/$F488^2*sim_annual_output!R488</f>
        <v>0</v>
      </c>
      <c r="Q488">
        <f>$E488/$F488^2*sim_annual_output!S488</f>
        <v>0</v>
      </c>
      <c r="R488">
        <f t="array" ref="R488">INDEX(G$3:G$700,MATCH($B488&amp;$C488&amp;"baseline",$B$3:$B$700&amp;$C$3:$C$700&amp;$D$3:$D$700,0))</f>
        <v>0</v>
      </c>
      <c r="S488">
        <f t="array" ref="S488">INDEX(H$3:H$700,MATCH($B488&amp;$C488&amp;"baseline",$B$3:$B$700&amp;$C$3:$C$700&amp;$D$3:$D$700,0))</f>
        <v>131.97897124571867</v>
      </c>
      <c r="T488">
        <f t="array" ref="T488">INDEX(I$3:I$700,MATCH($B488&amp;$C488&amp;"baseline",$B$3:$B$700&amp;$C$3:$C$700&amp;$D$3:$D$700,0))</f>
        <v>0</v>
      </c>
      <c r="U488">
        <f t="array" ref="U488">INDEX(J$3:J$700,MATCH($B488&amp;$C488&amp;"baseline",$B$3:$B$700&amp;$C$3:$C$700&amp;$D$3:$D$700,0))</f>
        <v>0</v>
      </c>
      <c r="V488">
        <f t="array" ref="V488">INDEX(K$3:K$700,MATCH($B488&amp;$C488&amp;"baseline",$B$3:$B$700&amp;$C$3:$C$700&amp;$D$3:$D$700,0))</f>
        <v>0</v>
      </c>
      <c r="W488">
        <f t="array" ref="W488">INDEX(L$3:L$700,MATCH($B488&amp;$C488&amp;"baseline",$B$3:$B$700&amp;$C$3:$C$700&amp;$D$3:$D$700,0))</f>
        <v>34.866388715432876</v>
      </c>
      <c r="X488">
        <f t="array" ref="X488">INDEX(M$3:M$700,MATCH($B488&amp;$C488&amp;"baseline",$B$3:$B$700&amp;$C$3:$C$700&amp;$D$3:$D$700,0))</f>
        <v>3.229985935080161</v>
      </c>
      <c r="Y488">
        <f t="array" ref="Y488">INDEX(N$3:N$700,MATCH($B488&amp;$C488&amp;"baseline",$B$3:$B$700&amp;$C$3:$C$700&amp;$D$3:$D$700,0))</f>
        <v>0</v>
      </c>
      <c r="Z488">
        <f t="array" ref="Z488">INDEX(O$3:O$700,MATCH($B488&amp;$C488&amp;"baseline",$B$3:$B$700&amp;$C$3:$C$700&amp;$D$3:$D$700,0))</f>
        <v>5.3495550838300616</v>
      </c>
      <c r="AA488">
        <f t="array" ref="AA488">INDEX(P$3:P$700,MATCH($B488&amp;$C488&amp;"baseline",$B$3:$B$700&amp;$C$3:$C$700&amp;$D$3:$D$700,0))</f>
        <v>0</v>
      </c>
      <c r="AB488">
        <f t="array" ref="AB488">INDEX(Q$3:Q$700,MATCH($B488&amp;$C488&amp;"baseline",$B$3:$B$700&amp;$C$3:$C$700&amp;$D$3:$D$700,0))</f>
        <v>0</v>
      </c>
      <c r="AC488">
        <f t="shared" si="55"/>
        <v>175.42490098006175</v>
      </c>
      <c r="AD488">
        <f t="shared" si="56"/>
        <v>20.448429876572348</v>
      </c>
      <c r="AE488">
        <f t="shared" si="57"/>
        <v>0.83455852809098019</v>
      </c>
      <c r="AF488">
        <f t="shared" si="58"/>
        <v>12.132250487678649</v>
      </c>
      <c r="AG488">
        <f>(S488+V488+Y488)*constants!$O$2+(R488+T488+U488+W488+X488+Z488+AA488+AB488)*constants!$N$2</f>
        <v>7.0474493941614123</v>
      </c>
      <c r="AH488">
        <f>((S488+V488+Y488)-(H488+K488+N488))*constants!$O$2</f>
        <v>0.33126456400047199</v>
      </c>
      <c r="AI488">
        <f>((R488+T488+U488+W488+X488+Z488+AA488+AB488)-(G488+I488+J488+L488+M488+O488+P488+Q488))*constants!$N$2</f>
        <v>9.4305113674280766E-2</v>
      </c>
      <c r="AJ488">
        <f t="shared" si="59"/>
        <v>6.0386340344256135</v>
      </c>
      <c r="AK488">
        <f t="shared" si="60"/>
        <v>0.42556967767475273</v>
      </c>
      <c r="AL488">
        <f>COUNTIFS($B:$B,$B488,$AK:$AK,"&lt;"&amp;$AK488)+COUNTIFS($B$2:$B488,$B488,$AK$2:$AK488,$AK488)</f>
        <v>35</v>
      </c>
      <c r="AM488" s="191">
        <f>IF(AK488=0, "NA",IF(((sim_annual_output!F488/E488)/AK488)&lt;0,100,((sim_annual_output!F488/E488)/AK488)))</f>
        <v>0</v>
      </c>
      <c r="AN488">
        <f>(S488+V488)*constants!$F$2+(T488+U488+W488+X488+Y488+Z488+AA488+AB488)*constants!$G$2</f>
        <v>61422.194721862135</v>
      </c>
      <c r="AO488">
        <f>(AD488*constants!$F$2+AE488*constants!$G$2)</f>
        <v>4386.334867345603</v>
      </c>
      <c r="AP488">
        <f t="shared" si="61"/>
        <v>7.1412864473635711</v>
      </c>
    </row>
    <row r="489" spans="1:42">
      <c r="A489">
        <f>sim_annual_output!B489</f>
        <v>23</v>
      </c>
      <c r="B489" t="str">
        <f>sim_annual_output!C489</f>
        <v>Storage Building</v>
      </c>
      <c r="C489" t="str">
        <f>sim_annual_output!D489</f>
        <v>2005-2014</v>
      </c>
      <c r="D489" t="str">
        <f>sim_annual_output!E489</f>
        <v>envelope_ecm_wall</v>
      </c>
      <c r="E489" s="45">
        <f t="array" ref="E489">IFERROR(INDEX(baseline!$J$3:$J$201,MATCH($B489&amp;$C489,baseline!$C$3:$C$201&amp;baseline!$D$3:$D$201,0)),"NA")</f>
        <v>1171</v>
      </c>
      <c r="F489">
        <f>sim_annual_output!G489</f>
        <v>965.15690399999903</v>
      </c>
      <c r="G489">
        <f>$E489/$F489^2*sim_annual_output!I489</f>
        <v>0</v>
      </c>
      <c r="H489">
        <f>$E489/$F489^2*sim_annual_output!J489</f>
        <v>128.5289970793844</v>
      </c>
      <c r="I489">
        <f>$E489/$F489^2*sim_annual_output!K489</f>
        <v>0</v>
      </c>
      <c r="J489">
        <f>$E489/$F489^2*sim_annual_output!L489</f>
        <v>0</v>
      </c>
      <c r="K489">
        <f>$E489/$F489^2*sim_annual_output!M489</f>
        <v>0</v>
      </c>
      <c r="L489">
        <f>$E489/$F489^2*sim_annual_output!N489</f>
        <v>34.866388715432876</v>
      </c>
      <c r="M489">
        <f>$E489/$F489^2*sim_annual_output!O489</f>
        <v>3.229985935080161</v>
      </c>
      <c r="N489">
        <f>$E489/$F489^2*sim_annual_output!P489</f>
        <v>0</v>
      </c>
      <c r="O489">
        <f>$E489/$F489^2*sim_annual_output!Q489</f>
        <v>5.1575018660685386</v>
      </c>
      <c r="P489">
        <f>$E489/$F489^2*sim_annual_output!R489</f>
        <v>0</v>
      </c>
      <c r="Q489">
        <f>$E489/$F489^2*sim_annual_output!S489</f>
        <v>0</v>
      </c>
      <c r="R489">
        <f t="array" ref="R489">INDEX(G$3:G$700,MATCH($B489&amp;$C489&amp;"baseline",$B$3:$B$700&amp;$C$3:$C$700&amp;$D$3:$D$700,0))</f>
        <v>0</v>
      </c>
      <c r="S489">
        <f t="array" ref="S489">INDEX(H$3:H$700,MATCH($B489&amp;$C489&amp;"baseline",$B$3:$B$700&amp;$C$3:$C$700&amp;$D$3:$D$700,0))</f>
        <v>131.97897124571867</v>
      </c>
      <c r="T489">
        <f t="array" ref="T489">INDEX(I$3:I$700,MATCH($B489&amp;$C489&amp;"baseline",$B$3:$B$700&amp;$C$3:$C$700&amp;$D$3:$D$700,0))</f>
        <v>0</v>
      </c>
      <c r="U489">
        <f t="array" ref="U489">INDEX(J$3:J$700,MATCH($B489&amp;$C489&amp;"baseline",$B$3:$B$700&amp;$C$3:$C$700&amp;$D$3:$D$700,0))</f>
        <v>0</v>
      </c>
      <c r="V489">
        <f t="array" ref="V489">INDEX(K$3:K$700,MATCH($B489&amp;$C489&amp;"baseline",$B$3:$B$700&amp;$C$3:$C$700&amp;$D$3:$D$700,0))</f>
        <v>0</v>
      </c>
      <c r="W489">
        <f t="array" ref="W489">INDEX(L$3:L$700,MATCH($B489&amp;$C489&amp;"baseline",$B$3:$B$700&amp;$C$3:$C$700&amp;$D$3:$D$700,0))</f>
        <v>34.866388715432876</v>
      </c>
      <c r="X489">
        <f t="array" ref="X489">INDEX(M$3:M$700,MATCH($B489&amp;$C489&amp;"baseline",$B$3:$B$700&amp;$C$3:$C$700&amp;$D$3:$D$700,0))</f>
        <v>3.229985935080161</v>
      </c>
      <c r="Y489">
        <f t="array" ref="Y489">INDEX(N$3:N$700,MATCH($B489&amp;$C489&amp;"baseline",$B$3:$B$700&amp;$C$3:$C$700&amp;$D$3:$D$700,0))</f>
        <v>0</v>
      </c>
      <c r="Z489">
        <f t="array" ref="Z489">INDEX(O$3:O$700,MATCH($B489&amp;$C489&amp;"baseline",$B$3:$B$700&amp;$C$3:$C$700&amp;$D$3:$D$700,0))</f>
        <v>5.3495550838300616</v>
      </c>
      <c r="AA489">
        <f t="array" ref="AA489">INDEX(P$3:P$700,MATCH($B489&amp;$C489&amp;"baseline",$B$3:$B$700&amp;$C$3:$C$700&amp;$D$3:$D$700,0))</f>
        <v>0</v>
      </c>
      <c r="AB489">
        <f t="array" ref="AB489">INDEX(Q$3:Q$700,MATCH($B489&amp;$C489&amp;"baseline",$B$3:$B$700&amp;$C$3:$C$700&amp;$D$3:$D$700,0))</f>
        <v>0</v>
      </c>
      <c r="AC489">
        <f t="shared" si="55"/>
        <v>175.42490098006175</v>
      </c>
      <c r="AD489">
        <f t="shared" si="56"/>
        <v>3.4499741663342718</v>
      </c>
      <c r="AE489">
        <f t="shared" si="57"/>
        <v>0.19205321776152573</v>
      </c>
      <c r="AF489">
        <f t="shared" si="58"/>
        <v>2.076117679843946</v>
      </c>
      <c r="AG489">
        <f>(S489+V489+Y489)*constants!$O$2+(R489+T489+U489+W489+X489+Z489+AA489+AB489)*constants!$N$2</f>
        <v>7.0474493941614123</v>
      </c>
      <c r="AH489">
        <f>((S489+V489+Y489)-(H489+K489+N489))*constants!$O$2</f>
        <v>5.5889581494615197E-2</v>
      </c>
      <c r="AI489">
        <f>((R489+T489+U489+W489+X489+Z489+AA489+AB489)-(G489+I489+J489+L489+M489+O489+P489+Q489))*constants!$N$2</f>
        <v>2.1702013607052408E-2</v>
      </c>
      <c r="AJ489">
        <f t="shared" si="59"/>
        <v>1.100988325875029</v>
      </c>
      <c r="AK489">
        <f t="shared" si="60"/>
        <v>7.7591595101667604E-2</v>
      </c>
      <c r="AL489">
        <f>COUNTIFS($B:$B,$B489,$AK:$AK,"&lt;"&amp;$AK489)+COUNTIFS($B$2:$B489,$B489,$AK$2:$AK489,$AK489)</f>
        <v>19</v>
      </c>
      <c r="AM489" s="191">
        <f>IF(AK489=0, "NA",IF(((sim_annual_output!F489/E489)/AK489)&lt;0,100,((sim_annual_output!F489/E489)/AK489)))</f>
        <v>0</v>
      </c>
      <c r="AN489">
        <f>(S489+V489)*constants!$F$2+(T489+U489+W489+X489+Y489+Z489+AA489+AB489)*constants!$G$2</f>
        <v>61422.194721862135</v>
      </c>
      <c r="AO489">
        <f>(AD489*constants!$F$2+AE489*constants!$G$2)</f>
        <v>784.63167522636195</v>
      </c>
      <c r="AP489">
        <f t="shared" si="61"/>
        <v>1.2774399853007634</v>
      </c>
    </row>
    <row r="490" spans="1:42">
      <c r="A490">
        <f>sim_annual_output!B490</f>
        <v>23</v>
      </c>
      <c r="B490" t="str">
        <f>sim_annual_output!C490</f>
        <v>Storage Building</v>
      </c>
      <c r="C490" t="str">
        <f>sim_annual_output!D490</f>
        <v>2005-2014</v>
      </c>
      <c r="D490" t="str">
        <f>sim_annual_output!E490</f>
        <v>envelope_ecm_windows</v>
      </c>
      <c r="E490" s="45">
        <f t="array" ref="E490">IFERROR(INDEX(baseline!$J$3:$J$201,MATCH($B490&amp;$C490,baseline!$C$3:$C$201&amp;baseline!$D$3:$D$201,0)),"NA")</f>
        <v>1171</v>
      </c>
      <c r="F490">
        <f>sim_annual_output!G490</f>
        <v>965.15690399999903</v>
      </c>
      <c r="G490">
        <f>$E490/$F490^2*sim_annual_output!I490</f>
        <v>0</v>
      </c>
      <c r="H490">
        <f>$E490/$F490^2*sim_annual_output!J490</f>
        <v>129.5416413184906</v>
      </c>
      <c r="I490">
        <f>$E490/$F490^2*sim_annual_output!K490</f>
        <v>0</v>
      </c>
      <c r="J490">
        <f>$E490/$F490^2*sim_annual_output!L490</f>
        <v>0</v>
      </c>
      <c r="K490">
        <f>$E490/$F490^2*sim_annual_output!M490</f>
        <v>0</v>
      </c>
      <c r="L490">
        <f>$E490/$F490^2*sim_annual_output!N490</f>
        <v>34.866388715432876</v>
      </c>
      <c r="M490">
        <f>$E490/$F490^2*sim_annual_output!O490</f>
        <v>3.229985935080161</v>
      </c>
      <c r="N490">
        <f>$E490/$F490^2*sim_annual_output!P490</f>
        <v>0</v>
      </c>
      <c r="O490">
        <f>$E490/$F490^2*sim_annual_output!Q490</f>
        <v>5.1994043863074157</v>
      </c>
      <c r="P490">
        <f>$E490/$F490^2*sim_annual_output!R490</f>
        <v>0</v>
      </c>
      <c r="Q490">
        <f>$E490/$F490^2*sim_annual_output!S490</f>
        <v>0</v>
      </c>
      <c r="R490">
        <f t="array" ref="R490">INDEX(G$3:G$700,MATCH($B490&amp;$C490&amp;"baseline",$B$3:$B$700&amp;$C$3:$C$700&amp;$D$3:$D$700,0))</f>
        <v>0</v>
      </c>
      <c r="S490">
        <f t="array" ref="S490">INDEX(H$3:H$700,MATCH($B490&amp;$C490&amp;"baseline",$B$3:$B$700&amp;$C$3:$C$700&amp;$D$3:$D$700,0))</f>
        <v>131.97897124571867</v>
      </c>
      <c r="T490">
        <f t="array" ref="T490">INDEX(I$3:I$700,MATCH($B490&amp;$C490&amp;"baseline",$B$3:$B$700&amp;$C$3:$C$700&amp;$D$3:$D$700,0))</f>
        <v>0</v>
      </c>
      <c r="U490">
        <f t="array" ref="U490">INDEX(J$3:J$700,MATCH($B490&amp;$C490&amp;"baseline",$B$3:$B$700&amp;$C$3:$C$700&amp;$D$3:$D$700,0))</f>
        <v>0</v>
      </c>
      <c r="V490">
        <f t="array" ref="V490">INDEX(K$3:K$700,MATCH($B490&amp;$C490&amp;"baseline",$B$3:$B$700&amp;$C$3:$C$700&amp;$D$3:$D$700,0))</f>
        <v>0</v>
      </c>
      <c r="W490">
        <f t="array" ref="W490">INDEX(L$3:L$700,MATCH($B490&amp;$C490&amp;"baseline",$B$3:$B$700&amp;$C$3:$C$700&amp;$D$3:$D$700,0))</f>
        <v>34.866388715432876</v>
      </c>
      <c r="X490">
        <f t="array" ref="X490">INDEX(M$3:M$700,MATCH($B490&amp;$C490&amp;"baseline",$B$3:$B$700&amp;$C$3:$C$700&amp;$D$3:$D$700,0))</f>
        <v>3.229985935080161</v>
      </c>
      <c r="Y490">
        <f t="array" ref="Y490">INDEX(N$3:N$700,MATCH($B490&amp;$C490&amp;"baseline",$B$3:$B$700&amp;$C$3:$C$700&amp;$D$3:$D$700,0))</f>
        <v>0</v>
      </c>
      <c r="Z490">
        <f t="array" ref="Z490">INDEX(O$3:O$700,MATCH($B490&amp;$C490&amp;"baseline",$B$3:$B$700&amp;$C$3:$C$700&amp;$D$3:$D$700,0))</f>
        <v>5.3495550838300616</v>
      </c>
      <c r="AA490">
        <f t="array" ref="AA490">INDEX(P$3:P$700,MATCH($B490&amp;$C490&amp;"baseline",$B$3:$B$700&amp;$C$3:$C$700&amp;$D$3:$D$700,0))</f>
        <v>0</v>
      </c>
      <c r="AB490">
        <f t="array" ref="AB490">INDEX(Q$3:Q$700,MATCH($B490&amp;$C490&amp;"baseline",$B$3:$B$700&amp;$C$3:$C$700&amp;$D$3:$D$700,0))</f>
        <v>0</v>
      </c>
      <c r="AC490">
        <f t="shared" si="55"/>
        <v>175.42490098006175</v>
      </c>
      <c r="AD490">
        <f t="shared" si="56"/>
        <v>2.4373299272280633</v>
      </c>
      <c r="AE490">
        <f t="shared" si="57"/>
        <v>0.15015069752264765</v>
      </c>
      <c r="AF490">
        <f t="shared" si="58"/>
        <v>1.4749790994864498</v>
      </c>
      <c r="AG490">
        <f>(S490+V490+Y490)*constants!$O$2+(R490+T490+U490+W490+X490+Z490+AA490+AB490)*constants!$N$2</f>
        <v>7.0474493941614123</v>
      </c>
      <c r="AH490">
        <f>((S490+V490+Y490)-(H490+K490+N490))*constants!$O$2</f>
        <v>3.9484744821094625E-2</v>
      </c>
      <c r="AI490">
        <f>((R490+T490+U490+W490+X490+Z490+AA490+AB490)-(G490+I490+J490+L490+M490+O490+P490+Q490))*constants!$N$2</f>
        <v>1.6967028820059186E-2</v>
      </c>
      <c r="AJ490">
        <f t="shared" si="59"/>
        <v>0.80102417887416544</v>
      </c>
      <c r="AK490">
        <f t="shared" si="60"/>
        <v>5.6451773641153807E-2</v>
      </c>
      <c r="AL490">
        <f>COUNTIFS($B:$B,$B490,$AK:$AK,"&lt;"&amp;$AK490)+COUNTIFS($B$2:$B490,$B490,$AK$2:$AK490,$AK490)</f>
        <v>9</v>
      </c>
      <c r="AM490" s="191">
        <f>IF(AK490=0, "NA",IF(((sim_annual_output!F490/E490)/AK490)&lt;0,100,((sim_annual_output!F490/E490)/AK490)))</f>
        <v>0</v>
      </c>
      <c r="AN490">
        <f>(S490+V490)*constants!$F$2+(T490+U490+W490+X490+Y490+Z490+AA490+AB490)*constants!$G$2</f>
        <v>61422.194721862135</v>
      </c>
      <c r="AO490">
        <f>(AD490*constants!$F$2+AE490*constants!$G$2)</f>
        <v>566.91316381852675</v>
      </c>
      <c r="AP490">
        <f t="shared" si="61"/>
        <v>0.92297770599972417</v>
      </c>
    </row>
    <row r="491" spans="1:42">
      <c r="A491">
        <f>sim_annual_output!B491</f>
        <v>23</v>
      </c>
      <c r="B491" t="str">
        <f>sim_annual_output!C491</f>
        <v>Storage Building</v>
      </c>
      <c r="C491" t="str">
        <f>sim_annual_output!D491</f>
        <v>2005-2014</v>
      </c>
      <c r="D491" t="str">
        <f>sim_annual_output!E491</f>
        <v>exhaust_fans_occ_control</v>
      </c>
      <c r="E491" s="45">
        <f t="array" ref="E491">IFERROR(INDEX(baseline!$J$3:$J$201,MATCH($B491&amp;$C491,baseline!$C$3:$C$201&amp;baseline!$D$3:$D$201,0)),"NA")</f>
        <v>1171</v>
      </c>
      <c r="F491">
        <f>sim_annual_output!G491</f>
        <v>965.15690399999903</v>
      </c>
      <c r="G491">
        <f>$E491/$F491^2*sim_annual_output!I491</f>
        <v>0</v>
      </c>
      <c r="H491">
        <f>$E491/$F491^2*sim_annual_output!J491</f>
        <v>129.5416413184906</v>
      </c>
      <c r="I491">
        <f>$E491/$F491^2*sim_annual_output!K491</f>
        <v>0</v>
      </c>
      <c r="J491">
        <f>$E491/$F491^2*sim_annual_output!L491</f>
        <v>0</v>
      </c>
      <c r="K491">
        <f>$E491/$F491^2*sim_annual_output!M491</f>
        <v>0</v>
      </c>
      <c r="L491">
        <f>$E491/$F491^2*sim_annual_output!N491</f>
        <v>34.866388715432876</v>
      </c>
      <c r="M491">
        <f>$E491/$F491^2*sim_annual_output!O491</f>
        <v>3.229985935080161</v>
      </c>
      <c r="N491">
        <f>$E491/$F491^2*sim_annual_output!P491</f>
        <v>0</v>
      </c>
      <c r="O491">
        <f>$E491/$F491^2*sim_annual_output!Q491</f>
        <v>5.1994043863074157</v>
      </c>
      <c r="P491">
        <f>$E491/$F491^2*sim_annual_output!R491</f>
        <v>0</v>
      </c>
      <c r="Q491">
        <f>$E491/$F491^2*sim_annual_output!S491</f>
        <v>0</v>
      </c>
      <c r="R491">
        <f t="array" ref="R491">INDEX(G$3:G$700,MATCH($B491&amp;$C491&amp;"baseline",$B$3:$B$700&amp;$C$3:$C$700&amp;$D$3:$D$700,0))</f>
        <v>0</v>
      </c>
      <c r="S491">
        <f t="array" ref="S491">INDEX(H$3:H$700,MATCH($B491&amp;$C491&amp;"baseline",$B$3:$B$700&amp;$C$3:$C$700&amp;$D$3:$D$700,0))</f>
        <v>131.97897124571867</v>
      </c>
      <c r="T491">
        <f t="array" ref="T491">INDEX(I$3:I$700,MATCH($B491&amp;$C491&amp;"baseline",$B$3:$B$700&amp;$C$3:$C$700&amp;$D$3:$D$700,0))</f>
        <v>0</v>
      </c>
      <c r="U491">
        <f t="array" ref="U491">INDEX(J$3:J$700,MATCH($B491&amp;$C491&amp;"baseline",$B$3:$B$700&amp;$C$3:$C$700&amp;$D$3:$D$700,0))</f>
        <v>0</v>
      </c>
      <c r="V491">
        <f t="array" ref="V491">INDEX(K$3:K$700,MATCH($B491&amp;$C491&amp;"baseline",$B$3:$B$700&amp;$C$3:$C$700&amp;$D$3:$D$700,0))</f>
        <v>0</v>
      </c>
      <c r="W491">
        <f t="array" ref="W491">INDEX(L$3:L$700,MATCH($B491&amp;$C491&amp;"baseline",$B$3:$B$700&amp;$C$3:$C$700&amp;$D$3:$D$700,0))</f>
        <v>34.866388715432876</v>
      </c>
      <c r="X491">
        <f t="array" ref="X491">INDEX(M$3:M$700,MATCH($B491&amp;$C491&amp;"baseline",$B$3:$B$700&amp;$C$3:$C$700&amp;$D$3:$D$700,0))</f>
        <v>3.229985935080161</v>
      </c>
      <c r="Y491">
        <f t="array" ref="Y491">INDEX(N$3:N$700,MATCH($B491&amp;$C491&amp;"baseline",$B$3:$B$700&amp;$C$3:$C$700&amp;$D$3:$D$700,0))</f>
        <v>0</v>
      </c>
      <c r="Z491">
        <f t="array" ref="Z491">INDEX(O$3:O$700,MATCH($B491&amp;$C491&amp;"baseline",$B$3:$B$700&amp;$C$3:$C$700&amp;$D$3:$D$700,0))</f>
        <v>5.3495550838300616</v>
      </c>
      <c r="AA491">
        <f t="array" ref="AA491">INDEX(P$3:P$700,MATCH($B491&amp;$C491&amp;"baseline",$B$3:$B$700&amp;$C$3:$C$700&amp;$D$3:$D$700,0))</f>
        <v>0</v>
      </c>
      <c r="AB491">
        <f t="array" ref="AB491">INDEX(Q$3:Q$700,MATCH($B491&amp;$C491&amp;"baseline",$B$3:$B$700&amp;$C$3:$C$700&amp;$D$3:$D$700,0))</f>
        <v>0</v>
      </c>
      <c r="AC491">
        <f t="shared" si="55"/>
        <v>175.42490098006175</v>
      </c>
      <c r="AD491">
        <f t="shared" si="56"/>
        <v>2.4373299272280633</v>
      </c>
      <c r="AE491">
        <f t="shared" si="57"/>
        <v>0.15015069752264765</v>
      </c>
      <c r="AF491">
        <f t="shared" si="58"/>
        <v>1.4749790994864498</v>
      </c>
      <c r="AG491">
        <f>(S491+V491+Y491)*constants!$O$2+(R491+T491+U491+W491+X491+Z491+AA491+AB491)*constants!$N$2</f>
        <v>7.0474493941614123</v>
      </c>
      <c r="AH491">
        <f>((S491+V491+Y491)-(H491+K491+N491))*constants!$O$2</f>
        <v>3.9484744821094625E-2</v>
      </c>
      <c r="AI491">
        <f>((R491+T491+U491+W491+X491+Z491+AA491+AB491)-(G491+I491+J491+L491+M491+O491+P491+Q491))*constants!$N$2</f>
        <v>1.6967028820059186E-2</v>
      </c>
      <c r="AJ491">
        <f t="shared" si="59"/>
        <v>0.80102417887416544</v>
      </c>
      <c r="AK491">
        <f t="shared" si="60"/>
        <v>5.6451773641153807E-2</v>
      </c>
      <c r="AL491">
        <f>COUNTIFS($B:$B,$B491,$AK:$AK,"&lt;"&amp;$AK491)+COUNTIFS($B$2:$B491,$B491,$AK$2:$AK491,$AK491)</f>
        <v>10</v>
      </c>
      <c r="AM491" s="191">
        <f>IF(AK491=0, "NA",IF(((sim_annual_output!F491/E491)/AK491)&lt;0,100,((sim_annual_output!F491/E491)/AK491)))</f>
        <v>11.073893075229968</v>
      </c>
      <c r="AN491">
        <f>(S491+V491)*constants!$F$2+(T491+U491+W491+X491+Y491+Z491+AA491+AB491)*constants!$G$2</f>
        <v>61422.194721862135</v>
      </c>
      <c r="AO491">
        <f>(AD491*constants!$F$2+AE491*constants!$G$2)</f>
        <v>566.91316381852675</v>
      </c>
      <c r="AP491">
        <f t="shared" si="61"/>
        <v>0.92297770599972417</v>
      </c>
    </row>
    <row r="492" spans="1:42">
      <c r="A492">
        <f>sim_annual_output!B492</f>
        <v>23</v>
      </c>
      <c r="B492" t="str">
        <f>sim_annual_output!C492</f>
        <v>Storage Building</v>
      </c>
      <c r="C492" t="str">
        <f>sim_annual_output!D492</f>
        <v>2005-2014</v>
      </c>
      <c r="D492" t="str">
        <f>sim_annual_output!E492</f>
        <v>hrv_enabled</v>
      </c>
      <c r="E492" s="45">
        <f t="array" ref="E492">IFERROR(INDEX(baseline!$J$3:$J$201,MATCH($B492&amp;$C492,baseline!$C$3:$C$201&amp;baseline!$D$3:$D$201,0)),"NA")</f>
        <v>1171</v>
      </c>
      <c r="F492">
        <f>sim_annual_output!G492</f>
        <v>965.15690399999903</v>
      </c>
      <c r="G492">
        <f>$E492/$F492^2*sim_annual_output!I492</f>
        <v>0</v>
      </c>
      <c r="H492">
        <f>$E492/$F492^2*sim_annual_output!J492</f>
        <v>129.5416413184906</v>
      </c>
      <c r="I492">
        <f>$E492/$F492^2*sim_annual_output!K492</f>
        <v>0</v>
      </c>
      <c r="J492">
        <f>$E492/$F492^2*sim_annual_output!L492</f>
        <v>0</v>
      </c>
      <c r="K492">
        <f>$E492/$F492^2*sim_annual_output!M492</f>
        <v>0</v>
      </c>
      <c r="L492">
        <f>$E492/$F492^2*sim_annual_output!N492</f>
        <v>34.866388715432876</v>
      </c>
      <c r="M492">
        <f>$E492/$F492^2*sim_annual_output!O492</f>
        <v>3.229985935080161</v>
      </c>
      <c r="N492">
        <f>$E492/$F492^2*sim_annual_output!P492</f>
        <v>0</v>
      </c>
      <c r="O492">
        <f>$E492/$F492^2*sim_annual_output!Q492</f>
        <v>5.1994043863074157</v>
      </c>
      <c r="P492">
        <f>$E492/$F492^2*sim_annual_output!R492</f>
        <v>0</v>
      </c>
      <c r="Q492">
        <f>$E492/$F492^2*sim_annual_output!S492</f>
        <v>0</v>
      </c>
      <c r="R492">
        <f t="array" ref="R492">INDEX(G$3:G$700,MATCH($B492&amp;$C492&amp;"baseline",$B$3:$B$700&amp;$C$3:$C$700&amp;$D$3:$D$700,0))</f>
        <v>0</v>
      </c>
      <c r="S492">
        <f t="array" ref="S492">INDEX(H$3:H$700,MATCH($B492&amp;$C492&amp;"baseline",$B$3:$B$700&amp;$C$3:$C$700&amp;$D$3:$D$700,0))</f>
        <v>131.97897124571867</v>
      </c>
      <c r="T492">
        <f t="array" ref="T492">INDEX(I$3:I$700,MATCH($B492&amp;$C492&amp;"baseline",$B$3:$B$700&amp;$C$3:$C$700&amp;$D$3:$D$700,0))</f>
        <v>0</v>
      </c>
      <c r="U492">
        <f t="array" ref="U492">INDEX(J$3:J$700,MATCH($B492&amp;$C492&amp;"baseline",$B$3:$B$700&amp;$C$3:$C$700&amp;$D$3:$D$700,0))</f>
        <v>0</v>
      </c>
      <c r="V492">
        <f t="array" ref="V492">INDEX(K$3:K$700,MATCH($B492&amp;$C492&amp;"baseline",$B$3:$B$700&amp;$C$3:$C$700&amp;$D$3:$D$700,0))</f>
        <v>0</v>
      </c>
      <c r="W492">
        <f t="array" ref="W492">INDEX(L$3:L$700,MATCH($B492&amp;$C492&amp;"baseline",$B$3:$B$700&amp;$C$3:$C$700&amp;$D$3:$D$700,0))</f>
        <v>34.866388715432876</v>
      </c>
      <c r="X492">
        <f t="array" ref="X492">INDEX(M$3:M$700,MATCH($B492&amp;$C492&amp;"baseline",$B$3:$B$700&amp;$C$3:$C$700&amp;$D$3:$D$700,0))</f>
        <v>3.229985935080161</v>
      </c>
      <c r="Y492">
        <f t="array" ref="Y492">INDEX(N$3:N$700,MATCH($B492&amp;$C492&amp;"baseline",$B$3:$B$700&amp;$C$3:$C$700&amp;$D$3:$D$700,0))</f>
        <v>0</v>
      </c>
      <c r="Z492">
        <f t="array" ref="Z492">INDEX(O$3:O$700,MATCH($B492&amp;$C492&amp;"baseline",$B$3:$B$700&amp;$C$3:$C$700&amp;$D$3:$D$700,0))</f>
        <v>5.3495550838300616</v>
      </c>
      <c r="AA492">
        <f t="array" ref="AA492">INDEX(P$3:P$700,MATCH($B492&amp;$C492&amp;"baseline",$B$3:$B$700&amp;$C$3:$C$700&amp;$D$3:$D$700,0))</f>
        <v>0</v>
      </c>
      <c r="AB492">
        <f t="array" ref="AB492">INDEX(Q$3:Q$700,MATCH($B492&amp;$C492&amp;"baseline",$B$3:$B$700&amp;$C$3:$C$700&amp;$D$3:$D$700,0))</f>
        <v>0</v>
      </c>
      <c r="AC492">
        <f t="shared" si="55"/>
        <v>175.42490098006175</v>
      </c>
      <c r="AD492">
        <f t="shared" si="56"/>
        <v>2.4373299272280633</v>
      </c>
      <c r="AE492">
        <f t="shared" si="57"/>
        <v>0.15015069752264765</v>
      </c>
      <c r="AF492">
        <f t="shared" si="58"/>
        <v>1.4749790994864498</v>
      </c>
      <c r="AG492">
        <f>(S492+V492+Y492)*constants!$O$2+(R492+T492+U492+W492+X492+Z492+AA492+AB492)*constants!$N$2</f>
        <v>7.0474493941614123</v>
      </c>
      <c r="AH492">
        <f>((S492+V492+Y492)-(H492+K492+N492))*constants!$O$2</f>
        <v>3.9484744821094625E-2</v>
      </c>
      <c r="AI492">
        <f>((R492+T492+U492+W492+X492+Z492+AA492+AB492)-(G492+I492+J492+L492+M492+O492+P492+Q492))*constants!$N$2</f>
        <v>1.6967028820059186E-2</v>
      </c>
      <c r="AJ492">
        <f t="shared" si="59"/>
        <v>0.80102417887416544</v>
      </c>
      <c r="AK492">
        <f t="shared" si="60"/>
        <v>5.6451773641153807E-2</v>
      </c>
      <c r="AL492">
        <f>COUNTIFS($B:$B,$B492,$AK:$AK,"&lt;"&amp;$AK492)+COUNTIFS($B$2:$B492,$B492,$AK$2:$AK492,$AK492)</f>
        <v>11</v>
      </c>
      <c r="AM492" s="191">
        <f>IF(AK492=0, "NA",IF(((sim_annual_output!F492/E492)/AK492)&lt;0,100,((sim_annual_output!F492/E492)/AK492)))</f>
        <v>0</v>
      </c>
      <c r="AN492">
        <f>(S492+V492)*constants!$F$2+(T492+U492+W492+X492+Y492+Z492+AA492+AB492)*constants!$G$2</f>
        <v>61422.194721862135</v>
      </c>
      <c r="AO492">
        <f>(AD492*constants!$F$2+AE492*constants!$G$2)</f>
        <v>566.91316381852675</v>
      </c>
      <c r="AP492">
        <f t="shared" si="61"/>
        <v>0.92297770599972417</v>
      </c>
    </row>
    <row r="493" spans="1:42">
      <c r="A493">
        <f>sim_annual_output!B493</f>
        <v>23</v>
      </c>
      <c r="B493" t="str">
        <f>sim_annual_output!C493</f>
        <v>Storage Building</v>
      </c>
      <c r="C493" t="str">
        <f>sim_annual_output!D493</f>
        <v>2005-2014</v>
      </c>
      <c r="D493" t="str">
        <f>sim_annual_output!E493</f>
        <v>lights_reduce_70p</v>
      </c>
      <c r="E493" s="45">
        <f t="array" ref="E493">IFERROR(INDEX(baseline!$J$3:$J$201,MATCH($B493&amp;$C493,baseline!$C$3:$C$201&amp;baseline!$D$3:$D$201,0)),"NA")</f>
        <v>1171</v>
      </c>
      <c r="F493">
        <f>sim_annual_output!G493</f>
        <v>965.15690399999903</v>
      </c>
      <c r="G493">
        <f>$E493/$F493^2*sim_annual_output!I493</f>
        <v>0</v>
      </c>
      <c r="H493">
        <f>$E493/$F493^2*sim_annual_output!J493</f>
        <v>138.99065963235753</v>
      </c>
      <c r="I493">
        <f>$E493/$F493^2*sim_annual_output!K493</f>
        <v>0</v>
      </c>
      <c r="J493">
        <f>$E493/$F493^2*sim_annual_output!L493</f>
        <v>0</v>
      </c>
      <c r="K493">
        <f>$E493/$F493^2*sim_annual_output!M493</f>
        <v>0</v>
      </c>
      <c r="L493">
        <f>$E493/$F493^2*sim_annual_output!N493</f>
        <v>24.408218039146298</v>
      </c>
      <c r="M493">
        <f>$E493/$F493^2*sim_annual_output!O493</f>
        <v>3.229985935080161</v>
      </c>
      <c r="N493">
        <f>$E493/$F493^2*sim_annual_output!P493</f>
        <v>0</v>
      </c>
      <c r="O493">
        <f>$E493/$F493^2*sim_annual_output!Q493</f>
        <v>5.5520839316513033</v>
      </c>
      <c r="P493">
        <f>$E493/$F493^2*sim_annual_output!R493</f>
        <v>0</v>
      </c>
      <c r="Q493">
        <f>$E493/$F493^2*sim_annual_output!S493</f>
        <v>0</v>
      </c>
      <c r="R493">
        <f t="array" ref="R493">INDEX(G$3:G$700,MATCH($B493&amp;$C493&amp;"baseline",$B$3:$B$700&amp;$C$3:$C$700&amp;$D$3:$D$700,0))</f>
        <v>0</v>
      </c>
      <c r="S493">
        <f t="array" ref="S493">INDEX(H$3:H$700,MATCH($B493&amp;$C493&amp;"baseline",$B$3:$B$700&amp;$C$3:$C$700&amp;$D$3:$D$700,0))</f>
        <v>131.97897124571867</v>
      </c>
      <c r="T493">
        <f t="array" ref="T493">INDEX(I$3:I$700,MATCH($B493&amp;$C493&amp;"baseline",$B$3:$B$700&amp;$C$3:$C$700&amp;$D$3:$D$700,0))</f>
        <v>0</v>
      </c>
      <c r="U493">
        <f t="array" ref="U493">INDEX(J$3:J$700,MATCH($B493&amp;$C493&amp;"baseline",$B$3:$B$700&amp;$C$3:$C$700&amp;$D$3:$D$700,0))</f>
        <v>0</v>
      </c>
      <c r="V493">
        <f t="array" ref="V493">INDEX(K$3:K$700,MATCH($B493&amp;$C493&amp;"baseline",$B$3:$B$700&amp;$C$3:$C$700&amp;$D$3:$D$700,0))</f>
        <v>0</v>
      </c>
      <c r="W493">
        <f t="array" ref="W493">INDEX(L$3:L$700,MATCH($B493&amp;$C493&amp;"baseline",$B$3:$B$700&amp;$C$3:$C$700&amp;$D$3:$D$700,0))</f>
        <v>34.866388715432876</v>
      </c>
      <c r="X493">
        <f t="array" ref="X493">INDEX(M$3:M$700,MATCH($B493&amp;$C493&amp;"baseline",$B$3:$B$700&amp;$C$3:$C$700&amp;$D$3:$D$700,0))</f>
        <v>3.229985935080161</v>
      </c>
      <c r="Y493">
        <f t="array" ref="Y493">INDEX(N$3:N$700,MATCH($B493&amp;$C493&amp;"baseline",$B$3:$B$700&amp;$C$3:$C$700&amp;$D$3:$D$700,0))</f>
        <v>0</v>
      </c>
      <c r="Z493">
        <f t="array" ref="Z493">INDEX(O$3:O$700,MATCH($B493&amp;$C493&amp;"baseline",$B$3:$B$700&amp;$C$3:$C$700&amp;$D$3:$D$700,0))</f>
        <v>5.3495550838300616</v>
      </c>
      <c r="AA493">
        <f t="array" ref="AA493">INDEX(P$3:P$700,MATCH($B493&amp;$C493&amp;"baseline",$B$3:$B$700&amp;$C$3:$C$700&amp;$D$3:$D$700,0))</f>
        <v>0</v>
      </c>
      <c r="AB493">
        <f t="array" ref="AB493">INDEX(Q$3:Q$700,MATCH($B493&amp;$C493&amp;"baseline",$B$3:$B$700&amp;$C$3:$C$700&amp;$D$3:$D$700,0))</f>
        <v>0</v>
      </c>
      <c r="AC493">
        <f t="shared" si="55"/>
        <v>175.42490098006175</v>
      </c>
      <c r="AD493">
        <f t="shared" si="56"/>
        <v>-7.0116883866388662</v>
      </c>
      <c r="AE493">
        <f t="shared" si="57"/>
        <v>10.255641828465329</v>
      </c>
      <c r="AF493">
        <f t="shared" si="58"/>
        <v>1.8491978183844953</v>
      </c>
      <c r="AG493">
        <f>(S493+V493+Y493)*constants!$O$2+(R493+T493+U493+W493+X493+Z493+AA493+AB493)*constants!$N$2</f>
        <v>7.0474493941614123</v>
      </c>
      <c r="AH493">
        <f>((S493+V493+Y493)-(H493+K493+N493))*constants!$O$2</f>
        <v>-0.11358935186354963</v>
      </c>
      <c r="AI493">
        <f>((R493+T493+U493+W493+X493+Z493+AA493+AB493)-(G493+I493+J493+L493+M493+O493+P493+Q493))*constants!$N$2</f>
        <v>1.1588875266165821</v>
      </c>
      <c r="AJ493">
        <f t="shared" si="59"/>
        <v>14.83229061026006</v>
      </c>
      <c r="AK493">
        <f t="shared" si="60"/>
        <v>1.0452981747530325</v>
      </c>
      <c r="AL493">
        <f>COUNTIFS($B:$B,$B493,$AK:$AK,"&lt;"&amp;$AK493)+COUNTIFS($B$2:$B493,$B493,$AK$2:$AK493,$AK493)</f>
        <v>48</v>
      </c>
      <c r="AM493" s="191">
        <f>IF(AK493=0, "NA",IF(((sim_annual_output!F493/E493)/AK493)&lt;0,100,((sim_annual_output!F493/E493)/AK493)))</f>
        <v>19.381874220055291</v>
      </c>
      <c r="AN493">
        <f>(S493+V493)*constants!$F$2+(T493+U493+W493+X493+Y493+Z493+AA493+AB493)*constants!$G$2</f>
        <v>61422.194721862135</v>
      </c>
      <c r="AO493">
        <f>(AD493*constants!$F$2+AE493*constants!$G$2)</f>
        <v>7667.3161695564795</v>
      </c>
      <c r="AP493">
        <f t="shared" si="61"/>
        <v>12.482973303504304</v>
      </c>
    </row>
    <row r="494" spans="1:42">
      <c r="A494">
        <f>sim_annual_output!B494</f>
        <v>23</v>
      </c>
      <c r="B494" t="str">
        <f>sim_annual_output!C494</f>
        <v>Storage Building</v>
      </c>
      <c r="C494" t="str">
        <f>sim_annual_output!D494</f>
        <v>2005-2014</v>
      </c>
      <c r="D494" t="str">
        <f>sim_annual_output!E494</f>
        <v>load_reduce</v>
      </c>
      <c r="E494" s="45">
        <f t="array" ref="E494">IFERROR(INDEX(baseline!$J$3:$J$201,MATCH($B494&amp;$C494,baseline!$C$3:$C$201&amp;baseline!$D$3:$D$201,0)),"NA")</f>
        <v>1171</v>
      </c>
      <c r="F494">
        <f>sim_annual_output!G494</f>
        <v>965.15690399999903</v>
      </c>
      <c r="G494">
        <f>$E494/$F494^2*sim_annual_output!I494</f>
        <v>0</v>
      </c>
      <c r="H494">
        <f>$E494/$F494^2*sim_annual_output!J494</f>
        <v>151.66617200461809</v>
      </c>
      <c r="I494">
        <f>$E494/$F494^2*sim_annual_output!K494</f>
        <v>0</v>
      </c>
      <c r="J494">
        <f>$E494/$F494^2*sim_annual_output!L494</f>
        <v>0</v>
      </c>
      <c r="K494">
        <f>$E494/$F494^2*sim_annual_output!M494</f>
        <v>0</v>
      </c>
      <c r="L494">
        <f>$E494/$F494^2*sim_annual_output!N494</f>
        <v>34.866388715432876</v>
      </c>
      <c r="M494">
        <f>$E494/$F494^2*sim_annual_output!O494</f>
        <v>3.229985935080161</v>
      </c>
      <c r="N494">
        <f>$E494/$F494^2*sim_annual_output!P494</f>
        <v>0</v>
      </c>
      <c r="O494">
        <f>$E494/$F494^2*sim_annual_output!Q494</f>
        <v>7.1408878240420854</v>
      </c>
      <c r="P494">
        <f>$E494/$F494^2*sim_annual_output!R494</f>
        <v>0</v>
      </c>
      <c r="Q494">
        <f>$E494/$F494^2*sim_annual_output!S494</f>
        <v>0</v>
      </c>
      <c r="R494">
        <f t="array" ref="R494">INDEX(G$3:G$700,MATCH($B494&amp;$C494&amp;"baseline",$B$3:$B$700&amp;$C$3:$C$700&amp;$D$3:$D$700,0))</f>
        <v>0</v>
      </c>
      <c r="S494">
        <f t="array" ref="S494">INDEX(H$3:H$700,MATCH($B494&amp;$C494&amp;"baseline",$B$3:$B$700&amp;$C$3:$C$700&amp;$D$3:$D$700,0))</f>
        <v>131.97897124571867</v>
      </c>
      <c r="T494">
        <f t="array" ref="T494">INDEX(I$3:I$700,MATCH($B494&amp;$C494&amp;"baseline",$B$3:$B$700&amp;$C$3:$C$700&amp;$D$3:$D$700,0))</f>
        <v>0</v>
      </c>
      <c r="U494">
        <f t="array" ref="U494">INDEX(J$3:J$700,MATCH($B494&amp;$C494&amp;"baseline",$B$3:$B$700&amp;$C$3:$C$700&amp;$D$3:$D$700,0))</f>
        <v>0</v>
      </c>
      <c r="V494">
        <f t="array" ref="V494">INDEX(K$3:K$700,MATCH($B494&amp;$C494&amp;"baseline",$B$3:$B$700&amp;$C$3:$C$700&amp;$D$3:$D$700,0))</f>
        <v>0</v>
      </c>
      <c r="W494">
        <f t="array" ref="W494">INDEX(L$3:L$700,MATCH($B494&amp;$C494&amp;"baseline",$B$3:$B$700&amp;$C$3:$C$700&amp;$D$3:$D$700,0))</f>
        <v>34.866388715432876</v>
      </c>
      <c r="X494">
        <f t="array" ref="X494">INDEX(M$3:M$700,MATCH($B494&amp;$C494&amp;"baseline",$B$3:$B$700&amp;$C$3:$C$700&amp;$D$3:$D$700,0))</f>
        <v>3.229985935080161</v>
      </c>
      <c r="Y494">
        <f t="array" ref="Y494">INDEX(N$3:N$700,MATCH($B494&amp;$C494&amp;"baseline",$B$3:$B$700&amp;$C$3:$C$700&amp;$D$3:$D$700,0))</f>
        <v>0</v>
      </c>
      <c r="Z494">
        <f t="array" ref="Z494">INDEX(O$3:O$700,MATCH($B494&amp;$C494&amp;"baseline",$B$3:$B$700&amp;$C$3:$C$700&amp;$D$3:$D$700,0))</f>
        <v>5.3495550838300616</v>
      </c>
      <c r="AA494">
        <f t="array" ref="AA494">INDEX(P$3:P$700,MATCH($B494&amp;$C494&amp;"baseline",$B$3:$B$700&amp;$C$3:$C$700&amp;$D$3:$D$700,0))</f>
        <v>0</v>
      </c>
      <c r="AB494">
        <f t="array" ref="AB494">INDEX(Q$3:Q$700,MATCH($B494&amp;$C494&amp;"baseline",$B$3:$B$700&amp;$C$3:$C$700&amp;$D$3:$D$700,0))</f>
        <v>0</v>
      </c>
      <c r="AC494">
        <f t="shared" si="55"/>
        <v>175.42490098006175</v>
      </c>
      <c r="AD494">
        <f t="shared" ref="AD494:AD502" si="62">(S494+V494+Y494)-(H494+K494+N494)</f>
        <v>-19.687200758899422</v>
      </c>
      <c r="AE494">
        <f t="shared" ref="AE494:AE502" si="63">(R494+T494+U494+W494+X494+Z494+AA494+AB494)-(G494+I494+J494+L494+M494+O494+P494+Q494)</f>
        <v>-1.7913327402120274</v>
      </c>
      <c r="AF494">
        <f t="shared" si="58"/>
        <v>-12.243719893307867</v>
      </c>
      <c r="AG494">
        <f>(S494+V494+Y494)*constants!$O$2+(R494+T494+U494+W494+X494+Z494+AA494+AB494)*constants!$N$2</f>
        <v>7.0474493941614123</v>
      </c>
      <c r="AH494">
        <f>((S494+V494+Y494)-(H494+K494+N494))*constants!$O$2</f>
        <v>-0.31893265229417062</v>
      </c>
      <c r="AI494">
        <f>((R494+T494+U494+W494+X494+Z494+AA494+AB494)-(G494+I494+J494+L494+M494+O494+P494+Q494))*constants!$N$2</f>
        <v>-0.20242059964395909</v>
      </c>
      <c r="AJ494">
        <f t="shared" si="59"/>
        <v>-7.3977580083094212</v>
      </c>
      <c r="AK494">
        <f t="shared" si="60"/>
        <v>-0.52135325193812965</v>
      </c>
      <c r="AL494">
        <f>COUNTIFS($B:$B,$B494,$AK:$AK,"&lt;"&amp;$AK494)+COUNTIFS($B$2:$B494,$B494,$AK$2:$AK494,$AK494)</f>
        <v>1</v>
      </c>
      <c r="AM494" s="191">
        <f>IF(AK494=0, "NA",IF(((sim_annual_output!F494/E494)/AK494)&lt;0,100,((sim_annual_output!F494/E494)/AK494)))</f>
        <v>100</v>
      </c>
      <c r="AN494">
        <f>(S494+V494)*constants!$F$2+(T494+U494+W494+X494+Y494+Z494+AA494+AB494)*constants!$G$2</f>
        <v>61422.194721862135</v>
      </c>
      <c r="AO494">
        <f>(AD494*constants!$F$2+AE494*constants!$G$2)</f>
        <v>-5082.4684198274599</v>
      </c>
      <c r="AP494">
        <f t="shared" si="61"/>
        <v>-8.274644764555191</v>
      </c>
    </row>
    <row r="495" spans="1:42">
      <c r="A495">
        <f>sim_annual_output!B495</f>
        <v>23</v>
      </c>
      <c r="B495" t="str">
        <f>sim_annual_output!C495</f>
        <v>Storage Building</v>
      </c>
      <c r="C495" t="str">
        <f>sim_annual_output!D495</f>
        <v>2005-2014</v>
      </c>
      <c r="D495" t="str">
        <f>sim_annual_output!E495</f>
        <v>occupancy_setback</v>
      </c>
      <c r="E495" s="45">
        <f t="array" ref="E495">IFERROR(INDEX(baseline!$J$3:$J$201,MATCH($B495&amp;$C495,baseline!$C$3:$C$201&amp;baseline!$D$3:$D$201,0)),"NA")</f>
        <v>1171</v>
      </c>
      <c r="F495">
        <f>sim_annual_output!G495</f>
        <v>965.15690399999903</v>
      </c>
      <c r="G495">
        <f>$E495/$F495^2*sim_annual_output!I495</f>
        <v>0</v>
      </c>
      <c r="H495">
        <f>$E495/$F495^2*sim_annual_output!J495</f>
        <v>110.21061198162168</v>
      </c>
      <c r="I495">
        <f>$E495/$F495^2*sim_annual_output!K495</f>
        <v>0</v>
      </c>
      <c r="J495">
        <f>$E495/$F495^2*sim_annual_output!L495</f>
        <v>0</v>
      </c>
      <c r="K495">
        <f>$E495/$F495^2*sim_annual_output!M495</f>
        <v>0</v>
      </c>
      <c r="L495">
        <f>$E495/$F495^2*sim_annual_output!N495</f>
        <v>34.866388715432876</v>
      </c>
      <c r="M495">
        <f>$E495/$F495^2*sim_annual_output!O495</f>
        <v>3.229985935080161</v>
      </c>
      <c r="N495">
        <f>$E495/$F495^2*sim_annual_output!P495</f>
        <v>0</v>
      </c>
      <c r="O495">
        <f>$E495/$F495^2*sim_annual_output!Q495</f>
        <v>5.2517825366060125</v>
      </c>
      <c r="P495">
        <f>$E495/$F495^2*sim_annual_output!R495</f>
        <v>0</v>
      </c>
      <c r="Q495">
        <f>$E495/$F495^2*sim_annual_output!S495</f>
        <v>0</v>
      </c>
      <c r="R495">
        <f t="array" ref="R495">INDEX(G$3:G$700,MATCH($B495&amp;$C495&amp;"baseline",$B$3:$B$700&amp;$C$3:$C$700&amp;$D$3:$D$700,0))</f>
        <v>0</v>
      </c>
      <c r="S495">
        <f t="array" ref="S495">INDEX(H$3:H$700,MATCH($B495&amp;$C495&amp;"baseline",$B$3:$B$700&amp;$C$3:$C$700&amp;$D$3:$D$700,0))</f>
        <v>131.97897124571867</v>
      </c>
      <c r="T495">
        <f t="array" ref="T495">INDEX(I$3:I$700,MATCH($B495&amp;$C495&amp;"baseline",$B$3:$B$700&amp;$C$3:$C$700&amp;$D$3:$D$700,0))</f>
        <v>0</v>
      </c>
      <c r="U495">
        <f t="array" ref="U495">INDEX(J$3:J$700,MATCH($B495&amp;$C495&amp;"baseline",$B$3:$B$700&amp;$C$3:$C$700&amp;$D$3:$D$700,0))</f>
        <v>0</v>
      </c>
      <c r="V495">
        <f t="array" ref="V495">INDEX(K$3:K$700,MATCH($B495&amp;$C495&amp;"baseline",$B$3:$B$700&amp;$C$3:$C$700&amp;$D$3:$D$700,0))</f>
        <v>0</v>
      </c>
      <c r="W495">
        <f t="array" ref="W495">INDEX(L$3:L$700,MATCH($B495&amp;$C495&amp;"baseline",$B$3:$B$700&amp;$C$3:$C$700&amp;$D$3:$D$700,0))</f>
        <v>34.866388715432876</v>
      </c>
      <c r="X495">
        <f t="array" ref="X495">INDEX(M$3:M$700,MATCH($B495&amp;$C495&amp;"baseline",$B$3:$B$700&amp;$C$3:$C$700&amp;$D$3:$D$700,0))</f>
        <v>3.229985935080161</v>
      </c>
      <c r="Y495">
        <f t="array" ref="Y495">INDEX(N$3:N$700,MATCH($B495&amp;$C495&amp;"baseline",$B$3:$B$700&amp;$C$3:$C$700&amp;$D$3:$D$700,0))</f>
        <v>0</v>
      </c>
      <c r="Z495">
        <f t="array" ref="Z495">INDEX(O$3:O$700,MATCH($B495&amp;$C495&amp;"baseline",$B$3:$B$700&amp;$C$3:$C$700&amp;$D$3:$D$700,0))</f>
        <v>5.3495550838300616</v>
      </c>
      <c r="AA495">
        <f t="array" ref="AA495">INDEX(P$3:P$700,MATCH($B495&amp;$C495&amp;"baseline",$B$3:$B$700&amp;$C$3:$C$700&amp;$D$3:$D$700,0))</f>
        <v>0</v>
      </c>
      <c r="AB495">
        <f t="array" ref="AB495">INDEX(Q$3:Q$700,MATCH($B495&amp;$C495&amp;"baseline",$B$3:$B$700&amp;$C$3:$C$700&amp;$D$3:$D$700,0))</f>
        <v>0</v>
      </c>
      <c r="AC495">
        <f t="shared" si="55"/>
        <v>175.42490098006175</v>
      </c>
      <c r="AD495">
        <f t="shared" si="62"/>
        <v>21.768359264096986</v>
      </c>
      <c r="AE495">
        <f t="shared" si="63"/>
        <v>9.7772547224046491E-2</v>
      </c>
      <c r="AF495">
        <f t="shared" si="58"/>
        <v>12.464668179465736</v>
      </c>
      <c r="AG495">
        <f>(S495+V495+Y495)*constants!$O$2+(R495+T495+U495+W495+X495+Z495+AA495+AB495)*constants!$N$2</f>
        <v>7.0474493941614123</v>
      </c>
      <c r="AH495">
        <f>((S495+V495+Y495)-(H495+K495+N495))*constants!$O$2</f>
        <v>0.35264742007837113</v>
      </c>
      <c r="AI495">
        <f>((R495+T495+U495+W495+X495+Z495+AA495+AB495)-(G495+I495+J495+L495+M495+O495+P495+Q495))*constants!$N$2</f>
        <v>1.1048297836317254E-2</v>
      </c>
      <c r="AJ495">
        <f t="shared" si="59"/>
        <v>5.1606715787984054</v>
      </c>
      <c r="AK495">
        <f t="shared" si="60"/>
        <v>0.36369571791468841</v>
      </c>
      <c r="AL495">
        <f>COUNTIFS($B:$B,$B495,$AK:$AK,"&lt;"&amp;$AK495)+COUNTIFS($B$2:$B495,$B495,$AK$2:$AK495,$AK495)</f>
        <v>34</v>
      </c>
      <c r="AM495" s="191">
        <f>IF(AK495=0, "NA",IF(((sim_annual_output!F495/E495)/AK495)&lt;0,100,((sim_annual_output!F495/E495)/AK495)))</f>
        <v>1.1193091888557338</v>
      </c>
      <c r="AN495">
        <f>(S495+V495)*constants!$F$2+(T495+U495+W495+X495+Y495+Z495+AA495+AB495)*constants!$G$2</f>
        <v>61422.194721862135</v>
      </c>
      <c r="AO495">
        <f>(AD495*constants!$F$2+AE495*constants!$G$2)</f>
        <v>3981.5984243582811</v>
      </c>
      <c r="AP495">
        <f t="shared" si="61"/>
        <v>6.4823447654193025</v>
      </c>
    </row>
    <row r="496" spans="1:42">
      <c r="A496">
        <f>sim_annual_output!B496</f>
        <v>23</v>
      </c>
      <c r="B496" t="str">
        <f>sim_annual_output!C496</f>
        <v>Storage Building</v>
      </c>
      <c r="C496" t="str">
        <f>sim_annual_output!D496</f>
        <v>2005-2014</v>
      </c>
      <c r="D496" t="str">
        <f>sim_annual_output!E496</f>
        <v>payback_less_than_20</v>
      </c>
      <c r="E496" s="45">
        <f t="array" ref="E496">IFERROR(INDEX(baseline!$J$3:$J$201,MATCH($B496&amp;$C496,baseline!$C$3:$C$201&amp;baseline!$D$3:$D$201,0)),"NA")</f>
        <v>1171</v>
      </c>
      <c r="F496">
        <f>sim_annual_output!G496</f>
        <v>965.15690399999903</v>
      </c>
      <c r="G496">
        <f>$E496/$F496^2*sim_annual_output!I496</f>
        <v>0</v>
      </c>
      <c r="H496">
        <f>$E496/$F496^2*sim_annual_output!J496</f>
        <v>162.6236810470846</v>
      </c>
      <c r="I496">
        <f>$E496/$F496^2*sim_annual_output!K496</f>
        <v>0</v>
      </c>
      <c r="J496">
        <f>$E496/$F496^2*sim_annual_output!L496</f>
        <v>0</v>
      </c>
      <c r="K496">
        <f>$E496/$F496^2*sim_annual_output!M496</f>
        <v>0</v>
      </c>
      <c r="L496">
        <f>$E496/$F496^2*sim_annual_output!N496</f>
        <v>24.408218039146298</v>
      </c>
      <c r="M496">
        <f>$E496/$F496^2*sim_annual_output!O496</f>
        <v>3.229985935080161</v>
      </c>
      <c r="N496">
        <f>$E496/$F496^2*sim_annual_output!P496</f>
        <v>0</v>
      </c>
      <c r="O496">
        <f>$E496/$F496^2*sim_annual_output!Q496</f>
        <v>7.4062704522216443</v>
      </c>
      <c r="P496">
        <f>$E496/$F496^2*sim_annual_output!R496</f>
        <v>0</v>
      </c>
      <c r="Q496">
        <f>$E496/$F496^2*sim_annual_output!S496</f>
        <v>0</v>
      </c>
      <c r="R496">
        <f t="array" ref="R496">INDEX(G$3:G$700,MATCH($B496&amp;$C496&amp;"baseline",$B$3:$B$700&amp;$C$3:$C$700&amp;$D$3:$D$700,0))</f>
        <v>0</v>
      </c>
      <c r="S496">
        <f t="array" ref="S496">INDEX(H$3:H$700,MATCH($B496&amp;$C496&amp;"baseline",$B$3:$B$700&amp;$C$3:$C$700&amp;$D$3:$D$700,0))</f>
        <v>131.97897124571867</v>
      </c>
      <c r="T496">
        <f t="array" ref="T496">INDEX(I$3:I$700,MATCH($B496&amp;$C496&amp;"baseline",$B$3:$B$700&amp;$C$3:$C$700&amp;$D$3:$D$700,0))</f>
        <v>0</v>
      </c>
      <c r="U496">
        <f t="array" ref="U496">INDEX(J$3:J$700,MATCH($B496&amp;$C496&amp;"baseline",$B$3:$B$700&amp;$C$3:$C$700&amp;$D$3:$D$700,0))</f>
        <v>0</v>
      </c>
      <c r="V496">
        <f t="array" ref="V496">INDEX(K$3:K$700,MATCH($B496&amp;$C496&amp;"baseline",$B$3:$B$700&amp;$C$3:$C$700&amp;$D$3:$D$700,0))</f>
        <v>0</v>
      </c>
      <c r="W496">
        <f t="array" ref="W496">INDEX(L$3:L$700,MATCH($B496&amp;$C496&amp;"baseline",$B$3:$B$700&amp;$C$3:$C$700&amp;$D$3:$D$700,0))</f>
        <v>34.866388715432876</v>
      </c>
      <c r="X496">
        <f t="array" ref="X496">INDEX(M$3:M$700,MATCH($B496&amp;$C496&amp;"baseline",$B$3:$B$700&amp;$C$3:$C$700&amp;$D$3:$D$700,0))</f>
        <v>3.229985935080161</v>
      </c>
      <c r="Y496">
        <f t="array" ref="Y496">INDEX(N$3:N$700,MATCH($B496&amp;$C496&amp;"baseline",$B$3:$B$700&amp;$C$3:$C$700&amp;$D$3:$D$700,0))</f>
        <v>0</v>
      </c>
      <c r="Z496">
        <f t="array" ref="Z496">INDEX(O$3:O$700,MATCH($B496&amp;$C496&amp;"baseline",$B$3:$B$700&amp;$C$3:$C$700&amp;$D$3:$D$700,0))</f>
        <v>5.3495550838300616</v>
      </c>
      <c r="AA496">
        <f t="array" ref="AA496">INDEX(P$3:P$700,MATCH($B496&amp;$C496&amp;"baseline",$B$3:$B$700&amp;$C$3:$C$700&amp;$D$3:$D$700,0))</f>
        <v>0</v>
      </c>
      <c r="AB496">
        <f t="array" ref="AB496">INDEX(Q$3:Q$700,MATCH($B496&amp;$C496&amp;"baseline",$B$3:$B$700&amp;$C$3:$C$700&amp;$D$3:$D$700,0))</f>
        <v>0</v>
      </c>
      <c r="AC496">
        <f t="shared" si="55"/>
        <v>175.42490098006175</v>
      </c>
      <c r="AD496">
        <f t="shared" si="62"/>
        <v>-30.644709801365934</v>
      </c>
      <c r="AE496">
        <f t="shared" si="63"/>
        <v>8.4014553078949916</v>
      </c>
      <c r="AF496">
        <f t="shared" si="58"/>
        <v>-12.679644890322065</v>
      </c>
      <c r="AG496">
        <f>(S496+V496+Y496)*constants!$O$2+(R496+T496+U496+W496+X496+Z496+AA496+AB496)*constants!$N$2</f>
        <v>7.0474493941614123</v>
      </c>
      <c r="AH496">
        <f>((S496+V496+Y496)-(H496+K496+N496))*constants!$O$2</f>
        <v>-0.49644429878212809</v>
      </c>
      <c r="AI496">
        <f>((R496+T496+U496+W496+X496+Z496+AA496+AB496)-(G496+I496+J496+L496+M496+O496+P496+Q496))*constants!$N$2</f>
        <v>0.94936444979213408</v>
      </c>
      <c r="AJ496">
        <f t="shared" si="59"/>
        <v>6.4267244172797593</v>
      </c>
      <c r="AK496">
        <f t="shared" si="60"/>
        <v>0.45292015101000599</v>
      </c>
      <c r="AL496">
        <f>COUNTIFS($B:$B,$B496,$AK:$AK,"&lt;"&amp;$AK496)+COUNTIFS($B$2:$B496,$B496,$AK$2:$AK496,$AK496)</f>
        <v>36</v>
      </c>
      <c r="AM496" s="191">
        <f>IF(AK496=0, "NA",IF(((sim_annual_output!F496/E496)/AK496)&lt;0,100,((sim_annual_output!F496/E496)/AK496)))</f>
        <v>51.325274478569504</v>
      </c>
      <c r="AN496">
        <f>(S496+V496)*constants!$F$2+(T496+U496+W496+X496+Y496+Z496+AA496+AB496)*constants!$G$2</f>
        <v>61422.194721862135</v>
      </c>
      <c r="AO496">
        <f>(AD496*constants!$F$2+AE496*constants!$G$2)</f>
        <v>1823.8630634241408</v>
      </c>
      <c r="AP496">
        <f t="shared" si="61"/>
        <v>2.9693876483625052</v>
      </c>
    </row>
    <row r="497" spans="1:42">
      <c r="A497">
        <f>sim_annual_output!B497</f>
        <v>23</v>
      </c>
      <c r="B497" t="str">
        <f>sim_annual_output!C497</f>
        <v>Storage Building</v>
      </c>
      <c r="C497" t="str">
        <f>sim_annual_output!D497</f>
        <v>2005-2014</v>
      </c>
      <c r="D497" t="str">
        <f>sim_annual_output!E497</f>
        <v>plug_loads_90_percent</v>
      </c>
      <c r="E497" s="45">
        <f t="array" ref="E497">IFERROR(INDEX(baseline!$J$3:$J$201,MATCH($B497&amp;$C497,baseline!$C$3:$C$201&amp;baseline!$D$3:$D$201,0)),"NA")</f>
        <v>1171</v>
      </c>
      <c r="F497">
        <f>sim_annual_output!G497</f>
        <v>965.15690399999903</v>
      </c>
      <c r="G497">
        <f>$E497/$F497^2*sim_annual_output!I497</f>
        <v>0</v>
      </c>
      <c r="H497">
        <f>$E497/$F497^2*sim_annual_output!J497</f>
        <v>129.62893823565494</v>
      </c>
      <c r="I497">
        <f>$E497/$F497^2*sim_annual_output!K497</f>
        <v>0</v>
      </c>
      <c r="J497">
        <f>$E497/$F497^2*sim_annual_output!L497</f>
        <v>0</v>
      </c>
      <c r="K497">
        <f>$E497/$F497^2*sim_annual_output!M497</f>
        <v>0</v>
      </c>
      <c r="L497">
        <f>$E497/$F497^2*sim_annual_output!N497</f>
        <v>34.866388715432876</v>
      </c>
      <c r="M497">
        <f>$E497/$F497^2*sim_annual_output!O497</f>
        <v>3.229985935080161</v>
      </c>
      <c r="N497">
        <f>$E497/$F497^2*sim_annual_output!P497</f>
        <v>0</v>
      </c>
      <c r="O497">
        <f>$E497/$F497^2*sim_annual_output!Q497</f>
        <v>5.2098800163671353</v>
      </c>
      <c r="P497">
        <f>$E497/$F497^2*sim_annual_output!R497</f>
        <v>0</v>
      </c>
      <c r="Q497">
        <f>$E497/$F497^2*sim_annual_output!S497</f>
        <v>0</v>
      </c>
      <c r="R497">
        <f t="array" ref="R497">INDEX(G$3:G$700,MATCH($B497&amp;$C497&amp;"baseline",$B$3:$B$700&amp;$C$3:$C$700&amp;$D$3:$D$700,0))</f>
        <v>0</v>
      </c>
      <c r="S497">
        <f t="array" ref="S497">INDEX(H$3:H$700,MATCH($B497&amp;$C497&amp;"baseline",$B$3:$B$700&amp;$C$3:$C$700&amp;$D$3:$D$700,0))</f>
        <v>131.97897124571867</v>
      </c>
      <c r="T497">
        <f t="array" ref="T497">INDEX(I$3:I$700,MATCH($B497&amp;$C497&amp;"baseline",$B$3:$B$700&amp;$C$3:$C$700&amp;$D$3:$D$700,0))</f>
        <v>0</v>
      </c>
      <c r="U497">
        <f t="array" ref="U497">INDEX(J$3:J$700,MATCH($B497&amp;$C497&amp;"baseline",$B$3:$B$700&amp;$C$3:$C$700&amp;$D$3:$D$700,0))</f>
        <v>0</v>
      </c>
      <c r="V497">
        <f t="array" ref="V497">INDEX(K$3:K$700,MATCH($B497&amp;$C497&amp;"baseline",$B$3:$B$700&amp;$C$3:$C$700&amp;$D$3:$D$700,0))</f>
        <v>0</v>
      </c>
      <c r="W497">
        <f t="array" ref="W497">INDEX(L$3:L$700,MATCH($B497&amp;$C497&amp;"baseline",$B$3:$B$700&amp;$C$3:$C$700&amp;$D$3:$D$700,0))</f>
        <v>34.866388715432876</v>
      </c>
      <c r="X497">
        <f t="array" ref="X497">INDEX(M$3:M$700,MATCH($B497&amp;$C497&amp;"baseline",$B$3:$B$700&amp;$C$3:$C$700&amp;$D$3:$D$700,0))</f>
        <v>3.229985935080161</v>
      </c>
      <c r="Y497">
        <f t="array" ref="Y497">INDEX(N$3:N$700,MATCH($B497&amp;$C497&amp;"baseline",$B$3:$B$700&amp;$C$3:$C$700&amp;$D$3:$D$700,0))</f>
        <v>0</v>
      </c>
      <c r="Z497">
        <f t="array" ref="Z497">INDEX(O$3:O$700,MATCH($B497&amp;$C497&amp;"baseline",$B$3:$B$700&amp;$C$3:$C$700&amp;$D$3:$D$700,0))</f>
        <v>5.3495550838300616</v>
      </c>
      <c r="AA497">
        <f t="array" ref="AA497">INDEX(P$3:P$700,MATCH($B497&amp;$C497&amp;"baseline",$B$3:$B$700&amp;$C$3:$C$700&amp;$D$3:$D$700,0))</f>
        <v>0</v>
      </c>
      <c r="AB497">
        <f t="array" ref="AB497">INDEX(Q$3:Q$700,MATCH($B497&amp;$C497&amp;"baseline",$B$3:$B$700&amp;$C$3:$C$700&amp;$D$3:$D$700,0))</f>
        <v>0</v>
      </c>
      <c r="AC497">
        <f t="shared" si="55"/>
        <v>175.42490098006175</v>
      </c>
      <c r="AD497">
        <f t="shared" si="62"/>
        <v>2.3500330100637257</v>
      </c>
      <c r="AE497">
        <f t="shared" si="63"/>
        <v>0.13967506746292457</v>
      </c>
      <c r="AF497">
        <f t="shared" si="58"/>
        <v>1.41924439667184</v>
      </c>
      <c r="AG497">
        <f>(S497+V497+Y497)*constants!$O$2+(R497+T497+U497+W497+X497+Z497+AA497+AB497)*constants!$N$2</f>
        <v>7.0474493941614123</v>
      </c>
      <c r="AH497">
        <f>((S497+V497+Y497)-(H497+K497+N497))*constants!$O$2</f>
        <v>3.8070534763032356E-2</v>
      </c>
      <c r="AI497">
        <f>((R497+T497+U497+W497+X497+Z497+AA497+AB497)-(G497+I497+J497+L497+M497+O497+P497+Q497))*constants!$N$2</f>
        <v>1.5783282623310479E-2</v>
      </c>
      <c r="AJ497">
        <f t="shared" si="59"/>
        <v>0.76416039866790675</v>
      </c>
      <c r="AK497">
        <f t="shared" si="60"/>
        <v>5.3853817386342831E-2</v>
      </c>
      <c r="AL497">
        <f>COUNTIFS($B:$B,$B497,$AK:$AK,"&lt;"&amp;$AK497)+COUNTIFS($B$2:$B497,$B497,$AK$2:$AK497,$AK497)</f>
        <v>6</v>
      </c>
      <c r="AM497" s="191">
        <f>IF(AK497=0, "NA",IF(((sim_annual_output!F497/E497)/AK497)&lt;0,100,((sim_annual_output!F497/E497)/AK497)))</f>
        <v>4.3723068410677115</v>
      </c>
      <c r="AN497">
        <f>(S497+V497)*constants!$F$2+(T497+U497+W497+X497+Y497+Z497+AA497+AB497)*constants!$G$2</f>
        <v>61422.194721862135</v>
      </c>
      <c r="AO497">
        <f>(AD497*constants!$F$2+AE497*constants!$G$2)</f>
        <v>542.17321749415123</v>
      </c>
      <c r="AP497">
        <f t="shared" si="61"/>
        <v>0.88269919358836324</v>
      </c>
    </row>
    <row r="498" spans="1:42">
      <c r="A498">
        <f>sim_annual_output!B498</f>
        <v>24</v>
      </c>
      <c r="B498" t="str">
        <f>sim_annual_output!C498</f>
        <v>Training Building</v>
      </c>
      <c r="C498" t="str">
        <f>sim_annual_output!D498</f>
        <v>1959-pre</v>
      </c>
      <c r="D498" t="str">
        <f>sim_annual_output!E498</f>
        <v>air_temp_reset_enabled</v>
      </c>
      <c r="E498" s="45">
        <f t="array" ref="E498">IFERROR(INDEX(baseline!$J$3:$J$201,MATCH($B498&amp;$C498,baseline!$C$3:$C$201&amp;baseline!$D$3:$D$201,0)),"NA")</f>
        <v>3699.892902</v>
      </c>
      <c r="F498">
        <f>sim_annual_output!G498</f>
        <v>3699.8929020249998</v>
      </c>
      <c r="G498">
        <f>$E498/$F498^2*sim_annual_output!I498</f>
        <v>0</v>
      </c>
      <c r="H498">
        <f>$E498/$F498^2*sim_annual_output!J498</f>
        <v>541.20078290118579</v>
      </c>
      <c r="I498">
        <f>$E498/$F498^2*sim_annual_output!K498</f>
        <v>14.164084979585118</v>
      </c>
      <c r="J498">
        <f>$E498/$F498^2*sim_annual_output!L498</f>
        <v>7.7111903331558764</v>
      </c>
      <c r="K498">
        <f>$E498/$F498^2*sim_annual_output!M498</f>
        <v>0</v>
      </c>
      <c r="L498">
        <f>$E498/$F498^2*sim_annual_output!N498</f>
        <v>37.958336291892508</v>
      </c>
      <c r="M498">
        <f>$E498/$F498^2*sim_annual_output!O498</f>
        <v>9.2652906144948552</v>
      </c>
      <c r="N498">
        <f>$E498/$F498^2*sim_annual_output!P498</f>
        <v>0</v>
      </c>
      <c r="O498">
        <f>$E498/$F498^2*sim_annual_output!Q498</f>
        <v>27.34690953998664</v>
      </c>
      <c r="P498">
        <f>$E498/$F498^2*sim_annual_output!R498</f>
        <v>0.54130739267893946</v>
      </c>
      <c r="Q498">
        <f>$E498/$F498^2*sim_annual_output!S498</f>
        <v>0</v>
      </c>
      <c r="R498">
        <f t="array" ref="R498">INDEX(G$3:G$700,MATCH($B498&amp;$C498&amp;"baseline",$B$3:$B$700&amp;$C$3:$C$700&amp;$D$3:$D$700,0))</f>
        <v>0</v>
      </c>
      <c r="S498">
        <f t="array" ref="S498">INDEX(H$3:H$700,MATCH($B498&amp;$C498&amp;"baseline",$B$3:$B$700&amp;$C$3:$C$700&amp;$D$3:$D$700,0))</f>
        <v>516.27511655314026</v>
      </c>
      <c r="T498">
        <f t="array" ref="T498">INDEX(I$3:I$700,MATCH($B498&amp;$C498&amp;"baseline",$B$3:$B$700&amp;$C$3:$C$700&amp;$D$3:$D$700,0))</f>
        <v>1.9182252264836201</v>
      </c>
      <c r="U498">
        <f t="array" ref="U498">INDEX(J$3:J$700,MATCH($B498&amp;$C498&amp;"baseline",$B$3:$B$700&amp;$C$3:$C$700&amp;$D$3:$D$700,0))</f>
        <v>7.7111903331558764</v>
      </c>
      <c r="V498">
        <f t="array" ref="V498">INDEX(K$3:K$700,MATCH($B498&amp;$C498&amp;"baseline",$B$3:$B$700&amp;$C$3:$C$700&amp;$D$3:$D$700,0))</f>
        <v>0</v>
      </c>
      <c r="W498">
        <f t="array" ref="W498">INDEX(L$3:L$700,MATCH($B498&amp;$C498&amp;"baseline",$B$3:$B$700&amp;$C$3:$C$700&amp;$D$3:$D$700,0))</f>
        <v>37.958336291892508</v>
      </c>
      <c r="X498">
        <f t="array" ref="X498">INDEX(M$3:M$700,MATCH($B498&amp;$C498&amp;"baseline",$B$3:$B$700&amp;$C$3:$C$700&amp;$D$3:$D$700,0))</f>
        <v>9.2652906144948552</v>
      </c>
      <c r="Y498">
        <f t="array" ref="Y498">INDEX(N$3:N$700,MATCH($B498&amp;$C498&amp;"baseline",$B$3:$B$700&amp;$C$3:$C$700&amp;$D$3:$D$700,0))</f>
        <v>0</v>
      </c>
      <c r="Z498">
        <f t="array" ref="Z498">INDEX(O$3:O$700,MATCH($B498&amp;$C498&amp;"baseline",$B$3:$B$700&amp;$C$3:$C$700&amp;$D$3:$D$700,0))</f>
        <v>27.049603399208749</v>
      </c>
      <c r="AA498">
        <f t="array" ref="AA498">INDEX(P$3:P$700,MATCH($B498&amp;$C498&amp;"baseline",$B$3:$B$700&amp;$C$3:$C$700&amp;$D$3:$D$700,0))</f>
        <v>0.75527772126908888</v>
      </c>
      <c r="AB498">
        <f t="array" ref="AB498">INDEX(Q$3:Q$700,MATCH($B498&amp;$C498&amp;"baseline",$B$3:$B$700&amp;$C$3:$C$700&amp;$D$3:$D$700,0))</f>
        <v>0</v>
      </c>
      <c r="AC498">
        <f t="shared" si="55"/>
        <v>600.93304013964485</v>
      </c>
      <c r="AD498">
        <f t="shared" si="62"/>
        <v>-24.925666348045525</v>
      </c>
      <c r="AE498">
        <f t="shared" si="63"/>
        <v>-12.32919556528924</v>
      </c>
      <c r="AF498">
        <f t="shared" si="58"/>
        <v>-6.1995030102983648</v>
      </c>
      <c r="AG498">
        <f>(S498+V498+Y498)*constants!$O$2+(R498+T498+U498+W498+X498+Z498+AA498+AB498)*constants!$N$2</f>
        <v>17.930002253435902</v>
      </c>
      <c r="AH498">
        <f>((S498+V498+Y498)-(H498+K498+N498))*constants!$O$2</f>
        <v>-0.4037957948383375</v>
      </c>
      <c r="AI498">
        <f>((R498+T498+U498+W498+X498+Z498+AA498+AB498)-(G498+I498+J498+L498+M498+O498+P498+Q498))*constants!$N$2</f>
        <v>-1.3931990988776841</v>
      </c>
      <c r="AJ498">
        <f t="shared" si="59"/>
        <v>-10.022279240771796</v>
      </c>
      <c r="AK498">
        <f t="shared" si="60"/>
        <v>-1.7969948937160216</v>
      </c>
      <c r="AL498">
        <f>COUNTIFS($B:$B,$B498,$AK:$AK,"&lt;"&amp;$AK498)+COUNTIFS($B$2:$B498,$B498,$AK$2:$AK498,$AK498)</f>
        <v>1</v>
      </c>
      <c r="AM498" s="191">
        <f>IF(AK498=0, "NA",IF(((sim_annual_output!F498/E498)/AK498)&lt;0,100,((sim_annual_output!F498/E498)/AK498)))</f>
        <v>100</v>
      </c>
      <c r="AN498">
        <f>(S498+V498)*constants!$F$2+(T498+U498+W498+X498+Y498+Z498+AA498+AB498)*constants!$G$2</f>
        <v>166065.63938327122</v>
      </c>
      <c r="AO498">
        <f>(AD498*constants!$F$2+AE498*constants!$G$2)</f>
        <v>-15188.094418101788</v>
      </c>
      <c r="AP498">
        <f t="shared" si="61"/>
        <v>-9.145838040010446</v>
      </c>
    </row>
    <row r="499" spans="1:42">
      <c r="A499">
        <f>sim_annual_output!B499</f>
        <v>24</v>
      </c>
      <c r="B499" t="str">
        <f>sim_annual_output!C499</f>
        <v>Training Building</v>
      </c>
      <c r="C499" t="str">
        <f>sim_annual_output!D499</f>
        <v>1959-pre</v>
      </c>
      <c r="D499" t="str">
        <f>sim_annual_output!E499</f>
        <v>baseline</v>
      </c>
      <c r="E499" s="45">
        <f t="array" ref="E499">IFERROR(INDEX(baseline!$J$3:$J$201,MATCH($B499&amp;$C499,baseline!$C$3:$C$201&amp;baseline!$D$3:$D$201,0)),"NA")</f>
        <v>3699.892902</v>
      </c>
      <c r="F499">
        <f>sim_annual_output!G499</f>
        <v>3699.8929020249998</v>
      </c>
      <c r="G499">
        <f>$E499/$F499^2*sim_annual_output!I499</f>
        <v>0</v>
      </c>
      <c r="H499">
        <f>$E499/$F499^2*sim_annual_output!J499</f>
        <v>516.27511655314026</v>
      </c>
      <c r="I499">
        <f>$E499/$F499^2*sim_annual_output!K499</f>
        <v>1.9182252264836201</v>
      </c>
      <c r="J499">
        <f>$E499/$F499^2*sim_annual_output!L499</f>
        <v>7.7111903331558764</v>
      </c>
      <c r="K499">
        <f>$E499/$F499^2*sim_annual_output!M499</f>
        <v>0</v>
      </c>
      <c r="L499">
        <f>$E499/$F499^2*sim_annual_output!N499</f>
        <v>37.958336291892508</v>
      </c>
      <c r="M499">
        <f>$E499/$F499^2*sim_annual_output!O499</f>
        <v>9.2652906144948552</v>
      </c>
      <c r="N499">
        <f>$E499/$F499^2*sim_annual_output!P499</f>
        <v>0</v>
      </c>
      <c r="O499">
        <f>$E499/$F499^2*sim_annual_output!Q499</f>
        <v>27.049603399208749</v>
      </c>
      <c r="P499">
        <f>$E499/$F499^2*sim_annual_output!R499</f>
        <v>0.75527772126908888</v>
      </c>
      <c r="Q499">
        <f>$E499/$F499^2*sim_annual_output!S499</f>
        <v>0</v>
      </c>
      <c r="R499">
        <f t="array" ref="R499">INDEX(G$3:G$700,MATCH($B499&amp;$C499&amp;"baseline",$B$3:$B$700&amp;$C$3:$C$700&amp;$D$3:$D$700,0))</f>
        <v>0</v>
      </c>
      <c r="S499">
        <f t="array" ref="S499">INDEX(H$3:H$700,MATCH($B499&amp;$C499&amp;"baseline",$B$3:$B$700&amp;$C$3:$C$700&amp;$D$3:$D$700,0))</f>
        <v>516.27511655314026</v>
      </c>
      <c r="T499">
        <f t="array" ref="T499">INDEX(I$3:I$700,MATCH($B499&amp;$C499&amp;"baseline",$B$3:$B$700&amp;$C$3:$C$700&amp;$D$3:$D$700,0))</f>
        <v>1.9182252264836201</v>
      </c>
      <c r="U499">
        <f t="array" ref="U499">INDEX(J$3:J$700,MATCH($B499&amp;$C499&amp;"baseline",$B$3:$B$700&amp;$C$3:$C$700&amp;$D$3:$D$700,0))</f>
        <v>7.7111903331558764</v>
      </c>
      <c r="V499">
        <f t="array" ref="V499">INDEX(K$3:K$700,MATCH($B499&amp;$C499&amp;"baseline",$B$3:$B$700&amp;$C$3:$C$700&amp;$D$3:$D$700,0))</f>
        <v>0</v>
      </c>
      <c r="W499">
        <f t="array" ref="W499">INDEX(L$3:L$700,MATCH($B499&amp;$C499&amp;"baseline",$B$3:$B$700&amp;$C$3:$C$700&amp;$D$3:$D$700,0))</f>
        <v>37.958336291892508</v>
      </c>
      <c r="X499">
        <f t="array" ref="X499">INDEX(M$3:M$700,MATCH($B499&amp;$C499&amp;"baseline",$B$3:$B$700&amp;$C$3:$C$700&amp;$D$3:$D$700,0))</f>
        <v>9.2652906144948552</v>
      </c>
      <c r="Y499">
        <f t="array" ref="Y499">INDEX(N$3:N$700,MATCH($B499&amp;$C499&amp;"baseline",$B$3:$B$700&amp;$C$3:$C$700&amp;$D$3:$D$700,0))</f>
        <v>0</v>
      </c>
      <c r="Z499">
        <f t="array" ref="Z499">INDEX(O$3:O$700,MATCH($B499&amp;$C499&amp;"baseline",$B$3:$B$700&amp;$C$3:$C$700&amp;$D$3:$D$700,0))</f>
        <v>27.049603399208749</v>
      </c>
      <c r="AA499">
        <f t="array" ref="AA499">INDEX(P$3:P$700,MATCH($B499&amp;$C499&amp;"baseline",$B$3:$B$700&amp;$C$3:$C$700&amp;$D$3:$D$700,0))</f>
        <v>0.75527772126908888</v>
      </c>
      <c r="AB499">
        <f t="array" ref="AB499">INDEX(Q$3:Q$700,MATCH($B499&amp;$C499&amp;"baseline",$B$3:$B$700&amp;$C$3:$C$700&amp;$D$3:$D$700,0))</f>
        <v>0</v>
      </c>
      <c r="AC499">
        <f t="shared" si="55"/>
        <v>600.93304013964485</v>
      </c>
      <c r="AD499">
        <f t="shared" si="62"/>
        <v>0</v>
      </c>
      <c r="AE499">
        <f t="shared" si="63"/>
        <v>0</v>
      </c>
      <c r="AF499">
        <f t="shared" si="58"/>
        <v>0</v>
      </c>
      <c r="AG499">
        <f>(S499+V499+Y499)*constants!$O$2+(R499+T499+U499+W499+X499+Z499+AA499+AB499)*constants!$N$2</f>
        <v>17.930002253435902</v>
      </c>
      <c r="AH499">
        <f>((S499+V499+Y499)-(H499+K499+N499))*constants!$O$2</f>
        <v>0</v>
      </c>
      <c r="AI499">
        <f>((R499+T499+U499+W499+X499+Z499+AA499+AB499)-(G499+I499+J499+L499+M499+O499+P499+Q499))*constants!$N$2</f>
        <v>0</v>
      </c>
      <c r="AJ499">
        <f t="shared" si="59"/>
        <v>0</v>
      </c>
      <c r="AK499">
        <f t="shared" si="60"/>
        <v>0</v>
      </c>
      <c r="AL499">
        <f>COUNTIFS($B:$B,$B499,$AK:$AK,"&lt;"&amp;$AK499)+COUNTIFS($B$2:$B499,$B499,$AK$2:$AK499,$AK499)</f>
        <v>38</v>
      </c>
      <c r="AM499" s="191" t="str">
        <f>IF(AK499=0, "NA",IF(((sim_annual_output!F499/E499)/AK499)&lt;0,100,((sim_annual_output!F499/E499)/AK499)))</f>
        <v>NA</v>
      </c>
      <c r="AN499">
        <f>(S499+V499)*constants!$F$2+(T499+U499+W499+X499+Y499+Z499+AA499+AB499)*constants!$G$2</f>
        <v>166065.63938327122</v>
      </c>
      <c r="AO499">
        <f>(AD499*constants!$F$2+AE499*constants!$G$2)</f>
        <v>0</v>
      </c>
      <c r="AP499">
        <f t="shared" si="61"/>
        <v>0</v>
      </c>
    </row>
    <row r="500" spans="1:42">
      <c r="A500">
        <f>sim_annual_output!B500</f>
        <v>24</v>
      </c>
      <c r="B500" t="str">
        <f>sim_annual_output!C500</f>
        <v>Training Building</v>
      </c>
      <c r="C500" t="str">
        <f>sim_annual_output!D500</f>
        <v>1959-pre</v>
      </c>
      <c r="D500" t="str">
        <f>sim_annual_output!E500</f>
        <v>boiler_eff_upgrade</v>
      </c>
      <c r="E500" s="45">
        <f t="array" ref="E500">IFERROR(INDEX(baseline!$J$3:$J$201,MATCH($B500&amp;$C500,baseline!$C$3:$C$201&amp;baseline!$D$3:$D$201,0)),"NA")</f>
        <v>3699.892902</v>
      </c>
      <c r="F500">
        <f>sim_annual_output!G500</f>
        <v>3699.8929020249998</v>
      </c>
      <c r="G500">
        <f>$E500/$F500^2*sim_annual_output!I500</f>
        <v>0</v>
      </c>
      <c r="H500">
        <f>$E500/$F500^2*sim_annual_output!J500</f>
        <v>512.99423818142463</v>
      </c>
      <c r="I500">
        <f>$E500/$F500^2*sim_annual_output!K500</f>
        <v>3.0511418083872535</v>
      </c>
      <c r="J500">
        <f>$E500/$F500^2*sim_annual_output!L500</f>
        <v>7.7111903331558764</v>
      </c>
      <c r="K500">
        <f>$E500/$F500^2*sim_annual_output!M500</f>
        <v>0</v>
      </c>
      <c r="L500">
        <f>$E500/$F500^2*sim_annual_output!N500</f>
        <v>37.958336291892508</v>
      </c>
      <c r="M500">
        <f>$E500/$F500^2*sim_annual_output!O500</f>
        <v>9.2652906144948552</v>
      </c>
      <c r="N500">
        <f>$E500/$F500^2*sim_annual_output!P500</f>
        <v>0</v>
      </c>
      <c r="O500">
        <f>$E500/$F500^2*sim_annual_output!Q500</f>
        <v>27.34690953998664</v>
      </c>
      <c r="P500">
        <f>$E500/$F500^2*sim_annual_output!R500</f>
        <v>0.74476689811027452</v>
      </c>
      <c r="Q500">
        <f>$E500/$F500^2*sim_annual_output!S500</f>
        <v>0</v>
      </c>
      <c r="R500">
        <f t="array" ref="R500">INDEX(G$3:G$700,MATCH($B500&amp;$C500&amp;"baseline",$B$3:$B$700&amp;$C$3:$C$700&amp;$D$3:$D$700,0))</f>
        <v>0</v>
      </c>
      <c r="S500">
        <f t="array" ref="S500">INDEX(H$3:H$700,MATCH($B500&amp;$C500&amp;"baseline",$B$3:$B$700&amp;$C$3:$C$700&amp;$D$3:$D$700,0))</f>
        <v>516.27511655314026</v>
      </c>
      <c r="T500">
        <f t="array" ref="T500">INDEX(I$3:I$700,MATCH($B500&amp;$C500&amp;"baseline",$B$3:$B$700&amp;$C$3:$C$700&amp;$D$3:$D$700,0))</f>
        <v>1.9182252264836201</v>
      </c>
      <c r="U500">
        <f t="array" ref="U500">INDEX(J$3:J$700,MATCH($B500&amp;$C500&amp;"baseline",$B$3:$B$700&amp;$C$3:$C$700&amp;$D$3:$D$700,0))</f>
        <v>7.7111903331558764</v>
      </c>
      <c r="V500">
        <f t="array" ref="V500">INDEX(K$3:K$700,MATCH($B500&amp;$C500&amp;"baseline",$B$3:$B$700&amp;$C$3:$C$700&amp;$D$3:$D$700,0))</f>
        <v>0</v>
      </c>
      <c r="W500">
        <f t="array" ref="W500">INDEX(L$3:L$700,MATCH($B500&amp;$C500&amp;"baseline",$B$3:$B$700&amp;$C$3:$C$700&amp;$D$3:$D$700,0))</f>
        <v>37.958336291892508</v>
      </c>
      <c r="X500">
        <f t="array" ref="X500">INDEX(M$3:M$700,MATCH($B500&amp;$C500&amp;"baseline",$B$3:$B$700&amp;$C$3:$C$700&amp;$D$3:$D$700,0))</f>
        <v>9.2652906144948552</v>
      </c>
      <c r="Y500">
        <f t="array" ref="Y500">INDEX(N$3:N$700,MATCH($B500&amp;$C500&amp;"baseline",$B$3:$B$700&amp;$C$3:$C$700&amp;$D$3:$D$700,0))</f>
        <v>0</v>
      </c>
      <c r="Z500">
        <f t="array" ref="Z500">INDEX(O$3:O$700,MATCH($B500&amp;$C500&amp;"baseline",$B$3:$B$700&amp;$C$3:$C$700&amp;$D$3:$D$700,0))</f>
        <v>27.049603399208749</v>
      </c>
      <c r="AA500">
        <f t="array" ref="AA500">INDEX(P$3:P$700,MATCH($B500&amp;$C500&amp;"baseline",$B$3:$B$700&amp;$C$3:$C$700&amp;$D$3:$D$700,0))</f>
        <v>0.75527772126908888</v>
      </c>
      <c r="AB500">
        <f t="array" ref="AB500">INDEX(Q$3:Q$700,MATCH($B500&amp;$C500&amp;"baseline",$B$3:$B$700&amp;$C$3:$C$700&amp;$D$3:$D$700,0))</f>
        <v>0</v>
      </c>
      <c r="AC500">
        <f t="shared" si="55"/>
        <v>600.93304013964485</v>
      </c>
      <c r="AD500">
        <f t="shared" si="62"/>
        <v>3.2808783717156302</v>
      </c>
      <c r="AE500">
        <f t="shared" si="63"/>
        <v>-1.4197118995226958</v>
      </c>
      <c r="AF500">
        <f t="shared" si="58"/>
        <v>0.30971278792732654</v>
      </c>
      <c r="AG500">
        <f>(S500+V500+Y500)*constants!$O$2+(R500+T500+U500+W500+X500+Z500+AA500+AB500)*constants!$N$2</f>
        <v>17.930002253435902</v>
      </c>
      <c r="AH500">
        <f>((S500+V500+Y500)-(H500+K500+N500))*constants!$O$2</f>
        <v>5.3150229621793207E-2</v>
      </c>
      <c r="AI500">
        <f>((R500+T500+U500+W500+X500+Z500+AA500+AB500)-(G500+I500+J500+L500+M500+O500+P500+Q500))*constants!$N$2</f>
        <v>-0.16042744464606462</v>
      </c>
      <c r="AJ500">
        <f t="shared" si="59"/>
        <v>-0.59831121886063354</v>
      </c>
      <c r="AK500">
        <f t="shared" si="60"/>
        <v>-0.10727721502427141</v>
      </c>
      <c r="AL500">
        <f>COUNTIFS($B:$B,$B500,$AK:$AK,"&lt;"&amp;$AK500)+COUNTIFS($B$2:$B500,$B500,$AK$2:$AK500,$AK500)</f>
        <v>29</v>
      </c>
      <c r="AM500" s="191">
        <f>IF(AK500=0, "NA",IF(((sim_annual_output!F500/E500)/AK500)&lt;0,100,((sim_annual_output!F500/E500)/AK500)))</f>
        <v>100</v>
      </c>
      <c r="AN500">
        <f>(S500+V500)*constants!$F$2+(T500+U500+W500+X500+Y500+Z500+AA500+AB500)*constants!$G$2</f>
        <v>166065.63938327122</v>
      </c>
      <c r="AO500">
        <f>(AD500*constants!$F$2+AE500*constants!$G$2)</f>
        <v>-647.87212404764762</v>
      </c>
      <c r="AP500">
        <f t="shared" si="61"/>
        <v>-0.39013014760530385</v>
      </c>
    </row>
    <row r="501" spans="1:42">
      <c r="A501">
        <f>sim_annual_output!B501</f>
        <v>24</v>
      </c>
      <c r="B501" t="str">
        <f>sim_annual_output!C501</f>
        <v>Training Building</v>
      </c>
      <c r="C501" t="str">
        <f>sim_annual_output!D501</f>
        <v>1959-pre</v>
      </c>
      <c r="D501" t="str">
        <f>sim_annual_output!E501</f>
        <v>boiler_reset</v>
      </c>
      <c r="E501" s="45">
        <f t="array" ref="E501">IFERROR(INDEX(baseline!$J$3:$J$201,MATCH($B501&amp;$C501,baseline!$C$3:$C$201&amp;baseline!$D$3:$D$201,0)),"NA")</f>
        <v>3699.892902</v>
      </c>
      <c r="F501">
        <f>sim_annual_output!G501</f>
        <v>3699.8929020249998</v>
      </c>
      <c r="G501">
        <f>$E501/$F501^2*sim_annual_output!I501</f>
        <v>0</v>
      </c>
      <c r="H501">
        <f>$E501/$F501^2*sim_annual_output!J501</f>
        <v>321.7820940493566</v>
      </c>
      <c r="I501">
        <f>$E501/$F501^2*sim_annual_output!K501</f>
        <v>3.0511418083872535</v>
      </c>
      <c r="J501">
        <f>$E501/$F501^2*sim_annual_output!L501</f>
        <v>7.7111903331558764</v>
      </c>
      <c r="K501">
        <f>$E501/$F501^2*sim_annual_output!M501</f>
        <v>0</v>
      </c>
      <c r="L501">
        <f>$E501/$F501^2*sim_annual_output!N501</f>
        <v>37.958336291892508</v>
      </c>
      <c r="M501">
        <f>$E501/$F501^2*sim_annual_output!O501</f>
        <v>9.2652906144948552</v>
      </c>
      <c r="N501">
        <f>$E501/$F501^2*sim_annual_output!P501</f>
        <v>0</v>
      </c>
      <c r="O501">
        <f>$E501/$F501^2*sim_annual_output!Q501</f>
        <v>27.34690953998664</v>
      </c>
      <c r="P501">
        <f>$E501/$F501^2*sim_annual_output!R501</f>
        <v>0.74476689811027452</v>
      </c>
      <c r="Q501">
        <f>$E501/$F501^2*sim_annual_output!S501</f>
        <v>0</v>
      </c>
      <c r="R501">
        <f t="array" ref="R501">INDEX(G$3:G$700,MATCH($B501&amp;$C501&amp;"baseline",$B$3:$B$700&amp;$C$3:$C$700&amp;$D$3:$D$700,0))</f>
        <v>0</v>
      </c>
      <c r="S501">
        <f t="array" ref="S501">INDEX(H$3:H$700,MATCH($B501&amp;$C501&amp;"baseline",$B$3:$B$700&amp;$C$3:$C$700&amp;$D$3:$D$700,0))</f>
        <v>516.27511655314026</v>
      </c>
      <c r="T501">
        <f t="array" ref="T501">INDEX(I$3:I$700,MATCH($B501&amp;$C501&amp;"baseline",$B$3:$B$700&amp;$C$3:$C$700&amp;$D$3:$D$700,0))</f>
        <v>1.9182252264836201</v>
      </c>
      <c r="U501">
        <f t="array" ref="U501">INDEX(J$3:J$700,MATCH($B501&amp;$C501&amp;"baseline",$B$3:$B$700&amp;$C$3:$C$700&amp;$D$3:$D$700,0))</f>
        <v>7.7111903331558764</v>
      </c>
      <c r="V501">
        <f t="array" ref="V501">INDEX(K$3:K$700,MATCH($B501&amp;$C501&amp;"baseline",$B$3:$B$700&amp;$C$3:$C$700&amp;$D$3:$D$700,0))</f>
        <v>0</v>
      </c>
      <c r="W501">
        <f t="array" ref="W501">INDEX(L$3:L$700,MATCH($B501&amp;$C501&amp;"baseline",$B$3:$B$700&amp;$C$3:$C$700&amp;$D$3:$D$700,0))</f>
        <v>37.958336291892508</v>
      </c>
      <c r="X501">
        <f t="array" ref="X501">INDEX(M$3:M$700,MATCH($B501&amp;$C501&amp;"baseline",$B$3:$B$700&amp;$C$3:$C$700&amp;$D$3:$D$700,0))</f>
        <v>9.2652906144948552</v>
      </c>
      <c r="Y501">
        <f t="array" ref="Y501">INDEX(N$3:N$700,MATCH($B501&amp;$C501&amp;"baseline",$B$3:$B$700&amp;$C$3:$C$700&amp;$D$3:$D$700,0))</f>
        <v>0</v>
      </c>
      <c r="Z501">
        <f t="array" ref="Z501">INDEX(O$3:O$700,MATCH($B501&amp;$C501&amp;"baseline",$B$3:$B$700&amp;$C$3:$C$700&amp;$D$3:$D$700,0))</f>
        <v>27.049603399208749</v>
      </c>
      <c r="AA501">
        <f t="array" ref="AA501">INDEX(P$3:P$700,MATCH($B501&amp;$C501&amp;"baseline",$B$3:$B$700&amp;$C$3:$C$700&amp;$D$3:$D$700,0))</f>
        <v>0.75527772126908888</v>
      </c>
      <c r="AB501">
        <f t="array" ref="AB501">INDEX(Q$3:Q$700,MATCH($B501&amp;$C501&amp;"baseline",$B$3:$B$700&amp;$C$3:$C$700&amp;$D$3:$D$700,0))</f>
        <v>0</v>
      </c>
      <c r="AC501">
        <f t="shared" si="55"/>
        <v>600.93304013964485</v>
      </c>
      <c r="AD501">
        <f t="shared" si="62"/>
        <v>194.49302250378366</v>
      </c>
      <c r="AE501">
        <f t="shared" si="63"/>
        <v>-1.4197118995226958</v>
      </c>
      <c r="AF501">
        <f t="shared" si="58"/>
        <v>32.128922476852765</v>
      </c>
      <c r="AG501">
        <f>(S501+V501+Y501)*constants!$O$2+(R501+T501+U501+W501+X501+Z501+AA501+AB501)*constants!$N$2</f>
        <v>17.930002253435902</v>
      </c>
      <c r="AH501">
        <f>((S501+V501+Y501)-(H501+K501+N501))*constants!$O$2</f>
        <v>3.1507869645612954</v>
      </c>
      <c r="AI501">
        <f>((R501+T501+U501+W501+X501+Z501+AA501+AB501)-(G501+I501+J501+L501+M501+O501+P501+Q501))*constants!$N$2</f>
        <v>-0.16042744464606462</v>
      </c>
      <c r="AJ501">
        <f t="shared" si="59"/>
        <v>16.677965109246944</v>
      </c>
      <c r="AK501">
        <f t="shared" si="60"/>
        <v>2.9903595199152306</v>
      </c>
      <c r="AL501">
        <f>COUNTIFS($B:$B,$B501,$AK:$AK,"&lt;"&amp;$AK501)+COUNTIFS($B$2:$B501,$B501,$AK$2:$AK501,$AK501)</f>
        <v>65</v>
      </c>
      <c r="AM501" s="191">
        <f>IF(AK501=0, "NA",IF(((sim_annual_output!F501/E501)/AK501)&lt;0,100,((sim_annual_output!F501/E501)/AK501)))</f>
        <v>8.3977690112129924E-2</v>
      </c>
      <c r="AN501">
        <f>(S501+V501)*constants!$F$2+(T501+U501+W501+X501+Y501+Z501+AA501+AB501)*constants!$G$2</f>
        <v>166065.63938327122</v>
      </c>
      <c r="AO501">
        <f>(AD501*constants!$F$2+AE501*constants!$G$2)</f>
        <v>33579.10167559253</v>
      </c>
      <c r="AP501">
        <f t="shared" si="61"/>
        <v>20.220379002120744</v>
      </c>
    </row>
    <row r="502" spans="1:42">
      <c r="A502">
        <f>sim_annual_output!B502</f>
        <v>24</v>
      </c>
      <c r="B502" t="str">
        <f>sim_annual_output!C502</f>
        <v>Training Building</v>
      </c>
      <c r="C502" t="str">
        <f>sim_annual_output!D502</f>
        <v>1959-pre</v>
      </c>
      <c r="D502" t="str">
        <f>sim_annual_output!E502</f>
        <v>cooling_cop_3_0</v>
      </c>
      <c r="E502" s="45">
        <f t="array" ref="E502">IFERROR(INDEX(baseline!$J$3:$J$201,MATCH($B502&amp;$C502,baseline!$C$3:$C$201&amp;baseline!$D$3:$D$201,0)),"NA")</f>
        <v>3699.892902</v>
      </c>
      <c r="F502">
        <f>sim_annual_output!G502</f>
        <v>3699.8929020249998</v>
      </c>
      <c r="G502">
        <f>$E502/$F502^2*sim_annual_output!I502</f>
        <v>0</v>
      </c>
      <c r="H502">
        <f>$E502/$F502^2*sim_annual_output!J502</f>
        <v>512.99423818142463</v>
      </c>
      <c r="I502">
        <f>$E502/$F502^2*sim_annual_output!K502</f>
        <v>2.1794942592884343</v>
      </c>
      <c r="J502">
        <f>$E502/$F502^2*sim_annual_output!L502</f>
        <v>7.7111903331558764</v>
      </c>
      <c r="K502">
        <f>$E502/$F502^2*sim_annual_output!M502</f>
        <v>0</v>
      </c>
      <c r="L502">
        <f>$E502/$F502^2*sim_annual_output!N502</f>
        <v>37.958336291892508</v>
      </c>
      <c r="M502">
        <f>$E502/$F502^2*sim_annual_output!O502</f>
        <v>9.2652906144948552</v>
      </c>
      <c r="N502">
        <f>$E502/$F502^2*sim_annual_output!P502</f>
        <v>0</v>
      </c>
      <c r="O502">
        <f>$E502/$F502^2*sim_annual_output!Q502</f>
        <v>27.34690953998664</v>
      </c>
      <c r="P502">
        <f>$E502/$F502^2*sim_annual_output!R502</f>
        <v>0.74476689811027452</v>
      </c>
      <c r="Q502">
        <f>$E502/$F502^2*sim_annual_output!S502</f>
        <v>0</v>
      </c>
      <c r="R502">
        <f t="array" ref="R502">INDEX(G$3:G$700,MATCH($B502&amp;$C502&amp;"baseline",$B$3:$B$700&amp;$C$3:$C$700&amp;$D$3:$D$700,0))</f>
        <v>0</v>
      </c>
      <c r="S502">
        <f t="array" ref="S502">INDEX(H$3:H$700,MATCH($B502&amp;$C502&amp;"baseline",$B$3:$B$700&amp;$C$3:$C$700&amp;$D$3:$D$700,0))</f>
        <v>516.27511655314026</v>
      </c>
      <c r="T502">
        <f t="array" ref="T502">INDEX(I$3:I$700,MATCH($B502&amp;$C502&amp;"baseline",$B$3:$B$700&amp;$C$3:$C$700&amp;$D$3:$D$700,0))</f>
        <v>1.9182252264836201</v>
      </c>
      <c r="U502">
        <f t="array" ref="U502">INDEX(J$3:J$700,MATCH($B502&amp;$C502&amp;"baseline",$B$3:$B$700&amp;$C$3:$C$700&amp;$D$3:$D$700,0))</f>
        <v>7.7111903331558764</v>
      </c>
      <c r="V502">
        <f t="array" ref="V502">INDEX(K$3:K$700,MATCH($B502&amp;$C502&amp;"baseline",$B$3:$B$700&amp;$C$3:$C$700&amp;$D$3:$D$700,0))</f>
        <v>0</v>
      </c>
      <c r="W502">
        <f t="array" ref="W502">INDEX(L$3:L$700,MATCH($B502&amp;$C502&amp;"baseline",$B$3:$B$700&amp;$C$3:$C$700&amp;$D$3:$D$700,0))</f>
        <v>37.958336291892508</v>
      </c>
      <c r="X502">
        <f t="array" ref="X502">INDEX(M$3:M$700,MATCH($B502&amp;$C502&amp;"baseline",$B$3:$B$700&amp;$C$3:$C$700&amp;$D$3:$D$700,0))</f>
        <v>9.2652906144948552</v>
      </c>
      <c r="Y502">
        <f t="array" ref="Y502">INDEX(N$3:N$700,MATCH($B502&amp;$C502&amp;"baseline",$B$3:$B$700&amp;$C$3:$C$700&amp;$D$3:$D$700,0))</f>
        <v>0</v>
      </c>
      <c r="Z502">
        <f t="array" ref="Z502">INDEX(O$3:O$700,MATCH($B502&amp;$C502&amp;"baseline",$B$3:$B$700&amp;$C$3:$C$700&amp;$D$3:$D$700,0))</f>
        <v>27.049603399208749</v>
      </c>
      <c r="AA502">
        <f t="array" ref="AA502">INDEX(P$3:P$700,MATCH($B502&amp;$C502&amp;"baseline",$B$3:$B$700&amp;$C$3:$C$700&amp;$D$3:$D$700,0))</f>
        <v>0.75527772126908888</v>
      </c>
      <c r="AB502">
        <f t="array" ref="AB502">INDEX(Q$3:Q$700,MATCH($B502&amp;$C502&amp;"baseline",$B$3:$B$700&amp;$C$3:$C$700&amp;$D$3:$D$700,0))</f>
        <v>0</v>
      </c>
      <c r="AC502">
        <f t="shared" si="55"/>
        <v>600.93304013964485</v>
      </c>
      <c r="AD502">
        <f t="shared" si="62"/>
        <v>3.2808783717156302</v>
      </c>
      <c r="AE502">
        <f t="shared" si="63"/>
        <v>-0.54806435042387136</v>
      </c>
      <c r="AF502">
        <f t="shared" si="58"/>
        <v>0.45476181849756631</v>
      </c>
      <c r="AG502">
        <f>(S502+V502+Y502)*constants!$O$2+(R502+T502+U502+W502+X502+Z502+AA502+AB502)*constants!$N$2</f>
        <v>17.930002253435902</v>
      </c>
      <c r="AH502">
        <f>((S502+V502+Y502)-(H502+K502+N502))*constants!$O$2</f>
        <v>5.3150229621793207E-2</v>
      </c>
      <c r="AI502">
        <f>((R502+T502+U502+W502+X502+Z502+AA502+AB502)-(G502+I502+J502+L502+M502+O502+P502+Q502))*constants!$N$2</f>
        <v>-6.1931271597897464E-2</v>
      </c>
      <c r="AJ502">
        <f t="shared" si="59"/>
        <v>-4.8974014905221533E-2</v>
      </c>
      <c r="AK502">
        <f t="shared" si="60"/>
        <v>-8.7810419761042563E-3</v>
      </c>
      <c r="AL502">
        <f>COUNTIFS($B:$B,$B502,$AK:$AK,"&lt;"&amp;$AK502)+COUNTIFS($B$2:$B502,$B502,$AK$2:$AK502,$AK502)</f>
        <v>37</v>
      </c>
      <c r="AM502" s="191">
        <f>IF(AK502=0, "NA",IF(((sim_annual_output!F502/E502)/AK502)&lt;0,100,((sim_annual_output!F502/E502)/AK502)))</f>
        <v>100</v>
      </c>
      <c r="AN502">
        <f>(S502+V502)*constants!$F$2+(T502+U502+W502+X502+Y502+Z502+AA502+AB502)*constants!$G$2</f>
        <v>166065.63938327122</v>
      </c>
      <c r="AO502">
        <f>(AD502*constants!$F$2+AE502*constants!$G$2)</f>
        <v>110.46124366832976</v>
      </c>
      <c r="AP502">
        <f t="shared" si="61"/>
        <v>6.6516616007114338E-2</v>
      </c>
    </row>
    <row r="503" spans="1:42">
      <c r="A503">
        <f>sim_annual_output!B503</f>
        <v>24</v>
      </c>
      <c r="B503" t="str">
        <f>sim_annual_output!C503</f>
        <v>Training Building</v>
      </c>
      <c r="C503" t="str">
        <f>sim_annual_output!D503</f>
        <v>1959-pre</v>
      </c>
      <c r="D503" t="str">
        <f>sim_annual_output!E503</f>
        <v>dcv_enabled</v>
      </c>
      <c r="E503" s="45">
        <f t="array" ref="E503">IFERROR(INDEX(baseline!$J$3:$J$201,MATCH($B503&amp;$C503,baseline!$C$3:$C$201&amp;baseline!$D$3:$D$201,0)),"NA")</f>
        <v>3699.892902</v>
      </c>
      <c r="F503">
        <f>sim_annual_output!G503</f>
        <v>3699.8929020249998</v>
      </c>
      <c r="G503">
        <f>$E503/$F503^2*sim_annual_output!I503</f>
        <v>0</v>
      </c>
      <c r="H503">
        <f>$E503/$F503^2*sim_annual_output!J503</f>
        <v>437.47622610459183</v>
      </c>
      <c r="I503">
        <f>$E503/$F503^2*sim_annual_output!K503</f>
        <v>3.1517454014787627</v>
      </c>
      <c r="J503">
        <f>$E503/$F503^2*sim_annual_output!L503</f>
        <v>7.7111903331558764</v>
      </c>
      <c r="K503">
        <f>$E503/$F503^2*sim_annual_output!M503</f>
        <v>0</v>
      </c>
      <c r="L503">
        <f>$E503/$F503^2*sim_annual_output!N503</f>
        <v>37.958336291892508</v>
      </c>
      <c r="M503">
        <f>$E503/$F503^2*sim_annual_output!O503</f>
        <v>9.2652906144948552</v>
      </c>
      <c r="N503">
        <f>$E503/$F503^2*sim_annual_output!P503</f>
        <v>0</v>
      </c>
      <c r="O503">
        <f>$E503/$F503^2*sim_annual_output!Q503</f>
        <v>27.228287392908594</v>
      </c>
      <c r="P503">
        <f>$E503/$F503^2*sim_annual_output!R503</f>
        <v>0.60812619704568782</v>
      </c>
      <c r="Q503">
        <f>$E503/$F503^2*sim_annual_output!S503</f>
        <v>0</v>
      </c>
      <c r="R503">
        <f t="array" ref="R503">INDEX(G$3:G$700,MATCH($B503&amp;$C503&amp;"baseline",$B$3:$B$700&amp;$C$3:$C$700&amp;$D$3:$D$700,0))</f>
        <v>0</v>
      </c>
      <c r="S503">
        <f t="array" ref="S503">INDEX(H$3:H$700,MATCH($B503&amp;$C503&amp;"baseline",$B$3:$B$700&amp;$C$3:$C$700&amp;$D$3:$D$700,0))</f>
        <v>516.27511655314026</v>
      </c>
      <c r="T503">
        <f t="array" ref="T503">INDEX(I$3:I$700,MATCH($B503&amp;$C503&amp;"baseline",$B$3:$B$700&amp;$C$3:$C$700&amp;$D$3:$D$700,0))</f>
        <v>1.9182252264836201</v>
      </c>
      <c r="U503">
        <f t="array" ref="U503">INDEX(J$3:J$700,MATCH($B503&amp;$C503&amp;"baseline",$B$3:$B$700&amp;$C$3:$C$700&amp;$D$3:$D$700,0))</f>
        <v>7.7111903331558764</v>
      </c>
      <c r="V503">
        <f t="array" ref="V503">INDEX(K$3:K$700,MATCH($B503&amp;$C503&amp;"baseline",$B$3:$B$700&amp;$C$3:$C$700&amp;$D$3:$D$700,0))</f>
        <v>0</v>
      </c>
      <c r="W503">
        <f t="array" ref="W503">INDEX(L$3:L$700,MATCH($B503&amp;$C503&amp;"baseline",$B$3:$B$700&amp;$C$3:$C$700&amp;$D$3:$D$700,0))</f>
        <v>37.958336291892508</v>
      </c>
      <c r="X503">
        <f t="array" ref="X503">INDEX(M$3:M$700,MATCH($B503&amp;$C503&amp;"baseline",$B$3:$B$700&amp;$C$3:$C$700&amp;$D$3:$D$700,0))</f>
        <v>9.2652906144948552</v>
      </c>
      <c r="Y503">
        <f t="array" ref="Y503">INDEX(N$3:N$700,MATCH($B503&amp;$C503&amp;"baseline",$B$3:$B$700&amp;$C$3:$C$700&amp;$D$3:$D$700,0))</f>
        <v>0</v>
      </c>
      <c r="Z503">
        <f t="array" ref="Z503">INDEX(O$3:O$700,MATCH($B503&amp;$C503&amp;"baseline",$B$3:$B$700&amp;$C$3:$C$700&amp;$D$3:$D$700,0))</f>
        <v>27.049603399208749</v>
      </c>
      <c r="AA503">
        <f t="array" ref="AA503">INDEX(P$3:P$700,MATCH($B503&amp;$C503&amp;"baseline",$B$3:$B$700&amp;$C$3:$C$700&amp;$D$3:$D$700,0))</f>
        <v>0.75527772126908888</v>
      </c>
      <c r="AB503">
        <f t="array" ref="AB503">INDEX(Q$3:Q$700,MATCH($B503&amp;$C503&amp;"baseline",$B$3:$B$700&amp;$C$3:$C$700&amp;$D$3:$D$700,0))</f>
        <v>0</v>
      </c>
      <c r="AC503">
        <f t="shared" si="55"/>
        <v>600.93304013964485</v>
      </c>
      <c r="AD503">
        <f t="shared" ref="AD503:AD566" si="64">(S503+V503+Y503)-(H503+K503+N503)</f>
        <v>78.798890448548434</v>
      </c>
      <c r="AE503">
        <f t="shared" ref="AE503:AE566" si="65">(R503+T503+U503+W503+X503+Z503+AA503+AB503)-(G503+I503+J503+L503+M503+O503+P503+Q503)</f>
        <v>-1.2650526444715808</v>
      </c>
      <c r="AF503">
        <f t="shared" si="58"/>
        <v>12.902242450516541</v>
      </c>
      <c r="AG503">
        <f>(S503+V503+Y503)*constants!$O$2+(R503+T503+U503+W503+X503+Z503+AA503+AB503)*constants!$N$2</f>
        <v>17.930002253435902</v>
      </c>
      <c r="AH503">
        <f>((S503+V503+Y503)-(H503+K503+N503))*constants!$O$2</f>
        <v>1.2765420252664845</v>
      </c>
      <c r="AI503">
        <f>((R503+T503+U503+W503+X503+Z503+AA503+AB503)-(G503+I503+J503+L503+M503+O503+P503+Q503))*constants!$N$2</f>
        <v>-0.14295094882528864</v>
      </c>
      <c r="AJ503">
        <f t="shared" si="59"/>
        <v>6.3223141883541443</v>
      </c>
      <c r="AK503">
        <f t="shared" ref="AK503:AK566" si="66">AH503+AI503</f>
        <v>1.1335910764411958</v>
      </c>
      <c r="AL503">
        <f>COUNTIFS($B:$B,$B503,$AK:$AK,"&lt;"&amp;$AK503)+COUNTIFS($B$2:$B503,$B503,$AK$2:$AK503,$AK503)</f>
        <v>57</v>
      </c>
      <c r="AM503" s="191">
        <f>IF(AK503=0, "NA",IF(((sim_annual_output!F503/E503)/AK503)&lt;0,100,((sim_annual_output!F503/E503)/AK503)))</f>
        <v>8.1335820843706461</v>
      </c>
      <c r="AN503">
        <f>(S503+V503)*constants!$F$2+(T503+U503+W503+X503+Y503+Z503+AA503+AB503)*constants!$G$2</f>
        <v>166065.63938327122</v>
      </c>
      <c r="AO503">
        <f>(AD503*constants!$F$2+AE503*constants!$G$2)</f>
        <v>13004.405589599895</v>
      </c>
      <c r="AP503">
        <f t="shared" si="61"/>
        <v>7.83088279905175</v>
      </c>
    </row>
    <row r="504" spans="1:42">
      <c r="A504">
        <f>sim_annual_output!B504</f>
        <v>24</v>
      </c>
      <c r="B504" t="str">
        <f>sim_annual_output!C504</f>
        <v>Training Building</v>
      </c>
      <c r="C504" t="str">
        <f>sim_annual_output!D504</f>
        <v>1959-pre</v>
      </c>
      <c r="D504" t="str">
        <f>sim_annual_output!E504</f>
        <v>ecm_cold_deck_reset_control</v>
      </c>
      <c r="E504" s="45">
        <f t="array" ref="E504">IFERROR(INDEX(baseline!$J$3:$J$201,MATCH($B504&amp;$C504,baseline!$C$3:$C$201&amp;baseline!$D$3:$D$201,0)),"NA")</f>
        <v>3699.892902</v>
      </c>
      <c r="F504">
        <f>sim_annual_output!G504</f>
        <v>3699.8929020249998</v>
      </c>
      <c r="G504">
        <f>$E504/$F504^2*sim_annual_output!I504</f>
        <v>0</v>
      </c>
      <c r="H504">
        <f>$E504/$F504^2*sim_annual_output!J504</f>
        <v>491.53414038345676</v>
      </c>
      <c r="I504">
        <f>$E504/$F504^2*sim_annual_output!K504</f>
        <v>7.475447585165325</v>
      </c>
      <c r="J504">
        <f>$E504/$F504^2*sim_annual_output!L504</f>
        <v>7.7111903331558764</v>
      </c>
      <c r="K504">
        <f>$E504/$F504^2*sim_annual_output!M504</f>
        <v>0</v>
      </c>
      <c r="L504">
        <f>$E504/$F504^2*sim_annual_output!N504</f>
        <v>37.958336291892508</v>
      </c>
      <c r="M504">
        <f>$E504/$F504^2*sim_annual_output!O504</f>
        <v>9.2652906144948552</v>
      </c>
      <c r="N504">
        <f>$E504/$F504^2*sim_annual_output!P504</f>
        <v>0</v>
      </c>
      <c r="O504">
        <f>$E504/$F504^2*sim_annual_output!Q504</f>
        <v>27.34690953998664</v>
      </c>
      <c r="P504">
        <f>$E504/$F504^2*sim_annual_output!R504</f>
        <v>0.41742983402148448</v>
      </c>
      <c r="Q504">
        <f>$E504/$F504^2*sim_annual_output!S504</f>
        <v>0</v>
      </c>
      <c r="R504">
        <f t="array" ref="R504">INDEX(G$3:G$700,MATCH($B504&amp;$C504&amp;"baseline",$B$3:$B$700&amp;$C$3:$C$700&amp;$D$3:$D$700,0))</f>
        <v>0</v>
      </c>
      <c r="S504">
        <f t="array" ref="S504">INDEX(H$3:H$700,MATCH($B504&amp;$C504&amp;"baseline",$B$3:$B$700&amp;$C$3:$C$700&amp;$D$3:$D$700,0))</f>
        <v>516.27511655314026</v>
      </c>
      <c r="T504">
        <f t="array" ref="T504">INDEX(I$3:I$700,MATCH($B504&amp;$C504&amp;"baseline",$B$3:$B$700&amp;$C$3:$C$700&amp;$D$3:$D$700,0))</f>
        <v>1.9182252264836201</v>
      </c>
      <c r="U504">
        <f t="array" ref="U504">INDEX(J$3:J$700,MATCH($B504&amp;$C504&amp;"baseline",$B$3:$B$700&amp;$C$3:$C$700&amp;$D$3:$D$700,0))</f>
        <v>7.7111903331558764</v>
      </c>
      <c r="V504">
        <f t="array" ref="V504">INDEX(K$3:K$700,MATCH($B504&amp;$C504&amp;"baseline",$B$3:$B$700&amp;$C$3:$C$700&amp;$D$3:$D$700,0))</f>
        <v>0</v>
      </c>
      <c r="W504">
        <f t="array" ref="W504">INDEX(L$3:L$700,MATCH($B504&amp;$C504&amp;"baseline",$B$3:$B$700&amp;$C$3:$C$700&amp;$D$3:$D$700,0))</f>
        <v>37.958336291892508</v>
      </c>
      <c r="X504">
        <f t="array" ref="X504">INDEX(M$3:M$700,MATCH($B504&amp;$C504&amp;"baseline",$B$3:$B$700&amp;$C$3:$C$700&amp;$D$3:$D$700,0))</f>
        <v>9.2652906144948552</v>
      </c>
      <c r="Y504">
        <f t="array" ref="Y504">INDEX(N$3:N$700,MATCH($B504&amp;$C504&amp;"baseline",$B$3:$B$700&amp;$C$3:$C$700&amp;$D$3:$D$700,0))</f>
        <v>0</v>
      </c>
      <c r="Z504">
        <f t="array" ref="Z504">INDEX(O$3:O$700,MATCH($B504&amp;$C504&amp;"baseline",$B$3:$B$700&amp;$C$3:$C$700&amp;$D$3:$D$700,0))</f>
        <v>27.049603399208749</v>
      </c>
      <c r="AA504">
        <f t="array" ref="AA504">INDEX(P$3:P$700,MATCH($B504&amp;$C504&amp;"baseline",$B$3:$B$700&amp;$C$3:$C$700&amp;$D$3:$D$700,0))</f>
        <v>0.75527772126908888</v>
      </c>
      <c r="AB504">
        <f t="array" ref="AB504">INDEX(Q$3:Q$700,MATCH($B504&amp;$C504&amp;"baseline",$B$3:$B$700&amp;$C$3:$C$700&amp;$D$3:$D$700,0))</f>
        <v>0</v>
      </c>
      <c r="AC504">
        <f t="shared" si="55"/>
        <v>600.93304013964485</v>
      </c>
      <c r="AD504">
        <f t="shared" si="64"/>
        <v>24.740976169683506</v>
      </c>
      <c r="AE504">
        <f t="shared" si="65"/>
        <v>-5.5166806122119851</v>
      </c>
      <c r="AF504">
        <f t="shared" si="58"/>
        <v>3.1990744847386288</v>
      </c>
      <c r="AG504">
        <f>(S504+V504+Y504)*constants!$O$2+(R504+T504+U504+W504+X504+Z504+AA504+AB504)*constants!$N$2</f>
        <v>17.930002253435902</v>
      </c>
      <c r="AH504">
        <f>((S504+V504+Y504)-(H504+K504+N504))*constants!$O$2</f>
        <v>0.40080381394887277</v>
      </c>
      <c r="AI504">
        <f>((R504+T504+U504+W504+X504+Z504+AA504+AB504)-(G504+I504+J504+L504+M504+O504+P504+Q504))*constants!$N$2</f>
        <v>-0.62338490917995437</v>
      </c>
      <c r="AJ504">
        <f t="shared" si="59"/>
        <v>-1.2413891090751463</v>
      </c>
      <c r="AK504">
        <f t="shared" si="66"/>
        <v>-0.2225810952310816</v>
      </c>
      <c r="AL504">
        <f>COUNTIFS($B:$B,$B504,$AK:$AK,"&lt;"&amp;$AK504)+COUNTIFS($B$2:$B504,$B504,$AK$2:$AK504,$AK504)</f>
        <v>25</v>
      </c>
      <c r="AM504" s="191">
        <f>IF(AK504=0, "NA",IF(((sim_annual_output!F504/E504)/AK504)&lt;0,100,((sim_annual_output!F504/E504)/AK504)))</f>
        <v>100</v>
      </c>
      <c r="AN504">
        <f>(S504+V504)*constants!$F$2+(T504+U504+W504+X504+Y504+Z504+AA504+AB504)*constants!$G$2</f>
        <v>166065.63938327122</v>
      </c>
      <c r="AO504">
        <f>(AD504*constants!$F$2+AE504*constants!$G$2)</f>
        <v>-370.87739825107928</v>
      </c>
      <c r="AP504">
        <f t="shared" si="61"/>
        <v>-0.22333181001706967</v>
      </c>
    </row>
    <row r="505" spans="1:42">
      <c r="A505">
        <f>sim_annual_output!B505</f>
        <v>24</v>
      </c>
      <c r="B505" t="str">
        <f>sim_annual_output!C505</f>
        <v>Training Building</v>
      </c>
      <c r="C505" t="str">
        <f>sim_annual_output!D505</f>
        <v>1959-pre</v>
      </c>
      <c r="D505" t="str">
        <f>sim_annual_output!E505</f>
        <v>economizers_enabled</v>
      </c>
      <c r="E505" s="45">
        <f t="array" ref="E505">IFERROR(INDEX(baseline!$J$3:$J$201,MATCH($B505&amp;$C505,baseline!$C$3:$C$201&amp;baseline!$D$3:$D$201,0)),"NA")</f>
        <v>3699.892902</v>
      </c>
      <c r="F505">
        <f>sim_annual_output!G505</f>
        <v>3699.8929020249998</v>
      </c>
      <c r="G505">
        <f>$E505/$F505^2*sim_annual_output!I505</f>
        <v>0</v>
      </c>
      <c r="H505">
        <f>$E505/$F505^2*sim_annual_output!J505</f>
        <v>512.74723383719243</v>
      </c>
      <c r="I505">
        <f>$E505/$F505^2*sim_annual_output!K505</f>
        <v>2.5548808006746615</v>
      </c>
      <c r="J505">
        <f>$E505/$F505^2*sim_annual_output!L505</f>
        <v>7.7111903331558764</v>
      </c>
      <c r="K505">
        <f>$E505/$F505^2*sim_annual_output!M505</f>
        <v>0</v>
      </c>
      <c r="L505">
        <f>$E505/$F505^2*sim_annual_output!N505</f>
        <v>37.958336291892508</v>
      </c>
      <c r="M505">
        <f>$E505/$F505^2*sim_annual_output!O505</f>
        <v>9.2652906144948552</v>
      </c>
      <c r="N505">
        <f>$E505/$F505^2*sim_annual_output!P505</f>
        <v>0</v>
      </c>
      <c r="O505">
        <f>$E505/$F505^2*sim_annual_output!Q505</f>
        <v>27.34690953998664</v>
      </c>
      <c r="P505">
        <f>$E505/$F505^2*sim_annual_output!R505</f>
        <v>0.74476689811027452</v>
      </c>
      <c r="Q505">
        <f>$E505/$F505^2*sim_annual_output!S505</f>
        <v>0</v>
      </c>
      <c r="R505">
        <f t="array" ref="R505">INDEX(G$3:G$700,MATCH($B505&amp;$C505&amp;"baseline",$B$3:$B$700&amp;$C$3:$C$700&amp;$D$3:$D$700,0))</f>
        <v>0</v>
      </c>
      <c r="S505">
        <f t="array" ref="S505">INDEX(H$3:H$700,MATCH($B505&amp;$C505&amp;"baseline",$B$3:$B$700&amp;$C$3:$C$700&amp;$D$3:$D$700,0))</f>
        <v>516.27511655314026</v>
      </c>
      <c r="T505">
        <f t="array" ref="T505">INDEX(I$3:I$700,MATCH($B505&amp;$C505&amp;"baseline",$B$3:$B$700&amp;$C$3:$C$700&amp;$D$3:$D$700,0))</f>
        <v>1.9182252264836201</v>
      </c>
      <c r="U505">
        <f t="array" ref="U505">INDEX(J$3:J$700,MATCH($B505&amp;$C505&amp;"baseline",$B$3:$B$700&amp;$C$3:$C$700&amp;$D$3:$D$700,0))</f>
        <v>7.7111903331558764</v>
      </c>
      <c r="V505">
        <f t="array" ref="V505">INDEX(K$3:K$700,MATCH($B505&amp;$C505&amp;"baseline",$B$3:$B$700&amp;$C$3:$C$700&amp;$D$3:$D$700,0))</f>
        <v>0</v>
      </c>
      <c r="W505">
        <f t="array" ref="W505">INDEX(L$3:L$700,MATCH($B505&amp;$C505&amp;"baseline",$B$3:$B$700&amp;$C$3:$C$700&amp;$D$3:$D$700,0))</f>
        <v>37.958336291892508</v>
      </c>
      <c r="X505">
        <f t="array" ref="X505">INDEX(M$3:M$700,MATCH($B505&amp;$C505&amp;"baseline",$B$3:$B$700&amp;$C$3:$C$700&amp;$D$3:$D$700,0))</f>
        <v>9.2652906144948552</v>
      </c>
      <c r="Y505">
        <f t="array" ref="Y505">INDEX(N$3:N$700,MATCH($B505&amp;$C505&amp;"baseline",$B$3:$B$700&amp;$C$3:$C$700&amp;$D$3:$D$700,0))</f>
        <v>0</v>
      </c>
      <c r="Z505">
        <f t="array" ref="Z505">INDEX(O$3:O$700,MATCH($B505&amp;$C505&amp;"baseline",$B$3:$B$700&amp;$C$3:$C$700&amp;$D$3:$D$700,0))</f>
        <v>27.049603399208749</v>
      </c>
      <c r="AA505">
        <f t="array" ref="AA505">INDEX(P$3:P$700,MATCH($B505&amp;$C505&amp;"baseline",$B$3:$B$700&amp;$C$3:$C$700&amp;$D$3:$D$700,0))</f>
        <v>0.75527772126908888</v>
      </c>
      <c r="AB505">
        <f t="array" ref="AB505">INDEX(Q$3:Q$700,MATCH($B505&amp;$C505&amp;"baseline",$B$3:$B$700&amp;$C$3:$C$700&amp;$D$3:$D$700,0))</f>
        <v>0</v>
      </c>
      <c r="AC505">
        <f t="shared" si="55"/>
        <v>600.93304013964485</v>
      </c>
      <c r="AD505">
        <f t="shared" si="64"/>
        <v>3.5278827159478396</v>
      </c>
      <c r="AE505">
        <f t="shared" si="65"/>
        <v>-0.92345089181010565</v>
      </c>
      <c r="AF505">
        <f t="shared" si="58"/>
        <v>0.4333980077934334</v>
      </c>
      <c r="AG505">
        <f>(S505+V505+Y505)*constants!$O$2+(R505+T505+U505+W505+X505+Z505+AA505+AB505)*constants!$N$2</f>
        <v>17.930002253435902</v>
      </c>
      <c r="AH505">
        <f>((S505+V505+Y505)-(H505+K505+N505))*constants!$O$2</f>
        <v>5.7151699998354996E-2</v>
      </c>
      <c r="AI505">
        <f>((R505+T505+U505+W505+X505+Z505+AA505+AB505)-(G505+I505+J505+L505+M505+O505+P505+Q505))*constants!$N$2</f>
        <v>-0.10434995077454194</v>
      </c>
      <c r="AJ505">
        <f t="shared" si="59"/>
        <v>-0.26323616756457691</v>
      </c>
      <c r="AK505">
        <f t="shared" si="66"/>
        <v>-4.7198250776186945E-2</v>
      </c>
      <c r="AL505">
        <f>COUNTIFS($B:$B,$B505,$AK:$AK,"&lt;"&amp;$AK505)+COUNTIFS($B$2:$B505,$B505,$AK$2:$AK505,$AK505)</f>
        <v>36</v>
      </c>
      <c r="AM505" s="191">
        <f>IF(AK505=0, "NA",IF(((sim_annual_output!F505/E505)/AK505)&lt;0,100,((sim_annual_output!F505/E505)/AK505)))</f>
        <v>100</v>
      </c>
      <c r="AN505">
        <f>(S505+V505)*constants!$F$2+(T505+U505+W505+X505+Y505+Z505+AA505+AB505)*constants!$G$2</f>
        <v>166065.63938327122</v>
      </c>
      <c r="AO505">
        <f>(AD505*constants!$F$2+AE505*constants!$G$2)</f>
        <v>-171.91126972012864</v>
      </c>
      <c r="AP505">
        <f t="shared" si="61"/>
        <v>-0.10352007215855533</v>
      </c>
    </row>
    <row r="506" spans="1:42">
      <c r="A506">
        <f>sim_annual_output!B506</f>
        <v>24</v>
      </c>
      <c r="B506" t="str">
        <f>sim_annual_output!C506</f>
        <v>Training Building</v>
      </c>
      <c r="C506" t="str">
        <f>sim_annual_output!D506</f>
        <v>1959-pre</v>
      </c>
      <c r="D506" t="str">
        <f>sim_annual_output!E506</f>
        <v>elec_reduce</v>
      </c>
      <c r="E506" s="45">
        <f t="array" ref="E506">IFERROR(INDEX(baseline!$J$3:$J$201,MATCH($B506&amp;$C506,baseline!$C$3:$C$201&amp;baseline!$D$3:$D$201,0)),"NA")</f>
        <v>3699.892902</v>
      </c>
      <c r="F506">
        <f>sim_annual_output!G506</f>
        <v>3699.8929020249998</v>
      </c>
      <c r="G506">
        <f>$E506/$F506^2*sim_annual_output!I506</f>
        <v>0</v>
      </c>
      <c r="H506">
        <f>$E506/$F506^2*sim_annual_output!J506</f>
        <v>452.32276381641708</v>
      </c>
      <c r="I506">
        <f>$E506/$F506^2*sim_annual_output!K506</f>
        <v>1.9107174956558957</v>
      </c>
      <c r="J506">
        <f>$E506/$F506^2*sim_annual_output!L506</f>
        <v>7.7111903331558764</v>
      </c>
      <c r="K506">
        <f>$E506/$F506^2*sim_annual_output!M506</f>
        <v>0</v>
      </c>
      <c r="L506">
        <f>$E506/$F506^2*sim_annual_output!N506</f>
        <v>26.570610172399924</v>
      </c>
      <c r="M506">
        <f>$E506/$F506^2*sim_annual_output!O506</f>
        <v>9.2652906144948552</v>
      </c>
      <c r="N506">
        <f>$E506/$F506^2*sim_annual_output!P506</f>
        <v>0</v>
      </c>
      <c r="O506">
        <f>$E506/$F506^2*sim_annual_output!Q506</f>
        <v>27.194502604183832</v>
      </c>
      <c r="P506">
        <f>$E506/$F506^2*sim_annual_output!R506</f>
        <v>0.49400868846427481</v>
      </c>
      <c r="Q506">
        <f>$E506/$F506^2*sim_annual_output!S506</f>
        <v>0</v>
      </c>
      <c r="R506">
        <f t="array" ref="R506">INDEX(G$3:G$700,MATCH($B506&amp;$C506&amp;"baseline",$B$3:$B$700&amp;$C$3:$C$700&amp;$D$3:$D$700,0))</f>
        <v>0</v>
      </c>
      <c r="S506">
        <f t="array" ref="S506">INDEX(H$3:H$700,MATCH($B506&amp;$C506&amp;"baseline",$B$3:$B$700&amp;$C$3:$C$700&amp;$D$3:$D$700,0))</f>
        <v>516.27511655314026</v>
      </c>
      <c r="T506">
        <f t="array" ref="T506">INDEX(I$3:I$700,MATCH($B506&amp;$C506&amp;"baseline",$B$3:$B$700&amp;$C$3:$C$700&amp;$D$3:$D$700,0))</f>
        <v>1.9182252264836201</v>
      </c>
      <c r="U506">
        <f t="array" ref="U506">INDEX(J$3:J$700,MATCH($B506&amp;$C506&amp;"baseline",$B$3:$B$700&amp;$C$3:$C$700&amp;$D$3:$D$700,0))</f>
        <v>7.7111903331558764</v>
      </c>
      <c r="V506">
        <f t="array" ref="V506">INDEX(K$3:K$700,MATCH($B506&amp;$C506&amp;"baseline",$B$3:$B$700&amp;$C$3:$C$700&amp;$D$3:$D$700,0))</f>
        <v>0</v>
      </c>
      <c r="W506">
        <f t="array" ref="W506">INDEX(L$3:L$700,MATCH($B506&amp;$C506&amp;"baseline",$B$3:$B$700&amp;$C$3:$C$700&amp;$D$3:$D$700,0))</f>
        <v>37.958336291892508</v>
      </c>
      <c r="X506">
        <f t="array" ref="X506">INDEX(M$3:M$700,MATCH($B506&amp;$C506&amp;"baseline",$B$3:$B$700&amp;$C$3:$C$700&amp;$D$3:$D$700,0))</f>
        <v>9.2652906144948552</v>
      </c>
      <c r="Y506">
        <f t="array" ref="Y506">INDEX(N$3:N$700,MATCH($B506&amp;$C506&amp;"baseline",$B$3:$B$700&amp;$C$3:$C$700&amp;$D$3:$D$700,0))</f>
        <v>0</v>
      </c>
      <c r="Z506">
        <f t="array" ref="Z506">INDEX(O$3:O$700,MATCH($B506&amp;$C506&amp;"baseline",$B$3:$B$700&amp;$C$3:$C$700&amp;$D$3:$D$700,0))</f>
        <v>27.049603399208749</v>
      </c>
      <c r="AA506">
        <f t="array" ref="AA506">INDEX(P$3:P$700,MATCH($B506&amp;$C506&amp;"baseline",$B$3:$B$700&amp;$C$3:$C$700&amp;$D$3:$D$700,0))</f>
        <v>0.75527772126908888</v>
      </c>
      <c r="AB506">
        <f t="array" ref="AB506">INDEX(Q$3:Q$700,MATCH($B506&amp;$C506&amp;"baseline",$B$3:$B$700&amp;$C$3:$C$700&amp;$D$3:$D$700,0))</f>
        <v>0</v>
      </c>
      <c r="AC506">
        <f t="shared" si="55"/>
        <v>600.93304013964485</v>
      </c>
      <c r="AD506">
        <f t="shared" si="64"/>
        <v>63.952352736723185</v>
      </c>
      <c r="AE506">
        <f t="shared" si="65"/>
        <v>11.511603678150053</v>
      </c>
      <c r="AF506">
        <f t="shared" si="58"/>
        <v>12.5577978533743</v>
      </c>
      <c r="AG506">
        <f>(S506+V506+Y506)*constants!$O$2+(R506+T506+U506+W506+X506+Z506+AA506+AB506)*constants!$N$2</f>
        <v>17.930002253435902</v>
      </c>
      <c r="AH506">
        <f>((S506+V506+Y506)-(H506+K506+N506))*constants!$O$2</f>
        <v>1.0360281143349155</v>
      </c>
      <c r="AI506">
        <f>((R506+T506+U506+W506+X506+Z506+AA506+AB506)-(G506+I506+J506+L506+M506+O506+P506+Q506))*constants!$N$2</f>
        <v>1.3008112156309559</v>
      </c>
      <c r="AJ506">
        <f t="shared" si="59"/>
        <v>13.033123459413209</v>
      </c>
      <c r="AK506">
        <f t="shared" si="66"/>
        <v>2.3368393299658714</v>
      </c>
      <c r="AL506">
        <f>COUNTIFS($B:$B,$B506,$AK:$AK,"&lt;"&amp;$AK506)+COUNTIFS($B$2:$B506,$B506,$AK$2:$AK506,$AK506)</f>
        <v>62</v>
      </c>
      <c r="AM506" s="191">
        <f>IF(AK506=0, "NA",IF(((sim_annual_output!F506/E506)/AK506)&lt;0,100,((sim_annual_output!F506/E506)/AK506)))</f>
        <v>23.798383661576441</v>
      </c>
      <c r="AN506">
        <f>(S506+V506)*constants!$F$2+(T506+U506+W506+X506+Y506+Z506+AA506+AB506)*constants!$G$2</f>
        <v>166065.63938327122</v>
      </c>
      <c r="AO506">
        <f>(AD506*constants!$F$2+AE506*constants!$G$2)</f>
        <v>21462.566339863995</v>
      </c>
      <c r="AP506">
        <f t="shared" si="61"/>
        <v>12.924146391493704</v>
      </c>
    </row>
    <row r="507" spans="1:42">
      <c r="A507">
        <f>sim_annual_output!B507</f>
        <v>24</v>
      </c>
      <c r="B507" t="str">
        <f>sim_annual_output!C507</f>
        <v>Training Building</v>
      </c>
      <c r="C507" t="str">
        <f>sim_annual_output!D507</f>
        <v>1959-pre</v>
      </c>
      <c r="D507" t="str">
        <f>sim_annual_output!E507</f>
        <v>envelope_ecm_roof</v>
      </c>
      <c r="E507" s="45">
        <f t="array" ref="E507">IFERROR(INDEX(baseline!$J$3:$J$201,MATCH($B507&amp;$C507,baseline!$C$3:$C$201&amp;baseline!$D$3:$D$201,0)),"NA")</f>
        <v>3699.892902</v>
      </c>
      <c r="F507">
        <f>sim_annual_output!G507</f>
        <v>3699.8929020249998</v>
      </c>
      <c r="G507">
        <f>$E507/$F507^2*sim_annual_output!I507</f>
        <v>0</v>
      </c>
      <c r="H507">
        <f>$E507/$F507^2*sim_annual_output!J507</f>
        <v>466.5919570275903</v>
      </c>
      <c r="I507">
        <f>$E507/$F507^2*sim_annual_output!K507</f>
        <v>2.9220088381503913</v>
      </c>
      <c r="J507">
        <f>$E507/$F507^2*sim_annual_output!L507</f>
        <v>7.7111903331558764</v>
      </c>
      <c r="K507">
        <f>$E507/$F507^2*sim_annual_output!M507</f>
        <v>0</v>
      </c>
      <c r="L507">
        <f>$E507/$F507^2*sim_annual_output!N507</f>
        <v>37.958336291892508</v>
      </c>
      <c r="M507">
        <f>$E507/$F507^2*sim_annual_output!O507</f>
        <v>9.2652906144948552</v>
      </c>
      <c r="N507">
        <f>$E507/$F507^2*sim_annual_output!P507</f>
        <v>0</v>
      </c>
      <c r="O507">
        <f>$E507/$F507^2*sim_annual_output!Q507</f>
        <v>24.586316914632327</v>
      </c>
      <c r="P507">
        <f>$E507/$F507^2*sim_annual_output!R507</f>
        <v>0.75002230968968164</v>
      </c>
      <c r="Q507">
        <f>$E507/$F507^2*sim_annual_output!S507</f>
        <v>0</v>
      </c>
      <c r="R507">
        <f t="array" ref="R507">INDEX(G$3:G$700,MATCH($B507&amp;$C507&amp;"baseline",$B$3:$B$700&amp;$C$3:$C$700&amp;$D$3:$D$700,0))</f>
        <v>0</v>
      </c>
      <c r="S507">
        <f t="array" ref="S507">INDEX(H$3:H$700,MATCH($B507&amp;$C507&amp;"baseline",$B$3:$B$700&amp;$C$3:$C$700&amp;$D$3:$D$700,0))</f>
        <v>516.27511655314026</v>
      </c>
      <c r="T507">
        <f t="array" ref="T507">INDEX(I$3:I$700,MATCH($B507&amp;$C507&amp;"baseline",$B$3:$B$700&amp;$C$3:$C$700&amp;$D$3:$D$700,0))</f>
        <v>1.9182252264836201</v>
      </c>
      <c r="U507">
        <f t="array" ref="U507">INDEX(J$3:J$700,MATCH($B507&amp;$C507&amp;"baseline",$B$3:$B$700&amp;$C$3:$C$700&amp;$D$3:$D$700,0))</f>
        <v>7.7111903331558764</v>
      </c>
      <c r="V507">
        <f t="array" ref="V507">INDEX(K$3:K$700,MATCH($B507&amp;$C507&amp;"baseline",$B$3:$B$700&amp;$C$3:$C$700&amp;$D$3:$D$700,0))</f>
        <v>0</v>
      </c>
      <c r="W507">
        <f t="array" ref="W507">INDEX(L$3:L$700,MATCH($B507&amp;$C507&amp;"baseline",$B$3:$B$700&amp;$C$3:$C$700&amp;$D$3:$D$700,0))</f>
        <v>37.958336291892508</v>
      </c>
      <c r="X507">
        <f t="array" ref="X507">INDEX(M$3:M$700,MATCH($B507&amp;$C507&amp;"baseline",$B$3:$B$700&amp;$C$3:$C$700&amp;$D$3:$D$700,0))</f>
        <v>9.2652906144948552</v>
      </c>
      <c r="Y507">
        <f t="array" ref="Y507">INDEX(N$3:N$700,MATCH($B507&amp;$C507&amp;"baseline",$B$3:$B$700&amp;$C$3:$C$700&amp;$D$3:$D$700,0))</f>
        <v>0</v>
      </c>
      <c r="Z507">
        <f t="array" ref="Z507">INDEX(O$3:O$700,MATCH($B507&amp;$C507&amp;"baseline",$B$3:$B$700&amp;$C$3:$C$700&amp;$D$3:$D$700,0))</f>
        <v>27.049603399208749</v>
      </c>
      <c r="AA507">
        <f t="array" ref="AA507">INDEX(P$3:P$700,MATCH($B507&amp;$C507&amp;"baseline",$B$3:$B$700&amp;$C$3:$C$700&amp;$D$3:$D$700,0))</f>
        <v>0.75527772126908888</v>
      </c>
      <c r="AB507">
        <f t="array" ref="AB507">INDEX(Q$3:Q$700,MATCH($B507&amp;$C507&amp;"baseline",$B$3:$B$700&amp;$C$3:$C$700&amp;$D$3:$D$700,0))</f>
        <v>0</v>
      </c>
      <c r="AC507">
        <f t="shared" si="55"/>
        <v>600.93304013964485</v>
      </c>
      <c r="AD507">
        <f t="shared" si="64"/>
        <v>49.683159525549968</v>
      </c>
      <c r="AE507">
        <f t="shared" si="65"/>
        <v>1.464758284489065</v>
      </c>
      <c r="AF507">
        <f t="shared" si="58"/>
        <v>8.5114171452701761</v>
      </c>
      <c r="AG507">
        <f>(S507+V507+Y507)*constants!$O$2+(R507+T507+U507+W507+X507+Z507+AA507+AB507)*constants!$N$2</f>
        <v>17.930002253435902</v>
      </c>
      <c r="AH507">
        <f>((S507+V507+Y507)-(H507+K507+N507))*constants!$O$2</f>
        <v>0.80486718431390947</v>
      </c>
      <c r="AI507">
        <f>((R507+T507+U507+W507+X507+Z507+AA507+AB507)-(G507+I507+J507+L507+M507+O507+P507+Q507))*constants!$N$2</f>
        <v>0.16551768614726434</v>
      </c>
      <c r="AJ507">
        <f t="shared" si="59"/>
        <v>5.4120733324237049</v>
      </c>
      <c r="AK507">
        <f t="shared" si="66"/>
        <v>0.97038487046117383</v>
      </c>
      <c r="AL507">
        <f>COUNTIFS($B:$B,$B507,$AK:$AK,"&lt;"&amp;$AK507)+COUNTIFS($B$2:$B507,$B507,$AK$2:$AK507,$AK507)</f>
        <v>54</v>
      </c>
      <c r="AM507" s="191">
        <f>IF(AK507=0, "NA",IF(((sim_annual_output!F507/E507)/AK507)&lt;0,100,((sim_annual_output!F507/E507)/AK507)))</f>
        <v>141.4558665084667</v>
      </c>
      <c r="AN507">
        <f>(S507+V507)*constants!$F$2+(T507+U507+W507+X507+Y507+Z507+AA507+AB507)*constants!$G$2</f>
        <v>166065.63938327122</v>
      </c>
      <c r="AO507">
        <f>(AD507*constants!$F$2+AE507*constants!$G$2)</f>
        <v>10167.625262578931</v>
      </c>
      <c r="AP507">
        <f t="shared" si="61"/>
        <v>6.1226544517812975</v>
      </c>
    </row>
    <row r="508" spans="1:42">
      <c r="A508">
        <f>sim_annual_output!B508</f>
        <v>24</v>
      </c>
      <c r="B508" t="str">
        <f>sim_annual_output!C508</f>
        <v>Training Building</v>
      </c>
      <c r="C508" t="str">
        <f>sim_annual_output!D508</f>
        <v>1959-pre</v>
      </c>
      <c r="D508" t="str">
        <f>sim_annual_output!E508</f>
        <v>envelope_ecm_wall</v>
      </c>
      <c r="E508" s="45">
        <f t="array" ref="E508">IFERROR(INDEX(baseline!$J$3:$J$201,MATCH($B508&amp;$C508,baseline!$C$3:$C$201&amp;baseline!$D$3:$D$201,0)),"NA")</f>
        <v>3699.892902</v>
      </c>
      <c r="F508">
        <f>sim_annual_output!G508</f>
        <v>3699.8929020249998</v>
      </c>
      <c r="G508">
        <f>$E508/$F508^2*sim_annual_output!I508</f>
        <v>0</v>
      </c>
      <c r="H508">
        <f>$E508/$F508^2*sim_annual_output!J508</f>
        <v>491.58594372616813</v>
      </c>
      <c r="I508">
        <f>$E508/$F508^2*sim_annual_output!K508</f>
        <v>3.1735178208791637</v>
      </c>
      <c r="J508">
        <f>$E508/$F508^2*sim_annual_output!L508</f>
        <v>7.7111903331558764</v>
      </c>
      <c r="K508">
        <f>$E508/$F508^2*sim_annual_output!M508</f>
        <v>0</v>
      </c>
      <c r="L508">
        <f>$E508/$F508^2*sim_annual_output!N508</f>
        <v>37.958336291892508</v>
      </c>
      <c r="M508">
        <f>$E508/$F508^2*sim_annual_output!O508</f>
        <v>9.2652906144948552</v>
      </c>
      <c r="N508">
        <f>$E508/$F508^2*sim_annual_output!P508</f>
        <v>0</v>
      </c>
      <c r="O508">
        <f>$E508/$F508^2*sim_annual_output!Q508</f>
        <v>26.115641684239819</v>
      </c>
      <c r="P508">
        <f>$E508/$F508^2*sim_annual_output!R508</f>
        <v>0.74701921735859178</v>
      </c>
      <c r="Q508">
        <f>$E508/$F508^2*sim_annual_output!S508</f>
        <v>0</v>
      </c>
      <c r="R508">
        <f t="array" ref="R508">INDEX(G$3:G$700,MATCH($B508&amp;$C508&amp;"baseline",$B$3:$B$700&amp;$C$3:$C$700&amp;$D$3:$D$700,0))</f>
        <v>0</v>
      </c>
      <c r="S508">
        <f t="array" ref="S508">INDEX(H$3:H$700,MATCH($B508&amp;$C508&amp;"baseline",$B$3:$B$700&amp;$C$3:$C$700&amp;$D$3:$D$700,0))</f>
        <v>516.27511655314026</v>
      </c>
      <c r="T508">
        <f t="array" ref="T508">INDEX(I$3:I$700,MATCH($B508&amp;$C508&amp;"baseline",$B$3:$B$700&amp;$C$3:$C$700&amp;$D$3:$D$700,0))</f>
        <v>1.9182252264836201</v>
      </c>
      <c r="U508">
        <f t="array" ref="U508">INDEX(J$3:J$700,MATCH($B508&amp;$C508&amp;"baseline",$B$3:$B$700&amp;$C$3:$C$700&amp;$D$3:$D$700,0))</f>
        <v>7.7111903331558764</v>
      </c>
      <c r="V508">
        <f t="array" ref="V508">INDEX(K$3:K$700,MATCH($B508&amp;$C508&amp;"baseline",$B$3:$B$700&amp;$C$3:$C$700&amp;$D$3:$D$700,0))</f>
        <v>0</v>
      </c>
      <c r="W508">
        <f t="array" ref="W508">INDEX(L$3:L$700,MATCH($B508&amp;$C508&amp;"baseline",$B$3:$B$700&amp;$C$3:$C$700&amp;$D$3:$D$700,0))</f>
        <v>37.958336291892508</v>
      </c>
      <c r="X508">
        <f t="array" ref="X508">INDEX(M$3:M$700,MATCH($B508&amp;$C508&amp;"baseline",$B$3:$B$700&amp;$C$3:$C$700&amp;$D$3:$D$700,0))</f>
        <v>9.2652906144948552</v>
      </c>
      <c r="Y508">
        <f t="array" ref="Y508">INDEX(N$3:N$700,MATCH($B508&amp;$C508&amp;"baseline",$B$3:$B$700&amp;$C$3:$C$700&amp;$D$3:$D$700,0))</f>
        <v>0</v>
      </c>
      <c r="Z508">
        <f t="array" ref="Z508">INDEX(O$3:O$700,MATCH($B508&amp;$C508&amp;"baseline",$B$3:$B$700&amp;$C$3:$C$700&amp;$D$3:$D$700,0))</f>
        <v>27.049603399208749</v>
      </c>
      <c r="AA508">
        <f t="array" ref="AA508">INDEX(P$3:P$700,MATCH($B508&amp;$C508&amp;"baseline",$B$3:$B$700&amp;$C$3:$C$700&amp;$D$3:$D$700,0))</f>
        <v>0.75527772126908888</v>
      </c>
      <c r="AB508">
        <f t="array" ref="AB508">INDEX(Q$3:Q$700,MATCH($B508&amp;$C508&amp;"baseline",$B$3:$B$700&amp;$C$3:$C$700&amp;$D$3:$D$700,0))</f>
        <v>0</v>
      </c>
      <c r="AC508">
        <f t="shared" si="55"/>
        <v>600.93304013964485</v>
      </c>
      <c r="AD508">
        <f t="shared" si="64"/>
        <v>24.68917282697214</v>
      </c>
      <c r="AE508">
        <f t="shared" si="65"/>
        <v>-0.31307237551611422</v>
      </c>
      <c r="AF508">
        <f t="shared" si="58"/>
        <v>4.0563754733458337</v>
      </c>
      <c r="AG508">
        <f>(S508+V508+Y508)*constants!$O$2+(R508+T508+U508+W508+X508+Z508+AA508+AB508)*constants!$N$2</f>
        <v>17.930002253435902</v>
      </c>
      <c r="AH508">
        <f>((S508+V508+Y508)-(H508+K508+N508))*constants!$O$2</f>
        <v>0.39996459979694865</v>
      </c>
      <c r="AI508">
        <f>((R508+T508+U508+W508+X508+Z508+AA508+AB508)-(G508+I508+J508+L508+M508+O508+P508+Q508))*constants!$N$2</f>
        <v>-3.5377178433320909E-2</v>
      </c>
      <c r="AJ508">
        <f t="shared" si="59"/>
        <v>2.0333930593553737</v>
      </c>
      <c r="AK508">
        <f t="shared" si="66"/>
        <v>0.36458742136362776</v>
      </c>
      <c r="AL508">
        <f>COUNTIFS($B:$B,$B508,$AK:$AK,"&lt;"&amp;$AK508)+COUNTIFS($B$2:$B508,$B508,$AK$2:$AK508,$AK508)</f>
        <v>44</v>
      </c>
      <c r="AM508" s="191">
        <f>IF(AK508=0, "NA",IF(((sim_annual_output!F508/E508)/AK508)&lt;0,100,((sim_annual_output!F508/E508)/AK508)))</f>
        <v>327.82653916654601</v>
      </c>
      <c r="AN508">
        <f>(S508+V508)*constants!$F$2+(T508+U508+W508+X508+Y508+Z508+AA508+AB508)*constants!$G$2</f>
        <v>166065.63938327122</v>
      </c>
      <c r="AO508">
        <f>(AD508*constants!$F$2+AE508*constants!$G$2)</f>
        <v>4146.9889693289933</v>
      </c>
      <c r="AP508">
        <f t="shared" si="61"/>
        <v>2.4971986888617876</v>
      </c>
    </row>
    <row r="509" spans="1:42">
      <c r="A509">
        <f>sim_annual_output!B509</f>
        <v>24</v>
      </c>
      <c r="B509" t="str">
        <f>sim_annual_output!C509</f>
        <v>Training Building</v>
      </c>
      <c r="C509" t="str">
        <f>sim_annual_output!D509</f>
        <v>1959-pre</v>
      </c>
      <c r="D509" t="str">
        <f>sim_annual_output!E509</f>
        <v>envelope_ecm_windows</v>
      </c>
      <c r="E509" s="45">
        <f t="array" ref="E509">IFERROR(INDEX(baseline!$J$3:$J$201,MATCH($B509&amp;$C509,baseline!$C$3:$C$201&amp;baseline!$D$3:$D$201,0)),"NA")</f>
        <v>3699.892902</v>
      </c>
      <c r="F509">
        <f>sim_annual_output!G509</f>
        <v>3699.8929020249998</v>
      </c>
      <c r="G509">
        <f>$E509/$F509^2*sim_annual_output!I509</f>
        <v>0</v>
      </c>
      <c r="H509">
        <f>$E509/$F509^2*sim_annual_output!J509</f>
        <v>504.86787033349555</v>
      </c>
      <c r="I509">
        <f>$E509/$F509^2*sim_annual_output!K509</f>
        <v>3.0804219586153794</v>
      </c>
      <c r="J509">
        <f>$E509/$F509^2*sim_annual_output!L509</f>
        <v>7.7111903331558764</v>
      </c>
      <c r="K509">
        <f>$E509/$F509^2*sim_annual_output!M509</f>
        <v>0</v>
      </c>
      <c r="L509">
        <f>$E509/$F509^2*sim_annual_output!N509</f>
        <v>37.958336291892508</v>
      </c>
      <c r="M509">
        <f>$E509/$F509^2*sim_annual_output!O509</f>
        <v>9.2652906144948552</v>
      </c>
      <c r="N509">
        <f>$E509/$F509^2*sim_annual_output!P509</f>
        <v>0</v>
      </c>
      <c r="O509">
        <f>$E509/$F509^2*sim_annual_output!Q509</f>
        <v>26.970772225517642</v>
      </c>
      <c r="P509">
        <f>$E509/$F509^2*sim_annual_output!R509</f>
        <v>0.74176380577918466</v>
      </c>
      <c r="Q509">
        <f>$E509/$F509^2*sim_annual_output!S509</f>
        <v>0</v>
      </c>
      <c r="R509">
        <f t="array" ref="R509">INDEX(G$3:G$700,MATCH($B509&amp;$C509&amp;"baseline",$B$3:$B$700&amp;$C$3:$C$700&amp;$D$3:$D$700,0))</f>
        <v>0</v>
      </c>
      <c r="S509">
        <f t="array" ref="S509">INDEX(H$3:H$700,MATCH($B509&amp;$C509&amp;"baseline",$B$3:$B$700&amp;$C$3:$C$700&amp;$D$3:$D$700,0))</f>
        <v>516.27511655314026</v>
      </c>
      <c r="T509">
        <f t="array" ref="T509">INDEX(I$3:I$700,MATCH($B509&amp;$C509&amp;"baseline",$B$3:$B$700&amp;$C$3:$C$700&amp;$D$3:$D$700,0))</f>
        <v>1.9182252264836201</v>
      </c>
      <c r="U509">
        <f t="array" ref="U509">INDEX(J$3:J$700,MATCH($B509&amp;$C509&amp;"baseline",$B$3:$B$700&amp;$C$3:$C$700&amp;$D$3:$D$700,0))</f>
        <v>7.7111903331558764</v>
      </c>
      <c r="V509">
        <f t="array" ref="V509">INDEX(K$3:K$700,MATCH($B509&amp;$C509&amp;"baseline",$B$3:$B$700&amp;$C$3:$C$700&amp;$D$3:$D$700,0))</f>
        <v>0</v>
      </c>
      <c r="W509">
        <f t="array" ref="W509">INDEX(L$3:L$700,MATCH($B509&amp;$C509&amp;"baseline",$B$3:$B$700&amp;$C$3:$C$700&amp;$D$3:$D$700,0))</f>
        <v>37.958336291892508</v>
      </c>
      <c r="X509">
        <f t="array" ref="X509">INDEX(M$3:M$700,MATCH($B509&amp;$C509&amp;"baseline",$B$3:$B$700&amp;$C$3:$C$700&amp;$D$3:$D$700,0))</f>
        <v>9.2652906144948552</v>
      </c>
      <c r="Y509">
        <f t="array" ref="Y509">INDEX(N$3:N$700,MATCH($B509&amp;$C509&amp;"baseline",$B$3:$B$700&amp;$C$3:$C$700&amp;$D$3:$D$700,0))</f>
        <v>0</v>
      </c>
      <c r="Z509">
        <f t="array" ref="Z509">INDEX(O$3:O$700,MATCH($B509&amp;$C509&amp;"baseline",$B$3:$B$700&amp;$C$3:$C$700&amp;$D$3:$D$700,0))</f>
        <v>27.049603399208749</v>
      </c>
      <c r="AA509">
        <f t="array" ref="AA509">INDEX(P$3:P$700,MATCH($B509&amp;$C509&amp;"baseline",$B$3:$B$700&amp;$C$3:$C$700&amp;$D$3:$D$700,0))</f>
        <v>0.75527772126908888</v>
      </c>
      <c r="AB509">
        <f t="array" ref="AB509">INDEX(Q$3:Q$700,MATCH($B509&amp;$C509&amp;"baseline",$B$3:$B$700&amp;$C$3:$C$700&amp;$D$3:$D$700,0))</f>
        <v>0</v>
      </c>
      <c r="AC509">
        <f t="shared" si="55"/>
        <v>600.93304013964485</v>
      </c>
      <c r="AD509">
        <f t="shared" si="64"/>
        <v>11.407246219644719</v>
      </c>
      <c r="AE509">
        <f t="shared" si="65"/>
        <v>-1.0698516429507521</v>
      </c>
      <c r="AF509">
        <f t="shared" si="58"/>
        <v>1.7202240326629008</v>
      </c>
      <c r="AG509">
        <f>(S509+V509+Y509)*constants!$O$2+(R509+T509+U509+W509+X509+Z509+AA509+AB509)*constants!$N$2</f>
        <v>17.930002253435902</v>
      </c>
      <c r="AH509">
        <f>((S509+V509+Y509)-(H509+K509+N509))*constants!$O$2</f>
        <v>0.18479738875824445</v>
      </c>
      <c r="AI509">
        <f>((R509+T509+U509+W509+X509+Z509+AA509+AB509)-(G509+I509+J509+L509+M509+O509+P509+Q509))*constants!$N$2</f>
        <v>-0.12089323565343499</v>
      </c>
      <c r="AJ509">
        <f t="shared" si="59"/>
        <v>0.35640906343201151</v>
      </c>
      <c r="AK509">
        <f t="shared" si="66"/>
        <v>6.3904153104809458E-2</v>
      </c>
      <c r="AL509">
        <f>COUNTIFS($B:$B,$B509,$AK:$AK,"&lt;"&amp;$AK509)+COUNTIFS($B$2:$B509,$B509,$AK$2:$AK509,$AK509)</f>
        <v>41</v>
      </c>
      <c r="AM509" s="191">
        <f>IF(AK509=0, "NA",IF(((sim_annual_output!F509/E509)/AK509)&lt;0,100,((sim_annual_output!F509/E509)/AK509)))</f>
        <v>679.01638157560899</v>
      </c>
      <c r="AN509">
        <f>(S509+V509)*constants!$F$2+(T509+U509+W509+X509+Y509+Z509+AA509+AB509)*constants!$G$2</f>
        <v>166065.63938327122</v>
      </c>
      <c r="AO509">
        <f>(AD509*constants!$F$2+AE509*constants!$G$2)</f>
        <v>1111.1261439492505</v>
      </c>
      <c r="AP509">
        <f t="shared" si="61"/>
        <v>0.66908852913565509</v>
      </c>
    </row>
    <row r="510" spans="1:42">
      <c r="A510">
        <f>sim_annual_output!B510</f>
        <v>24</v>
      </c>
      <c r="B510" t="str">
        <f>sim_annual_output!C510</f>
        <v>Training Building</v>
      </c>
      <c r="C510" t="str">
        <f>sim_annual_output!D510</f>
        <v>1959-pre</v>
      </c>
      <c r="D510" t="str">
        <f>sim_annual_output!E510</f>
        <v>exhaust_fans_occ_control</v>
      </c>
      <c r="E510" s="45">
        <f t="array" ref="E510">IFERROR(INDEX(baseline!$J$3:$J$201,MATCH($B510&amp;$C510,baseline!$C$3:$C$201&amp;baseline!$D$3:$D$201,0)),"NA")</f>
        <v>3699.892902</v>
      </c>
      <c r="F510">
        <f>sim_annual_output!G510</f>
        <v>3699.8929020249998</v>
      </c>
      <c r="G510">
        <f>$E510/$F510^2*sim_annual_output!I510</f>
        <v>0</v>
      </c>
      <c r="H510">
        <f>$E510/$F510^2*sim_annual_output!J510</f>
        <v>513.00399823150065</v>
      </c>
      <c r="I510">
        <f>$E510/$F510^2*sim_annual_output!K510</f>
        <v>3.0443848506423015</v>
      </c>
      <c r="J510">
        <f>$E510/$F510^2*sim_annual_output!L510</f>
        <v>7.7111903331558764</v>
      </c>
      <c r="K510">
        <f>$E510/$F510^2*sim_annual_output!M510</f>
        <v>0</v>
      </c>
      <c r="L510">
        <f>$E510/$F510^2*sim_annual_output!N510</f>
        <v>37.958336291892508</v>
      </c>
      <c r="M510">
        <f>$E510/$F510^2*sim_annual_output!O510</f>
        <v>9.2652906144948552</v>
      </c>
      <c r="N510">
        <f>$E510/$F510^2*sim_annual_output!P510</f>
        <v>0</v>
      </c>
      <c r="O510">
        <f>$E510/$F510^2*sim_annual_output!Q510</f>
        <v>27.326638666751787</v>
      </c>
      <c r="P510">
        <f>$E510/$F510^2*sim_annual_output!R510</f>
        <v>0.74401612502750203</v>
      </c>
      <c r="Q510">
        <f>$E510/$F510^2*sim_annual_output!S510</f>
        <v>0</v>
      </c>
      <c r="R510">
        <f t="array" ref="R510">INDEX(G$3:G$700,MATCH($B510&amp;$C510&amp;"baseline",$B$3:$B$700&amp;$C$3:$C$700&amp;$D$3:$D$700,0))</f>
        <v>0</v>
      </c>
      <c r="S510">
        <f t="array" ref="S510">INDEX(H$3:H$700,MATCH($B510&amp;$C510&amp;"baseline",$B$3:$B$700&amp;$C$3:$C$700&amp;$D$3:$D$700,0))</f>
        <v>516.27511655314026</v>
      </c>
      <c r="T510">
        <f t="array" ref="T510">INDEX(I$3:I$700,MATCH($B510&amp;$C510&amp;"baseline",$B$3:$B$700&amp;$C$3:$C$700&amp;$D$3:$D$700,0))</f>
        <v>1.9182252264836201</v>
      </c>
      <c r="U510">
        <f t="array" ref="U510">INDEX(J$3:J$700,MATCH($B510&amp;$C510&amp;"baseline",$B$3:$B$700&amp;$C$3:$C$700&amp;$D$3:$D$700,0))</f>
        <v>7.7111903331558764</v>
      </c>
      <c r="V510">
        <f t="array" ref="V510">INDEX(K$3:K$700,MATCH($B510&amp;$C510&amp;"baseline",$B$3:$B$700&amp;$C$3:$C$700&amp;$D$3:$D$700,0))</f>
        <v>0</v>
      </c>
      <c r="W510">
        <f t="array" ref="W510">INDEX(L$3:L$700,MATCH($B510&amp;$C510&amp;"baseline",$B$3:$B$700&amp;$C$3:$C$700&amp;$D$3:$D$700,0))</f>
        <v>37.958336291892508</v>
      </c>
      <c r="X510">
        <f t="array" ref="X510">INDEX(M$3:M$700,MATCH($B510&amp;$C510&amp;"baseline",$B$3:$B$700&amp;$C$3:$C$700&amp;$D$3:$D$700,0))</f>
        <v>9.2652906144948552</v>
      </c>
      <c r="Y510">
        <f t="array" ref="Y510">INDEX(N$3:N$700,MATCH($B510&amp;$C510&amp;"baseline",$B$3:$B$700&amp;$C$3:$C$700&amp;$D$3:$D$700,0))</f>
        <v>0</v>
      </c>
      <c r="Z510">
        <f t="array" ref="Z510">INDEX(O$3:O$700,MATCH($B510&amp;$C510&amp;"baseline",$B$3:$B$700&amp;$C$3:$C$700&amp;$D$3:$D$700,0))</f>
        <v>27.049603399208749</v>
      </c>
      <c r="AA510">
        <f t="array" ref="AA510">INDEX(P$3:P$700,MATCH($B510&amp;$C510&amp;"baseline",$B$3:$B$700&amp;$C$3:$C$700&amp;$D$3:$D$700,0))</f>
        <v>0.75527772126908888</v>
      </c>
      <c r="AB510">
        <f t="array" ref="AB510">INDEX(Q$3:Q$700,MATCH($B510&amp;$C510&amp;"baseline",$B$3:$B$700&amp;$C$3:$C$700&amp;$D$3:$D$700,0))</f>
        <v>0</v>
      </c>
      <c r="AC510">
        <f t="shared" si="55"/>
        <v>600.93304013964485</v>
      </c>
      <c r="AD510">
        <f t="shared" si="64"/>
        <v>3.2711183216396194</v>
      </c>
      <c r="AE510">
        <f t="shared" si="65"/>
        <v>-1.3919332954601202</v>
      </c>
      <c r="AF510">
        <f t="shared" si="58"/>
        <v>0.31271121749984226</v>
      </c>
      <c r="AG510">
        <f>(S510+V510+Y510)*constants!$O$2+(R510+T510+U510+W510+X510+Z510+AA510+AB510)*constants!$N$2</f>
        <v>17.930002253435902</v>
      </c>
      <c r="AH510">
        <f>((S510+V510+Y510)-(H510+K510+N510))*constants!$O$2</f>
        <v>5.2992116810561832E-2</v>
      </c>
      <c r="AI510">
        <f>((R510+T510+U510+W510+X510+Z510+AA510+AB510)-(G510+I510+J510+L510+M510+O510+P510+Q510))*constants!$N$2</f>
        <v>-0.15728846238699359</v>
      </c>
      <c r="AJ510">
        <f t="shared" si="59"/>
        <v>-0.58168618220025936</v>
      </c>
      <c r="AK510">
        <f t="shared" si="66"/>
        <v>-0.10429634557643176</v>
      </c>
      <c r="AL510">
        <f>COUNTIFS($B:$B,$B510,$AK:$AK,"&lt;"&amp;$AK510)+COUNTIFS($B$2:$B510,$B510,$AK$2:$AK510,$AK510)</f>
        <v>32</v>
      </c>
      <c r="AM510" s="191">
        <f>IF(AK510=0, "NA",IF(((sim_annual_output!F510/E510)/AK510)&lt;0,100,((sim_annual_output!F510/E510)/AK510)))</f>
        <v>100</v>
      </c>
      <c r="AN510">
        <f>(S510+V510)*constants!$F$2+(T510+U510+W510+X510+Y510+Z510+AA510+AB510)*constants!$G$2</f>
        <v>166065.63938327122</v>
      </c>
      <c r="AO510">
        <f>(AD510*constants!$F$2+AE510*constants!$G$2)</f>
        <v>-625.45178747681268</v>
      </c>
      <c r="AP510">
        <f t="shared" si="61"/>
        <v>-0.37662925924929064</v>
      </c>
    </row>
    <row r="511" spans="1:42">
      <c r="A511">
        <f>sim_annual_output!B511</f>
        <v>24</v>
      </c>
      <c r="B511" t="str">
        <f>sim_annual_output!C511</f>
        <v>Training Building</v>
      </c>
      <c r="C511" t="str">
        <f>sim_annual_output!D511</f>
        <v>1959-pre</v>
      </c>
      <c r="D511" t="str">
        <f>sim_annual_output!E511</f>
        <v>fans_to_variable</v>
      </c>
      <c r="E511" s="45">
        <f t="array" ref="E511">IFERROR(INDEX(baseline!$J$3:$J$201,MATCH($B511&amp;$C511,baseline!$C$3:$C$201&amp;baseline!$D$3:$D$201,0)),"NA")</f>
        <v>3699.892902</v>
      </c>
      <c r="F511">
        <f>sim_annual_output!G511</f>
        <v>3699.8929020249998</v>
      </c>
      <c r="G511">
        <f>$E511/$F511^2*sim_annual_output!I511</f>
        <v>0</v>
      </c>
      <c r="H511">
        <f>$E511/$F511^2*sim_annual_output!J511</f>
        <v>512.99423818142463</v>
      </c>
      <c r="I511">
        <f>$E511/$F511^2*sim_annual_output!K511</f>
        <v>3.0511418083872535</v>
      </c>
      <c r="J511">
        <f>$E511/$F511^2*sim_annual_output!L511</f>
        <v>7.7111903331558764</v>
      </c>
      <c r="K511">
        <f>$E511/$F511^2*sim_annual_output!M511</f>
        <v>0</v>
      </c>
      <c r="L511">
        <f>$E511/$F511^2*sim_annual_output!N511</f>
        <v>37.958336291892508</v>
      </c>
      <c r="M511">
        <f>$E511/$F511^2*sim_annual_output!O511</f>
        <v>9.2652906144948552</v>
      </c>
      <c r="N511">
        <f>$E511/$F511^2*sim_annual_output!P511</f>
        <v>0</v>
      </c>
      <c r="O511">
        <f>$E511/$F511^2*sim_annual_output!Q511</f>
        <v>27.34690953998664</v>
      </c>
      <c r="P511">
        <f>$E511/$F511^2*sim_annual_output!R511</f>
        <v>0.74476689811027452</v>
      </c>
      <c r="Q511">
        <f>$E511/$F511^2*sim_annual_output!S511</f>
        <v>0</v>
      </c>
      <c r="R511">
        <f t="array" ref="R511">INDEX(G$3:G$700,MATCH($B511&amp;$C511&amp;"baseline",$B$3:$B$700&amp;$C$3:$C$700&amp;$D$3:$D$700,0))</f>
        <v>0</v>
      </c>
      <c r="S511">
        <f t="array" ref="S511">INDEX(H$3:H$700,MATCH($B511&amp;$C511&amp;"baseline",$B$3:$B$700&amp;$C$3:$C$700&amp;$D$3:$D$700,0))</f>
        <v>516.27511655314026</v>
      </c>
      <c r="T511">
        <f t="array" ref="T511">INDEX(I$3:I$700,MATCH($B511&amp;$C511&amp;"baseline",$B$3:$B$700&amp;$C$3:$C$700&amp;$D$3:$D$700,0))</f>
        <v>1.9182252264836201</v>
      </c>
      <c r="U511">
        <f t="array" ref="U511">INDEX(J$3:J$700,MATCH($B511&amp;$C511&amp;"baseline",$B$3:$B$700&amp;$C$3:$C$700&amp;$D$3:$D$700,0))</f>
        <v>7.7111903331558764</v>
      </c>
      <c r="V511">
        <f t="array" ref="V511">INDEX(K$3:K$700,MATCH($B511&amp;$C511&amp;"baseline",$B$3:$B$700&amp;$C$3:$C$700&amp;$D$3:$D$700,0))</f>
        <v>0</v>
      </c>
      <c r="W511">
        <f t="array" ref="W511">INDEX(L$3:L$700,MATCH($B511&amp;$C511&amp;"baseline",$B$3:$B$700&amp;$C$3:$C$700&amp;$D$3:$D$700,0))</f>
        <v>37.958336291892508</v>
      </c>
      <c r="X511">
        <f t="array" ref="X511">INDEX(M$3:M$700,MATCH($B511&amp;$C511&amp;"baseline",$B$3:$B$700&amp;$C$3:$C$700&amp;$D$3:$D$700,0))</f>
        <v>9.2652906144948552</v>
      </c>
      <c r="Y511">
        <f t="array" ref="Y511">INDEX(N$3:N$700,MATCH($B511&amp;$C511&amp;"baseline",$B$3:$B$700&amp;$C$3:$C$700&amp;$D$3:$D$700,0))</f>
        <v>0</v>
      </c>
      <c r="Z511">
        <f t="array" ref="Z511">INDEX(O$3:O$700,MATCH($B511&amp;$C511&amp;"baseline",$B$3:$B$700&amp;$C$3:$C$700&amp;$D$3:$D$700,0))</f>
        <v>27.049603399208749</v>
      </c>
      <c r="AA511">
        <f t="array" ref="AA511">INDEX(P$3:P$700,MATCH($B511&amp;$C511&amp;"baseline",$B$3:$B$700&amp;$C$3:$C$700&amp;$D$3:$D$700,0))</f>
        <v>0.75527772126908888</v>
      </c>
      <c r="AB511">
        <f t="array" ref="AB511">INDEX(Q$3:Q$700,MATCH($B511&amp;$C511&amp;"baseline",$B$3:$B$700&amp;$C$3:$C$700&amp;$D$3:$D$700,0))</f>
        <v>0</v>
      </c>
      <c r="AC511">
        <f t="shared" si="55"/>
        <v>600.93304013964485</v>
      </c>
      <c r="AD511">
        <f t="shared" si="64"/>
        <v>3.2808783717156302</v>
      </c>
      <c r="AE511">
        <f t="shared" si="65"/>
        <v>-1.4197118995226958</v>
      </c>
      <c r="AF511">
        <f t="shared" si="58"/>
        <v>0.30971278792732654</v>
      </c>
      <c r="AG511">
        <f>(S511+V511+Y511)*constants!$O$2+(R511+T511+U511+W511+X511+Z511+AA511+AB511)*constants!$N$2</f>
        <v>17.930002253435902</v>
      </c>
      <c r="AH511">
        <f>((S511+V511+Y511)-(H511+K511+N511))*constants!$O$2</f>
        <v>5.3150229621793207E-2</v>
      </c>
      <c r="AI511">
        <f>((R511+T511+U511+W511+X511+Z511+AA511+AB511)-(G511+I511+J511+L511+M511+O511+P511+Q511))*constants!$N$2</f>
        <v>-0.16042744464606462</v>
      </c>
      <c r="AJ511">
        <f t="shared" si="59"/>
        <v>-0.59831121886063354</v>
      </c>
      <c r="AK511">
        <f t="shared" si="66"/>
        <v>-0.10727721502427141</v>
      </c>
      <c r="AL511">
        <f>COUNTIFS($B:$B,$B511,$AK:$AK,"&lt;"&amp;$AK511)+COUNTIFS($B$2:$B511,$B511,$AK$2:$AK511,$AK511)</f>
        <v>30</v>
      </c>
      <c r="AM511" s="191">
        <f>IF(AK511=0, "NA",IF(((sim_annual_output!F511/E511)/AK511)&lt;0,100,((sim_annual_output!F511/E511)/AK511)))</f>
        <v>100</v>
      </c>
      <c r="AN511">
        <f>(S511+V511)*constants!$F$2+(T511+U511+W511+X511+Y511+Z511+AA511+AB511)*constants!$G$2</f>
        <v>166065.63938327122</v>
      </c>
      <c r="AO511">
        <f>(AD511*constants!$F$2+AE511*constants!$G$2)</f>
        <v>-647.87212404764762</v>
      </c>
      <c r="AP511">
        <f t="shared" si="61"/>
        <v>-0.39013014760530385</v>
      </c>
    </row>
    <row r="512" spans="1:42">
      <c r="A512">
        <f>sim_annual_output!B512</f>
        <v>24</v>
      </c>
      <c r="B512" t="str">
        <f>sim_annual_output!C512</f>
        <v>Training Building</v>
      </c>
      <c r="C512" t="str">
        <f>sim_annual_output!D512</f>
        <v>1959-pre</v>
      </c>
      <c r="D512" t="str">
        <f>sim_annual_output!E512</f>
        <v>hrv_enabled</v>
      </c>
      <c r="E512" s="45">
        <f t="array" ref="E512">IFERROR(INDEX(baseline!$J$3:$J$201,MATCH($B512&amp;$C512,baseline!$C$3:$C$201&amp;baseline!$D$3:$D$201,0)),"NA")</f>
        <v>3699.892902</v>
      </c>
      <c r="F512">
        <f>sim_annual_output!G512</f>
        <v>3699.8929020249998</v>
      </c>
      <c r="G512">
        <f>$E512/$F512^2*sim_annual_output!I512</f>
        <v>0</v>
      </c>
      <c r="H512">
        <f>$E512/$F512^2*sim_annual_output!J512</f>
        <v>437.79680621093564</v>
      </c>
      <c r="I512">
        <f>$E512/$F512^2*sim_annual_output!K512</f>
        <v>3.4910948348919115</v>
      </c>
      <c r="J512">
        <f>$E512/$F512^2*sim_annual_output!L512</f>
        <v>7.7111903331558764</v>
      </c>
      <c r="K512">
        <f>$E512/$F512^2*sim_annual_output!M512</f>
        <v>0</v>
      </c>
      <c r="L512">
        <f>$E512/$F512^2*sim_annual_output!N512</f>
        <v>37.958336291892508</v>
      </c>
      <c r="M512">
        <f>$E512/$F512^2*sim_annual_output!O512</f>
        <v>9.2652906144948552</v>
      </c>
      <c r="N512">
        <f>$E512/$F512^2*sim_annual_output!P512</f>
        <v>0</v>
      </c>
      <c r="O512">
        <f>$E512/$F512^2*sim_annual_output!Q512</f>
        <v>27.338651036076143</v>
      </c>
      <c r="P512">
        <f>$E512/$F512^2*sim_annual_output!R512</f>
        <v>0.61188006245955007</v>
      </c>
      <c r="Q512">
        <f>$E512/$F512^2*sim_annual_output!S512</f>
        <v>1.18396915153216</v>
      </c>
      <c r="R512">
        <f t="array" ref="R512">INDEX(G$3:G$700,MATCH($B512&amp;$C512&amp;"baseline",$B$3:$B$700&amp;$C$3:$C$700&amp;$D$3:$D$700,0))</f>
        <v>0</v>
      </c>
      <c r="S512">
        <f t="array" ref="S512">INDEX(H$3:H$700,MATCH($B512&amp;$C512&amp;"baseline",$B$3:$B$700&amp;$C$3:$C$700&amp;$D$3:$D$700,0))</f>
        <v>516.27511655314026</v>
      </c>
      <c r="T512">
        <f t="array" ref="T512">INDEX(I$3:I$700,MATCH($B512&amp;$C512&amp;"baseline",$B$3:$B$700&amp;$C$3:$C$700&amp;$D$3:$D$700,0))</f>
        <v>1.9182252264836201</v>
      </c>
      <c r="U512">
        <f t="array" ref="U512">INDEX(J$3:J$700,MATCH($B512&amp;$C512&amp;"baseline",$B$3:$B$700&amp;$C$3:$C$700&amp;$D$3:$D$700,0))</f>
        <v>7.7111903331558764</v>
      </c>
      <c r="V512">
        <f t="array" ref="V512">INDEX(K$3:K$700,MATCH($B512&amp;$C512&amp;"baseline",$B$3:$B$700&amp;$C$3:$C$700&amp;$D$3:$D$700,0))</f>
        <v>0</v>
      </c>
      <c r="W512">
        <f t="array" ref="W512">INDEX(L$3:L$700,MATCH($B512&amp;$C512&amp;"baseline",$B$3:$B$700&amp;$C$3:$C$700&amp;$D$3:$D$700,0))</f>
        <v>37.958336291892508</v>
      </c>
      <c r="X512">
        <f t="array" ref="X512">INDEX(M$3:M$700,MATCH($B512&amp;$C512&amp;"baseline",$B$3:$B$700&amp;$C$3:$C$700&amp;$D$3:$D$700,0))</f>
        <v>9.2652906144948552</v>
      </c>
      <c r="Y512">
        <f t="array" ref="Y512">INDEX(N$3:N$700,MATCH($B512&amp;$C512&amp;"baseline",$B$3:$B$700&amp;$C$3:$C$700&amp;$D$3:$D$700,0))</f>
        <v>0</v>
      </c>
      <c r="Z512">
        <f t="array" ref="Z512">INDEX(O$3:O$700,MATCH($B512&amp;$C512&amp;"baseline",$B$3:$B$700&amp;$C$3:$C$700&amp;$D$3:$D$700,0))</f>
        <v>27.049603399208749</v>
      </c>
      <c r="AA512">
        <f t="array" ref="AA512">INDEX(P$3:P$700,MATCH($B512&amp;$C512&amp;"baseline",$B$3:$B$700&amp;$C$3:$C$700&amp;$D$3:$D$700,0))</f>
        <v>0.75527772126908888</v>
      </c>
      <c r="AB512">
        <f t="array" ref="AB512">INDEX(Q$3:Q$700,MATCH($B512&amp;$C512&amp;"baseline",$B$3:$B$700&amp;$C$3:$C$700&amp;$D$3:$D$700,0))</f>
        <v>0</v>
      </c>
      <c r="AC512">
        <f t="shared" si="55"/>
        <v>600.93304013964485</v>
      </c>
      <c r="AD512">
        <f t="shared" si="64"/>
        <v>78.478310342204622</v>
      </c>
      <c r="AE512">
        <f t="shared" si="65"/>
        <v>-2.9024887379982829</v>
      </c>
      <c r="AF512">
        <f t="shared" si="58"/>
        <v>12.576413103636973</v>
      </c>
      <c r="AG512">
        <f>(S512+V512+Y512)*constants!$O$2+(R512+T512+U512+W512+X512+Z512+AA512+AB512)*constants!$N$2</f>
        <v>17.930002253435902</v>
      </c>
      <c r="AH512">
        <f>((S512+V512+Y512)-(H512+K512+N512))*constants!$O$2</f>
        <v>1.2713486275437149</v>
      </c>
      <c r="AI512">
        <f>((R512+T512+U512+W512+X512+Z512+AA512+AB512)-(G512+I512+J512+L512+M512+O512+P512+Q512))*constants!$N$2</f>
        <v>-0.32798122739380597</v>
      </c>
      <c r="AJ512">
        <f t="shared" si="59"/>
        <v>5.2613903044498098</v>
      </c>
      <c r="AK512">
        <f t="shared" si="66"/>
        <v>0.94336740014990894</v>
      </c>
      <c r="AL512">
        <f>COUNTIFS($B:$B,$B512,$AK:$AK,"&lt;"&amp;$AK512)+COUNTIFS($B$2:$B512,$B512,$AK$2:$AK512,$AK512)</f>
        <v>53</v>
      </c>
      <c r="AM512" s="191">
        <f>IF(AK512=0, "NA",IF(((sim_annual_output!F512/E512)/AK512)&lt;0,100,((sim_annual_output!F512/E512)/AK512)))</f>
        <v>70.730491084422141</v>
      </c>
      <c r="AN512">
        <f>(S512+V512)*constants!$F$2+(T512+U512+W512+X512+Y512+Z512+AA512+AB512)*constants!$G$2</f>
        <v>166065.63938327122</v>
      </c>
      <c r="AO512">
        <f>(AD512*constants!$F$2+AE512*constants!$G$2)</f>
        <v>11522.452349196121</v>
      </c>
      <c r="AP512">
        <f t="shared" si="61"/>
        <v>6.9384927502087743</v>
      </c>
    </row>
    <row r="513" spans="1:42">
      <c r="A513">
        <f>sim_annual_output!B513</f>
        <v>24</v>
      </c>
      <c r="B513" t="str">
        <f>sim_annual_output!C513</f>
        <v>Training Building</v>
      </c>
      <c r="C513" t="str">
        <f>sim_annual_output!D513</f>
        <v>1959-pre</v>
      </c>
      <c r="D513" t="str">
        <f>sim_annual_output!E513</f>
        <v>infil_reduce</v>
      </c>
      <c r="E513" s="45">
        <f t="array" ref="E513">IFERROR(INDEX(baseline!$J$3:$J$201,MATCH($B513&amp;$C513,baseline!$C$3:$C$201&amp;baseline!$D$3:$D$201,0)),"NA")</f>
        <v>3699.892902</v>
      </c>
      <c r="F513">
        <f>sim_annual_output!G513</f>
        <v>3699.8929020249998</v>
      </c>
      <c r="G513">
        <f>$E513/$F513^2*sim_annual_output!I513</f>
        <v>0</v>
      </c>
      <c r="H513">
        <f>$E513/$F513^2*sim_annual_output!J513</f>
        <v>283.63306139443989</v>
      </c>
      <c r="I513">
        <f>$E513/$F513^2*sim_annual_output!K513</f>
        <v>5.0159149660027662</v>
      </c>
      <c r="J513">
        <f>$E513/$F513^2*sim_annual_output!L513</f>
        <v>7.7111903331558764</v>
      </c>
      <c r="K513">
        <f>$E513/$F513^2*sim_annual_output!M513</f>
        <v>0</v>
      </c>
      <c r="L513">
        <f>$E513/$F513^2*sim_annual_output!N513</f>
        <v>37.958336291892508</v>
      </c>
      <c r="M513">
        <f>$E513/$F513^2*sim_annual_output!O513</f>
        <v>9.2652906144948552</v>
      </c>
      <c r="N513">
        <f>$E513/$F513^2*sim_annual_output!P513</f>
        <v>0</v>
      </c>
      <c r="O513">
        <f>$E513/$F513^2*sim_annual_output!Q513</f>
        <v>16.55980188671202</v>
      </c>
      <c r="P513">
        <f>$E513/$F513^2*sim_annual_output!R513</f>
        <v>0.65392335509480748</v>
      </c>
      <c r="Q513">
        <f>$E513/$F513^2*sim_annual_output!S513</f>
        <v>0</v>
      </c>
      <c r="R513">
        <f t="array" ref="R513">INDEX(G$3:G$700,MATCH($B513&amp;$C513&amp;"baseline",$B$3:$B$700&amp;$C$3:$C$700&amp;$D$3:$D$700,0))</f>
        <v>0</v>
      </c>
      <c r="S513">
        <f t="array" ref="S513">INDEX(H$3:H$700,MATCH($B513&amp;$C513&amp;"baseline",$B$3:$B$700&amp;$C$3:$C$700&amp;$D$3:$D$700,0))</f>
        <v>516.27511655314026</v>
      </c>
      <c r="T513">
        <f t="array" ref="T513">INDEX(I$3:I$700,MATCH($B513&amp;$C513&amp;"baseline",$B$3:$B$700&amp;$C$3:$C$700&amp;$D$3:$D$700,0))</f>
        <v>1.9182252264836201</v>
      </c>
      <c r="U513">
        <f t="array" ref="U513">INDEX(J$3:J$700,MATCH($B513&amp;$C513&amp;"baseline",$B$3:$B$700&amp;$C$3:$C$700&amp;$D$3:$D$700,0))</f>
        <v>7.7111903331558764</v>
      </c>
      <c r="V513">
        <f t="array" ref="V513">INDEX(K$3:K$700,MATCH($B513&amp;$C513&amp;"baseline",$B$3:$B$700&amp;$C$3:$C$700&amp;$D$3:$D$700,0))</f>
        <v>0</v>
      </c>
      <c r="W513">
        <f t="array" ref="W513">INDEX(L$3:L$700,MATCH($B513&amp;$C513&amp;"baseline",$B$3:$B$700&amp;$C$3:$C$700&amp;$D$3:$D$700,0))</f>
        <v>37.958336291892508</v>
      </c>
      <c r="X513">
        <f t="array" ref="X513">INDEX(M$3:M$700,MATCH($B513&amp;$C513&amp;"baseline",$B$3:$B$700&amp;$C$3:$C$700&amp;$D$3:$D$700,0))</f>
        <v>9.2652906144948552</v>
      </c>
      <c r="Y513">
        <f t="array" ref="Y513">INDEX(N$3:N$700,MATCH($B513&amp;$C513&amp;"baseline",$B$3:$B$700&amp;$C$3:$C$700&amp;$D$3:$D$700,0))</f>
        <v>0</v>
      </c>
      <c r="Z513">
        <f t="array" ref="Z513">INDEX(O$3:O$700,MATCH($B513&amp;$C513&amp;"baseline",$B$3:$B$700&amp;$C$3:$C$700&amp;$D$3:$D$700,0))</f>
        <v>27.049603399208749</v>
      </c>
      <c r="AA513">
        <f t="array" ref="AA513">INDEX(P$3:P$700,MATCH($B513&amp;$C513&amp;"baseline",$B$3:$B$700&amp;$C$3:$C$700&amp;$D$3:$D$700,0))</f>
        <v>0.75527772126908888</v>
      </c>
      <c r="AB513">
        <f t="array" ref="AB513">INDEX(Q$3:Q$700,MATCH($B513&amp;$C513&amp;"baseline",$B$3:$B$700&amp;$C$3:$C$700&amp;$D$3:$D$700,0))</f>
        <v>0</v>
      </c>
      <c r="AC513">
        <f t="shared" si="55"/>
        <v>600.93304013964485</v>
      </c>
      <c r="AD513">
        <f t="shared" si="64"/>
        <v>232.64205515870037</v>
      </c>
      <c r="AE513">
        <f t="shared" si="65"/>
        <v>7.4934661391518773</v>
      </c>
      <c r="AF513">
        <f t="shared" si="58"/>
        <v>39.960445716555967</v>
      </c>
      <c r="AG513">
        <f>(S513+V513+Y513)*constants!$O$2+(R513+T513+U513+W513+X513+Z513+AA513+AB513)*constants!$N$2</f>
        <v>17.930002253435902</v>
      </c>
      <c r="AH513">
        <f>((S513+V513+Y513)-(H513+K513+N513))*constants!$O$2</f>
        <v>3.7688012935709456</v>
      </c>
      <c r="AI513">
        <f>((R513+T513+U513+W513+X513+Z513+AA513+AB513)-(G513+I513+J513+L513+M513+O513+P513+Q513))*constants!$N$2</f>
        <v>0.84676167372416211</v>
      </c>
      <c r="AJ513">
        <f t="shared" si="59"/>
        <v>25.742121512620749</v>
      </c>
      <c r="AK513">
        <f t="shared" si="66"/>
        <v>4.6155629672951077</v>
      </c>
      <c r="AL513">
        <f>COUNTIFS($B:$B,$B513,$AK:$AK,"&lt;"&amp;$AK513)+COUNTIFS($B$2:$B513,$B513,$AK$2:$AK513,$AK513)</f>
        <v>67</v>
      </c>
      <c r="AM513" s="191">
        <f>IF(AK513=0, "NA",IF(((sim_annual_output!F513/E513)/AK513)&lt;0,100,((sim_annual_output!F513/E513)/AK513)))</f>
        <v>6.6201231510464229</v>
      </c>
      <c r="AN513">
        <f>(S513+V513)*constants!$F$2+(T513+U513+W513+X513+Y513+Z513+AA513+AB513)*constants!$G$2</f>
        <v>166065.63938327122</v>
      </c>
      <c r="AO513">
        <f>(AD513*constants!$F$2+AE513*constants!$G$2)</f>
        <v>48162.2434144695</v>
      </c>
      <c r="AP513">
        <f t="shared" si="61"/>
        <v>29.001931762243387</v>
      </c>
    </row>
    <row r="514" spans="1:42">
      <c r="A514">
        <f>sim_annual_output!B514</f>
        <v>24</v>
      </c>
      <c r="B514" t="str">
        <f>sim_annual_output!C514</f>
        <v>Training Building</v>
      </c>
      <c r="C514" t="str">
        <f>sim_annual_output!D514</f>
        <v>1959-pre</v>
      </c>
      <c r="D514" t="str">
        <f>sim_annual_output!E514</f>
        <v>infil_reduce_plus_setback</v>
      </c>
      <c r="E514" s="45">
        <f t="array" ref="E514">IFERROR(INDEX(baseline!$J$3:$J$201,MATCH($B514&amp;$C514,baseline!$C$3:$C$201&amp;baseline!$D$3:$D$201,0)),"NA")</f>
        <v>3699.892902</v>
      </c>
      <c r="F514">
        <f>sim_annual_output!G514</f>
        <v>3699.8929020249998</v>
      </c>
      <c r="G514">
        <f>$E514/$F514^2*sim_annual_output!I514</f>
        <v>0</v>
      </c>
      <c r="H514">
        <f>$E514/$F514^2*sim_annual_output!J514</f>
        <v>241.20086830230633</v>
      </c>
      <c r="I514">
        <f>$E514/$F514^2*sim_annual_output!K514</f>
        <v>4.3184467721071558</v>
      </c>
      <c r="J514">
        <f>$E514/$F514^2*sim_annual_output!L514</f>
        <v>7.7111903331558764</v>
      </c>
      <c r="K514">
        <f>$E514/$F514^2*sim_annual_output!M514</f>
        <v>0</v>
      </c>
      <c r="L514">
        <f>$E514/$F514^2*sim_annual_output!N514</f>
        <v>37.958336291892508</v>
      </c>
      <c r="M514">
        <f>$E514/$F514^2*sim_annual_output!O514</f>
        <v>9.2652906144948552</v>
      </c>
      <c r="N514">
        <f>$E514/$F514^2*sim_annual_output!P514</f>
        <v>0</v>
      </c>
      <c r="O514">
        <f>$E514/$F514^2*sim_annual_output!Q514</f>
        <v>20.941313597772066</v>
      </c>
      <c r="P514">
        <f>$E514/$F514^2*sim_annual_output!R514</f>
        <v>0.36862958364127496</v>
      </c>
      <c r="Q514">
        <f>$E514/$F514^2*sim_annual_output!S514</f>
        <v>0</v>
      </c>
      <c r="R514">
        <f t="array" ref="R514">INDEX(G$3:G$700,MATCH($B514&amp;$C514&amp;"baseline",$B$3:$B$700&amp;$C$3:$C$700&amp;$D$3:$D$700,0))</f>
        <v>0</v>
      </c>
      <c r="S514">
        <f t="array" ref="S514">INDEX(H$3:H$700,MATCH($B514&amp;$C514&amp;"baseline",$B$3:$B$700&amp;$C$3:$C$700&amp;$D$3:$D$700,0))</f>
        <v>516.27511655314026</v>
      </c>
      <c r="T514">
        <f t="array" ref="T514">INDEX(I$3:I$700,MATCH($B514&amp;$C514&amp;"baseline",$B$3:$B$700&amp;$C$3:$C$700&amp;$D$3:$D$700,0))</f>
        <v>1.9182252264836201</v>
      </c>
      <c r="U514">
        <f t="array" ref="U514">INDEX(J$3:J$700,MATCH($B514&amp;$C514&amp;"baseline",$B$3:$B$700&amp;$C$3:$C$700&amp;$D$3:$D$700,0))</f>
        <v>7.7111903331558764</v>
      </c>
      <c r="V514">
        <f t="array" ref="V514">INDEX(K$3:K$700,MATCH($B514&amp;$C514&amp;"baseline",$B$3:$B$700&amp;$C$3:$C$700&amp;$D$3:$D$700,0))</f>
        <v>0</v>
      </c>
      <c r="W514">
        <f t="array" ref="W514">INDEX(L$3:L$700,MATCH($B514&amp;$C514&amp;"baseline",$B$3:$B$700&amp;$C$3:$C$700&amp;$D$3:$D$700,0))</f>
        <v>37.958336291892508</v>
      </c>
      <c r="X514">
        <f t="array" ref="X514">INDEX(M$3:M$700,MATCH($B514&amp;$C514&amp;"baseline",$B$3:$B$700&amp;$C$3:$C$700&amp;$D$3:$D$700,0))</f>
        <v>9.2652906144948552</v>
      </c>
      <c r="Y514">
        <f t="array" ref="Y514">INDEX(N$3:N$700,MATCH($B514&amp;$C514&amp;"baseline",$B$3:$B$700&amp;$C$3:$C$700&amp;$D$3:$D$700,0))</f>
        <v>0</v>
      </c>
      <c r="Z514">
        <f t="array" ref="Z514">INDEX(O$3:O$700,MATCH($B514&amp;$C514&amp;"baseline",$B$3:$B$700&amp;$C$3:$C$700&amp;$D$3:$D$700,0))</f>
        <v>27.049603399208749</v>
      </c>
      <c r="AA514">
        <f t="array" ref="AA514">INDEX(P$3:P$700,MATCH($B514&amp;$C514&amp;"baseline",$B$3:$B$700&amp;$C$3:$C$700&amp;$D$3:$D$700,0))</f>
        <v>0.75527772126908888</v>
      </c>
      <c r="AB514">
        <f t="array" ref="AB514">INDEX(Q$3:Q$700,MATCH($B514&amp;$C514&amp;"baseline",$B$3:$B$700&amp;$C$3:$C$700&amp;$D$3:$D$700,0))</f>
        <v>0</v>
      </c>
      <c r="AC514">
        <f t="shared" si="55"/>
        <v>600.93304013964485</v>
      </c>
      <c r="AD514">
        <f t="shared" si="64"/>
        <v>275.07424825083393</v>
      </c>
      <c r="AE514">
        <f t="shared" si="65"/>
        <v>4.0947163934409616</v>
      </c>
      <c r="AF514">
        <f t="shared" si="58"/>
        <v>46.455918712574295</v>
      </c>
      <c r="AG514">
        <f>(S514+V514+Y514)*constants!$O$2+(R514+T514+U514+W514+X514+Z514+AA514+AB514)*constants!$N$2</f>
        <v>17.930002253435902</v>
      </c>
      <c r="AH514">
        <f>((S514+V514+Y514)-(H514+K514+N514))*constants!$O$2</f>
        <v>4.4562028216635099</v>
      </c>
      <c r="AI514">
        <f>((R514+T514+U514+W514+X514+Z514+AA514+AB514)-(G514+I514+J514+L514+M514+O514+P514+Q514))*constants!$N$2</f>
        <v>0.4627029524588287</v>
      </c>
      <c r="AJ514">
        <f t="shared" si="59"/>
        <v>27.433938404440163</v>
      </c>
      <c r="AK514">
        <f t="shared" si="66"/>
        <v>4.9189057741223383</v>
      </c>
      <c r="AL514">
        <f>COUNTIFS($B:$B,$B514,$AK:$AK,"&lt;"&amp;$AK514)+COUNTIFS($B$2:$B514,$B514,$AK$2:$AK514,$AK514)</f>
        <v>68</v>
      </c>
      <c r="AM514" s="191">
        <f>IF(AK514=0, "NA",IF(((sim_annual_output!F514/E514)/AK514)&lt;0,100,((sim_annual_output!F514/E514)/AK514)))</f>
        <v>7.2852512214391902</v>
      </c>
      <c r="AN514">
        <f>(S514+V514)*constants!$F$2+(T514+U514+W514+X514+Y514+Z514+AA514+AB514)*constants!$G$2</f>
        <v>166065.63938327122</v>
      </c>
      <c r="AO514">
        <f>(AD514*constants!$F$2+AE514*constants!$G$2)</f>
        <v>52800.693699192911</v>
      </c>
      <c r="AP514">
        <f t="shared" si="61"/>
        <v>31.795074462894483</v>
      </c>
    </row>
    <row r="515" spans="1:42">
      <c r="A515">
        <f>sim_annual_output!B515</f>
        <v>24</v>
      </c>
      <c r="B515" t="str">
        <f>sim_annual_output!C515</f>
        <v>Training Building</v>
      </c>
      <c r="C515" t="str">
        <f>sim_annual_output!D515</f>
        <v>1959-pre</v>
      </c>
      <c r="D515" t="str">
        <f>sim_annual_output!E515</f>
        <v>lights_reduce_70p</v>
      </c>
      <c r="E515" s="45">
        <f t="array" ref="E515">IFERROR(INDEX(baseline!$J$3:$J$201,MATCH($B515&amp;$C515,baseline!$C$3:$C$201&amp;baseline!$D$3:$D$201,0)),"NA")</f>
        <v>3699.892902</v>
      </c>
      <c r="F515">
        <f>sim_annual_output!G515</f>
        <v>3699.8929020249998</v>
      </c>
      <c r="G515">
        <f>$E515/$F515^2*sim_annual_output!I515</f>
        <v>0</v>
      </c>
      <c r="H515">
        <f>$E515/$F515^2*sim_annual_output!J515</f>
        <v>527.79723105444907</v>
      </c>
      <c r="I515">
        <f>$E515/$F515^2*sim_annual_output!K515</f>
        <v>1.9354930073873866</v>
      </c>
      <c r="J515">
        <f>$E515/$F515^2*sim_annual_output!L515</f>
        <v>7.7111903331558764</v>
      </c>
      <c r="K515">
        <f>$E515/$F515^2*sim_annual_output!M515</f>
        <v>0</v>
      </c>
      <c r="L515">
        <f>$E515/$F515^2*sim_annual_output!N515</f>
        <v>26.570610172399924</v>
      </c>
      <c r="M515">
        <f>$E515/$F515^2*sim_annual_output!O515</f>
        <v>9.2652906144948552</v>
      </c>
      <c r="N515">
        <f>$E515/$F515^2*sim_annual_output!P515</f>
        <v>0</v>
      </c>
      <c r="O515">
        <f>$E515/$F515^2*sim_annual_output!Q515</f>
        <v>27.250059812308997</v>
      </c>
      <c r="P515">
        <f>$E515/$F515^2*sim_annual_output!R515</f>
        <v>0.76879163675899298</v>
      </c>
      <c r="Q515">
        <f>$E515/$F515^2*sim_annual_output!S515</f>
        <v>0</v>
      </c>
      <c r="R515">
        <f t="array" ref="R515">INDEX(G$3:G$700,MATCH($B515&amp;$C515&amp;"baseline",$B$3:$B$700&amp;$C$3:$C$700&amp;$D$3:$D$700,0))</f>
        <v>0</v>
      </c>
      <c r="S515">
        <f t="array" ref="S515">INDEX(H$3:H$700,MATCH($B515&amp;$C515&amp;"baseline",$B$3:$B$700&amp;$C$3:$C$700&amp;$D$3:$D$700,0))</f>
        <v>516.27511655314026</v>
      </c>
      <c r="T515">
        <f t="array" ref="T515">INDEX(I$3:I$700,MATCH($B515&amp;$C515&amp;"baseline",$B$3:$B$700&amp;$C$3:$C$700&amp;$D$3:$D$700,0))</f>
        <v>1.9182252264836201</v>
      </c>
      <c r="U515">
        <f t="array" ref="U515">INDEX(J$3:J$700,MATCH($B515&amp;$C515&amp;"baseline",$B$3:$B$700&amp;$C$3:$C$700&amp;$D$3:$D$700,0))</f>
        <v>7.7111903331558764</v>
      </c>
      <c r="V515">
        <f t="array" ref="V515">INDEX(K$3:K$700,MATCH($B515&amp;$C515&amp;"baseline",$B$3:$B$700&amp;$C$3:$C$700&amp;$D$3:$D$700,0))</f>
        <v>0</v>
      </c>
      <c r="W515">
        <f t="array" ref="W515">INDEX(L$3:L$700,MATCH($B515&amp;$C515&amp;"baseline",$B$3:$B$700&amp;$C$3:$C$700&amp;$D$3:$D$700,0))</f>
        <v>37.958336291892508</v>
      </c>
      <c r="X515">
        <f t="array" ref="X515">INDEX(M$3:M$700,MATCH($B515&amp;$C515&amp;"baseline",$B$3:$B$700&amp;$C$3:$C$700&amp;$D$3:$D$700,0))</f>
        <v>9.2652906144948552</v>
      </c>
      <c r="Y515">
        <f t="array" ref="Y515">INDEX(N$3:N$700,MATCH($B515&amp;$C515&amp;"baseline",$B$3:$B$700&amp;$C$3:$C$700&amp;$D$3:$D$700,0))</f>
        <v>0</v>
      </c>
      <c r="Z515">
        <f t="array" ref="Z515">INDEX(O$3:O$700,MATCH($B515&amp;$C515&amp;"baseline",$B$3:$B$700&amp;$C$3:$C$700&amp;$D$3:$D$700,0))</f>
        <v>27.049603399208749</v>
      </c>
      <c r="AA515">
        <f t="array" ref="AA515">INDEX(P$3:P$700,MATCH($B515&amp;$C515&amp;"baseline",$B$3:$B$700&amp;$C$3:$C$700&amp;$D$3:$D$700,0))</f>
        <v>0.75527772126908888</v>
      </c>
      <c r="AB515">
        <f t="array" ref="AB515">INDEX(Q$3:Q$700,MATCH($B515&amp;$C515&amp;"baseline",$B$3:$B$700&amp;$C$3:$C$700&amp;$D$3:$D$700,0))</f>
        <v>0</v>
      </c>
      <c r="AC515">
        <f t="shared" ref="AC515:AC578" si="67">SUM(R515:AB515)</f>
        <v>600.93304013964485</v>
      </c>
      <c r="AD515">
        <f t="shared" si="64"/>
        <v>-11.522114501308806</v>
      </c>
      <c r="AE515">
        <f t="shared" si="65"/>
        <v>11.156488009998668</v>
      </c>
      <c r="AF515">
        <f t="shared" ref="AF515:AF578" si="68">(AD515+AE515)/AC515*100</f>
        <v>-6.0843133408869293E-2</v>
      </c>
      <c r="AG515">
        <f>(S515+V515+Y515)*constants!$O$2+(R515+T515+U515+W515+X515+Z515+AA515+AB515)*constants!$N$2</f>
        <v>17.930002253435902</v>
      </c>
      <c r="AH515">
        <f>((S515+V515+Y515)-(H515+K515+N515))*constants!$O$2</f>
        <v>-0.18665825492120264</v>
      </c>
      <c r="AI515">
        <f>((R515+T515+U515+W515+X515+Z515+AA515+AB515)-(G515+I515+J515+L515+M515+O515+P515+Q515))*constants!$N$2</f>
        <v>1.2606831451298495</v>
      </c>
      <c r="AJ515">
        <f t="shared" ref="AJ515:AJ578" si="69">(AH515+AI515)/AG515*100</f>
        <v>5.990099025240406</v>
      </c>
      <c r="AK515">
        <f t="shared" si="66"/>
        <v>1.0740248902086469</v>
      </c>
      <c r="AL515">
        <f>COUNTIFS($B:$B,$B515,$AK:$AK,"&lt;"&amp;$AK515)+COUNTIFS($B$2:$B515,$B515,$AK$2:$AK515,$AK515)</f>
        <v>56</v>
      </c>
      <c r="AM515" s="191">
        <f>IF(AK515=0, "NA",IF(((sim_annual_output!F515/E515)/AK515)&lt;0,100,((sim_annual_output!F515/E515)/AK515)))</f>
        <v>39.166228337021153</v>
      </c>
      <c r="AN515">
        <f>(S515+V515)*constants!$F$2+(T515+U515+W515+X515+Y515+Z515+AA515+AB515)*constants!$G$2</f>
        <v>166065.63938327122</v>
      </c>
      <c r="AO515">
        <f>(AD515*constants!$F$2+AE515*constants!$G$2)</f>
        <v>7643.686072964565</v>
      </c>
      <c r="AP515">
        <f t="shared" ref="AP515:AP578" si="70">AO515/AN515*100</f>
        <v>4.6028101305913856</v>
      </c>
    </row>
    <row r="516" spans="1:42">
      <c r="A516">
        <f>sim_annual_output!B516</f>
        <v>24</v>
      </c>
      <c r="B516" t="str">
        <f>sim_annual_output!C516</f>
        <v>Training Building</v>
      </c>
      <c r="C516" t="str">
        <f>sim_annual_output!D516</f>
        <v>1959-pre</v>
      </c>
      <c r="D516" t="str">
        <f>sim_annual_output!E516</f>
        <v>load_reduce</v>
      </c>
      <c r="E516" s="45">
        <f t="array" ref="E516">IFERROR(INDEX(baseline!$J$3:$J$201,MATCH($B516&amp;$C516,baseline!$C$3:$C$201&amp;baseline!$D$3:$D$201,0)),"NA")</f>
        <v>3699.892902</v>
      </c>
      <c r="F516">
        <f>sim_annual_output!G516</f>
        <v>3699.8929020249998</v>
      </c>
      <c r="G516">
        <f>$E516/$F516^2*sim_annual_output!I516</f>
        <v>0</v>
      </c>
      <c r="H516">
        <f>$E516/$F516^2*sim_annual_output!J516</f>
        <v>149.04497393815316</v>
      </c>
      <c r="I516">
        <f>$E516/$F516^2*sim_annual_output!K516</f>
        <v>4.3184467721071558</v>
      </c>
      <c r="J516">
        <f>$E516/$F516^2*sim_annual_output!L516</f>
        <v>7.7111903331558764</v>
      </c>
      <c r="K516">
        <f>$E516/$F516^2*sim_annual_output!M516</f>
        <v>0</v>
      </c>
      <c r="L516">
        <f>$E516/$F516^2*sim_annual_output!N516</f>
        <v>37.958336291892508</v>
      </c>
      <c r="M516">
        <f>$E516/$F516^2*sim_annual_output!O516</f>
        <v>9.2652906144948552</v>
      </c>
      <c r="N516">
        <f>$E516/$F516^2*sim_annual_output!P516</f>
        <v>0</v>
      </c>
      <c r="O516">
        <f>$E516/$F516^2*sim_annual_output!Q516</f>
        <v>20.941313597772066</v>
      </c>
      <c r="P516">
        <f>$E516/$F516^2*sim_annual_output!R516</f>
        <v>0.36862958364127496</v>
      </c>
      <c r="Q516">
        <f>$E516/$F516^2*sim_annual_output!S516</f>
        <v>0</v>
      </c>
      <c r="R516">
        <f t="array" ref="R516">INDEX(G$3:G$700,MATCH($B516&amp;$C516&amp;"baseline",$B$3:$B$700&amp;$C$3:$C$700&amp;$D$3:$D$700,0))</f>
        <v>0</v>
      </c>
      <c r="S516">
        <f t="array" ref="S516">INDEX(H$3:H$700,MATCH($B516&amp;$C516&amp;"baseline",$B$3:$B$700&amp;$C$3:$C$700&amp;$D$3:$D$700,0))</f>
        <v>516.27511655314026</v>
      </c>
      <c r="T516">
        <f t="array" ref="T516">INDEX(I$3:I$700,MATCH($B516&amp;$C516&amp;"baseline",$B$3:$B$700&amp;$C$3:$C$700&amp;$D$3:$D$700,0))</f>
        <v>1.9182252264836201</v>
      </c>
      <c r="U516">
        <f t="array" ref="U516">INDEX(J$3:J$700,MATCH($B516&amp;$C516&amp;"baseline",$B$3:$B$700&amp;$C$3:$C$700&amp;$D$3:$D$700,0))</f>
        <v>7.7111903331558764</v>
      </c>
      <c r="V516">
        <f t="array" ref="V516">INDEX(K$3:K$700,MATCH($B516&amp;$C516&amp;"baseline",$B$3:$B$700&amp;$C$3:$C$700&amp;$D$3:$D$700,0))</f>
        <v>0</v>
      </c>
      <c r="W516">
        <f t="array" ref="W516">INDEX(L$3:L$700,MATCH($B516&amp;$C516&amp;"baseline",$B$3:$B$700&amp;$C$3:$C$700&amp;$D$3:$D$700,0))</f>
        <v>37.958336291892508</v>
      </c>
      <c r="X516">
        <f t="array" ref="X516">INDEX(M$3:M$700,MATCH($B516&amp;$C516&amp;"baseline",$B$3:$B$700&amp;$C$3:$C$700&amp;$D$3:$D$700,0))</f>
        <v>9.2652906144948552</v>
      </c>
      <c r="Y516">
        <f t="array" ref="Y516">INDEX(N$3:N$700,MATCH($B516&amp;$C516&amp;"baseline",$B$3:$B$700&amp;$C$3:$C$700&amp;$D$3:$D$700,0))</f>
        <v>0</v>
      </c>
      <c r="Z516">
        <f t="array" ref="Z516">INDEX(O$3:O$700,MATCH($B516&amp;$C516&amp;"baseline",$B$3:$B$700&amp;$C$3:$C$700&amp;$D$3:$D$700,0))</f>
        <v>27.049603399208749</v>
      </c>
      <c r="AA516">
        <f t="array" ref="AA516">INDEX(P$3:P$700,MATCH($B516&amp;$C516&amp;"baseline",$B$3:$B$700&amp;$C$3:$C$700&amp;$D$3:$D$700,0))</f>
        <v>0.75527772126908888</v>
      </c>
      <c r="AB516">
        <f t="array" ref="AB516">INDEX(Q$3:Q$700,MATCH($B516&amp;$C516&amp;"baseline",$B$3:$B$700&amp;$C$3:$C$700&amp;$D$3:$D$700,0))</f>
        <v>0</v>
      </c>
      <c r="AC516">
        <f t="shared" si="67"/>
        <v>600.93304013964485</v>
      </c>
      <c r="AD516">
        <f t="shared" si="64"/>
        <v>367.23014261498713</v>
      </c>
      <c r="AE516">
        <f t="shared" si="65"/>
        <v>4.0947163934409616</v>
      </c>
      <c r="AF516">
        <f t="shared" si="68"/>
        <v>61.791386761183844</v>
      </c>
      <c r="AG516">
        <f>(S516+V516+Y516)*constants!$O$2+(R516+T516+U516+W516+X516+Z516+AA516+AB516)*constants!$N$2</f>
        <v>17.930002253435902</v>
      </c>
      <c r="AH516">
        <f>((S516+V516+Y516)-(H516+K516+N516))*constants!$O$2</f>
        <v>5.9491283103627914</v>
      </c>
      <c r="AI516">
        <f>((R516+T516+U516+W516+X516+Z516+AA516+AB516)-(G516+I516+J516+L516+M516+O516+P516+Q516))*constants!$N$2</f>
        <v>0.4627029524588287</v>
      </c>
      <c r="AJ516">
        <f t="shared" si="69"/>
        <v>35.760348337897888</v>
      </c>
      <c r="AK516">
        <f t="shared" si="66"/>
        <v>6.4118312628216199</v>
      </c>
      <c r="AL516">
        <f>COUNTIFS($B:$B,$B516,$AK:$AK,"&lt;"&amp;$AK516)+COUNTIFS($B$2:$B516,$B516,$AK$2:$AK516,$AK516)</f>
        <v>69</v>
      </c>
      <c r="AM516" s="191">
        <f>IF(AK516=0, "NA",IF(((sim_annual_output!F516/E516)/AK516)&lt;0,100,((sim_annual_output!F516/E516)/AK516)))</f>
        <v>5.5889593518871132</v>
      </c>
      <c r="AN516">
        <f>(S516+V516)*constants!$F$2+(T516+U516+W516+X516+Y516+Z516+AA516+AB516)*constants!$G$2</f>
        <v>166065.63938327122</v>
      </c>
      <c r="AO516">
        <f>(AD516*constants!$F$2+AE516*constants!$G$2)</f>
        <v>69296.598790376331</v>
      </c>
      <c r="AP516">
        <f t="shared" si="70"/>
        <v>41.728438855700446</v>
      </c>
    </row>
    <row r="517" spans="1:42">
      <c r="A517">
        <f>sim_annual_output!B517</f>
        <v>24</v>
      </c>
      <c r="B517" t="str">
        <f>sim_annual_output!C517</f>
        <v>Training Building</v>
      </c>
      <c r="C517" t="str">
        <f>sim_annual_output!D517</f>
        <v>1959-pre</v>
      </c>
      <c r="D517" t="str">
        <f>sim_annual_output!E517</f>
        <v>occupancy_setback</v>
      </c>
      <c r="E517" s="45">
        <f t="array" ref="E517">IFERROR(INDEX(baseline!$J$3:$J$201,MATCH($B517&amp;$C517,baseline!$C$3:$C$201&amp;baseline!$D$3:$D$201,0)),"NA")</f>
        <v>3699.892902</v>
      </c>
      <c r="F517">
        <f>sim_annual_output!G517</f>
        <v>3699.8929020249998</v>
      </c>
      <c r="G517">
        <f>$E517/$F517^2*sim_annual_output!I517</f>
        <v>0</v>
      </c>
      <c r="H517">
        <f>$E517/$F517^2*sim_annual_output!J517</f>
        <v>460.13155465033338</v>
      </c>
      <c r="I517">
        <f>$E517/$F517^2*sim_annual_output!K517</f>
        <v>2.4264986035205718</v>
      </c>
      <c r="J517">
        <f>$E517/$F517^2*sim_annual_output!L517</f>
        <v>7.7111903331558764</v>
      </c>
      <c r="K517">
        <f>$E517/$F517^2*sim_annual_output!M517</f>
        <v>0</v>
      </c>
      <c r="L517">
        <f>$E517/$F517^2*sim_annual_output!N517</f>
        <v>37.958336291892508</v>
      </c>
      <c r="M517">
        <f>$E517/$F517^2*sim_annual_output!O517</f>
        <v>9.2652906144948552</v>
      </c>
      <c r="N517">
        <f>$E517/$F517^2*sim_annual_output!P517</f>
        <v>0</v>
      </c>
      <c r="O517">
        <f>$E517/$F517^2*sim_annual_output!Q517</f>
        <v>27.476793283306275</v>
      </c>
      <c r="P517">
        <f>$E517/$F517^2*sim_annual_output!R517</f>
        <v>0.60212001238350821</v>
      </c>
      <c r="Q517">
        <f>$E517/$F517^2*sim_annual_output!S517</f>
        <v>0</v>
      </c>
      <c r="R517">
        <f t="array" ref="R517">INDEX(G$3:G$700,MATCH($B517&amp;$C517&amp;"baseline",$B$3:$B$700&amp;$C$3:$C$700&amp;$D$3:$D$700,0))</f>
        <v>0</v>
      </c>
      <c r="S517">
        <f t="array" ref="S517">INDEX(H$3:H$700,MATCH($B517&amp;$C517&amp;"baseline",$B$3:$B$700&amp;$C$3:$C$700&amp;$D$3:$D$700,0))</f>
        <v>516.27511655314026</v>
      </c>
      <c r="T517">
        <f t="array" ref="T517">INDEX(I$3:I$700,MATCH($B517&amp;$C517&amp;"baseline",$B$3:$B$700&amp;$C$3:$C$700&amp;$D$3:$D$700,0))</f>
        <v>1.9182252264836201</v>
      </c>
      <c r="U517">
        <f t="array" ref="U517">INDEX(J$3:J$700,MATCH($B517&amp;$C517&amp;"baseline",$B$3:$B$700&amp;$C$3:$C$700&amp;$D$3:$D$700,0))</f>
        <v>7.7111903331558764</v>
      </c>
      <c r="V517">
        <f t="array" ref="V517">INDEX(K$3:K$700,MATCH($B517&amp;$C517&amp;"baseline",$B$3:$B$700&amp;$C$3:$C$700&amp;$D$3:$D$700,0))</f>
        <v>0</v>
      </c>
      <c r="W517">
        <f t="array" ref="W517">INDEX(L$3:L$700,MATCH($B517&amp;$C517&amp;"baseline",$B$3:$B$700&amp;$C$3:$C$700&amp;$D$3:$D$700,0))</f>
        <v>37.958336291892508</v>
      </c>
      <c r="X517">
        <f t="array" ref="X517">INDEX(M$3:M$700,MATCH($B517&amp;$C517&amp;"baseline",$B$3:$B$700&amp;$C$3:$C$700&amp;$D$3:$D$700,0))</f>
        <v>9.2652906144948552</v>
      </c>
      <c r="Y517">
        <f t="array" ref="Y517">INDEX(N$3:N$700,MATCH($B517&amp;$C517&amp;"baseline",$B$3:$B$700&amp;$C$3:$C$700&amp;$D$3:$D$700,0))</f>
        <v>0</v>
      </c>
      <c r="Z517">
        <f t="array" ref="Z517">INDEX(O$3:O$700,MATCH($B517&amp;$C517&amp;"baseline",$B$3:$B$700&amp;$C$3:$C$700&amp;$D$3:$D$700,0))</f>
        <v>27.049603399208749</v>
      </c>
      <c r="AA517">
        <f t="array" ref="AA517">INDEX(P$3:P$700,MATCH($B517&amp;$C517&amp;"baseline",$B$3:$B$700&amp;$C$3:$C$700&amp;$D$3:$D$700,0))</f>
        <v>0.75527772126908888</v>
      </c>
      <c r="AB517">
        <f t="array" ref="AB517">INDEX(Q$3:Q$700,MATCH($B517&amp;$C517&amp;"baseline",$B$3:$B$700&amp;$C$3:$C$700&amp;$D$3:$D$700,0))</f>
        <v>0</v>
      </c>
      <c r="AC517">
        <f t="shared" si="67"/>
        <v>600.93304013964485</v>
      </c>
      <c r="AD517">
        <f t="shared" si="64"/>
        <v>56.14356190280688</v>
      </c>
      <c r="AE517">
        <f t="shared" si="65"/>
        <v>-0.78230555224888576</v>
      </c>
      <c r="AF517">
        <f t="shared" si="68"/>
        <v>9.2125499269757487</v>
      </c>
      <c r="AG517">
        <f>(S517+V517+Y517)*constants!$O$2+(R517+T517+U517+W517+X517+Z517+AA517+AB517)*constants!$N$2</f>
        <v>17.930002253435902</v>
      </c>
      <c r="AH517">
        <f>((S517+V517+Y517)-(H517+K517+N517))*constants!$O$2</f>
        <v>0.9095257028254714</v>
      </c>
      <c r="AI517">
        <f>((R517+T517+U517+W517+X517+Z517+AA517+AB517)-(G517+I517+J517+L517+M517+O517+P517+Q517))*constants!$N$2</f>
        <v>-8.8400527404124088E-2</v>
      </c>
      <c r="AJ517">
        <f t="shared" si="69"/>
        <v>4.5796155729093462</v>
      </c>
      <c r="AK517">
        <f t="shared" si="66"/>
        <v>0.82112517542134733</v>
      </c>
      <c r="AL517">
        <f>COUNTIFS($B:$B,$B517,$AK:$AK,"&lt;"&amp;$AK517)+COUNTIFS($B$2:$B517,$B517,$AK$2:$AK517,$AK517)</f>
        <v>49</v>
      </c>
      <c r="AM517" s="191">
        <f>IF(AK517=0, "NA",IF(((sim_annual_output!F517/E517)/AK517)&lt;0,100,((sim_annual_output!F517/E517)/AK517)))</f>
        <v>6.4300416090115684</v>
      </c>
      <c r="AN517">
        <f>(S517+V517)*constants!$F$2+(T517+U517+W517+X517+Y517+Z517+AA517+AB517)*constants!$G$2</f>
        <v>166065.63938327122</v>
      </c>
      <c r="AO517">
        <f>(AD517*constants!$F$2+AE517*constants!$G$2)</f>
        <v>9369.0917501459007</v>
      </c>
      <c r="AP517">
        <f t="shared" si="70"/>
        <v>5.6418003055541819</v>
      </c>
    </row>
    <row r="518" spans="1:42">
      <c r="A518">
        <f>sim_annual_output!B518</f>
        <v>24</v>
      </c>
      <c r="B518" t="str">
        <f>sim_annual_output!C518</f>
        <v>Training Building</v>
      </c>
      <c r="C518" t="str">
        <f>sim_annual_output!D518</f>
        <v>1959-pre</v>
      </c>
      <c r="D518" t="str">
        <f>sim_annual_output!E518</f>
        <v>payback_less_than_20</v>
      </c>
      <c r="E518" s="45">
        <f t="array" ref="E518">IFERROR(INDEX(baseline!$J$3:$J$201,MATCH($B518&amp;$C518,baseline!$C$3:$C$201&amp;baseline!$D$3:$D$201,0)),"NA")</f>
        <v>3699.892902</v>
      </c>
      <c r="F518">
        <f>sim_annual_output!G518</f>
        <v>3699.8929020249998</v>
      </c>
      <c r="G518">
        <f>$E518/$F518^2*sim_annual_output!I518</f>
        <v>0</v>
      </c>
      <c r="H518">
        <f>$E518/$F518^2*sim_annual_output!J518</f>
        <v>111.64371127367779</v>
      </c>
      <c r="I518">
        <f>$E518/$F518^2*sim_annual_output!K518</f>
        <v>8.2449899950070904</v>
      </c>
      <c r="J518">
        <f>$E518/$F518^2*sim_annual_output!L518</f>
        <v>7.7111903331558764</v>
      </c>
      <c r="K518">
        <f>$E518/$F518^2*sim_annual_output!M518</f>
        <v>0</v>
      </c>
      <c r="L518">
        <f>$E518/$F518^2*sim_annual_output!N518</f>
        <v>26.570610172399924</v>
      </c>
      <c r="M518">
        <f>$E518/$F518^2*sim_annual_output!O518</f>
        <v>9.2652906144948552</v>
      </c>
      <c r="N518">
        <f>$E518/$F518^2*sim_annual_output!P518</f>
        <v>0</v>
      </c>
      <c r="O518">
        <f>$E518/$F518^2*sim_annual_output!Q518</f>
        <v>22.09975646448996</v>
      </c>
      <c r="P518">
        <f>$E518/$F518^2*sim_annual_output!R518</f>
        <v>0.13588992798181421</v>
      </c>
      <c r="Q518">
        <f>$E518/$F518^2*sim_annual_output!S518</f>
        <v>0</v>
      </c>
      <c r="R518">
        <f t="array" ref="R518">INDEX(G$3:G$700,MATCH($B518&amp;$C518&amp;"baseline",$B$3:$B$700&amp;$C$3:$C$700&amp;$D$3:$D$700,0))</f>
        <v>0</v>
      </c>
      <c r="S518">
        <f t="array" ref="S518">INDEX(H$3:H$700,MATCH($B518&amp;$C518&amp;"baseline",$B$3:$B$700&amp;$C$3:$C$700&amp;$D$3:$D$700,0))</f>
        <v>516.27511655314026</v>
      </c>
      <c r="T518">
        <f t="array" ref="T518">INDEX(I$3:I$700,MATCH($B518&amp;$C518&amp;"baseline",$B$3:$B$700&amp;$C$3:$C$700&amp;$D$3:$D$700,0))</f>
        <v>1.9182252264836201</v>
      </c>
      <c r="U518">
        <f t="array" ref="U518">INDEX(J$3:J$700,MATCH($B518&amp;$C518&amp;"baseline",$B$3:$B$700&amp;$C$3:$C$700&amp;$D$3:$D$700,0))</f>
        <v>7.7111903331558764</v>
      </c>
      <c r="V518">
        <f t="array" ref="V518">INDEX(K$3:K$700,MATCH($B518&amp;$C518&amp;"baseline",$B$3:$B$700&amp;$C$3:$C$700&amp;$D$3:$D$700,0))</f>
        <v>0</v>
      </c>
      <c r="W518">
        <f t="array" ref="W518">INDEX(L$3:L$700,MATCH($B518&amp;$C518&amp;"baseline",$B$3:$B$700&amp;$C$3:$C$700&amp;$D$3:$D$700,0))</f>
        <v>37.958336291892508</v>
      </c>
      <c r="X518">
        <f t="array" ref="X518">INDEX(M$3:M$700,MATCH($B518&amp;$C518&amp;"baseline",$B$3:$B$700&amp;$C$3:$C$700&amp;$D$3:$D$700,0))</f>
        <v>9.2652906144948552</v>
      </c>
      <c r="Y518">
        <f t="array" ref="Y518">INDEX(N$3:N$700,MATCH($B518&amp;$C518&amp;"baseline",$B$3:$B$700&amp;$C$3:$C$700&amp;$D$3:$D$700,0))</f>
        <v>0</v>
      </c>
      <c r="Z518">
        <f t="array" ref="Z518">INDEX(O$3:O$700,MATCH($B518&amp;$C518&amp;"baseline",$B$3:$B$700&amp;$C$3:$C$700&amp;$D$3:$D$700,0))</f>
        <v>27.049603399208749</v>
      </c>
      <c r="AA518">
        <f t="array" ref="AA518">INDEX(P$3:P$700,MATCH($B518&amp;$C518&amp;"baseline",$B$3:$B$700&amp;$C$3:$C$700&amp;$D$3:$D$700,0))</f>
        <v>0.75527772126908888</v>
      </c>
      <c r="AB518">
        <f t="array" ref="AB518">INDEX(Q$3:Q$700,MATCH($B518&amp;$C518&amp;"baseline",$B$3:$B$700&amp;$C$3:$C$700&amp;$D$3:$D$700,0))</f>
        <v>0</v>
      </c>
      <c r="AC518">
        <f t="shared" si="67"/>
        <v>600.93304013964485</v>
      </c>
      <c r="AD518">
        <f t="shared" si="64"/>
        <v>404.63140527946246</v>
      </c>
      <c r="AE518">
        <f t="shared" si="65"/>
        <v>10.630196078975203</v>
      </c>
      <c r="AF518">
        <f t="shared" si="68"/>
        <v>69.102807404621842</v>
      </c>
      <c r="AG518">
        <f>(S518+V518+Y518)*constants!$O$2+(R518+T518+U518+W518+X518+Z518+AA518+AB518)*constants!$N$2</f>
        <v>17.930002253435902</v>
      </c>
      <c r="AH518">
        <f>((S518+V518+Y518)-(H518+K518+N518))*constants!$O$2</f>
        <v>6.5550287655272914</v>
      </c>
      <c r="AI518">
        <f>((R518+T518+U518+W518+X518+Z518+AA518+AB518)-(G518+I518+J518+L518+M518+O518+P518+Q518))*constants!$N$2</f>
        <v>1.201212156924198</v>
      </c>
      <c r="AJ518">
        <f t="shared" si="69"/>
        <v>43.258449233965777</v>
      </c>
      <c r="AK518">
        <f t="shared" si="66"/>
        <v>7.7562409224514894</v>
      </c>
      <c r="AL518">
        <f>COUNTIFS($B:$B,$B518,$AK:$AK,"&lt;"&amp;$AK518)+COUNTIFS($B$2:$B518,$B518,$AK$2:$AK518,$AK518)</f>
        <v>70</v>
      </c>
      <c r="AM518" s="191">
        <f>IF(AK518=0, "NA",IF(((sim_annual_output!F518/E518)/AK518)&lt;0,100,((sim_annual_output!F518/E518)/AK518)))</f>
        <v>13.533716112628172</v>
      </c>
      <c r="AN518">
        <f>(S518+V518)*constants!$F$2+(T518+U518+W518+X518+Y518+Z518+AA518+AB518)*constants!$G$2</f>
        <v>166065.63938327122</v>
      </c>
      <c r="AO518">
        <f>(AD518*constants!$F$2+AE518*constants!$G$2)</f>
        <v>81677.292133732204</v>
      </c>
      <c r="AP518">
        <f t="shared" si="70"/>
        <v>49.183739897707007</v>
      </c>
    </row>
    <row r="519" spans="1:42">
      <c r="A519">
        <f>sim_annual_output!B519</f>
        <v>24</v>
      </c>
      <c r="B519" t="str">
        <f>sim_annual_output!C519</f>
        <v>Training Building</v>
      </c>
      <c r="C519" t="str">
        <f>sim_annual_output!D519</f>
        <v>1959-pre</v>
      </c>
      <c r="D519" t="str">
        <f>sim_annual_output!E519</f>
        <v>plug_loads_90_percent</v>
      </c>
      <c r="E519" s="45">
        <f t="array" ref="E519">IFERROR(INDEX(baseline!$J$3:$J$201,MATCH($B519&amp;$C519,baseline!$C$3:$C$201&amp;baseline!$D$3:$D$201,0)),"NA")</f>
        <v>3699.892902</v>
      </c>
      <c r="F519">
        <f>sim_annual_output!G519</f>
        <v>3699.8929020249998</v>
      </c>
      <c r="G519">
        <f>$E519/$F519^2*sim_annual_output!I519</f>
        <v>0</v>
      </c>
      <c r="H519">
        <f>$E519/$F519^2*sim_annual_output!J519</f>
        <v>513.25926107964335</v>
      </c>
      <c r="I519">
        <f>$E519/$F519^2*sim_annual_output!K519</f>
        <v>2.9167534265709847</v>
      </c>
      <c r="J519">
        <f>$E519/$F519^2*sim_annual_output!L519</f>
        <v>7.7111903331558764</v>
      </c>
      <c r="K519">
        <f>$E519/$F519^2*sim_annual_output!M519</f>
        <v>0</v>
      </c>
      <c r="L519">
        <f>$E519/$F519^2*sim_annual_output!N519</f>
        <v>37.958336291892508</v>
      </c>
      <c r="M519">
        <f>$E519/$F519^2*sim_annual_output!O519</f>
        <v>9.2652906144948552</v>
      </c>
      <c r="N519">
        <f>$E519/$F519^2*sim_annual_output!P519</f>
        <v>0</v>
      </c>
      <c r="O519">
        <f>$E519/$F519^2*sim_annual_output!Q519</f>
        <v>27.311623205096335</v>
      </c>
      <c r="P519">
        <f>$E519/$F519^2*sim_annual_output!R519</f>
        <v>0.7455176711930469</v>
      </c>
      <c r="Q519">
        <f>$E519/$F519^2*sim_annual_output!S519</f>
        <v>0</v>
      </c>
      <c r="R519">
        <f t="array" ref="R519">INDEX(G$3:G$700,MATCH($B519&amp;$C519&amp;"baseline",$B$3:$B$700&amp;$C$3:$C$700&amp;$D$3:$D$700,0))</f>
        <v>0</v>
      </c>
      <c r="S519">
        <f t="array" ref="S519">INDEX(H$3:H$700,MATCH($B519&amp;$C519&amp;"baseline",$B$3:$B$700&amp;$C$3:$C$700&amp;$D$3:$D$700,0))</f>
        <v>516.27511655314026</v>
      </c>
      <c r="T519">
        <f t="array" ref="T519">INDEX(I$3:I$700,MATCH($B519&amp;$C519&amp;"baseline",$B$3:$B$700&amp;$C$3:$C$700&amp;$D$3:$D$700,0))</f>
        <v>1.9182252264836201</v>
      </c>
      <c r="U519">
        <f t="array" ref="U519">INDEX(J$3:J$700,MATCH($B519&amp;$C519&amp;"baseline",$B$3:$B$700&amp;$C$3:$C$700&amp;$D$3:$D$700,0))</f>
        <v>7.7111903331558764</v>
      </c>
      <c r="V519">
        <f t="array" ref="V519">INDEX(K$3:K$700,MATCH($B519&amp;$C519&amp;"baseline",$B$3:$B$700&amp;$C$3:$C$700&amp;$D$3:$D$700,0))</f>
        <v>0</v>
      </c>
      <c r="W519">
        <f t="array" ref="W519">INDEX(L$3:L$700,MATCH($B519&amp;$C519&amp;"baseline",$B$3:$B$700&amp;$C$3:$C$700&amp;$D$3:$D$700,0))</f>
        <v>37.958336291892508</v>
      </c>
      <c r="X519">
        <f t="array" ref="X519">INDEX(M$3:M$700,MATCH($B519&amp;$C519&amp;"baseline",$B$3:$B$700&amp;$C$3:$C$700&amp;$D$3:$D$700,0))</f>
        <v>9.2652906144948552</v>
      </c>
      <c r="Y519">
        <f t="array" ref="Y519">INDEX(N$3:N$700,MATCH($B519&amp;$C519&amp;"baseline",$B$3:$B$700&amp;$C$3:$C$700&amp;$D$3:$D$700,0))</f>
        <v>0</v>
      </c>
      <c r="Z519">
        <f t="array" ref="Z519">INDEX(O$3:O$700,MATCH($B519&amp;$C519&amp;"baseline",$B$3:$B$700&amp;$C$3:$C$700&amp;$D$3:$D$700,0))</f>
        <v>27.049603399208749</v>
      </c>
      <c r="AA519">
        <f t="array" ref="AA519">INDEX(P$3:P$700,MATCH($B519&amp;$C519&amp;"baseline",$B$3:$B$700&amp;$C$3:$C$700&amp;$D$3:$D$700,0))</f>
        <v>0.75527772126908888</v>
      </c>
      <c r="AB519">
        <f t="array" ref="AB519">INDEX(Q$3:Q$700,MATCH($B519&amp;$C519&amp;"baseline",$B$3:$B$700&amp;$C$3:$C$700&amp;$D$3:$D$700,0))</f>
        <v>0</v>
      </c>
      <c r="AC519">
        <f t="shared" si="67"/>
        <v>600.93304013964485</v>
      </c>
      <c r="AD519">
        <f t="shared" si="64"/>
        <v>3.015855473496913</v>
      </c>
      <c r="AE519">
        <f t="shared" si="65"/>
        <v>-1.2507879558989003</v>
      </c>
      <c r="AF519">
        <f t="shared" si="68"/>
        <v>0.29372116354059119</v>
      </c>
      <c r="AG519">
        <f>(S519+V519+Y519)*constants!$O$2+(R519+T519+U519+W519+X519+Z519+AA519+AB519)*constants!$N$2</f>
        <v>17.930002253435902</v>
      </c>
      <c r="AH519">
        <f>((S519+V519+Y519)-(H519+K519+N519))*constants!$O$2</f>
        <v>4.885685867064999E-2</v>
      </c>
      <c r="AI519">
        <f>((R519+T519+U519+W519+X519+Z519+AA519+AB519)-(G519+I519+J519+L519+M519+O519+P519+Q519))*constants!$N$2</f>
        <v>-0.14133903901657574</v>
      </c>
      <c r="AJ519">
        <f t="shared" si="69"/>
        <v>-0.51579569839821704</v>
      </c>
      <c r="AK519">
        <f t="shared" si="66"/>
        <v>-9.2482180345925757E-2</v>
      </c>
      <c r="AL519">
        <f>COUNTIFS($B:$B,$B519,$AK:$AK,"&lt;"&amp;$AK519)+COUNTIFS($B$2:$B519,$B519,$AK$2:$AK519,$AK519)</f>
        <v>33</v>
      </c>
      <c r="AM519" s="191">
        <f>IF(AK519=0, "NA",IF(((sim_annual_output!F519/E519)/AK519)&lt;0,100,((sim_annual_output!F519/E519)/AK519)))</f>
        <v>100</v>
      </c>
      <c r="AN519">
        <f>(S519+V519)*constants!$F$2+(T519+U519+W519+X519+Y519+Z519+AA519+AB519)*constants!$G$2</f>
        <v>166065.63938327122</v>
      </c>
      <c r="AO519">
        <f>(AD519*constants!$F$2+AE519*constants!$G$2)</f>
        <v>-548.3473918760958</v>
      </c>
      <c r="AP519">
        <f t="shared" si="70"/>
        <v>-0.3301991874493298</v>
      </c>
    </row>
    <row r="520" spans="1:42">
      <c r="A520">
        <f>sim_annual_output!B520</f>
        <v>24</v>
      </c>
      <c r="B520" t="str">
        <f>sim_annual_output!C520</f>
        <v>Training Building</v>
      </c>
      <c r="C520" t="str">
        <f>sim_annual_output!D520</f>
        <v>1959-pre</v>
      </c>
      <c r="D520" t="str">
        <f>sim_annual_output!E520</f>
        <v>pumps_to_variable</v>
      </c>
      <c r="E520" s="45">
        <f t="array" ref="E520">IFERROR(INDEX(baseline!$J$3:$J$201,MATCH($B520&amp;$C520,baseline!$C$3:$C$201&amp;baseline!$D$3:$D$201,0)),"NA")</f>
        <v>3699.892902</v>
      </c>
      <c r="F520">
        <f>sim_annual_output!G520</f>
        <v>3699.8929020249998</v>
      </c>
      <c r="G520">
        <f>$E520/$F520^2*sim_annual_output!I520</f>
        <v>0</v>
      </c>
      <c r="H520">
        <f>$E520/$F520^2*sim_annual_output!J520</f>
        <v>512.99423818142463</v>
      </c>
      <c r="I520">
        <f>$E520/$F520^2*sim_annual_output!K520</f>
        <v>3.0511418083872535</v>
      </c>
      <c r="J520">
        <f>$E520/$F520^2*sim_annual_output!L520</f>
        <v>7.7111903331558764</v>
      </c>
      <c r="K520">
        <f>$E520/$F520^2*sim_annual_output!M520</f>
        <v>0</v>
      </c>
      <c r="L520">
        <f>$E520/$F520^2*sim_annual_output!N520</f>
        <v>37.958336291892508</v>
      </c>
      <c r="M520">
        <f>$E520/$F520^2*sim_annual_output!O520</f>
        <v>9.2652906144948552</v>
      </c>
      <c r="N520">
        <f>$E520/$F520^2*sim_annual_output!P520</f>
        <v>0</v>
      </c>
      <c r="O520">
        <f>$E520/$F520^2*sim_annual_output!Q520</f>
        <v>27.34690953998664</v>
      </c>
      <c r="P520">
        <f>$E520/$F520^2*sim_annual_output!R520</f>
        <v>0.74476689811027452</v>
      </c>
      <c r="Q520">
        <f>$E520/$F520^2*sim_annual_output!S520</f>
        <v>0</v>
      </c>
      <c r="R520">
        <f t="array" ref="R520">INDEX(G$3:G$700,MATCH($B520&amp;$C520&amp;"baseline",$B$3:$B$700&amp;$C$3:$C$700&amp;$D$3:$D$700,0))</f>
        <v>0</v>
      </c>
      <c r="S520">
        <f t="array" ref="S520">INDEX(H$3:H$700,MATCH($B520&amp;$C520&amp;"baseline",$B$3:$B$700&amp;$C$3:$C$700&amp;$D$3:$D$700,0))</f>
        <v>516.27511655314026</v>
      </c>
      <c r="T520">
        <f t="array" ref="T520">INDEX(I$3:I$700,MATCH($B520&amp;$C520&amp;"baseline",$B$3:$B$700&amp;$C$3:$C$700&amp;$D$3:$D$700,0))</f>
        <v>1.9182252264836201</v>
      </c>
      <c r="U520">
        <f t="array" ref="U520">INDEX(J$3:J$700,MATCH($B520&amp;$C520&amp;"baseline",$B$3:$B$700&amp;$C$3:$C$700&amp;$D$3:$D$700,0))</f>
        <v>7.7111903331558764</v>
      </c>
      <c r="V520">
        <f t="array" ref="V520">INDEX(K$3:K$700,MATCH($B520&amp;$C520&amp;"baseline",$B$3:$B$700&amp;$C$3:$C$700&amp;$D$3:$D$700,0))</f>
        <v>0</v>
      </c>
      <c r="W520">
        <f t="array" ref="W520">INDEX(L$3:L$700,MATCH($B520&amp;$C520&amp;"baseline",$B$3:$B$700&amp;$C$3:$C$700&amp;$D$3:$D$700,0))</f>
        <v>37.958336291892508</v>
      </c>
      <c r="X520">
        <f t="array" ref="X520">INDEX(M$3:M$700,MATCH($B520&amp;$C520&amp;"baseline",$B$3:$B$700&amp;$C$3:$C$700&amp;$D$3:$D$700,0))</f>
        <v>9.2652906144948552</v>
      </c>
      <c r="Y520">
        <f t="array" ref="Y520">INDEX(N$3:N$700,MATCH($B520&amp;$C520&amp;"baseline",$B$3:$B$700&amp;$C$3:$C$700&amp;$D$3:$D$700,0))</f>
        <v>0</v>
      </c>
      <c r="Z520">
        <f t="array" ref="Z520">INDEX(O$3:O$700,MATCH($B520&amp;$C520&amp;"baseline",$B$3:$B$700&amp;$C$3:$C$700&amp;$D$3:$D$700,0))</f>
        <v>27.049603399208749</v>
      </c>
      <c r="AA520">
        <f t="array" ref="AA520">INDEX(P$3:P$700,MATCH($B520&amp;$C520&amp;"baseline",$B$3:$B$700&amp;$C$3:$C$700&amp;$D$3:$D$700,0))</f>
        <v>0.75527772126908888</v>
      </c>
      <c r="AB520">
        <f t="array" ref="AB520">INDEX(Q$3:Q$700,MATCH($B520&amp;$C520&amp;"baseline",$B$3:$B$700&amp;$C$3:$C$700&amp;$D$3:$D$700,0))</f>
        <v>0</v>
      </c>
      <c r="AC520">
        <f t="shared" si="67"/>
        <v>600.93304013964485</v>
      </c>
      <c r="AD520">
        <f t="shared" si="64"/>
        <v>3.2808783717156302</v>
      </c>
      <c r="AE520">
        <f t="shared" si="65"/>
        <v>-1.4197118995226958</v>
      </c>
      <c r="AF520">
        <f t="shared" si="68"/>
        <v>0.30971278792732654</v>
      </c>
      <c r="AG520">
        <f>(S520+V520+Y520)*constants!$O$2+(R520+T520+U520+W520+X520+Z520+AA520+AB520)*constants!$N$2</f>
        <v>17.930002253435902</v>
      </c>
      <c r="AH520">
        <f>((S520+V520+Y520)-(H520+K520+N520))*constants!$O$2</f>
        <v>5.3150229621793207E-2</v>
      </c>
      <c r="AI520">
        <f>((R520+T520+U520+W520+X520+Z520+AA520+AB520)-(G520+I520+J520+L520+M520+O520+P520+Q520))*constants!$N$2</f>
        <v>-0.16042744464606462</v>
      </c>
      <c r="AJ520">
        <f t="shared" si="69"/>
        <v>-0.59831121886063354</v>
      </c>
      <c r="AK520">
        <f t="shared" si="66"/>
        <v>-0.10727721502427141</v>
      </c>
      <c r="AL520">
        <f>COUNTIFS($B:$B,$B520,$AK:$AK,"&lt;"&amp;$AK520)+COUNTIFS($B$2:$B520,$B520,$AK$2:$AK520,$AK520)</f>
        <v>31</v>
      </c>
      <c r="AM520" s="191">
        <f>IF(AK520=0, "NA",IF(((sim_annual_output!F520/E520)/AK520)&lt;0,100,((sim_annual_output!F520/E520)/AK520)))</f>
        <v>100</v>
      </c>
      <c r="AN520">
        <f>(S520+V520)*constants!$F$2+(T520+U520+W520+X520+Y520+Z520+AA520+AB520)*constants!$G$2</f>
        <v>166065.63938327122</v>
      </c>
      <c r="AO520">
        <f>(AD520*constants!$F$2+AE520*constants!$G$2)</f>
        <v>-647.87212404764762</v>
      </c>
      <c r="AP520">
        <f t="shared" si="70"/>
        <v>-0.39013014760530385</v>
      </c>
    </row>
    <row r="521" spans="1:42">
      <c r="A521">
        <f>sim_annual_output!B521</f>
        <v>24</v>
      </c>
      <c r="B521" t="str">
        <f>sim_annual_output!C521</f>
        <v>Training Building</v>
      </c>
      <c r="C521" t="str">
        <f>sim_annual_output!D521</f>
        <v>1959-pre</v>
      </c>
      <c r="D521" t="str">
        <f>sim_annual_output!E521</f>
        <v>pump_fan_eff_</v>
      </c>
      <c r="E521" s="45">
        <f t="array" ref="E521">IFERROR(INDEX(baseline!$J$3:$J$201,MATCH($B521&amp;$C521,baseline!$C$3:$C$201&amp;baseline!$D$3:$D$201,0)),"NA")</f>
        <v>3699.892902</v>
      </c>
      <c r="F521">
        <f>sim_annual_output!G521</f>
        <v>3699.8929020249998</v>
      </c>
      <c r="G521">
        <f>$E521/$F521^2*sim_annual_output!I521</f>
        <v>0</v>
      </c>
      <c r="H521">
        <f>$E521/$F521^2*sim_annual_output!J521</f>
        <v>512.99423818142463</v>
      </c>
      <c r="I521">
        <f>$E521/$F521^2*sim_annual_output!K521</f>
        <v>3.0511418083872535</v>
      </c>
      <c r="J521">
        <f>$E521/$F521^2*sim_annual_output!L521</f>
        <v>7.7111903331558764</v>
      </c>
      <c r="K521">
        <f>$E521/$F521^2*sim_annual_output!M521</f>
        <v>0</v>
      </c>
      <c r="L521">
        <f>$E521/$F521^2*sim_annual_output!N521</f>
        <v>37.958336291892508</v>
      </c>
      <c r="M521">
        <f>$E521/$F521^2*sim_annual_output!O521</f>
        <v>9.2652906144948552</v>
      </c>
      <c r="N521">
        <f>$E521/$F521^2*sim_annual_output!P521</f>
        <v>0</v>
      </c>
      <c r="O521">
        <f>$E521/$F521^2*sim_annual_output!Q521</f>
        <v>27.34690953998664</v>
      </c>
      <c r="P521">
        <f>$E521/$F521^2*sim_annual_output!R521</f>
        <v>0.58259991223142438</v>
      </c>
      <c r="Q521">
        <f>$E521/$F521^2*sim_annual_output!S521</f>
        <v>0</v>
      </c>
      <c r="R521">
        <f t="array" ref="R521">INDEX(G$3:G$700,MATCH($B521&amp;$C521&amp;"baseline",$B$3:$B$700&amp;$C$3:$C$700&amp;$D$3:$D$700,0))</f>
        <v>0</v>
      </c>
      <c r="S521">
        <f t="array" ref="S521">INDEX(H$3:H$700,MATCH($B521&amp;$C521&amp;"baseline",$B$3:$B$700&amp;$C$3:$C$700&amp;$D$3:$D$700,0))</f>
        <v>516.27511655314026</v>
      </c>
      <c r="T521">
        <f t="array" ref="T521">INDEX(I$3:I$700,MATCH($B521&amp;$C521&amp;"baseline",$B$3:$B$700&amp;$C$3:$C$700&amp;$D$3:$D$700,0))</f>
        <v>1.9182252264836201</v>
      </c>
      <c r="U521">
        <f t="array" ref="U521">INDEX(J$3:J$700,MATCH($B521&amp;$C521&amp;"baseline",$B$3:$B$700&amp;$C$3:$C$700&amp;$D$3:$D$700,0))</f>
        <v>7.7111903331558764</v>
      </c>
      <c r="V521">
        <f t="array" ref="V521">INDEX(K$3:K$700,MATCH($B521&amp;$C521&amp;"baseline",$B$3:$B$700&amp;$C$3:$C$700&amp;$D$3:$D$700,0))</f>
        <v>0</v>
      </c>
      <c r="W521">
        <f t="array" ref="W521">INDEX(L$3:L$700,MATCH($B521&amp;$C521&amp;"baseline",$B$3:$B$700&amp;$C$3:$C$700&amp;$D$3:$D$700,0))</f>
        <v>37.958336291892508</v>
      </c>
      <c r="X521">
        <f t="array" ref="X521">INDEX(M$3:M$700,MATCH($B521&amp;$C521&amp;"baseline",$B$3:$B$700&amp;$C$3:$C$700&amp;$D$3:$D$700,0))</f>
        <v>9.2652906144948552</v>
      </c>
      <c r="Y521">
        <f t="array" ref="Y521">INDEX(N$3:N$700,MATCH($B521&amp;$C521&amp;"baseline",$B$3:$B$700&amp;$C$3:$C$700&amp;$D$3:$D$700,0))</f>
        <v>0</v>
      </c>
      <c r="Z521">
        <f t="array" ref="Z521">INDEX(O$3:O$700,MATCH($B521&amp;$C521&amp;"baseline",$B$3:$B$700&amp;$C$3:$C$700&amp;$D$3:$D$700,0))</f>
        <v>27.049603399208749</v>
      </c>
      <c r="AA521">
        <f t="array" ref="AA521">INDEX(P$3:P$700,MATCH($B521&amp;$C521&amp;"baseline",$B$3:$B$700&amp;$C$3:$C$700&amp;$D$3:$D$700,0))</f>
        <v>0.75527772126908888</v>
      </c>
      <c r="AB521">
        <f t="array" ref="AB521">INDEX(Q$3:Q$700,MATCH($B521&amp;$C521&amp;"baseline",$B$3:$B$700&amp;$C$3:$C$700&amp;$D$3:$D$700,0))</f>
        <v>0</v>
      </c>
      <c r="AC521">
        <f t="shared" si="67"/>
        <v>600.93304013964485</v>
      </c>
      <c r="AD521">
        <f t="shared" si="64"/>
        <v>3.2808783717156302</v>
      </c>
      <c r="AE521">
        <f t="shared" si="65"/>
        <v>-1.257544913643855</v>
      </c>
      <c r="AF521">
        <f t="shared" si="68"/>
        <v>0.33669865407992761</v>
      </c>
      <c r="AG521">
        <f>(S521+V521+Y521)*constants!$O$2+(R521+T521+U521+W521+X521+Z521+AA521+AB521)*constants!$N$2</f>
        <v>17.930002253435902</v>
      </c>
      <c r="AH521">
        <f>((S521+V521+Y521)-(H521+K521+N521))*constants!$O$2</f>
        <v>5.3150229621793207E-2</v>
      </c>
      <c r="AI521">
        <f>((R521+T521+U521+W521+X521+Z521+AA521+AB521)-(G521+I521+J521+L521+M521+O521+P521+Q521))*constants!$N$2</f>
        <v>-0.14210257524175562</v>
      </c>
      <c r="AJ521">
        <f t="shared" si="69"/>
        <v>-0.49610894835730768</v>
      </c>
      <c r="AK521">
        <f t="shared" si="66"/>
        <v>-8.8952345619962417E-2</v>
      </c>
      <c r="AL521">
        <f>COUNTIFS($B:$B,$B521,$AK:$AK,"&lt;"&amp;$AK521)+COUNTIFS($B$2:$B521,$B521,$AK$2:$AK521,$AK521)</f>
        <v>34</v>
      </c>
      <c r="AM521" s="191">
        <f>IF(AK521=0, "NA",IF(((sim_annual_output!F521/E521)/AK521)&lt;0,100,((sim_annual_output!F521/E521)/AK521)))</f>
        <v>100</v>
      </c>
      <c r="AN521">
        <f>(S521+V521)*constants!$F$2+(T521+U521+W521+X521+Y521+Z521+AA521+AB521)*constants!$G$2</f>
        <v>166065.63938327122</v>
      </c>
      <c r="AO521">
        <f>(AD521*constants!$F$2+AE521*constants!$G$2)</f>
        <v>-506.78684633305613</v>
      </c>
      <c r="AP521">
        <f t="shared" si="70"/>
        <v>-0.3051726101890454</v>
      </c>
    </row>
    <row r="522" spans="1:42">
      <c r="A522">
        <f>sim_annual_output!B522</f>
        <v>25</v>
      </c>
      <c r="B522" t="str">
        <f>sim_annual_output!C522</f>
        <v>Training Building</v>
      </c>
      <c r="C522" t="str">
        <f>sim_annual_output!D522</f>
        <v>1980-2004</v>
      </c>
      <c r="D522" t="str">
        <f>sim_annual_output!E522</f>
        <v>air_temp_reset_enabled</v>
      </c>
      <c r="E522" s="45">
        <f t="array" ref="E522">IFERROR(INDEX(baseline!$J$3:$J$201,MATCH($B522&amp;$C522,baseline!$C$3:$C$201&amp;baseline!$D$3:$D$201,0)),"NA")</f>
        <v>3699.892902</v>
      </c>
      <c r="F522">
        <f>sim_annual_output!G522</f>
        <v>3699.8929020249998</v>
      </c>
      <c r="G522">
        <f>$E522/$F522^2*sim_annual_output!I522</f>
        <v>0</v>
      </c>
      <c r="H522">
        <f>$E522/$F522^2*sim_annual_output!J522</f>
        <v>320.79632899167638</v>
      </c>
      <c r="I522">
        <f>$E522/$F522^2*sim_annual_output!K522</f>
        <v>9.2082318602041511</v>
      </c>
      <c r="J522">
        <f>$E522/$F522^2*sim_annual_output!L522</f>
        <v>7.7111903331558764</v>
      </c>
      <c r="K522">
        <f>$E522/$F522^2*sim_annual_output!M522</f>
        <v>0</v>
      </c>
      <c r="L522">
        <f>$E522/$F522^2*sim_annual_output!N522</f>
        <v>37.958336291892508</v>
      </c>
      <c r="M522">
        <f>$E522/$F522^2*sim_annual_output!O522</f>
        <v>9.2652906144948552</v>
      </c>
      <c r="N522">
        <f>$E522/$F522^2*sim_annual_output!P522</f>
        <v>0</v>
      </c>
      <c r="O522">
        <f>$E522/$F522^2*sim_annual_output!Q522</f>
        <v>16.556048021298157</v>
      </c>
      <c r="P522">
        <f>$E522/$F522^2*sim_annual_output!R522</f>
        <v>0.45571926124287965</v>
      </c>
      <c r="Q522">
        <f>$E522/$F522^2*sim_annual_output!S522</f>
        <v>0</v>
      </c>
      <c r="R522">
        <f t="array" ref="R522">INDEX(G$3:G$700,MATCH($B522&amp;$C522&amp;"baseline",$B$3:$B$700&amp;$C$3:$C$700&amp;$D$3:$D$700,0))</f>
        <v>0</v>
      </c>
      <c r="S522">
        <f t="array" ref="S522">INDEX(H$3:H$700,MATCH($B522&amp;$C522&amp;"baseline",$B$3:$B$700&amp;$C$3:$C$700&amp;$D$3:$D$700,0))</f>
        <v>301.65987388488929</v>
      </c>
      <c r="T522">
        <f t="array" ref="T522">INDEX(I$3:I$700,MATCH($B522&amp;$C522&amp;"baseline",$B$3:$B$700&amp;$C$3:$C$700&amp;$D$3:$D$700,0))</f>
        <v>1.8559110606135065</v>
      </c>
      <c r="U522">
        <f t="array" ref="U522">INDEX(J$3:J$700,MATCH($B522&amp;$C522&amp;"baseline",$B$3:$B$700&amp;$C$3:$C$700&amp;$D$3:$D$700,0))</f>
        <v>7.7111903331558764</v>
      </c>
      <c r="V522">
        <f t="array" ref="V522">INDEX(K$3:K$700,MATCH($B522&amp;$C522&amp;"baseline",$B$3:$B$700&amp;$C$3:$C$700&amp;$D$3:$D$700,0))</f>
        <v>0</v>
      </c>
      <c r="W522">
        <f t="array" ref="W522">INDEX(L$3:L$700,MATCH($B522&amp;$C522&amp;"baseline",$B$3:$B$700&amp;$C$3:$C$700&amp;$D$3:$D$700,0))</f>
        <v>37.958336291892508</v>
      </c>
      <c r="X522">
        <f t="array" ref="X522">INDEX(M$3:M$700,MATCH($B522&amp;$C522&amp;"baseline",$B$3:$B$700&amp;$C$3:$C$700&amp;$D$3:$D$700,0))</f>
        <v>9.2652906144948552</v>
      </c>
      <c r="Y522">
        <f t="array" ref="Y522">INDEX(N$3:N$700,MATCH($B522&amp;$C522&amp;"baseline",$B$3:$B$700&amp;$C$3:$C$700&amp;$D$3:$D$700,0))</f>
        <v>0</v>
      </c>
      <c r="Z522">
        <f t="array" ref="Z522">INDEX(O$3:O$700,MATCH($B522&amp;$C522&amp;"baseline",$B$3:$B$700&amp;$C$3:$C$700&amp;$D$3:$D$700,0))</f>
        <v>15.231684303287548</v>
      </c>
      <c r="AA522">
        <f t="array" ref="AA522">INDEX(P$3:P$700,MATCH($B522&amp;$C522&amp;"baseline",$B$3:$B$700&amp;$C$3:$C$700&amp;$D$3:$D$700,0))</f>
        <v>0.74476689811027452</v>
      </c>
      <c r="AB522">
        <f t="array" ref="AB522">INDEX(Q$3:Q$700,MATCH($B522&amp;$C522&amp;"baseline",$B$3:$B$700&amp;$C$3:$C$700&amp;$D$3:$D$700,0))</f>
        <v>0</v>
      </c>
      <c r="AC522">
        <f t="shared" si="67"/>
        <v>374.42705338644384</v>
      </c>
      <c r="AD522">
        <f t="shared" si="64"/>
        <v>-19.136455106787082</v>
      </c>
      <c r="AE522">
        <f t="shared" si="65"/>
        <v>-8.3876368807338508</v>
      </c>
      <c r="AF522">
        <f t="shared" si="68"/>
        <v>-7.3509891282117072</v>
      </c>
      <c r="AG522">
        <f>(S522+V522+Y522)*constants!$O$2+(R522+T522+U522+W522+X522+Z522+AA522+AB522)*constants!$N$2</f>
        <v>13.109581240610872</v>
      </c>
      <c r="AH522">
        <f>((S522+V522+Y522)-(H522+K522+N522))*constants!$O$2</f>
        <v>-0.3100105727299507</v>
      </c>
      <c r="AI522">
        <f>((R522+T522+U522+W522+X522+Z522+AA522+AB522)-(G522+I522+J522+L522+M522+O522+P522+Q522))*constants!$N$2</f>
        <v>-0.94780296752292514</v>
      </c>
      <c r="AJ522">
        <f t="shared" si="69"/>
        <v>-9.5946126513669245</v>
      </c>
      <c r="AK522">
        <f t="shared" si="66"/>
        <v>-1.2578135402528758</v>
      </c>
      <c r="AL522">
        <f>COUNTIFS($B:$B,$B522,$AK:$AK,"&lt;"&amp;$AK522)+COUNTIFS($B$2:$B522,$B522,$AK$2:$AK522,$AK522)</f>
        <v>3</v>
      </c>
      <c r="AM522" s="191">
        <f>IF(AK522=0, "NA",IF(((sim_annual_output!F522/E522)/AK522)&lt;0,100,((sim_annual_output!F522/E522)/AK522)))</f>
        <v>100</v>
      </c>
      <c r="AN522">
        <f>(S522+V522)*constants!$F$2+(T522+U522+W522+X522+Y522+Z522+AA522+AB522)*constants!$G$2</f>
        <v>117304.56359174766</v>
      </c>
      <c r="AO522">
        <f>(AD522*constants!$F$2+AE522*constants!$G$2)</f>
        <v>-10722.669550353337</v>
      </c>
      <c r="AP522">
        <f t="shared" si="70"/>
        <v>-9.1408801346136848</v>
      </c>
    </row>
    <row r="523" spans="1:42">
      <c r="A523">
        <f>sim_annual_output!B523</f>
        <v>25</v>
      </c>
      <c r="B523" t="str">
        <f>sim_annual_output!C523</f>
        <v>Training Building</v>
      </c>
      <c r="C523" t="str">
        <f>sim_annual_output!D523</f>
        <v>1980-2004</v>
      </c>
      <c r="D523" t="str">
        <f>sim_annual_output!E523</f>
        <v>baseline</v>
      </c>
      <c r="E523" s="45">
        <f t="array" ref="E523">IFERROR(INDEX(baseline!$J$3:$J$201,MATCH($B523&amp;$C523,baseline!$C$3:$C$201&amp;baseline!$D$3:$D$201,0)),"NA")</f>
        <v>3699.892902</v>
      </c>
      <c r="F523">
        <f>sim_annual_output!G523</f>
        <v>3699.8929020249998</v>
      </c>
      <c r="G523">
        <f>$E523/$F523^2*sim_annual_output!I523</f>
        <v>0</v>
      </c>
      <c r="H523">
        <f>$E523/$F523^2*sim_annual_output!J523</f>
        <v>301.65987388488929</v>
      </c>
      <c r="I523">
        <f>$E523/$F523^2*sim_annual_output!K523</f>
        <v>1.8559110606135065</v>
      </c>
      <c r="J523">
        <f>$E523/$F523^2*sim_annual_output!L523</f>
        <v>7.7111903331558764</v>
      </c>
      <c r="K523">
        <f>$E523/$F523^2*sim_annual_output!M523</f>
        <v>0</v>
      </c>
      <c r="L523">
        <f>$E523/$F523^2*sim_annual_output!N523</f>
        <v>37.958336291892508</v>
      </c>
      <c r="M523">
        <f>$E523/$F523^2*sim_annual_output!O523</f>
        <v>9.2652906144948552</v>
      </c>
      <c r="N523">
        <f>$E523/$F523^2*sim_annual_output!P523</f>
        <v>0</v>
      </c>
      <c r="O523">
        <f>$E523/$F523^2*sim_annual_output!Q523</f>
        <v>15.231684303287548</v>
      </c>
      <c r="P523">
        <f>$E523/$F523^2*sim_annual_output!R523</f>
        <v>0.74476689811027452</v>
      </c>
      <c r="Q523">
        <f>$E523/$F523^2*sim_annual_output!S523</f>
        <v>0</v>
      </c>
      <c r="R523">
        <f t="array" ref="R523">INDEX(G$3:G$700,MATCH($B523&amp;$C523&amp;"baseline",$B$3:$B$700&amp;$C$3:$C$700&amp;$D$3:$D$700,0))</f>
        <v>0</v>
      </c>
      <c r="S523">
        <f t="array" ref="S523">INDEX(H$3:H$700,MATCH($B523&amp;$C523&amp;"baseline",$B$3:$B$700&amp;$C$3:$C$700&amp;$D$3:$D$700,0))</f>
        <v>301.65987388488929</v>
      </c>
      <c r="T523">
        <f t="array" ref="T523">INDEX(I$3:I$700,MATCH($B523&amp;$C523&amp;"baseline",$B$3:$B$700&amp;$C$3:$C$700&amp;$D$3:$D$700,0))</f>
        <v>1.8559110606135065</v>
      </c>
      <c r="U523">
        <f t="array" ref="U523">INDEX(J$3:J$700,MATCH($B523&amp;$C523&amp;"baseline",$B$3:$B$700&amp;$C$3:$C$700&amp;$D$3:$D$700,0))</f>
        <v>7.7111903331558764</v>
      </c>
      <c r="V523">
        <f t="array" ref="V523">INDEX(K$3:K$700,MATCH($B523&amp;$C523&amp;"baseline",$B$3:$B$700&amp;$C$3:$C$700&amp;$D$3:$D$700,0))</f>
        <v>0</v>
      </c>
      <c r="W523">
        <f t="array" ref="W523">INDEX(L$3:L$700,MATCH($B523&amp;$C523&amp;"baseline",$B$3:$B$700&amp;$C$3:$C$700&amp;$D$3:$D$700,0))</f>
        <v>37.958336291892508</v>
      </c>
      <c r="X523">
        <f t="array" ref="X523">INDEX(M$3:M$700,MATCH($B523&amp;$C523&amp;"baseline",$B$3:$B$700&amp;$C$3:$C$700&amp;$D$3:$D$700,0))</f>
        <v>9.2652906144948552</v>
      </c>
      <c r="Y523">
        <f t="array" ref="Y523">INDEX(N$3:N$700,MATCH($B523&amp;$C523&amp;"baseline",$B$3:$B$700&amp;$C$3:$C$700&amp;$D$3:$D$700,0))</f>
        <v>0</v>
      </c>
      <c r="Z523">
        <f t="array" ref="Z523">INDEX(O$3:O$700,MATCH($B523&amp;$C523&amp;"baseline",$B$3:$B$700&amp;$C$3:$C$700&amp;$D$3:$D$700,0))</f>
        <v>15.231684303287548</v>
      </c>
      <c r="AA523">
        <f t="array" ref="AA523">INDEX(P$3:P$700,MATCH($B523&amp;$C523&amp;"baseline",$B$3:$B$700&amp;$C$3:$C$700&amp;$D$3:$D$700,0))</f>
        <v>0.74476689811027452</v>
      </c>
      <c r="AB523">
        <f t="array" ref="AB523">INDEX(Q$3:Q$700,MATCH($B523&amp;$C523&amp;"baseline",$B$3:$B$700&amp;$C$3:$C$700&amp;$D$3:$D$700,0))</f>
        <v>0</v>
      </c>
      <c r="AC523">
        <f t="shared" si="67"/>
        <v>374.42705338644384</v>
      </c>
      <c r="AD523">
        <f t="shared" si="64"/>
        <v>0</v>
      </c>
      <c r="AE523">
        <f t="shared" si="65"/>
        <v>0</v>
      </c>
      <c r="AF523">
        <f t="shared" si="68"/>
        <v>0</v>
      </c>
      <c r="AG523">
        <f>(S523+V523+Y523)*constants!$O$2+(R523+T523+U523+W523+X523+Z523+AA523+AB523)*constants!$N$2</f>
        <v>13.109581240610872</v>
      </c>
      <c r="AH523">
        <f>((S523+V523+Y523)-(H523+K523+N523))*constants!$O$2</f>
        <v>0</v>
      </c>
      <c r="AI523">
        <f>((R523+T523+U523+W523+X523+Z523+AA523+AB523)-(G523+I523+J523+L523+M523+O523+P523+Q523))*constants!$N$2</f>
        <v>0</v>
      </c>
      <c r="AJ523">
        <f t="shared" si="69"/>
        <v>0</v>
      </c>
      <c r="AK523">
        <f t="shared" si="66"/>
        <v>0</v>
      </c>
      <c r="AL523">
        <f>COUNTIFS($B:$B,$B523,$AK:$AK,"&lt;"&amp;$AK523)+COUNTIFS($B$2:$B523,$B523,$AK$2:$AK523,$AK523)</f>
        <v>39</v>
      </c>
      <c r="AM523" s="191" t="str">
        <f>IF(AK523=0, "NA",IF(((sim_annual_output!F523/E523)/AK523)&lt;0,100,((sim_annual_output!F523/E523)/AK523)))</f>
        <v>NA</v>
      </c>
      <c r="AN523">
        <f>(S523+V523)*constants!$F$2+(T523+U523+W523+X523+Y523+Z523+AA523+AB523)*constants!$G$2</f>
        <v>117304.56359174766</v>
      </c>
      <c r="AO523">
        <f>(AD523*constants!$F$2+AE523*constants!$G$2)</f>
        <v>0</v>
      </c>
      <c r="AP523">
        <f t="shared" si="70"/>
        <v>0</v>
      </c>
    </row>
    <row r="524" spans="1:42">
      <c r="A524">
        <f>sim_annual_output!B524</f>
        <v>25</v>
      </c>
      <c r="B524" t="str">
        <f>sim_annual_output!C524</f>
        <v>Training Building</v>
      </c>
      <c r="C524" t="str">
        <f>sim_annual_output!D524</f>
        <v>1980-2004</v>
      </c>
      <c r="D524" t="str">
        <f>sim_annual_output!E524</f>
        <v>boiler_eff_upgrade</v>
      </c>
      <c r="E524" s="45">
        <f t="array" ref="E524">IFERROR(INDEX(baseline!$J$3:$J$201,MATCH($B524&amp;$C524,baseline!$C$3:$C$201&amp;baseline!$D$3:$D$201,0)),"NA")</f>
        <v>3699.892902</v>
      </c>
      <c r="F524">
        <f>sim_annual_output!G524</f>
        <v>3699.8929020249998</v>
      </c>
      <c r="G524">
        <f>$E524/$F524^2*sim_annual_output!I524</f>
        <v>0</v>
      </c>
      <c r="H524">
        <f>$E524/$F524^2*sim_annual_output!J524</f>
        <v>300.80324179744593</v>
      </c>
      <c r="I524">
        <f>$E524/$F524^2*sim_annual_output!K524</f>
        <v>3.6945543403232466</v>
      </c>
      <c r="J524">
        <f>$E524/$F524^2*sim_annual_output!L524</f>
        <v>7.7111903331558764</v>
      </c>
      <c r="K524">
        <f>$E524/$F524^2*sim_annual_output!M524</f>
        <v>0</v>
      </c>
      <c r="L524">
        <f>$E524/$F524^2*sim_annual_output!N524</f>
        <v>37.958336291892508</v>
      </c>
      <c r="M524">
        <f>$E524/$F524^2*sim_annual_output!O524</f>
        <v>9.2652906144948552</v>
      </c>
      <c r="N524">
        <f>$E524/$F524^2*sim_annual_output!P524</f>
        <v>0</v>
      </c>
      <c r="O524">
        <f>$E524/$F524^2*sim_annual_output!Q524</f>
        <v>16.556048021298157</v>
      </c>
      <c r="P524">
        <f>$E524/$F524^2*sim_annual_output!R524</f>
        <v>0.70197283239224462</v>
      </c>
      <c r="Q524">
        <f>$E524/$F524^2*sim_annual_output!S524</f>
        <v>0</v>
      </c>
      <c r="R524">
        <f t="array" ref="R524">INDEX(G$3:G$700,MATCH($B524&amp;$C524&amp;"baseline",$B$3:$B$700&amp;$C$3:$C$700&amp;$D$3:$D$700,0))</f>
        <v>0</v>
      </c>
      <c r="S524">
        <f t="array" ref="S524">INDEX(H$3:H$700,MATCH($B524&amp;$C524&amp;"baseline",$B$3:$B$700&amp;$C$3:$C$700&amp;$D$3:$D$700,0))</f>
        <v>301.65987388488929</v>
      </c>
      <c r="T524">
        <f t="array" ref="T524">INDEX(I$3:I$700,MATCH($B524&amp;$C524&amp;"baseline",$B$3:$B$700&amp;$C$3:$C$700&amp;$D$3:$D$700,0))</f>
        <v>1.8559110606135065</v>
      </c>
      <c r="U524">
        <f t="array" ref="U524">INDEX(J$3:J$700,MATCH($B524&amp;$C524&amp;"baseline",$B$3:$B$700&amp;$C$3:$C$700&amp;$D$3:$D$700,0))</f>
        <v>7.7111903331558764</v>
      </c>
      <c r="V524">
        <f t="array" ref="V524">INDEX(K$3:K$700,MATCH($B524&amp;$C524&amp;"baseline",$B$3:$B$700&amp;$C$3:$C$700&amp;$D$3:$D$700,0))</f>
        <v>0</v>
      </c>
      <c r="W524">
        <f t="array" ref="W524">INDEX(L$3:L$700,MATCH($B524&amp;$C524&amp;"baseline",$B$3:$B$700&amp;$C$3:$C$700&amp;$D$3:$D$700,0))</f>
        <v>37.958336291892508</v>
      </c>
      <c r="X524">
        <f t="array" ref="X524">INDEX(M$3:M$700,MATCH($B524&amp;$C524&amp;"baseline",$B$3:$B$700&amp;$C$3:$C$700&amp;$D$3:$D$700,0))</f>
        <v>9.2652906144948552</v>
      </c>
      <c r="Y524">
        <f t="array" ref="Y524">INDEX(N$3:N$700,MATCH($B524&amp;$C524&amp;"baseline",$B$3:$B$700&amp;$C$3:$C$700&amp;$D$3:$D$700,0))</f>
        <v>0</v>
      </c>
      <c r="Z524">
        <f t="array" ref="Z524">INDEX(O$3:O$700,MATCH($B524&amp;$C524&amp;"baseline",$B$3:$B$700&amp;$C$3:$C$700&amp;$D$3:$D$700,0))</f>
        <v>15.231684303287548</v>
      </c>
      <c r="AA524">
        <f t="array" ref="AA524">INDEX(P$3:P$700,MATCH($B524&amp;$C524&amp;"baseline",$B$3:$B$700&amp;$C$3:$C$700&amp;$D$3:$D$700,0))</f>
        <v>0.74476689811027452</v>
      </c>
      <c r="AB524">
        <f t="array" ref="AB524">INDEX(Q$3:Q$700,MATCH($B524&amp;$C524&amp;"baseline",$B$3:$B$700&amp;$C$3:$C$700&amp;$D$3:$D$700,0))</f>
        <v>0</v>
      </c>
      <c r="AC524">
        <f t="shared" si="67"/>
        <v>374.42705338644384</v>
      </c>
      <c r="AD524">
        <f t="shared" si="64"/>
        <v>0.85663208744335861</v>
      </c>
      <c r="AE524">
        <f t="shared" si="65"/>
        <v>-3.1202129320023175</v>
      </c>
      <c r="AF524">
        <f t="shared" si="68"/>
        <v>-0.60454521757612723</v>
      </c>
      <c r="AG524">
        <f>(S524+V524+Y524)*constants!$O$2+(R524+T524+U524+W524+X524+Z524+AA524+AB524)*constants!$N$2</f>
        <v>13.109581240610872</v>
      </c>
      <c r="AH524">
        <f>((S524+V524+Y524)-(H524+K524+N524))*constants!$O$2</f>
        <v>1.3877439816582409E-2</v>
      </c>
      <c r="AI524">
        <f>((R524+T524+U524+W524+X524+Z524+AA524+AB524)-(G524+I524+J524+L524+M524+O524+P524+Q524))*constants!$N$2</f>
        <v>-0.35258406131626191</v>
      </c>
      <c r="AJ524">
        <f t="shared" si="69"/>
        <v>-2.5836570618322563</v>
      </c>
      <c r="AK524">
        <f t="shared" si="66"/>
        <v>-0.33870662149967951</v>
      </c>
      <c r="AL524">
        <f>COUNTIFS($B:$B,$B524,$AK:$AK,"&lt;"&amp;$AK524)+COUNTIFS($B$2:$B524,$B524,$AK$2:$AK524,$AK524)</f>
        <v>16</v>
      </c>
      <c r="AM524" s="191">
        <f>IF(AK524=0, "NA",IF(((sim_annual_output!F524/E524)/AK524)&lt;0,100,((sim_annual_output!F524/E524)/AK524)))</f>
        <v>100</v>
      </c>
      <c r="AN524">
        <f>(S524+V524)*constants!$F$2+(T524+U524+W524+X524+Y524+Z524+AA524+AB524)*constants!$G$2</f>
        <v>117304.56359174766</v>
      </c>
      <c r="AO524">
        <f>(AD524*constants!$F$2+AE524*constants!$G$2)</f>
        <v>-2561.248107189655</v>
      </c>
      <c r="AP524">
        <f t="shared" si="70"/>
        <v>-2.1834172761628499</v>
      </c>
    </row>
    <row r="525" spans="1:42">
      <c r="A525">
        <f>sim_annual_output!B525</f>
        <v>25</v>
      </c>
      <c r="B525" t="str">
        <f>sim_annual_output!C525</f>
        <v>Training Building</v>
      </c>
      <c r="C525" t="str">
        <f>sim_annual_output!D525</f>
        <v>1980-2004</v>
      </c>
      <c r="D525" t="str">
        <f>sim_annual_output!E525</f>
        <v>boiler_reset</v>
      </c>
      <c r="E525" s="45">
        <f t="array" ref="E525">IFERROR(INDEX(baseline!$J$3:$J$201,MATCH($B525&amp;$C525,baseline!$C$3:$C$201&amp;baseline!$D$3:$D$201,0)),"NA")</f>
        <v>3699.892902</v>
      </c>
      <c r="F525">
        <f>sim_annual_output!G525</f>
        <v>3699.8929020249998</v>
      </c>
      <c r="G525">
        <f>$E525/$F525^2*sim_annual_output!I525</f>
        <v>0</v>
      </c>
      <c r="H525">
        <f>$E525/$F525^2*sim_annual_output!J525</f>
        <v>193.05153818486053</v>
      </c>
      <c r="I525">
        <f>$E525/$F525^2*sim_annual_output!K525</f>
        <v>3.6945543403232466</v>
      </c>
      <c r="J525">
        <f>$E525/$F525^2*sim_annual_output!L525</f>
        <v>7.7111903331558764</v>
      </c>
      <c r="K525">
        <f>$E525/$F525^2*sim_annual_output!M525</f>
        <v>0</v>
      </c>
      <c r="L525">
        <f>$E525/$F525^2*sim_annual_output!N525</f>
        <v>37.958336291892508</v>
      </c>
      <c r="M525">
        <f>$E525/$F525^2*sim_annual_output!O525</f>
        <v>9.2652906144948552</v>
      </c>
      <c r="N525">
        <f>$E525/$F525^2*sim_annual_output!P525</f>
        <v>0</v>
      </c>
      <c r="O525">
        <f>$E525/$F525^2*sim_annual_output!Q525</f>
        <v>16.556048021298157</v>
      </c>
      <c r="P525">
        <f>$E525/$F525^2*sim_annual_output!R525</f>
        <v>0.70197283239224462</v>
      </c>
      <c r="Q525">
        <f>$E525/$F525^2*sim_annual_output!S525</f>
        <v>0</v>
      </c>
      <c r="R525">
        <f t="array" ref="R525">INDEX(G$3:G$700,MATCH($B525&amp;$C525&amp;"baseline",$B$3:$B$700&amp;$C$3:$C$700&amp;$D$3:$D$700,0))</f>
        <v>0</v>
      </c>
      <c r="S525">
        <f t="array" ref="S525">INDEX(H$3:H$700,MATCH($B525&amp;$C525&amp;"baseline",$B$3:$B$700&amp;$C$3:$C$700&amp;$D$3:$D$700,0))</f>
        <v>301.65987388488929</v>
      </c>
      <c r="T525">
        <f t="array" ref="T525">INDEX(I$3:I$700,MATCH($B525&amp;$C525&amp;"baseline",$B$3:$B$700&amp;$C$3:$C$700&amp;$D$3:$D$700,0))</f>
        <v>1.8559110606135065</v>
      </c>
      <c r="U525">
        <f t="array" ref="U525">INDEX(J$3:J$700,MATCH($B525&amp;$C525&amp;"baseline",$B$3:$B$700&amp;$C$3:$C$700&amp;$D$3:$D$700,0))</f>
        <v>7.7111903331558764</v>
      </c>
      <c r="V525">
        <f t="array" ref="V525">INDEX(K$3:K$700,MATCH($B525&amp;$C525&amp;"baseline",$B$3:$B$700&amp;$C$3:$C$700&amp;$D$3:$D$700,0))</f>
        <v>0</v>
      </c>
      <c r="W525">
        <f t="array" ref="W525">INDEX(L$3:L$700,MATCH($B525&amp;$C525&amp;"baseline",$B$3:$B$700&amp;$C$3:$C$700&amp;$D$3:$D$700,0))</f>
        <v>37.958336291892508</v>
      </c>
      <c r="X525">
        <f t="array" ref="X525">INDEX(M$3:M$700,MATCH($B525&amp;$C525&amp;"baseline",$B$3:$B$700&amp;$C$3:$C$700&amp;$D$3:$D$700,0))</f>
        <v>9.2652906144948552</v>
      </c>
      <c r="Y525">
        <f t="array" ref="Y525">INDEX(N$3:N$700,MATCH($B525&amp;$C525&amp;"baseline",$B$3:$B$700&amp;$C$3:$C$700&amp;$D$3:$D$700,0))</f>
        <v>0</v>
      </c>
      <c r="Z525">
        <f t="array" ref="Z525">INDEX(O$3:O$700,MATCH($B525&amp;$C525&amp;"baseline",$B$3:$B$700&amp;$C$3:$C$700&amp;$D$3:$D$700,0))</f>
        <v>15.231684303287548</v>
      </c>
      <c r="AA525">
        <f t="array" ref="AA525">INDEX(P$3:P$700,MATCH($B525&amp;$C525&amp;"baseline",$B$3:$B$700&amp;$C$3:$C$700&amp;$D$3:$D$700,0))</f>
        <v>0.74476689811027452</v>
      </c>
      <c r="AB525">
        <f t="array" ref="AB525">INDEX(Q$3:Q$700,MATCH($B525&amp;$C525&amp;"baseline",$B$3:$B$700&amp;$C$3:$C$700&amp;$D$3:$D$700,0))</f>
        <v>0</v>
      </c>
      <c r="AC525">
        <f t="shared" si="67"/>
        <v>374.42705338644384</v>
      </c>
      <c r="AD525">
        <f t="shared" si="64"/>
        <v>108.60833570002876</v>
      </c>
      <c r="AE525">
        <f t="shared" si="65"/>
        <v>-3.1202129320023175</v>
      </c>
      <c r="AF525">
        <f t="shared" si="68"/>
        <v>28.173210726617238</v>
      </c>
      <c r="AG525">
        <f>(S525+V525+Y525)*constants!$O$2+(R525+T525+U525+W525+X525+Z525+AA525+AB525)*constants!$N$2</f>
        <v>13.109581240610872</v>
      </c>
      <c r="AH525">
        <f>((S525+V525+Y525)-(H525+K525+N525))*constants!$O$2</f>
        <v>1.7594550383404659</v>
      </c>
      <c r="AI525">
        <f>((R525+T525+U525+W525+X525+Z525+AA525+AB525)-(G525+I525+J525+L525+M525+O525+P525+Q525))*constants!$N$2</f>
        <v>-0.35258406131626191</v>
      </c>
      <c r="AJ525">
        <f t="shared" si="69"/>
        <v>10.73162407862425</v>
      </c>
      <c r="AK525">
        <f t="shared" si="66"/>
        <v>1.4068709770242041</v>
      </c>
      <c r="AL525">
        <f>COUNTIFS($B:$B,$B525,$AK:$AK,"&lt;"&amp;$AK525)+COUNTIFS($B$2:$B525,$B525,$AK$2:$AK525,$AK525)</f>
        <v>59</v>
      </c>
      <c r="AM525" s="191">
        <f>IF(AK525=0, "NA",IF(((sim_annual_output!F525/E525)/AK525)&lt;0,100,((sim_annual_output!F525/E525)/AK525)))</f>
        <v>0.17849787875962311</v>
      </c>
      <c r="AN525">
        <f>(S525+V525)*constants!$F$2+(T525+U525+W525+X525+Y525+Z525+AA525+AB525)*constants!$G$2</f>
        <v>117304.56359174766</v>
      </c>
      <c r="AO525">
        <f>(AD525*constants!$F$2+AE525*constants!$G$2)</f>
        <v>16726.30683946313</v>
      </c>
      <c r="AP525">
        <f t="shared" si="70"/>
        <v>14.258871374923917</v>
      </c>
    </row>
    <row r="526" spans="1:42">
      <c r="A526">
        <f>sim_annual_output!B526</f>
        <v>25</v>
      </c>
      <c r="B526" t="str">
        <f>sim_annual_output!C526</f>
        <v>Training Building</v>
      </c>
      <c r="C526" t="str">
        <f>sim_annual_output!D526</f>
        <v>1980-2004</v>
      </c>
      <c r="D526" t="str">
        <f>sim_annual_output!E526</f>
        <v>cooling_cop_3_0</v>
      </c>
      <c r="E526" s="45">
        <f t="array" ref="E526">IFERROR(INDEX(baseline!$J$3:$J$201,MATCH($B526&amp;$C526,baseline!$C$3:$C$201&amp;baseline!$D$3:$D$201,0)),"NA")</f>
        <v>3699.892902</v>
      </c>
      <c r="F526">
        <f>sim_annual_output!G526</f>
        <v>3699.8929020249998</v>
      </c>
      <c r="G526">
        <f>$E526/$F526^2*sim_annual_output!I526</f>
        <v>0</v>
      </c>
      <c r="H526">
        <f>$E526/$F526^2*sim_annual_output!J526</f>
        <v>300.80324179744593</v>
      </c>
      <c r="I526">
        <f>$E526/$F526^2*sim_annual_output!K526</f>
        <v>3.1667608631342117</v>
      </c>
      <c r="J526">
        <f>$E526/$F526^2*sim_annual_output!L526</f>
        <v>7.7111903331558764</v>
      </c>
      <c r="K526">
        <f>$E526/$F526^2*sim_annual_output!M526</f>
        <v>0</v>
      </c>
      <c r="L526">
        <f>$E526/$F526^2*sim_annual_output!N526</f>
        <v>37.958336291892508</v>
      </c>
      <c r="M526">
        <f>$E526/$F526^2*sim_annual_output!O526</f>
        <v>9.2652906144948552</v>
      </c>
      <c r="N526">
        <f>$E526/$F526^2*sim_annual_output!P526</f>
        <v>0</v>
      </c>
      <c r="O526">
        <f>$E526/$F526^2*sim_annual_output!Q526</f>
        <v>16.556048021298157</v>
      </c>
      <c r="P526">
        <f>$E526/$F526^2*sim_annual_output!R526</f>
        <v>0.70197283239224462</v>
      </c>
      <c r="Q526">
        <f>$E526/$F526^2*sim_annual_output!S526</f>
        <v>0</v>
      </c>
      <c r="R526">
        <f t="array" ref="R526">INDEX(G$3:G$700,MATCH($B526&amp;$C526&amp;"baseline",$B$3:$B$700&amp;$C$3:$C$700&amp;$D$3:$D$700,0))</f>
        <v>0</v>
      </c>
      <c r="S526">
        <f t="array" ref="S526">INDEX(H$3:H$700,MATCH($B526&amp;$C526&amp;"baseline",$B$3:$B$700&amp;$C$3:$C$700&amp;$D$3:$D$700,0))</f>
        <v>301.65987388488929</v>
      </c>
      <c r="T526">
        <f t="array" ref="T526">INDEX(I$3:I$700,MATCH($B526&amp;$C526&amp;"baseline",$B$3:$B$700&amp;$C$3:$C$700&amp;$D$3:$D$700,0))</f>
        <v>1.8559110606135065</v>
      </c>
      <c r="U526">
        <f t="array" ref="U526">INDEX(J$3:J$700,MATCH($B526&amp;$C526&amp;"baseline",$B$3:$B$700&amp;$C$3:$C$700&amp;$D$3:$D$700,0))</f>
        <v>7.7111903331558764</v>
      </c>
      <c r="V526">
        <f t="array" ref="V526">INDEX(K$3:K$700,MATCH($B526&amp;$C526&amp;"baseline",$B$3:$B$700&amp;$C$3:$C$700&amp;$D$3:$D$700,0))</f>
        <v>0</v>
      </c>
      <c r="W526">
        <f t="array" ref="W526">INDEX(L$3:L$700,MATCH($B526&amp;$C526&amp;"baseline",$B$3:$B$700&amp;$C$3:$C$700&amp;$D$3:$D$700,0))</f>
        <v>37.958336291892508</v>
      </c>
      <c r="X526">
        <f t="array" ref="X526">INDEX(M$3:M$700,MATCH($B526&amp;$C526&amp;"baseline",$B$3:$B$700&amp;$C$3:$C$700&amp;$D$3:$D$700,0))</f>
        <v>9.2652906144948552</v>
      </c>
      <c r="Y526">
        <f t="array" ref="Y526">INDEX(N$3:N$700,MATCH($B526&amp;$C526&amp;"baseline",$B$3:$B$700&amp;$C$3:$C$700&amp;$D$3:$D$700,0))</f>
        <v>0</v>
      </c>
      <c r="Z526">
        <f t="array" ref="Z526">INDEX(O$3:O$700,MATCH($B526&amp;$C526&amp;"baseline",$B$3:$B$700&amp;$C$3:$C$700&amp;$D$3:$D$700,0))</f>
        <v>15.231684303287548</v>
      </c>
      <c r="AA526">
        <f t="array" ref="AA526">INDEX(P$3:P$700,MATCH($B526&amp;$C526&amp;"baseline",$B$3:$B$700&amp;$C$3:$C$700&amp;$D$3:$D$700,0))</f>
        <v>0.74476689811027452</v>
      </c>
      <c r="AB526">
        <f t="array" ref="AB526">INDEX(Q$3:Q$700,MATCH($B526&amp;$C526&amp;"baseline",$B$3:$B$700&amp;$C$3:$C$700&amp;$D$3:$D$700,0))</f>
        <v>0</v>
      </c>
      <c r="AC526">
        <f t="shared" si="67"/>
        <v>374.42705338644384</v>
      </c>
      <c r="AD526">
        <f t="shared" si="64"/>
        <v>0.85663208744335861</v>
      </c>
      <c r="AE526">
        <f t="shared" si="65"/>
        <v>-2.5924194548132817</v>
      </c>
      <c r="AF526">
        <f t="shared" si="68"/>
        <v>-0.46358492306335236</v>
      </c>
      <c r="AG526">
        <f>(S526+V526+Y526)*constants!$O$2+(R526+T526+U526+W526+X526+Z526+AA526+AB526)*constants!$N$2</f>
        <v>13.109581240610872</v>
      </c>
      <c r="AH526">
        <f>((S526+V526+Y526)-(H526+K526+N526))*constants!$O$2</f>
        <v>1.3877439816582409E-2</v>
      </c>
      <c r="AI526">
        <f>((R526+T526+U526+W526+X526+Z526+AA526+AB526)-(G526+I526+J526+L526+M526+O526+P526+Q526))*constants!$N$2</f>
        <v>-0.29294339839390082</v>
      </c>
      <c r="AJ526">
        <f t="shared" si="69"/>
        <v>-2.128717565080017</v>
      </c>
      <c r="AK526">
        <f t="shared" si="66"/>
        <v>-0.27906595857731842</v>
      </c>
      <c r="AL526">
        <f>COUNTIFS($B:$B,$B526,$AK:$AK,"&lt;"&amp;$AK526)+COUNTIFS($B$2:$B526,$B526,$AK$2:$AK526,$AK526)</f>
        <v>22</v>
      </c>
      <c r="AM526" s="191">
        <f>IF(AK526=0, "NA",IF(((sim_annual_output!F526/E526)/AK526)&lt;0,100,((sim_annual_output!F526/E526)/AK526)))</f>
        <v>100</v>
      </c>
      <c r="AN526">
        <f>(S526+V526)*constants!$F$2+(T526+U526+W526+X526+Y526+Z526+AA526+AB526)*constants!$G$2</f>
        <v>117304.56359174766</v>
      </c>
      <c r="AO526">
        <f>(AD526*constants!$F$2+AE526*constants!$G$2)</f>
        <v>-2102.0677820351939</v>
      </c>
      <c r="AP526">
        <f t="shared" si="70"/>
        <v>-1.7919744276539584</v>
      </c>
    </row>
    <row r="527" spans="1:42">
      <c r="A527">
        <f>sim_annual_output!B527</f>
        <v>25</v>
      </c>
      <c r="B527" t="str">
        <f>sim_annual_output!C527</f>
        <v>Training Building</v>
      </c>
      <c r="C527" t="str">
        <f>sim_annual_output!D527</f>
        <v>1980-2004</v>
      </c>
      <c r="D527" t="str">
        <f>sim_annual_output!E527</f>
        <v>dcv_enabled</v>
      </c>
      <c r="E527" s="45">
        <f t="array" ref="E527">IFERROR(INDEX(baseline!$J$3:$J$201,MATCH($B527&amp;$C527,baseline!$C$3:$C$201&amp;baseline!$D$3:$D$201,0)),"NA")</f>
        <v>3699.892902</v>
      </c>
      <c r="F527">
        <f>sim_annual_output!G527</f>
        <v>3699.8929020249998</v>
      </c>
      <c r="G527">
        <f>$E527/$F527^2*sim_annual_output!I527</f>
        <v>0</v>
      </c>
      <c r="H527">
        <f>$E527/$F527^2*sim_annual_output!J527</f>
        <v>225.68163790831693</v>
      </c>
      <c r="I527">
        <f>$E527/$F527^2*sim_annual_output!K527</f>
        <v>3.9130293074100311</v>
      </c>
      <c r="J527">
        <f>$E527/$F527^2*sim_annual_output!L527</f>
        <v>7.7111903331558764</v>
      </c>
      <c r="K527">
        <f>$E527/$F527^2*sim_annual_output!M527</f>
        <v>0</v>
      </c>
      <c r="L527">
        <f>$E527/$F527^2*sim_annual_output!N527</f>
        <v>37.958336291892508</v>
      </c>
      <c r="M527">
        <f>$E527/$F527^2*sim_annual_output!O527</f>
        <v>9.2652906144948552</v>
      </c>
      <c r="N527">
        <f>$E527/$F527^2*sim_annual_output!P527</f>
        <v>0</v>
      </c>
      <c r="O527">
        <f>$E527/$F527^2*sim_annual_output!Q527</f>
        <v>16.43667510113734</v>
      </c>
      <c r="P527">
        <f>$E527/$F527^2*sim_annual_output!R527</f>
        <v>0.40466669161435276</v>
      </c>
      <c r="Q527">
        <f>$E527/$F527^2*sim_annual_output!S527</f>
        <v>0</v>
      </c>
      <c r="R527">
        <f t="array" ref="R527">INDEX(G$3:G$700,MATCH($B527&amp;$C527&amp;"baseline",$B$3:$B$700&amp;$C$3:$C$700&amp;$D$3:$D$700,0))</f>
        <v>0</v>
      </c>
      <c r="S527">
        <f t="array" ref="S527">INDEX(H$3:H$700,MATCH($B527&amp;$C527&amp;"baseline",$B$3:$B$700&amp;$C$3:$C$700&amp;$D$3:$D$700,0))</f>
        <v>301.65987388488929</v>
      </c>
      <c r="T527">
        <f t="array" ref="T527">INDEX(I$3:I$700,MATCH($B527&amp;$C527&amp;"baseline",$B$3:$B$700&amp;$C$3:$C$700&amp;$D$3:$D$700,0))</f>
        <v>1.8559110606135065</v>
      </c>
      <c r="U527">
        <f t="array" ref="U527">INDEX(J$3:J$700,MATCH($B527&amp;$C527&amp;"baseline",$B$3:$B$700&amp;$C$3:$C$700&amp;$D$3:$D$700,0))</f>
        <v>7.7111903331558764</v>
      </c>
      <c r="V527">
        <f t="array" ref="V527">INDEX(K$3:K$700,MATCH($B527&amp;$C527&amp;"baseline",$B$3:$B$700&amp;$C$3:$C$700&amp;$D$3:$D$700,0))</f>
        <v>0</v>
      </c>
      <c r="W527">
        <f t="array" ref="W527">INDEX(L$3:L$700,MATCH($B527&amp;$C527&amp;"baseline",$B$3:$B$700&amp;$C$3:$C$700&amp;$D$3:$D$700,0))</f>
        <v>37.958336291892508</v>
      </c>
      <c r="X527">
        <f t="array" ref="X527">INDEX(M$3:M$700,MATCH($B527&amp;$C527&amp;"baseline",$B$3:$B$700&amp;$C$3:$C$700&amp;$D$3:$D$700,0))</f>
        <v>9.2652906144948552</v>
      </c>
      <c r="Y527">
        <f t="array" ref="Y527">INDEX(N$3:N$700,MATCH($B527&amp;$C527&amp;"baseline",$B$3:$B$700&amp;$C$3:$C$700&amp;$D$3:$D$700,0))</f>
        <v>0</v>
      </c>
      <c r="Z527">
        <f t="array" ref="Z527">INDEX(O$3:O$700,MATCH($B527&amp;$C527&amp;"baseline",$B$3:$B$700&amp;$C$3:$C$700&amp;$D$3:$D$700,0))</f>
        <v>15.231684303287548</v>
      </c>
      <c r="AA527">
        <f t="array" ref="AA527">INDEX(P$3:P$700,MATCH($B527&amp;$C527&amp;"baseline",$B$3:$B$700&amp;$C$3:$C$700&amp;$D$3:$D$700,0))</f>
        <v>0.74476689811027452</v>
      </c>
      <c r="AB527">
        <f t="array" ref="AB527">INDEX(Q$3:Q$700,MATCH($B527&amp;$C527&amp;"baseline",$B$3:$B$700&amp;$C$3:$C$700&amp;$D$3:$D$700,0))</f>
        <v>0</v>
      </c>
      <c r="AC527">
        <f t="shared" si="67"/>
        <v>374.42705338644384</v>
      </c>
      <c r="AD527">
        <f t="shared" si="64"/>
        <v>75.978235976572364</v>
      </c>
      <c r="AE527">
        <f t="shared" si="65"/>
        <v>-2.9220088381504041</v>
      </c>
      <c r="AF527">
        <f t="shared" si="68"/>
        <v>19.511471320695698</v>
      </c>
      <c r="AG527">
        <f>(S527+V527+Y527)*constants!$O$2+(R527+T527+U527+W527+X527+Z527+AA527+AB527)*constants!$N$2</f>
        <v>13.109581240610872</v>
      </c>
      <c r="AH527">
        <f>((S527+V527+Y527)-(H527+K527+N527))*constants!$O$2</f>
        <v>1.2308474228204722</v>
      </c>
      <c r="AI527">
        <f>((R527+T527+U527+W527+X527+Z527+AA527+AB527)-(G527+I527+J527+L527+M527+O527+P527+Q527))*constants!$N$2</f>
        <v>-0.33018699871099566</v>
      </c>
      <c r="AJ527">
        <f t="shared" si="69"/>
        <v>6.8702455675655747</v>
      </c>
      <c r="AK527">
        <f t="shared" si="66"/>
        <v>0.90066042410947655</v>
      </c>
      <c r="AL527">
        <f>COUNTIFS($B:$B,$B527,$AK:$AK,"&lt;"&amp;$AK527)+COUNTIFS($B$2:$B527,$B527,$AK$2:$AK527,$AK527)</f>
        <v>52</v>
      </c>
      <c r="AM527" s="191">
        <f>IF(AK527=0, "NA",IF(((sim_annual_output!F527/E527)/AK527)&lt;0,100,((sim_annual_output!F527/E527)/AK527)))</f>
        <v>10.23710582094348</v>
      </c>
      <c r="AN527">
        <f>(S527+V527)*constants!$F$2+(T527+U527+W527+X527+Y527+Z527+AA527+AB527)*constants!$G$2</f>
        <v>117304.56359174766</v>
      </c>
      <c r="AO527">
        <f>(AD527*constants!$F$2+AE527*constants!$G$2)</f>
        <v>11057.956550615601</v>
      </c>
      <c r="AP527">
        <f t="shared" si="70"/>
        <v>9.4267061843393822</v>
      </c>
    </row>
    <row r="528" spans="1:42">
      <c r="A528">
        <f>sim_annual_output!B528</f>
        <v>25</v>
      </c>
      <c r="B528" t="str">
        <f>sim_annual_output!C528</f>
        <v>Training Building</v>
      </c>
      <c r="C528" t="str">
        <f>sim_annual_output!D528</f>
        <v>1980-2004</v>
      </c>
      <c r="D528" t="str">
        <f>sim_annual_output!E528</f>
        <v>ecm_cold_deck_reset_control</v>
      </c>
      <c r="E528" s="45">
        <f t="array" ref="E528">IFERROR(INDEX(baseline!$J$3:$J$201,MATCH($B528&amp;$C528,baseline!$C$3:$C$201&amp;baseline!$D$3:$D$201,0)),"NA")</f>
        <v>3699.892902</v>
      </c>
      <c r="F528">
        <f>sim_annual_output!G528</f>
        <v>3699.8929020249998</v>
      </c>
      <c r="G528">
        <f>$E528/$F528^2*sim_annual_output!I528</f>
        <v>0</v>
      </c>
      <c r="H528">
        <f>$E528/$F528^2*sim_annual_output!J528</f>
        <v>286.09559710593356</v>
      </c>
      <c r="I528">
        <f>$E528/$F528^2*sim_annual_output!K528</f>
        <v>5.9018272036742623</v>
      </c>
      <c r="J528">
        <f>$E528/$F528^2*sim_annual_output!L528</f>
        <v>7.7111903331558764</v>
      </c>
      <c r="K528">
        <f>$E528/$F528^2*sim_annual_output!M528</f>
        <v>0</v>
      </c>
      <c r="L528">
        <f>$E528/$F528^2*sim_annual_output!N528</f>
        <v>37.958336291892508</v>
      </c>
      <c r="M528">
        <f>$E528/$F528^2*sim_annual_output!O528</f>
        <v>9.2652906144948552</v>
      </c>
      <c r="N528">
        <f>$E528/$F528^2*sim_annual_output!P528</f>
        <v>0</v>
      </c>
      <c r="O528">
        <f>$E528/$F528^2*sim_annual_output!Q528</f>
        <v>16.556048021298157</v>
      </c>
      <c r="P528">
        <f>$E528/$F528^2*sim_annual_output!R528</f>
        <v>0.26502289821867631</v>
      </c>
      <c r="Q528">
        <f>$E528/$F528^2*sim_annual_output!S528</f>
        <v>0</v>
      </c>
      <c r="R528">
        <f t="array" ref="R528">INDEX(G$3:G$700,MATCH($B528&amp;$C528&amp;"baseline",$B$3:$B$700&amp;$C$3:$C$700&amp;$D$3:$D$700,0))</f>
        <v>0</v>
      </c>
      <c r="S528">
        <f t="array" ref="S528">INDEX(H$3:H$700,MATCH($B528&amp;$C528&amp;"baseline",$B$3:$B$700&amp;$C$3:$C$700&amp;$D$3:$D$700,0))</f>
        <v>301.65987388488929</v>
      </c>
      <c r="T528">
        <f t="array" ref="T528">INDEX(I$3:I$700,MATCH($B528&amp;$C528&amp;"baseline",$B$3:$B$700&amp;$C$3:$C$700&amp;$D$3:$D$700,0))</f>
        <v>1.8559110606135065</v>
      </c>
      <c r="U528">
        <f t="array" ref="U528">INDEX(J$3:J$700,MATCH($B528&amp;$C528&amp;"baseline",$B$3:$B$700&amp;$C$3:$C$700&amp;$D$3:$D$700,0))</f>
        <v>7.7111903331558764</v>
      </c>
      <c r="V528">
        <f t="array" ref="V528">INDEX(K$3:K$700,MATCH($B528&amp;$C528&amp;"baseline",$B$3:$B$700&amp;$C$3:$C$700&amp;$D$3:$D$700,0))</f>
        <v>0</v>
      </c>
      <c r="W528">
        <f t="array" ref="W528">INDEX(L$3:L$700,MATCH($B528&amp;$C528&amp;"baseline",$B$3:$B$700&amp;$C$3:$C$700&amp;$D$3:$D$700,0))</f>
        <v>37.958336291892508</v>
      </c>
      <c r="X528">
        <f t="array" ref="X528">INDEX(M$3:M$700,MATCH($B528&amp;$C528&amp;"baseline",$B$3:$B$700&amp;$C$3:$C$700&amp;$D$3:$D$700,0))</f>
        <v>9.2652906144948552</v>
      </c>
      <c r="Y528">
        <f t="array" ref="Y528">INDEX(N$3:N$700,MATCH($B528&amp;$C528&amp;"baseline",$B$3:$B$700&amp;$C$3:$C$700&amp;$D$3:$D$700,0))</f>
        <v>0</v>
      </c>
      <c r="Z528">
        <f t="array" ref="Z528">INDEX(O$3:O$700,MATCH($B528&amp;$C528&amp;"baseline",$B$3:$B$700&amp;$C$3:$C$700&amp;$D$3:$D$700,0))</f>
        <v>15.231684303287548</v>
      </c>
      <c r="AA528">
        <f t="array" ref="AA528">INDEX(P$3:P$700,MATCH($B528&amp;$C528&amp;"baseline",$B$3:$B$700&amp;$C$3:$C$700&amp;$D$3:$D$700,0))</f>
        <v>0.74476689811027452</v>
      </c>
      <c r="AB528">
        <f t="array" ref="AB528">INDEX(Q$3:Q$700,MATCH($B528&amp;$C528&amp;"baseline",$B$3:$B$700&amp;$C$3:$C$700&amp;$D$3:$D$700,0))</f>
        <v>0</v>
      </c>
      <c r="AC528">
        <f t="shared" si="67"/>
        <v>374.42705338644384</v>
      </c>
      <c r="AD528">
        <f t="shared" si="64"/>
        <v>15.56427677895573</v>
      </c>
      <c r="AE528">
        <f t="shared" si="65"/>
        <v>-4.8905358611797709</v>
      </c>
      <c r="AF528">
        <f t="shared" si="68"/>
        <v>2.8506863543216405</v>
      </c>
      <c r="AG528">
        <f>(S528+V528+Y528)*constants!$O$2+(R528+T528+U528+W528+X528+Z528+AA528+AB528)*constants!$N$2</f>
        <v>13.109581240610872</v>
      </c>
      <c r="AH528">
        <f>((S528+V528+Y528)-(H528+K528+N528))*constants!$O$2</f>
        <v>0.2521412838190828</v>
      </c>
      <c r="AI528">
        <f>((R528+T528+U528+W528+X528+Z528+AA528+AB528)-(G528+I528+J528+L528+M528+O528+P528+Q528))*constants!$N$2</f>
        <v>-0.55263055231331415</v>
      </c>
      <c r="AJ528">
        <f t="shared" si="69"/>
        <v>-2.2921347599065593</v>
      </c>
      <c r="AK528">
        <f t="shared" si="66"/>
        <v>-0.30048926849423135</v>
      </c>
      <c r="AL528">
        <f>COUNTIFS($B:$B,$B528,$AK:$AK,"&lt;"&amp;$AK528)+COUNTIFS($B$2:$B528,$B528,$AK$2:$AK528,$AK528)</f>
        <v>20</v>
      </c>
      <c r="AM528" s="191">
        <f>IF(AK528=0, "NA",IF(((sim_annual_output!F528/E528)/AK528)&lt;0,100,((sim_annual_output!F528/E528)/AK528)))</f>
        <v>100</v>
      </c>
      <c r="AN528">
        <f>(S528+V528)*constants!$F$2+(T528+U528+W528+X528+Y528+Z528+AA528+AB528)*constants!$G$2</f>
        <v>117304.56359174766</v>
      </c>
      <c r="AO528">
        <f>(AD528*constants!$F$2+AE528*constants!$G$2)</f>
        <v>-1468.7606557933254</v>
      </c>
      <c r="AP528">
        <f t="shared" si="70"/>
        <v>-1.2520916585180939</v>
      </c>
    </row>
    <row r="529" spans="1:42">
      <c r="A529">
        <f>sim_annual_output!B529</f>
        <v>25</v>
      </c>
      <c r="B529" t="str">
        <f>sim_annual_output!C529</f>
        <v>Training Building</v>
      </c>
      <c r="C529" t="str">
        <f>sim_annual_output!D529</f>
        <v>1980-2004</v>
      </c>
      <c r="D529" t="str">
        <f>sim_annual_output!E529</f>
        <v>economizers_enabled</v>
      </c>
      <c r="E529" s="45">
        <f t="array" ref="E529">IFERROR(INDEX(baseline!$J$3:$J$201,MATCH($B529&amp;$C529,baseline!$C$3:$C$201&amp;baseline!$D$3:$D$201,0)),"NA")</f>
        <v>3699.892902</v>
      </c>
      <c r="F529">
        <f>sim_annual_output!G529</f>
        <v>3699.8929020249998</v>
      </c>
      <c r="G529">
        <f>$E529/$F529^2*sim_annual_output!I529</f>
        <v>0</v>
      </c>
      <c r="H529">
        <f>$E529/$F529^2*sim_annual_output!J529</f>
        <v>300.44812612929451</v>
      </c>
      <c r="I529">
        <f>$E529/$F529^2*sim_annual_output!K529</f>
        <v>2.5804070854889245</v>
      </c>
      <c r="J529">
        <f>$E529/$F529^2*sim_annual_output!L529</f>
        <v>7.7111903331558764</v>
      </c>
      <c r="K529">
        <f>$E529/$F529^2*sim_annual_output!M529</f>
        <v>0</v>
      </c>
      <c r="L529">
        <f>$E529/$F529^2*sim_annual_output!N529</f>
        <v>37.958336291892508</v>
      </c>
      <c r="M529">
        <f>$E529/$F529^2*sim_annual_output!O529</f>
        <v>9.2652906144948552</v>
      </c>
      <c r="N529">
        <f>$E529/$F529^2*sim_annual_output!P529</f>
        <v>0</v>
      </c>
      <c r="O529">
        <f>$E529/$F529^2*sim_annual_output!Q529</f>
        <v>16.556048021298157</v>
      </c>
      <c r="P529">
        <f>$E529/$F529^2*sim_annual_output!R529</f>
        <v>0.70122205930947212</v>
      </c>
      <c r="Q529">
        <f>$E529/$F529^2*sim_annual_output!S529</f>
        <v>0</v>
      </c>
      <c r="R529">
        <f t="array" ref="R529">INDEX(G$3:G$700,MATCH($B529&amp;$C529&amp;"baseline",$B$3:$B$700&amp;$C$3:$C$700&amp;$D$3:$D$700,0))</f>
        <v>0</v>
      </c>
      <c r="S529">
        <f t="array" ref="S529">INDEX(H$3:H$700,MATCH($B529&amp;$C529&amp;"baseline",$B$3:$B$700&amp;$C$3:$C$700&amp;$D$3:$D$700,0))</f>
        <v>301.65987388488929</v>
      </c>
      <c r="T529">
        <f t="array" ref="T529">INDEX(I$3:I$700,MATCH($B529&amp;$C529&amp;"baseline",$B$3:$B$700&amp;$C$3:$C$700&amp;$D$3:$D$700,0))</f>
        <v>1.8559110606135065</v>
      </c>
      <c r="U529">
        <f t="array" ref="U529">INDEX(J$3:J$700,MATCH($B529&amp;$C529&amp;"baseline",$B$3:$B$700&amp;$C$3:$C$700&amp;$D$3:$D$700,0))</f>
        <v>7.7111903331558764</v>
      </c>
      <c r="V529">
        <f t="array" ref="V529">INDEX(K$3:K$700,MATCH($B529&amp;$C529&amp;"baseline",$B$3:$B$700&amp;$C$3:$C$700&amp;$D$3:$D$700,0))</f>
        <v>0</v>
      </c>
      <c r="W529">
        <f t="array" ref="W529">INDEX(L$3:L$700,MATCH($B529&amp;$C529&amp;"baseline",$B$3:$B$700&amp;$C$3:$C$700&amp;$D$3:$D$700,0))</f>
        <v>37.958336291892508</v>
      </c>
      <c r="X529">
        <f t="array" ref="X529">INDEX(M$3:M$700,MATCH($B529&amp;$C529&amp;"baseline",$B$3:$B$700&amp;$C$3:$C$700&amp;$D$3:$D$700,0))</f>
        <v>9.2652906144948552</v>
      </c>
      <c r="Y529">
        <f t="array" ref="Y529">INDEX(N$3:N$700,MATCH($B529&amp;$C529&amp;"baseline",$B$3:$B$700&amp;$C$3:$C$700&amp;$D$3:$D$700,0))</f>
        <v>0</v>
      </c>
      <c r="Z529">
        <f t="array" ref="Z529">INDEX(O$3:O$700,MATCH($B529&amp;$C529&amp;"baseline",$B$3:$B$700&amp;$C$3:$C$700&amp;$D$3:$D$700,0))</f>
        <v>15.231684303287548</v>
      </c>
      <c r="AA529">
        <f t="array" ref="AA529">INDEX(P$3:P$700,MATCH($B529&amp;$C529&amp;"baseline",$B$3:$B$700&amp;$C$3:$C$700&amp;$D$3:$D$700,0))</f>
        <v>0.74476689811027452</v>
      </c>
      <c r="AB529">
        <f t="array" ref="AB529">INDEX(Q$3:Q$700,MATCH($B529&amp;$C529&amp;"baseline",$B$3:$B$700&amp;$C$3:$C$700&amp;$D$3:$D$700,0))</f>
        <v>0</v>
      </c>
      <c r="AC529">
        <f t="shared" si="67"/>
        <v>374.42705338644384</v>
      </c>
      <c r="AD529">
        <f t="shared" si="64"/>
        <v>1.2117477555947858</v>
      </c>
      <c r="AE529">
        <f t="shared" si="65"/>
        <v>-2.0053149040852247</v>
      </c>
      <c r="AF529">
        <f t="shared" si="68"/>
        <v>-0.2119417230440887</v>
      </c>
      <c r="AG529">
        <f>(S529+V529+Y529)*constants!$O$2+(R529+T529+U529+W529+X529+Z529+AA529+AB529)*constants!$N$2</f>
        <v>13.109581240610872</v>
      </c>
      <c r="AH529">
        <f>((S529+V529+Y529)-(H529+K529+N529))*constants!$O$2</f>
        <v>1.9630313640635527E-2</v>
      </c>
      <c r="AI529">
        <f>((R529+T529+U529+W529+X529+Z529+AA529+AB529)-(G529+I529+J529+L529+M529+O529+P529+Q529))*constants!$N$2</f>
        <v>-0.2266005841616304</v>
      </c>
      <c r="AJ529">
        <f t="shared" si="69"/>
        <v>-1.5787710280160756</v>
      </c>
      <c r="AK529">
        <f t="shared" si="66"/>
        <v>-0.20697027052099487</v>
      </c>
      <c r="AL529">
        <f>COUNTIFS($B:$B,$B529,$AK:$AK,"&lt;"&amp;$AK529)+COUNTIFS($B$2:$B529,$B529,$AK$2:$AK529,$AK529)</f>
        <v>26</v>
      </c>
      <c r="AM529" s="191">
        <f>IF(AK529=0, "NA",IF(((sim_annual_output!F529/E529)/AK529)&lt;0,100,((sim_annual_output!F529/E529)/AK529)))</f>
        <v>100</v>
      </c>
      <c r="AN529">
        <f>(S529+V529)*constants!$F$2+(T529+U529+W529+X529+Y529+Z529+AA529+AB529)*constants!$G$2</f>
        <v>117304.56359174766</v>
      </c>
      <c r="AO529">
        <f>(AD529*constants!$F$2+AE529*constants!$G$2)</f>
        <v>-1527.7211183026789</v>
      </c>
      <c r="AP529">
        <f t="shared" si="70"/>
        <v>-1.3023543769529471</v>
      </c>
    </row>
    <row r="530" spans="1:42">
      <c r="A530">
        <f>sim_annual_output!B530</f>
        <v>25</v>
      </c>
      <c r="B530" t="str">
        <f>sim_annual_output!C530</f>
        <v>Training Building</v>
      </c>
      <c r="C530" t="str">
        <f>sim_annual_output!D530</f>
        <v>1980-2004</v>
      </c>
      <c r="D530" t="str">
        <f>sim_annual_output!E530</f>
        <v>elec_reduce</v>
      </c>
      <c r="E530" s="45">
        <f t="array" ref="E530">IFERROR(INDEX(baseline!$J$3:$J$201,MATCH($B530&amp;$C530,baseline!$C$3:$C$201&amp;baseline!$D$3:$D$201,0)),"NA")</f>
        <v>3699.892902</v>
      </c>
      <c r="F530">
        <f>sim_annual_output!G530</f>
        <v>3699.8929020249998</v>
      </c>
      <c r="G530">
        <f>$E530/$F530^2*sim_annual_output!I530</f>
        <v>0</v>
      </c>
      <c r="H530">
        <f>$E530/$F530^2*sim_annual_output!J530</f>
        <v>238.33066280686725</v>
      </c>
      <c r="I530">
        <f>$E530/$F530^2*sim_annual_output!K530</f>
        <v>2.1877527631989313</v>
      </c>
      <c r="J530">
        <f>$E530/$F530^2*sim_annual_output!L530</f>
        <v>7.7111903331558764</v>
      </c>
      <c r="K530">
        <f>$E530/$F530^2*sim_annual_output!M530</f>
        <v>0</v>
      </c>
      <c r="L530">
        <f>$E530/$F530^2*sim_annual_output!N530</f>
        <v>26.570610172399924</v>
      </c>
      <c r="M530">
        <f>$E530/$F530^2*sim_annual_output!O530</f>
        <v>9.2652906144948552</v>
      </c>
      <c r="N530">
        <f>$E530/$F530^2*sim_annual_output!P530</f>
        <v>0</v>
      </c>
      <c r="O530">
        <f>$E530/$F530^2*sim_annual_output!Q530</f>
        <v>15.621335533246453</v>
      </c>
      <c r="P530">
        <f>$E530/$F530^2*sim_annual_output!R530</f>
        <v>0.47223626906387361</v>
      </c>
      <c r="Q530">
        <f>$E530/$F530^2*sim_annual_output!S530</f>
        <v>0</v>
      </c>
      <c r="R530">
        <f t="array" ref="R530">INDEX(G$3:G$700,MATCH($B530&amp;$C530&amp;"baseline",$B$3:$B$700&amp;$C$3:$C$700&amp;$D$3:$D$700,0))</f>
        <v>0</v>
      </c>
      <c r="S530">
        <f t="array" ref="S530">INDEX(H$3:H$700,MATCH($B530&amp;$C530&amp;"baseline",$B$3:$B$700&amp;$C$3:$C$700&amp;$D$3:$D$700,0))</f>
        <v>301.65987388488929</v>
      </c>
      <c r="T530">
        <f t="array" ref="T530">INDEX(I$3:I$700,MATCH($B530&amp;$C530&amp;"baseline",$B$3:$B$700&amp;$C$3:$C$700&amp;$D$3:$D$700,0))</f>
        <v>1.8559110606135065</v>
      </c>
      <c r="U530">
        <f t="array" ref="U530">INDEX(J$3:J$700,MATCH($B530&amp;$C530&amp;"baseline",$B$3:$B$700&amp;$C$3:$C$700&amp;$D$3:$D$700,0))</f>
        <v>7.7111903331558764</v>
      </c>
      <c r="V530">
        <f t="array" ref="V530">INDEX(K$3:K$700,MATCH($B530&amp;$C530&amp;"baseline",$B$3:$B$700&amp;$C$3:$C$700&amp;$D$3:$D$700,0))</f>
        <v>0</v>
      </c>
      <c r="W530">
        <f t="array" ref="W530">INDEX(L$3:L$700,MATCH($B530&amp;$C530&amp;"baseline",$B$3:$B$700&amp;$C$3:$C$700&amp;$D$3:$D$700,0))</f>
        <v>37.958336291892508</v>
      </c>
      <c r="X530">
        <f t="array" ref="X530">INDEX(M$3:M$700,MATCH($B530&amp;$C530&amp;"baseline",$B$3:$B$700&amp;$C$3:$C$700&amp;$D$3:$D$700,0))</f>
        <v>9.2652906144948552</v>
      </c>
      <c r="Y530">
        <f t="array" ref="Y530">INDEX(N$3:N$700,MATCH($B530&amp;$C530&amp;"baseline",$B$3:$B$700&amp;$C$3:$C$700&amp;$D$3:$D$700,0))</f>
        <v>0</v>
      </c>
      <c r="Z530">
        <f t="array" ref="Z530">INDEX(O$3:O$700,MATCH($B530&amp;$C530&amp;"baseline",$B$3:$B$700&amp;$C$3:$C$700&amp;$D$3:$D$700,0))</f>
        <v>15.231684303287548</v>
      </c>
      <c r="AA530">
        <f t="array" ref="AA530">INDEX(P$3:P$700,MATCH($B530&amp;$C530&amp;"baseline",$B$3:$B$700&amp;$C$3:$C$700&amp;$D$3:$D$700,0))</f>
        <v>0.74476689811027452</v>
      </c>
      <c r="AB530">
        <f t="array" ref="AB530">INDEX(Q$3:Q$700,MATCH($B530&amp;$C530&amp;"baseline",$B$3:$B$700&amp;$C$3:$C$700&amp;$D$3:$D$700,0))</f>
        <v>0</v>
      </c>
      <c r="AC530">
        <f t="shared" si="67"/>
        <v>374.42705338644384</v>
      </c>
      <c r="AD530">
        <f t="shared" si="64"/>
        <v>63.329211078022041</v>
      </c>
      <c r="AE530">
        <f t="shared" si="65"/>
        <v>10.938763815994662</v>
      </c>
      <c r="AF530">
        <f t="shared" si="68"/>
        <v>19.835098511796151</v>
      </c>
      <c r="AG530">
        <f>(S530+V530+Y530)*constants!$O$2+(R530+T530+U530+W530+X530+Z530+AA530+AB530)*constants!$N$2</f>
        <v>13.109581240610872</v>
      </c>
      <c r="AH530">
        <f>((S530+V530+Y530)-(H530+K530+N530))*constants!$O$2</f>
        <v>1.025933219463957</v>
      </c>
      <c r="AI530">
        <f>((R530+T530+U530+W530+X530+Z530+AA530+AB530)-(G530+I530+J530+L530+M530+O530+P530+Q530))*constants!$N$2</f>
        <v>1.2360803112073968</v>
      </c>
      <c r="AJ530">
        <f t="shared" si="69"/>
        <v>17.254658933453086</v>
      </c>
      <c r="AK530">
        <f t="shared" si="66"/>
        <v>2.2620135306713536</v>
      </c>
      <c r="AL530">
        <f>COUNTIFS($B:$B,$B530,$AK:$AK,"&lt;"&amp;$AK530)+COUNTIFS($B$2:$B530,$B530,$AK$2:$AK530,$AK530)</f>
        <v>61</v>
      </c>
      <c r="AM530" s="191">
        <f>IF(AK530=0, "NA",IF(((sim_annual_output!F530/E530)/AK530)&lt;0,100,((sim_annual_output!F530/E530)/AK530)))</f>
        <v>25.380369912503397</v>
      </c>
      <c r="AN530">
        <f>(S530+V530)*constants!$F$2+(T530+U530+W530+X530+Y530+Z530+AA530+AB530)*constants!$G$2</f>
        <v>117304.56359174766</v>
      </c>
      <c r="AO530">
        <f>(AD530*constants!$F$2+AE530*constants!$G$2)</f>
        <v>20852.653302881299</v>
      </c>
      <c r="AP530">
        <f t="shared" si="70"/>
        <v>17.776506441347244</v>
      </c>
    </row>
    <row r="531" spans="1:42">
      <c r="A531">
        <f>sim_annual_output!B531</f>
        <v>25</v>
      </c>
      <c r="B531" t="str">
        <f>sim_annual_output!C531</f>
        <v>Training Building</v>
      </c>
      <c r="C531" t="str">
        <f>sim_annual_output!D531</f>
        <v>1980-2004</v>
      </c>
      <c r="D531" t="str">
        <f>sim_annual_output!E531</f>
        <v>envelope_ecm_roof</v>
      </c>
      <c r="E531" s="45">
        <f t="array" ref="E531">IFERROR(INDEX(baseline!$J$3:$J$201,MATCH($B531&amp;$C531,baseline!$C$3:$C$201&amp;baseline!$D$3:$D$201,0)),"NA")</f>
        <v>3699.892902</v>
      </c>
      <c r="F531">
        <f>sim_annual_output!G531</f>
        <v>3699.8929020249998</v>
      </c>
      <c r="G531">
        <f>$E531/$F531^2*sim_annual_output!I531</f>
        <v>0</v>
      </c>
      <c r="H531">
        <f>$E531/$F531^2*sim_annual_output!J531</f>
        <v>275.69889145570062</v>
      </c>
      <c r="I531">
        <f>$E531/$F531^2*sim_annual_output!K531</f>
        <v>3.8086718489046598</v>
      </c>
      <c r="J531">
        <f>$E531/$F531^2*sim_annual_output!L531</f>
        <v>7.7111903331558764</v>
      </c>
      <c r="K531">
        <f>$E531/$F531^2*sim_annual_output!M531</f>
        <v>0</v>
      </c>
      <c r="L531">
        <f>$E531/$F531^2*sim_annual_output!N531</f>
        <v>37.958336291892508</v>
      </c>
      <c r="M531">
        <f>$E531/$F531^2*sim_annual_output!O531</f>
        <v>9.2652906144948552</v>
      </c>
      <c r="N531">
        <f>$E531/$F531^2*sim_annual_output!P531</f>
        <v>0</v>
      </c>
      <c r="O531">
        <f>$E531/$F531^2*sim_annual_output!Q531</f>
        <v>15.353309542696687</v>
      </c>
      <c r="P531">
        <f>$E531/$F531^2*sim_annual_output!R531</f>
        <v>0.6884589169023404</v>
      </c>
      <c r="Q531">
        <f>$E531/$F531^2*sim_annual_output!S531</f>
        <v>0</v>
      </c>
      <c r="R531">
        <f t="array" ref="R531">INDEX(G$3:G$700,MATCH($B531&amp;$C531&amp;"baseline",$B$3:$B$700&amp;$C$3:$C$700&amp;$D$3:$D$700,0))</f>
        <v>0</v>
      </c>
      <c r="S531">
        <f t="array" ref="S531">INDEX(H$3:H$700,MATCH($B531&amp;$C531&amp;"baseline",$B$3:$B$700&amp;$C$3:$C$700&amp;$D$3:$D$700,0))</f>
        <v>301.65987388488929</v>
      </c>
      <c r="T531">
        <f t="array" ref="T531">INDEX(I$3:I$700,MATCH($B531&amp;$C531&amp;"baseline",$B$3:$B$700&amp;$C$3:$C$700&amp;$D$3:$D$700,0))</f>
        <v>1.8559110606135065</v>
      </c>
      <c r="U531">
        <f t="array" ref="U531">INDEX(J$3:J$700,MATCH($B531&amp;$C531&amp;"baseline",$B$3:$B$700&amp;$C$3:$C$700&amp;$D$3:$D$700,0))</f>
        <v>7.7111903331558764</v>
      </c>
      <c r="V531">
        <f t="array" ref="V531">INDEX(K$3:K$700,MATCH($B531&amp;$C531&amp;"baseline",$B$3:$B$700&amp;$C$3:$C$700&amp;$D$3:$D$700,0))</f>
        <v>0</v>
      </c>
      <c r="W531">
        <f t="array" ref="W531">INDEX(L$3:L$700,MATCH($B531&amp;$C531&amp;"baseline",$B$3:$B$700&amp;$C$3:$C$700&amp;$D$3:$D$700,0))</f>
        <v>37.958336291892508</v>
      </c>
      <c r="X531">
        <f t="array" ref="X531">INDEX(M$3:M$700,MATCH($B531&amp;$C531&amp;"baseline",$B$3:$B$700&amp;$C$3:$C$700&amp;$D$3:$D$700,0))</f>
        <v>9.2652906144948552</v>
      </c>
      <c r="Y531">
        <f t="array" ref="Y531">INDEX(N$3:N$700,MATCH($B531&amp;$C531&amp;"baseline",$B$3:$B$700&amp;$C$3:$C$700&amp;$D$3:$D$700,0))</f>
        <v>0</v>
      </c>
      <c r="Z531">
        <f t="array" ref="Z531">INDEX(O$3:O$700,MATCH($B531&amp;$C531&amp;"baseline",$B$3:$B$700&amp;$C$3:$C$700&amp;$D$3:$D$700,0))</f>
        <v>15.231684303287548</v>
      </c>
      <c r="AA531">
        <f t="array" ref="AA531">INDEX(P$3:P$700,MATCH($B531&amp;$C531&amp;"baseline",$B$3:$B$700&amp;$C$3:$C$700&amp;$D$3:$D$700,0))</f>
        <v>0.74476689811027452</v>
      </c>
      <c r="AB531">
        <f t="array" ref="AB531">INDEX(Q$3:Q$700,MATCH($B531&amp;$C531&amp;"baseline",$B$3:$B$700&amp;$C$3:$C$700&amp;$D$3:$D$700,0))</f>
        <v>0</v>
      </c>
      <c r="AC531">
        <f t="shared" si="67"/>
        <v>374.42705338644384</v>
      </c>
      <c r="AD531">
        <f t="shared" si="64"/>
        <v>25.960982429188675</v>
      </c>
      <c r="AE531">
        <f t="shared" si="65"/>
        <v>-2.0180780464923629</v>
      </c>
      <c r="AF531">
        <f t="shared" si="68"/>
        <v>6.3945444556285818</v>
      </c>
      <c r="AG531">
        <f>(S531+V531+Y531)*constants!$O$2+(R531+T531+U531+W531+X531+Z531+AA531+AB531)*constants!$N$2</f>
        <v>13.109581240610872</v>
      </c>
      <c r="AH531">
        <f>((S531+V531+Y531)-(H531+K531+N531))*constants!$O$2</f>
        <v>0.42056791535285654</v>
      </c>
      <c r="AI531">
        <f>((R531+T531+U531+W531+X531+Z531+AA531+AB531)-(G531+I531+J531+L531+M531+O531+P531+Q531))*constants!$N$2</f>
        <v>-0.22804281925363701</v>
      </c>
      <c r="AJ531">
        <f t="shared" si="69"/>
        <v>1.4685831115857089</v>
      </c>
      <c r="AK531">
        <f t="shared" si="66"/>
        <v>0.19252509609921953</v>
      </c>
      <c r="AL531">
        <f>COUNTIFS($B:$B,$B531,$AK:$AK,"&lt;"&amp;$AK531)+COUNTIFS($B$2:$B531,$B531,$AK$2:$AK531,$AK531)</f>
        <v>42</v>
      </c>
      <c r="AM531" s="191">
        <f>IF(AK531=0, "NA",IF(((sim_annual_output!F531/E531)/AK531)&lt;0,100,((sim_annual_output!F531/E531)/AK531)))</f>
        <v>712.980465814441</v>
      </c>
      <c r="AN531">
        <f>(S531+V531)*constants!$F$2+(T531+U531+W531+X531+Y531+Z531+AA531+AB531)*constants!$G$2</f>
        <v>117304.56359174766</v>
      </c>
      <c r="AO531">
        <f>(AD531*constants!$F$2+AE531*constants!$G$2)</f>
        <v>2891.287954376417</v>
      </c>
      <c r="AP531">
        <f t="shared" si="70"/>
        <v>2.4647702236367368</v>
      </c>
    </row>
    <row r="532" spans="1:42">
      <c r="A532">
        <f>sim_annual_output!B532</f>
        <v>25</v>
      </c>
      <c r="B532" t="str">
        <f>sim_annual_output!C532</f>
        <v>Training Building</v>
      </c>
      <c r="C532" t="str">
        <f>sim_annual_output!D532</f>
        <v>1980-2004</v>
      </c>
      <c r="D532" t="str">
        <f>sim_annual_output!E532</f>
        <v>envelope_ecm_wall</v>
      </c>
      <c r="E532" s="45">
        <f t="array" ref="E532">IFERROR(INDEX(baseline!$J$3:$J$201,MATCH($B532&amp;$C532,baseline!$C$3:$C$201&amp;baseline!$D$3:$D$201,0)),"NA")</f>
        <v>3699.892902</v>
      </c>
      <c r="F532">
        <f>sim_annual_output!G532</f>
        <v>3699.8929020249998</v>
      </c>
      <c r="G532">
        <f>$E532/$F532^2*sim_annual_output!I532</f>
        <v>0</v>
      </c>
      <c r="H532">
        <f>$E532/$F532^2*sim_annual_output!J532</f>
        <v>293.11983006835266</v>
      </c>
      <c r="I532">
        <f>$E532/$F532^2*sim_annual_output!K532</f>
        <v>3.8079210758218869</v>
      </c>
      <c r="J532">
        <f>$E532/$F532^2*sim_annual_output!L532</f>
        <v>7.7111903331558764</v>
      </c>
      <c r="K532">
        <f>$E532/$F532^2*sim_annual_output!M532</f>
        <v>0</v>
      </c>
      <c r="L532">
        <f>$E532/$F532^2*sim_annual_output!N532</f>
        <v>37.958336291892508</v>
      </c>
      <c r="M532">
        <f>$E532/$F532^2*sim_annual_output!O532</f>
        <v>9.2652906144948552</v>
      </c>
      <c r="N532">
        <f>$E532/$F532^2*sim_annual_output!P532</f>
        <v>0</v>
      </c>
      <c r="O532">
        <f>$E532/$F532^2*sim_annual_output!Q532</f>
        <v>16.230212503374915</v>
      </c>
      <c r="P532">
        <f>$E532/$F532^2*sim_annual_output!R532</f>
        <v>0.69821896697838226</v>
      </c>
      <c r="Q532">
        <f>$E532/$F532^2*sim_annual_output!S532</f>
        <v>0</v>
      </c>
      <c r="R532">
        <f t="array" ref="R532">INDEX(G$3:G$700,MATCH($B532&amp;$C532&amp;"baseline",$B$3:$B$700&amp;$C$3:$C$700&amp;$D$3:$D$700,0))</f>
        <v>0</v>
      </c>
      <c r="S532">
        <f t="array" ref="S532">INDEX(H$3:H$700,MATCH($B532&amp;$C532&amp;"baseline",$B$3:$B$700&amp;$C$3:$C$700&amp;$D$3:$D$700,0))</f>
        <v>301.65987388488929</v>
      </c>
      <c r="T532">
        <f t="array" ref="T532">INDEX(I$3:I$700,MATCH($B532&amp;$C532&amp;"baseline",$B$3:$B$700&amp;$C$3:$C$700&amp;$D$3:$D$700,0))</f>
        <v>1.8559110606135065</v>
      </c>
      <c r="U532">
        <f t="array" ref="U532">INDEX(J$3:J$700,MATCH($B532&amp;$C532&amp;"baseline",$B$3:$B$700&amp;$C$3:$C$700&amp;$D$3:$D$700,0))</f>
        <v>7.7111903331558764</v>
      </c>
      <c r="V532">
        <f t="array" ref="V532">INDEX(K$3:K$700,MATCH($B532&amp;$C532&amp;"baseline",$B$3:$B$700&amp;$C$3:$C$700&amp;$D$3:$D$700,0))</f>
        <v>0</v>
      </c>
      <c r="W532">
        <f t="array" ref="W532">INDEX(L$3:L$700,MATCH($B532&amp;$C532&amp;"baseline",$B$3:$B$700&amp;$C$3:$C$700&amp;$D$3:$D$700,0))</f>
        <v>37.958336291892508</v>
      </c>
      <c r="X532">
        <f t="array" ref="X532">INDEX(M$3:M$700,MATCH($B532&amp;$C532&amp;"baseline",$B$3:$B$700&amp;$C$3:$C$700&amp;$D$3:$D$700,0))</f>
        <v>9.2652906144948552</v>
      </c>
      <c r="Y532">
        <f t="array" ref="Y532">INDEX(N$3:N$700,MATCH($B532&amp;$C532&amp;"baseline",$B$3:$B$700&amp;$C$3:$C$700&amp;$D$3:$D$700,0))</f>
        <v>0</v>
      </c>
      <c r="Z532">
        <f t="array" ref="Z532">INDEX(O$3:O$700,MATCH($B532&amp;$C532&amp;"baseline",$B$3:$B$700&amp;$C$3:$C$700&amp;$D$3:$D$700,0))</f>
        <v>15.231684303287548</v>
      </c>
      <c r="AA532">
        <f t="array" ref="AA532">INDEX(P$3:P$700,MATCH($B532&amp;$C532&amp;"baseline",$B$3:$B$700&amp;$C$3:$C$700&amp;$D$3:$D$700,0))</f>
        <v>0.74476689811027452</v>
      </c>
      <c r="AB532">
        <f t="array" ref="AB532">INDEX(Q$3:Q$700,MATCH($B532&amp;$C532&amp;"baseline",$B$3:$B$700&amp;$C$3:$C$700&amp;$D$3:$D$700,0))</f>
        <v>0</v>
      </c>
      <c r="AC532">
        <f t="shared" si="67"/>
        <v>374.42705338644384</v>
      </c>
      <c r="AD532">
        <f t="shared" si="64"/>
        <v>8.5400438165366381</v>
      </c>
      <c r="AE532">
        <f t="shared" si="65"/>
        <v>-2.9039902841638678</v>
      </c>
      <c r="AF532">
        <f t="shared" si="68"/>
        <v>1.5052474123860473</v>
      </c>
      <c r="AG532">
        <f>(S532+V532+Y532)*constants!$O$2+(R532+T532+U532+W532+X532+Z532+AA532+AB532)*constants!$N$2</f>
        <v>13.109581240610872</v>
      </c>
      <c r="AH532">
        <f>((S532+V532+Y532)-(H532+K532+N532))*constants!$O$2</f>
        <v>0.13834870982789352</v>
      </c>
      <c r="AI532">
        <f>((R532+T532+U532+W532+X532+Z532+AA532+AB532)-(G532+I532+J532+L532+M532+O532+P532+Q532))*constants!$N$2</f>
        <v>-0.32815090211051706</v>
      </c>
      <c r="AJ532">
        <f t="shared" si="69"/>
        <v>-1.4478127775329248</v>
      </c>
      <c r="AK532">
        <f t="shared" si="66"/>
        <v>-0.18980219228262354</v>
      </c>
      <c r="AL532">
        <f>COUNTIFS($B:$B,$B532,$AK:$AK,"&lt;"&amp;$AK532)+COUNTIFS($B$2:$B532,$B532,$AK$2:$AK532,$AK532)</f>
        <v>28</v>
      </c>
      <c r="AM532" s="191">
        <f>IF(AK532=0, "NA",IF(((sim_annual_output!F532/E532)/AK532)&lt;0,100,((sim_annual_output!F532/E532)/AK532)))</f>
        <v>100</v>
      </c>
      <c r="AN532">
        <f>(S532+V532)*constants!$F$2+(T532+U532+W532+X532+Y532+Z532+AA532+AB532)*constants!$G$2</f>
        <v>117304.56359174766</v>
      </c>
      <c r="AO532">
        <f>(AD532*constants!$F$2+AE532*constants!$G$2)</f>
        <v>-997.80370406250654</v>
      </c>
      <c r="AP532">
        <f t="shared" si="70"/>
        <v>-0.85060945074152405</v>
      </c>
    </row>
    <row r="533" spans="1:42">
      <c r="A533">
        <f>sim_annual_output!B533</f>
        <v>25</v>
      </c>
      <c r="B533" t="str">
        <f>sim_annual_output!C533</f>
        <v>Training Building</v>
      </c>
      <c r="C533" t="str">
        <f>sim_annual_output!D533</f>
        <v>1980-2004</v>
      </c>
      <c r="D533" t="str">
        <f>sim_annual_output!E533</f>
        <v>envelope_ecm_windows</v>
      </c>
      <c r="E533" s="45">
        <f t="array" ref="E533">IFERROR(INDEX(baseline!$J$3:$J$201,MATCH($B533&amp;$C533,baseline!$C$3:$C$201&amp;baseline!$D$3:$D$201,0)),"NA")</f>
        <v>3699.892902</v>
      </c>
      <c r="F533">
        <f>sim_annual_output!G533</f>
        <v>3699.8929020249998</v>
      </c>
      <c r="G533">
        <f>$E533/$F533^2*sim_annual_output!I533</f>
        <v>0</v>
      </c>
      <c r="H533">
        <f>$E533/$F533^2*sim_annual_output!J533</f>
        <v>295.11088028386519</v>
      </c>
      <c r="I533">
        <f>$E533/$F533^2*sim_annual_output!K533</f>
        <v>3.7816440179248514</v>
      </c>
      <c r="J533">
        <f>$E533/$F533^2*sim_annual_output!L533</f>
        <v>7.7111903331558764</v>
      </c>
      <c r="K533">
        <f>$E533/$F533^2*sim_annual_output!M533</f>
        <v>0</v>
      </c>
      <c r="L533">
        <f>$E533/$F533^2*sim_annual_output!N533</f>
        <v>37.958336291892508</v>
      </c>
      <c r="M533">
        <f>$E533/$F533^2*sim_annual_output!O533</f>
        <v>9.2652906144948552</v>
      </c>
      <c r="N533">
        <f>$E533/$F533^2*sim_annual_output!P533</f>
        <v>0</v>
      </c>
      <c r="O533">
        <f>$E533/$F533^2*sim_annual_output!Q533</f>
        <v>16.417155000985254</v>
      </c>
      <c r="P533">
        <f>$E533/$F533^2*sim_annual_output!R533</f>
        <v>0.69296355539897514</v>
      </c>
      <c r="Q533">
        <f>$E533/$F533^2*sim_annual_output!S533</f>
        <v>0</v>
      </c>
      <c r="R533">
        <f t="array" ref="R533">INDEX(G$3:G$700,MATCH($B533&amp;$C533&amp;"baseline",$B$3:$B$700&amp;$C$3:$C$700&amp;$D$3:$D$700,0))</f>
        <v>0</v>
      </c>
      <c r="S533">
        <f t="array" ref="S533">INDEX(H$3:H$700,MATCH($B533&amp;$C533&amp;"baseline",$B$3:$B$700&amp;$C$3:$C$700&amp;$D$3:$D$700,0))</f>
        <v>301.65987388488929</v>
      </c>
      <c r="T533">
        <f t="array" ref="T533">INDEX(I$3:I$700,MATCH($B533&amp;$C533&amp;"baseline",$B$3:$B$700&amp;$C$3:$C$700&amp;$D$3:$D$700,0))</f>
        <v>1.8559110606135065</v>
      </c>
      <c r="U533">
        <f t="array" ref="U533">INDEX(J$3:J$700,MATCH($B533&amp;$C533&amp;"baseline",$B$3:$B$700&amp;$C$3:$C$700&amp;$D$3:$D$700,0))</f>
        <v>7.7111903331558764</v>
      </c>
      <c r="V533">
        <f t="array" ref="V533">INDEX(K$3:K$700,MATCH($B533&amp;$C533&amp;"baseline",$B$3:$B$700&amp;$C$3:$C$700&amp;$D$3:$D$700,0))</f>
        <v>0</v>
      </c>
      <c r="W533">
        <f t="array" ref="W533">INDEX(L$3:L$700,MATCH($B533&amp;$C533&amp;"baseline",$B$3:$B$700&amp;$C$3:$C$700&amp;$D$3:$D$700,0))</f>
        <v>37.958336291892508</v>
      </c>
      <c r="X533">
        <f t="array" ref="X533">INDEX(M$3:M$700,MATCH($B533&amp;$C533&amp;"baseline",$B$3:$B$700&amp;$C$3:$C$700&amp;$D$3:$D$700,0))</f>
        <v>9.2652906144948552</v>
      </c>
      <c r="Y533">
        <f t="array" ref="Y533">INDEX(N$3:N$700,MATCH($B533&amp;$C533&amp;"baseline",$B$3:$B$700&amp;$C$3:$C$700&amp;$D$3:$D$700,0))</f>
        <v>0</v>
      </c>
      <c r="Z533">
        <f t="array" ref="Z533">INDEX(O$3:O$700,MATCH($B533&amp;$C533&amp;"baseline",$B$3:$B$700&amp;$C$3:$C$700&amp;$D$3:$D$700,0))</f>
        <v>15.231684303287548</v>
      </c>
      <c r="AA533">
        <f t="array" ref="AA533">INDEX(P$3:P$700,MATCH($B533&amp;$C533&amp;"baseline",$B$3:$B$700&amp;$C$3:$C$700&amp;$D$3:$D$700,0))</f>
        <v>0.74476689811027452</v>
      </c>
      <c r="AB533">
        <f t="array" ref="AB533">INDEX(Q$3:Q$700,MATCH($B533&amp;$C533&amp;"baseline",$B$3:$B$700&amp;$C$3:$C$700&amp;$D$3:$D$700,0))</f>
        <v>0</v>
      </c>
      <c r="AC533">
        <f t="shared" si="67"/>
        <v>374.42705338644384</v>
      </c>
      <c r="AD533">
        <f t="shared" si="64"/>
        <v>6.5489936010241081</v>
      </c>
      <c r="AE533">
        <f t="shared" si="65"/>
        <v>-3.059400312297754</v>
      </c>
      <c r="AF533">
        <f t="shared" si="68"/>
        <v>0.93198214636610843</v>
      </c>
      <c r="AG533">
        <f>(S533+V533+Y533)*constants!$O$2+(R533+T533+U533+W533+X533+Z533+AA533+AB533)*constants!$N$2</f>
        <v>13.109581240610872</v>
      </c>
      <c r="AH533">
        <f>((S533+V533+Y533)-(H533+K533+N533))*constants!$O$2</f>
        <v>0.10609369633659055</v>
      </c>
      <c r="AI533">
        <f>((R533+T533+U533+W533+X533+Z533+AA533+AB533)-(G533+I533+J533+L533+M533+O533+P533+Q533))*constants!$N$2</f>
        <v>-0.34571223528964623</v>
      </c>
      <c r="AJ533">
        <f t="shared" si="69"/>
        <v>-1.8278123042615975</v>
      </c>
      <c r="AK533">
        <f t="shared" si="66"/>
        <v>-0.23961853895305568</v>
      </c>
      <c r="AL533">
        <f>COUNTIFS($B:$B,$B533,$AK:$AK,"&lt;"&amp;$AK533)+COUNTIFS($B$2:$B533,$B533,$AK$2:$AK533,$AK533)</f>
        <v>24</v>
      </c>
      <c r="AM533" s="191">
        <f>IF(AK533=0, "NA",IF(((sim_annual_output!F533/E533)/AK533)&lt;0,100,((sim_annual_output!F533/E533)/AK533)))</f>
        <v>100</v>
      </c>
      <c r="AN533">
        <f>(S533+V533)*constants!$F$2+(T533+U533+W533+X533+Y533+Z533+AA533+AB533)*constants!$G$2</f>
        <v>117304.56359174766</v>
      </c>
      <c r="AO533">
        <f>(AD533*constants!$F$2+AE533*constants!$G$2)</f>
        <v>-1489.4084171157306</v>
      </c>
      <c r="AP533">
        <f t="shared" si="70"/>
        <v>-1.269693498284759</v>
      </c>
    </row>
    <row r="534" spans="1:42">
      <c r="A534">
        <f>sim_annual_output!B534</f>
        <v>25</v>
      </c>
      <c r="B534" t="str">
        <f>sim_annual_output!C534</f>
        <v>Training Building</v>
      </c>
      <c r="C534" t="str">
        <f>sim_annual_output!D534</f>
        <v>1980-2004</v>
      </c>
      <c r="D534" t="str">
        <f>sim_annual_output!E534</f>
        <v>exhaust_fans_occ_control</v>
      </c>
      <c r="E534" s="45">
        <f t="array" ref="E534">IFERROR(INDEX(baseline!$J$3:$J$201,MATCH($B534&amp;$C534,baseline!$C$3:$C$201&amp;baseline!$D$3:$D$201,0)),"NA")</f>
        <v>3699.892902</v>
      </c>
      <c r="F534">
        <f>sim_annual_output!G534</f>
        <v>3699.8929020249998</v>
      </c>
      <c r="G534">
        <f>$E534/$F534^2*sim_annual_output!I534</f>
        <v>0</v>
      </c>
      <c r="H534">
        <f>$E534/$F534^2*sim_annual_output!J534</f>
        <v>300.62530857682884</v>
      </c>
      <c r="I534">
        <f>$E534/$F534^2*sim_annual_output!K534</f>
        <v>3.6877973825782946</v>
      </c>
      <c r="J534">
        <f>$E534/$F534^2*sim_annual_output!L534</f>
        <v>7.7111903331558764</v>
      </c>
      <c r="K534">
        <f>$E534/$F534^2*sim_annual_output!M534</f>
        <v>0</v>
      </c>
      <c r="L534">
        <f>$E534/$F534^2*sim_annual_output!N534</f>
        <v>37.958336291892508</v>
      </c>
      <c r="M534">
        <f>$E534/$F534^2*sim_annual_output!O534</f>
        <v>9.2652906144948552</v>
      </c>
      <c r="N534">
        <f>$E534/$F534^2*sim_annual_output!P534</f>
        <v>0</v>
      </c>
      <c r="O534">
        <f>$E534/$F534^2*sim_annual_output!Q534</f>
        <v>16.535777148063303</v>
      </c>
      <c r="P534">
        <f>$E534/$F534^2*sim_annual_output!R534</f>
        <v>0.70122205930947212</v>
      </c>
      <c r="Q534">
        <f>$E534/$F534^2*sim_annual_output!S534</f>
        <v>0</v>
      </c>
      <c r="R534">
        <f t="array" ref="R534">INDEX(G$3:G$700,MATCH($B534&amp;$C534&amp;"baseline",$B$3:$B$700&amp;$C$3:$C$700&amp;$D$3:$D$700,0))</f>
        <v>0</v>
      </c>
      <c r="S534">
        <f t="array" ref="S534">INDEX(H$3:H$700,MATCH($B534&amp;$C534&amp;"baseline",$B$3:$B$700&amp;$C$3:$C$700&amp;$D$3:$D$700,0))</f>
        <v>301.65987388488929</v>
      </c>
      <c r="T534">
        <f t="array" ref="T534">INDEX(I$3:I$700,MATCH($B534&amp;$C534&amp;"baseline",$B$3:$B$700&amp;$C$3:$C$700&amp;$D$3:$D$700,0))</f>
        <v>1.8559110606135065</v>
      </c>
      <c r="U534">
        <f t="array" ref="U534">INDEX(J$3:J$700,MATCH($B534&amp;$C534&amp;"baseline",$B$3:$B$700&amp;$C$3:$C$700&amp;$D$3:$D$700,0))</f>
        <v>7.7111903331558764</v>
      </c>
      <c r="V534">
        <f t="array" ref="V534">INDEX(K$3:K$700,MATCH($B534&amp;$C534&amp;"baseline",$B$3:$B$700&amp;$C$3:$C$700&amp;$D$3:$D$700,0))</f>
        <v>0</v>
      </c>
      <c r="W534">
        <f t="array" ref="W534">INDEX(L$3:L$700,MATCH($B534&amp;$C534&amp;"baseline",$B$3:$B$700&amp;$C$3:$C$700&amp;$D$3:$D$700,0))</f>
        <v>37.958336291892508</v>
      </c>
      <c r="X534">
        <f t="array" ref="X534">INDEX(M$3:M$700,MATCH($B534&amp;$C534&amp;"baseline",$B$3:$B$700&amp;$C$3:$C$700&amp;$D$3:$D$700,0))</f>
        <v>9.2652906144948552</v>
      </c>
      <c r="Y534">
        <f t="array" ref="Y534">INDEX(N$3:N$700,MATCH($B534&amp;$C534&amp;"baseline",$B$3:$B$700&amp;$C$3:$C$700&amp;$D$3:$D$700,0))</f>
        <v>0</v>
      </c>
      <c r="Z534">
        <f t="array" ref="Z534">INDEX(O$3:O$700,MATCH($B534&amp;$C534&amp;"baseline",$B$3:$B$700&amp;$C$3:$C$700&amp;$D$3:$D$700,0))</f>
        <v>15.231684303287548</v>
      </c>
      <c r="AA534">
        <f t="array" ref="AA534">INDEX(P$3:P$700,MATCH($B534&amp;$C534&amp;"baseline",$B$3:$B$700&amp;$C$3:$C$700&amp;$D$3:$D$700,0))</f>
        <v>0.74476689811027452</v>
      </c>
      <c r="AB534">
        <f t="array" ref="AB534">INDEX(Q$3:Q$700,MATCH($B534&amp;$C534&amp;"baseline",$B$3:$B$700&amp;$C$3:$C$700&amp;$D$3:$D$700,0))</f>
        <v>0</v>
      </c>
      <c r="AC534">
        <f t="shared" si="67"/>
        <v>374.42705338644384</v>
      </c>
      <c r="AD534">
        <f t="shared" si="64"/>
        <v>1.0345653080604507</v>
      </c>
      <c r="AE534">
        <f t="shared" si="65"/>
        <v>-3.0924343279397419</v>
      </c>
      <c r="AF534">
        <f t="shared" si="68"/>
        <v>-0.54960478984283689</v>
      </c>
      <c r="AG534">
        <f>(S534+V534+Y534)*constants!$O$2+(R534+T534+U534+W534+X534+Z534+AA534+AB534)*constants!$N$2</f>
        <v>13.109581240610872</v>
      </c>
      <c r="AH534">
        <f>((S534+V534+Y534)-(H534+K534+N534))*constants!$O$2</f>
        <v>1.6759957990579298E-2</v>
      </c>
      <c r="AI534">
        <f>((R534+T534+U534+W534+X534+Z534+AA534+AB534)-(G534+I534+J534+L534+M534+O534+P534+Q534))*constants!$N$2</f>
        <v>-0.34944507905719085</v>
      </c>
      <c r="AJ534">
        <f t="shared" si="69"/>
        <v>-2.5377250040300243</v>
      </c>
      <c r="AK534">
        <f t="shared" si="66"/>
        <v>-0.33268512106661158</v>
      </c>
      <c r="AL534">
        <f>COUNTIFS($B:$B,$B534,$AK:$AK,"&lt;"&amp;$AK534)+COUNTIFS($B$2:$B534,$B534,$AK$2:$AK534,$AK534)</f>
        <v>18</v>
      </c>
      <c r="AM534" s="191">
        <f>IF(AK534=0, "NA",IF(((sim_annual_output!F534/E534)/AK534)&lt;0,100,((sim_annual_output!F534/E534)/AK534)))</f>
        <v>100</v>
      </c>
      <c r="AN534">
        <f>(S534+V534)*constants!$F$2+(T534+U534+W534+X534+Y534+Z534+AA534+AB534)*constants!$G$2</f>
        <v>117304.56359174766</v>
      </c>
      <c r="AO534">
        <f>(AD534*constants!$F$2+AE534*constants!$G$2)</f>
        <v>-2505.2306751647548</v>
      </c>
      <c r="AP534">
        <f t="shared" si="70"/>
        <v>-2.1356634375143755</v>
      </c>
    </row>
    <row r="535" spans="1:42">
      <c r="A535">
        <f>sim_annual_output!B535</f>
        <v>25</v>
      </c>
      <c r="B535" t="str">
        <f>sim_annual_output!C535</f>
        <v>Training Building</v>
      </c>
      <c r="C535" t="str">
        <f>sim_annual_output!D535</f>
        <v>1980-2004</v>
      </c>
      <c r="D535" t="str">
        <f>sim_annual_output!E535</f>
        <v>fans_to_variable</v>
      </c>
      <c r="E535" s="45">
        <f t="array" ref="E535">IFERROR(INDEX(baseline!$J$3:$J$201,MATCH($B535&amp;$C535,baseline!$C$3:$C$201&amp;baseline!$D$3:$D$201,0)),"NA")</f>
        <v>3699.892902</v>
      </c>
      <c r="F535">
        <f>sim_annual_output!G535</f>
        <v>3699.8929020249998</v>
      </c>
      <c r="G535">
        <f>$E535/$F535^2*sim_annual_output!I535</f>
        <v>0</v>
      </c>
      <c r="H535">
        <f>$E535/$F535^2*sim_annual_output!J535</f>
        <v>303.24325431645639</v>
      </c>
      <c r="I535">
        <f>$E535/$F535^2*sim_annual_output!K535</f>
        <v>3.6750342401711626</v>
      </c>
      <c r="J535">
        <f>$E535/$F535^2*sim_annual_output!L535</f>
        <v>7.7111903331558764</v>
      </c>
      <c r="K535">
        <f>$E535/$F535^2*sim_annual_output!M535</f>
        <v>0</v>
      </c>
      <c r="L535">
        <f>$E535/$F535^2*sim_annual_output!N535</f>
        <v>37.958336291892508</v>
      </c>
      <c r="M535">
        <f>$E535/$F535^2*sim_annual_output!O535</f>
        <v>9.2652906144948552</v>
      </c>
      <c r="N535">
        <f>$E535/$F535^2*sim_annual_output!P535</f>
        <v>0</v>
      </c>
      <c r="O535">
        <f>$E535/$F535^2*sim_annual_output!Q535</f>
        <v>15.158859314258622</v>
      </c>
      <c r="P535">
        <f>$E535/$F535^2*sim_annual_output!R535</f>
        <v>0.47448858831219098</v>
      </c>
      <c r="Q535">
        <f>$E535/$F535^2*sim_annual_output!S535</f>
        <v>0</v>
      </c>
      <c r="R535">
        <f t="array" ref="R535">INDEX(G$3:G$700,MATCH($B535&amp;$C535&amp;"baseline",$B$3:$B$700&amp;$C$3:$C$700&amp;$D$3:$D$700,0))</f>
        <v>0</v>
      </c>
      <c r="S535">
        <f t="array" ref="S535">INDEX(H$3:H$700,MATCH($B535&amp;$C535&amp;"baseline",$B$3:$B$700&amp;$C$3:$C$700&amp;$D$3:$D$700,0))</f>
        <v>301.65987388488929</v>
      </c>
      <c r="T535">
        <f t="array" ref="T535">INDEX(I$3:I$700,MATCH($B535&amp;$C535&amp;"baseline",$B$3:$B$700&amp;$C$3:$C$700&amp;$D$3:$D$700,0))</f>
        <v>1.8559110606135065</v>
      </c>
      <c r="U535">
        <f t="array" ref="U535">INDEX(J$3:J$700,MATCH($B535&amp;$C535&amp;"baseline",$B$3:$B$700&amp;$C$3:$C$700&amp;$D$3:$D$700,0))</f>
        <v>7.7111903331558764</v>
      </c>
      <c r="V535">
        <f t="array" ref="V535">INDEX(K$3:K$700,MATCH($B535&amp;$C535&amp;"baseline",$B$3:$B$700&amp;$C$3:$C$700&amp;$D$3:$D$700,0))</f>
        <v>0</v>
      </c>
      <c r="W535">
        <f t="array" ref="W535">INDEX(L$3:L$700,MATCH($B535&amp;$C535&amp;"baseline",$B$3:$B$700&amp;$C$3:$C$700&amp;$D$3:$D$700,0))</f>
        <v>37.958336291892508</v>
      </c>
      <c r="X535">
        <f t="array" ref="X535">INDEX(M$3:M$700,MATCH($B535&amp;$C535&amp;"baseline",$B$3:$B$700&amp;$C$3:$C$700&amp;$D$3:$D$700,0))</f>
        <v>9.2652906144948552</v>
      </c>
      <c r="Y535">
        <f t="array" ref="Y535">INDEX(N$3:N$700,MATCH($B535&amp;$C535&amp;"baseline",$B$3:$B$700&amp;$C$3:$C$700&amp;$D$3:$D$700,0))</f>
        <v>0</v>
      </c>
      <c r="Z535">
        <f t="array" ref="Z535">INDEX(O$3:O$700,MATCH($B535&amp;$C535&amp;"baseline",$B$3:$B$700&amp;$C$3:$C$700&amp;$D$3:$D$700,0))</f>
        <v>15.231684303287548</v>
      </c>
      <c r="AA535">
        <f t="array" ref="AA535">INDEX(P$3:P$700,MATCH($B535&amp;$C535&amp;"baseline",$B$3:$B$700&amp;$C$3:$C$700&amp;$D$3:$D$700,0))</f>
        <v>0.74476689811027452</v>
      </c>
      <c r="AB535">
        <f t="array" ref="AB535">INDEX(Q$3:Q$700,MATCH($B535&amp;$C535&amp;"baseline",$B$3:$B$700&amp;$C$3:$C$700&amp;$D$3:$D$700,0))</f>
        <v>0</v>
      </c>
      <c r="AC535">
        <f t="shared" si="67"/>
        <v>374.42705338644384</v>
      </c>
      <c r="AD535">
        <f t="shared" si="64"/>
        <v>-1.5833804315670932</v>
      </c>
      <c r="AE535">
        <f t="shared" si="65"/>
        <v>-1.4760198807306466</v>
      </c>
      <c r="AF535">
        <f t="shared" si="68"/>
        <v>-0.81708847815014896</v>
      </c>
      <c r="AG535">
        <f>(S535+V535+Y535)*constants!$O$2+(R535+T535+U535+W535+X535+Z535+AA535+AB535)*constants!$N$2</f>
        <v>13.109581240610872</v>
      </c>
      <c r="AH535">
        <f>((S535+V535+Y535)-(H535+K535+N535))*constants!$O$2</f>
        <v>-2.5650762991386907E-2</v>
      </c>
      <c r="AI535">
        <f>((R535+T535+U535+W535+X535+Z535+AA535+AB535)-(G535+I535+J535+L535+M535+O535+P535+Q535))*constants!$N$2</f>
        <v>-0.16679024652256308</v>
      </c>
      <c r="AJ535">
        <f t="shared" si="69"/>
        <v>-1.4679416983801592</v>
      </c>
      <c r="AK535">
        <f t="shared" si="66"/>
        <v>-0.19244100951394999</v>
      </c>
      <c r="AL535">
        <f>COUNTIFS($B:$B,$B535,$AK:$AK,"&lt;"&amp;$AK535)+COUNTIFS($B$2:$B535,$B535,$AK$2:$AK535,$AK535)</f>
        <v>27</v>
      </c>
      <c r="AM535" s="191">
        <f>IF(AK535=0, "NA",IF(((sim_annual_output!F535/E535)/AK535)&lt;0,100,((sim_annual_output!F535/E535)/AK535)))</f>
        <v>100</v>
      </c>
      <c r="AN535">
        <f>(S535+V535)*constants!$F$2+(T535+U535+W535+X535+Y535+Z535+AA535+AB535)*constants!$G$2</f>
        <v>117304.56359174766</v>
      </c>
      <c r="AO535">
        <f>(AD535*constants!$F$2+AE535*constants!$G$2)</f>
        <v>-1567.5623934861721</v>
      </c>
      <c r="AP535">
        <f t="shared" si="70"/>
        <v>-1.3363183370612273</v>
      </c>
    </row>
    <row r="536" spans="1:42">
      <c r="A536">
        <f>sim_annual_output!B536</f>
        <v>25</v>
      </c>
      <c r="B536" t="str">
        <f>sim_annual_output!C536</f>
        <v>Training Building</v>
      </c>
      <c r="C536" t="str">
        <f>sim_annual_output!D536</f>
        <v>1980-2004</v>
      </c>
      <c r="D536" t="str">
        <f>sim_annual_output!E536</f>
        <v>hrv_enabled</v>
      </c>
      <c r="E536" s="45">
        <f t="array" ref="E536">IFERROR(INDEX(baseline!$J$3:$J$201,MATCH($B536&amp;$C536,baseline!$C$3:$C$201&amp;baseline!$D$3:$D$201,0)),"NA")</f>
        <v>3699.892902</v>
      </c>
      <c r="F536">
        <f>sim_annual_output!G536</f>
        <v>3699.8929020249998</v>
      </c>
      <c r="G536">
        <f>$E536/$F536^2*sim_annual_output!I536</f>
        <v>0</v>
      </c>
      <c r="H536">
        <f>$E536/$F536^2*sim_annual_output!J536</f>
        <v>227.70497136638869</v>
      </c>
      <c r="I536">
        <f>$E536/$F536^2*sim_annual_output!K536</f>
        <v>4.4475797423440184</v>
      </c>
      <c r="J536">
        <f>$E536/$F536^2*sim_annual_output!L536</f>
        <v>7.7111903331558764</v>
      </c>
      <c r="K536">
        <f>$E536/$F536^2*sim_annual_output!M536</f>
        <v>0</v>
      </c>
      <c r="L536">
        <f>$E536/$F536^2*sim_annual_output!N536</f>
        <v>37.958336291892508</v>
      </c>
      <c r="M536">
        <f>$E536/$F536^2*sim_annual_output!O536</f>
        <v>9.2652906144948552</v>
      </c>
      <c r="N536">
        <f>$E536/$F536^2*sim_annual_output!P536</f>
        <v>0</v>
      </c>
      <c r="O536">
        <f>$E536/$F536^2*sim_annual_output!Q536</f>
        <v>16.54778951738766</v>
      </c>
      <c r="P536">
        <f>$E536/$F536^2*sim_annual_output!R536</f>
        <v>0.42794065718029883</v>
      </c>
      <c r="Q536">
        <f>$E536/$F536^2*sim_annual_output!S536</f>
        <v>1.1832183784493877</v>
      </c>
      <c r="R536">
        <f t="array" ref="R536">INDEX(G$3:G$700,MATCH($B536&amp;$C536&amp;"baseline",$B$3:$B$700&amp;$C$3:$C$700&amp;$D$3:$D$700,0))</f>
        <v>0</v>
      </c>
      <c r="S536">
        <f t="array" ref="S536">INDEX(H$3:H$700,MATCH($B536&amp;$C536&amp;"baseline",$B$3:$B$700&amp;$C$3:$C$700&amp;$D$3:$D$700,0))</f>
        <v>301.65987388488929</v>
      </c>
      <c r="T536">
        <f t="array" ref="T536">INDEX(I$3:I$700,MATCH($B536&amp;$C536&amp;"baseline",$B$3:$B$700&amp;$C$3:$C$700&amp;$D$3:$D$700,0))</f>
        <v>1.8559110606135065</v>
      </c>
      <c r="U536">
        <f t="array" ref="U536">INDEX(J$3:J$700,MATCH($B536&amp;$C536&amp;"baseline",$B$3:$B$700&amp;$C$3:$C$700&amp;$D$3:$D$700,0))</f>
        <v>7.7111903331558764</v>
      </c>
      <c r="V536">
        <f t="array" ref="V536">INDEX(K$3:K$700,MATCH($B536&amp;$C536&amp;"baseline",$B$3:$B$700&amp;$C$3:$C$700&amp;$D$3:$D$700,0))</f>
        <v>0</v>
      </c>
      <c r="W536">
        <f t="array" ref="W536">INDEX(L$3:L$700,MATCH($B536&amp;$C536&amp;"baseline",$B$3:$B$700&amp;$C$3:$C$700&amp;$D$3:$D$700,0))</f>
        <v>37.958336291892508</v>
      </c>
      <c r="X536">
        <f t="array" ref="X536">INDEX(M$3:M$700,MATCH($B536&amp;$C536&amp;"baseline",$B$3:$B$700&amp;$C$3:$C$700&amp;$D$3:$D$700,0))</f>
        <v>9.2652906144948552</v>
      </c>
      <c r="Y536">
        <f t="array" ref="Y536">INDEX(N$3:N$700,MATCH($B536&amp;$C536&amp;"baseline",$B$3:$B$700&amp;$C$3:$C$700&amp;$D$3:$D$700,0))</f>
        <v>0</v>
      </c>
      <c r="Z536">
        <f t="array" ref="Z536">INDEX(O$3:O$700,MATCH($B536&amp;$C536&amp;"baseline",$B$3:$B$700&amp;$C$3:$C$700&amp;$D$3:$D$700,0))</f>
        <v>15.231684303287548</v>
      </c>
      <c r="AA536">
        <f t="array" ref="AA536">INDEX(P$3:P$700,MATCH($B536&amp;$C536&amp;"baseline",$B$3:$B$700&amp;$C$3:$C$700&amp;$D$3:$D$700,0))</f>
        <v>0.74476689811027452</v>
      </c>
      <c r="AB536">
        <f t="array" ref="AB536">INDEX(Q$3:Q$700,MATCH($B536&amp;$C536&amp;"baseline",$B$3:$B$700&amp;$C$3:$C$700&amp;$D$3:$D$700,0))</f>
        <v>0</v>
      </c>
      <c r="AC536">
        <f t="shared" si="67"/>
        <v>374.42705338644384</v>
      </c>
      <c r="AD536">
        <f t="shared" si="64"/>
        <v>73.954902518500603</v>
      </c>
      <c r="AE536">
        <f t="shared" si="65"/>
        <v>-4.7741660333500278</v>
      </c>
      <c r="AF536">
        <f t="shared" si="68"/>
        <v>18.476425744202189</v>
      </c>
      <c r="AG536">
        <f>(S536+V536+Y536)*constants!$O$2+(R536+T536+U536+W536+X536+Z536+AA536+AB536)*constants!$N$2</f>
        <v>13.109581240610872</v>
      </c>
      <c r="AH536">
        <f>((S536+V536+Y536)-(H536+K536+N536))*constants!$O$2</f>
        <v>1.1980694207997098</v>
      </c>
      <c r="AI536">
        <f>((R536+T536+U536+W536+X536+Z536+AA536+AB536)-(G536+I536+J536+L536+M536+O536+P536+Q536))*constants!$N$2</f>
        <v>-0.5394807617685532</v>
      </c>
      <c r="AJ536">
        <f t="shared" si="69"/>
        <v>5.0237200330318723</v>
      </c>
      <c r="AK536">
        <f t="shared" si="66"/>
        <v>0.6585886590311566</v>
      </c>
      <c r="AL536">
        <f>COUNTIFS($B:$B,$B536,$AK:$AK,"&lt;"&amp;$AK536)+COUNTIFS($B$2:$B536,$B536,$AK$2:$AK536,$AK536)</f>
        <v>47</v>
      </c>
      <c r="AM536" s="191">
        <f>IF(AK536=0, "NA",IF(((sim_annual_output!F536/E536)/AK536)&lt;0,100,((sim_annual_output!F536/E536)/AK536)))</f>
        <v>101.31489294667767</v>
      </c>
      <c r="AN536">
        <f>(S536+V536)*constants!$F$2+(T536+U536+W536+X536+Y536+Z536+AA536+AB536)*constants!$G$2</f>
        <v>117304.56359174766</v>
      </c>
      <c r="AO536">
        <f>(AD536*constants!$F$2+AE536*constants!$G$2)</f>
        <v>9084.4031017970847</v>
      </c>
      <c r="AP536">
        <f t="shared" si="70"/>
        <v>7.7442878807454765</v>
      </c>
    </row>
    <row r="537" spans="1:42">
      <c r="A537">
        <f>sim_annual_output!B537</f>
        <v>25</v>
      </c>
      <c r="B537" t="str">
        <f>sim_annual_output!C537</f>
        <v>Training Building</v>
      </c>
      <c r="C537" t="str">
        <f>sim_annual_output!D537</f>
        <v>1980-2004</v>
      </c>
      <c r="D537" t="str">
        <f>sim_annual_output!E537</f>
        <v>infil_reduce</v>
      </c>
      <c r="E537" s="45">
        <f t="array" ref="E537">IFERROR(INDEX(baseline!$J$3:$J$201,MATCH($B537&amp;$C537,baseline!$C$3:$C$201&amp;baseline!$D$3:$D$201,0)),"NA")</f>
        <v>3699.892902</v>
      </c>
      <c r="F537">
        <f>sim_annual_output!G537</f>
        <v>3699.8929020249998</v>
      </c>
      <c r="G537">
        <f>$E537/$F537^2*sim_annual_output!I537</f>
        <v>0</v>
      </c>
      <c r="H537">
        <f>$E537/$F537^2*sim_annual_output!J537</f>
        <v>233.59328465457307</v>
      </c>
      <c r="I537">
        <f>$E537/$F537^2*sim_annual_output!K537</f>
        <v>4.3792593918117246</v>
      </c>
      <c r="J537">
        <f>$E537/$F537^2*sim_annual_output!L537</f>
        <v>7.7111903331558764</v>
      </c>
      <c r="K537">
        <f>$E537/$F537^2*sim_annual_output!M537</f>
        <v>0</v>
      </c>
      <c r="L537">
        <f>$E537/$F537^2*sim_annual_output!N537</f>
        <v>37.958336291892508</v>
      </c>
      <c r="M537">
        <f>$E537/$F537^2*sim_annual_output!O537</f>
        <v>9.2652906144948552</v>
      </c>
      <c r="N537">
        <f>$E537/$F537^2*sim_annual_output!P537</f>
        <v>0</v>
      </c>
      <c r="O537">
        <f>$E537/$F537^2*sim_annual_output!Q537</f>
        <v>15.050747990339387</v>
      </c>
      <c r="P537">
        <f>$E537/$F537^2*sim_annual_output!R537</f>
        <v>0.52103651944408313</v>
      </c>
      <c r="Q537">
        <f>$E537/$F537^2*sim_annual_output!S537</f>
        <v>0</v>
      </c>
      <c r="R537">
        <f t="array" ref="R537">INDEX(G$3:G$700,MATCH($B537&amp;$C537&amp;"baseline",$B$3:$B$700&amp;$C$3:$C$700&amp;$D$3:$D$700,0))</f>
        <v>0</v>
      </c>
      <c r="S537">
        <f t="array" ref="S537">INDEX(H$3:H$700,MATCH($B537&amp;$C537&amp;"baseline",$B$3:$B$700&amp;$C$3:$C$700&amp;$D$3:$D$700,0))</f>
        <v>301.65987388488929</v>
      </c>
      <c r="T537">
        <f t="array" ref="T537">INDEX(I$3:I$700,MATCH($B537&amp;$C537&amp;"baseline",$B$3:$B$700&amp;$C$3:$C$700&amp;$D$3:$D$700,0))</f>
        <v>1.8559110606135065</v>
      </c>
      <c r="U537">
        <f t="array" ref="U537">INDEX(J$3:J$700,MATCH($B537&amp;$C537&amp;"baseline",$B$3:$B$700&amp;$C$3:$C$700&amp;$D$3:$D$700,0))</f>
        <v>7.7111903331558764</v>
      </c>
      <c r="V537">
        <f t="array" ref="V537">INDEX(K$3:K$700,MATCH($B537&amp;$C537&amp;"baseline",$B$3:$B$700&amp;$C$3:$C$700&amp;$D$3:$D$700,0))</f>
        <v>0</v>
      </c>
      <c r="W537">
        <f t="array" ref="W537">INDEX(L$3:L$700,MATCH($B537&amp;$C537&amp;"baseline",$B$3:$B$700&amp;$C$3:$C$700&amp;$D$3:$D$700,0))</f>
        <v>37.958336291892508</v>
      </c>
      <c r="X537">
        <f t="array" ref="X537">INDEX(M$3:M$700,MATCH($B537&amp;$C537&amp;"baseline",$B$3:$B$700&amp;$C$3:$C$700&amp;$D$3:$D$700,0))</f>
        <v>9.2652906144948552</v>
      </c>
      <c r="Y537">
        <f t="array" ref="Y537">INDEX(N$3:N$700,MATCH($B537&amp;$C537&amp;"baseline",$B$3:$B$700&amp;$C$3:$C$700&amp;$D$3:$D$700,0))</f>
        <v>0</v>
      </c>
      <c r="Z537">
        <f t="array" ref="Z537">INDEX(O$3:O$700,MATCH($B537&amp;$C537&amp;"baseline",$B$3:$B$700&amp;$C$3:$C$700&amp;$D$3:$D$700,0))</f>
        <v>15.231684303287548</v>
      </c>
      <c r="AA537">
        <f t="array" ref="AA537">INDEX(P$3:P$700,MATCH($B537&amp;$C537&amp;"baseline",$B$3:$B$700&amp;$C$3:$C$700&amp;$D$3:$D$700,0))</f>
        <v>0.74476689811027452</v>
      </c>
      <c r="AB537">
        <f t="array" ref="AB537">INDEX(Q$3:Q$700,MATCH($B537&amp;$C537&amp;"baseline",$B$3:$B$700&amp;$C$3:$C$700&amp;$D$3:$D$700,0))</f>
        <v>0</v>
      </c>
      <c r="AC537">
        <f t="shared" si="67"/>
        <v>374.42705338644384</v>
      </c>
      <c r="AD537">
        <f t="shared" si="64"/>
        <v>68.066589230316225</v>
      </c>
      <c r="AE537">
        <f t="shared" si="65"/>
        <v>-2.118681639583869</v>
      </c>
      <c r="AF537">
        <f t="shared" si="68"/>
        <v>17.613018876247686</v>
      </c>
      <c r="AG537">
        <f>(S537+V537+Y537)*constants!$O$2+(R537+T537+U537+W537+X537+Z537+AA537+AB537)*constants!$N$2</f>
        <v>13.109581240610872</v>
      </c>
      <c r="AH537">
        <f>((S537+V537+Y537)-(H537+K537+N537))*constants!$O$2</f>
        <v>1.1026787455311229</v>
      </c>
      <c r="AI537">
        <f>((R537+T537+U537+W537+X537+Z537+AA537+AB537)-(G537+I537+J537+L537+M537+O537+P537+Q537))*constants!$N$2</f>
        <v>-0.2394110252729772</v>
      </c>
      <c r="AJ537">
        <f t="shared" si="69"/>
        <v>6.5850136965772341</v>
      </c>
      <c r="AK537">
        <f t="shared" si="66"/>
        <v>0.86326772025814569</v>
      </c>
      <c r="AL537">
        <f>COUNTIFS($B:$B,$B537,$AK:$AK,"&lt;"&amp;$AK537)+COUNTIFS($B$2:$B537,$B537,$AK$2:$AK537,$AK537)</f>
        <v>51</v>
      </c>
      <c r="AM537" s="191">
        <f>IF(AK537=0, "NA",IF(((sim_annual_output!F537/E537)/AK537)&lt;0,100,((sim_annual_output!F537/E537)/AK537)))</f>
        <v>31.552808269393203</v>
      </c>
      <c r="AN537">
        <f>(S537+V537)*constants!$F$2+(T537+U537+W537+X537+Y537+Z537+AA537+AB537)*constants!$G$2</f>
        <v>117304.56359174766</v>
      </c>
      <c r="AO537">
        <f>(AD537*constants!$F$2+AE537*constants!$G$2)</f>
        <v>10340.666445788638</v>
      </c>
      <c r="AP537">
        <f t="shared" si="70"/>
        <v>8.8152294584011397</v>
      </c>
    </row>
    <row r="538" spans="1:42">
      <c r="A538">
        <f>sim_annual_output!B538</f>
        <v>25</v>
      </c>
      <c r="B538" t="str">
        <f>sim_annual_output!C538</f>
        <v>Training Building</v>
      </c>
      <c r="C538" t="str">
        <f>sim_annual_output!D538</f>
        <v>1980-2004</v>
      </c>
      <c r="D538" t="str">
        <f>sim_annual_output!E538</f>
        <v>infil_reduce_plus_setback</v>
      </c>
      <c r="E538" s="45">
        <f t="array" ref="E538">IFERROR(INDEX(baseline!$J$3:$J$201,MATCH($B538&amp;$C538,baseline!$C$3:$C$201&amp;baseline!$D$3:$D$201,0)),"NA")</f>
        <v>3699.892902</v>
      </c>
      <c r="F538">
        <f>sim_annual_output!G538</f>
        <v>3699.8929020249998</v>
      </c>
      <c r="G538">
        <f>$E538/$F538^2*sim_annual_output!I538</f>
        <v>0</v>
      </c>
      <c r="H538">
        <f>$E538/$F538^2*sim_annual_output!J538</f>
        <v>197.31367697575976</v>
      </c>
      <c r="I538">
        <f>$E538/$F538^2*sim_annual_output!K538</f>
        <v>4.0872086626132402</v>
      </c>
      <c r="J538">
        <f>$E538/$F538^2*sim_annual_output!L538</f>
        <v>7.7111903331558764</v>
      </c>
      <c r="K538">
        <f>$E538/$F538^2*sim_annual_output!M538</f>
        <v>0</v>
      </c>
      <c r="L538">
        <f>$E538/$F538^2*sim_annual_output!N538</f>
        <v>37.958336291892508</v>
      </c>
      <c r="M538">
        <f>$E538/$F538^2*sim_annual_output!O538</f>
        <v>9.2652906144948552</v>
      </c>
      <c r="N538">
        <f>$E538/$F538^2*sim_annual_output!P538</f>
        <v>0</v>
      </c>
      <c r="O538">
        <f>$E538/$F538^2*sim_annual_output!Q538</f>
        <v>17.953236728337696</v>
      </c>
      <c r="P538">
        <f>$E538/$F538^2*sim_annual_output!R538</f>
        <v>0.33259247566819716</v>
      </c>
      <c r="Q538">
        <f>$E538/$F538^2*sim_annual_output!S538</f>
        <v>0</v>
      </c>
      <c r="R538">
        <f t="array" ref="R538">INDEX(G$3:G$700,MATCH($B538&amp;$C538&amp;"baseline",$B$3:$B$700&amp;$C$3:$C$700&amp;$D$3:$D$700,0))</f>
        <v>0</v>
      </c>
      <c r="S538">
        <f t="array" ref="S538">INDEX(H$3:H$700,MATCH($B538&amp;$C538&amp;"baseline",$B$3:$B$700&amp;$C$3:$C$700&amp;$D$3:$D$700,0))</f>
        <v>301.65987388488929</v>
      </c>
      <c r="T538">
        <f t="array" ref="T538">INDEX(I$3:I$700,MATCH($B538&amp;$C538&amp;"baseline",$B$3:$B$700&amp;$C$3:$C$700&amp;$D$3:$D$700,0))</f>
        <v>1.8559110606135065</v>
      </c>
      <c r="U538">
        <f t="array" ref="U538">INDEX(J$3:J$700,MATCH($B538&amp;$C538&amp;"baseline",$B$3:$B$700&amp;$C$3:$C$700&amp;$D$3:$D$700,0))</f>
        <v>7.7111903331558764</v>
      </c>
      <c r="V538">
        <f t="array" ref="V538">INDEX(K$3:K$700,MATCH($B538&amp;$C538&amp;"baseline",$B$3:$B$700&amp;$C$3:$C$700&amp;$D$3:$D$700,0))</f>
        <v>0</v>
      </c>
      <c r="W538">
        <f t="array" ref="W538">INDEX(L$3:L$700,MATCH($B538&amp;$C538&amp;"baseline",$B$3:$B$700&amp;$C$3:$C$700&amp;$D$3:$D$700,0))</f>
        <v>37.958336291892508</v>
      </c>
      <c r="X538">
        <f t="array" ref="X538">INDEX(M$3:M$700,MATCH($B538&amp;$C538&amp;"baseline",$B$3:$B$700&amp;$C$3:$C$700&amp;$D$3:$D$700,0))</f>
        <v>9.2652906144948552</v>
      </c>
      <c r="Y538">
        <f t="array" ref="Y538">INDEX(N$3:N$700,MATCH($B538&amp;$C538&amp;"baseline",$B$3:$B$700&amp;$C$3:$C$700&amp;$D$3:$D$700,0))</f>
        <v>0</v>
      </c>
      <c r="Z538">
        <f t="array" ref="Z538">INDEX(O$3:O$700,MATCH($B538&amp;$C538&amp;"baseline",$B$3:$B$700&amp;$C$3:$C$700&amp;$D$3:$D$700,0))</f>
        <v>15.231684303287548</v>
      </c>
      <c r="AA538">
        <f t="array" ref="AA538">INDEX(P$3:P$700,MATCH($B538&amp;$C538&amp;"baseline",$B$3:$B$700&amp;$C$3:$C$700&amp;$D$3:$D$700,0))</f>
        <v>0.74476689811027452</v>
      </c>
      <c r="AB538">
        <f t="array" ref="AB538">INDEX(Q$3:Q$700,MATCH($B538&amp;$C538&amp;"baseline",$B$3:$B$700&amp;$C$3:$C$700&amp;$D$3:$D$700,0))</f>
        <v>0</v>
      </c>
      <c r="AC538">
        <f t="shared" si="67"/>
        <v>374.42705338644384</v>
      </c>
      <c r="AD538">
        <f t="shared" si="64"/>
        <v>104.34619690912953</v>
      </c>
      <c r="AE538">
        <f t="shared" si="65"/>
        <v>-4.5406756046078129</v>
      </c>
      <c r="AF538">
        <f t="shared" si="68"/>
        <v>26.655531538612692</v>
      </c>
      <c r="AG538">
        <f>(S538+V538+Y538)*constants!$O$2+(R538+T538+U538+W538+X538+Z538+AA538+AB538)*constants!$N$2</f>
        <v>13.109581240610872</v>
      </c>
      <c r="AH538">
        <f>((S538+V538+Y538)-(H538+K538+N538))*constants!$O$2</f>
        <v>1.6904083899278983</v>
      </c>
      <c r="AI538">
        <f>((R538+T538+U538+W538+X538+Z538+AA538+AB538)-(G538+I538+J538+L538+M538+O538+P538+Q538))*constants!$N$2</f>
        <v>-0.51309634332068288</v>
      </c>
      <c r="AJ538">
        <f t="shared" si="69"/>
        <v>8.9805465559810358</v>
      </c>
      <c r="AK538">
        <f t="shared" si="66"/>
        <v>1.1773120466072156</v>
      </c>
      <c r="AL538">
        <f>COUNTIFS($B:$B,$B538,$AK:$AK,"&lt;"&amp;$AK538)+COUNTIFS($B$2:$B538,$B538,$AK$2:$AK538,$AK538)</f>
        <v>58</v>
      </c>
      <c r="AM538" s="191">
        <f>IF(AK538=0, "NA",IF(((sim_annual_output!F538/E538)/AK538)&lt;0,100,((sim_annual_output!F538/E538)/AK538)))</f>
        <v>27.620875875974686</v>
      </c>
      <c r="AN538">
        <f>(S538+V538)*constants!$F$2+(T538+U538+W538+X538+Y538+Z538+AA538+AB538)*constants!$G$2</f>
        <v>117304.56359174766</v>
      </c>
      <c r="AO538">
        <f>(AD538*constants!$F$2+AE538*constants!$G$2)</f>
        <v>14727.581470725388</v>
      </c>
      <c r="AP538">
        <f t="shared" si="70"/>
        <v>12.554994468912092</v>
      </c>
    </row>
    <row r="539" spans="1:42">
      <c r="A539">
        <f>sim_annual_output!B539</f>
        <v>25</v>
      </c>
      <c r="B539" t="str">
        <f>sim_annual_output!C539</f>
        <v>Training Building</v>
      </c>
      <c r="C539" t="str">
        <f>sim_annual_output!D539</f>
        <v>1980-2004</v>
      </c>
      <c r="D539" t="str">
        <f>sim_annual_output!E539</f>
        <v>lights_reduce_70p</v>
      </c>
      <c r="E539" s="45">
        <f t="array" ref="E539">IFERROR(INDEX(baseline!$J$3:$J$201,MATCH($B539&amp;$C539,baseline!$C$3:$C$201&amp;baseline!$D$3:$D$201,0)),"NA")</f>
        <v>3699.892902</v>
      </c>
      <c r="F539">
        <f>sim_annual_output!G539</f>
        <v>3699.8929020249998</v>
      </c>
      <c r="G539">
        <f>$E539/$F539^2*sim_annual_output!I539</f>
        <v>0</v>
      </c>
      <c r="H539">
        <f>$E539/$F539^2*sim_annual_output!J539</f>
        <v>311.95372362278238</v>
      </c>
      <c r="I539">
        <f>$E539/$F539^2*sim_annual_output!K539</f>
        <v>2.1449586974809014</v>
      </c>
      <c r="J539">
        <f>$E539/$F539^2*sim_annual_output!L539</f>
        <v>7.7111903331558764</v>
      </c>
      <c r="K539">
        <f>$E539/$F539^2*sim_annual_output!M539</f>
        <v>0</v>
      </c>
      <c r="L539">
        <f>$E539/$F539^2*sim_annual_output!N539</f>
        <v>26.570610172399924</v>
      </c>
      <c r="M539">
        <f>$E539/$F539^2*sim_annual_output!O539</f>
        <v>9.2652906144948552</v>
      </c>
      <c r="N539">
        <f>$E539/$F539^2*sim_annual_output!P539</f>
        <v>0</v>
      </c>
      <c r="O539">
        <f>$E539/$F539^2*sim_annual_output!Q539</f>
        <v>15.757976234311039</v>
      </c>
      <c r="P539">
        <f>$E539/$F539^2*sim_annual_output!R539</f>
        <v>0.75377617510354389</v>
      </c>
      <c r="Q539">
        <f>$E539/$F539^2*sim_annual_output!S539</f>
        <v>0</v>
      </c>
      <c r="R539">
        <f t="array" ref="R539">INDEX(G$3:G$700,MATCH($B539&amp;$C539&amp;"baseline",$B$3:$B$700&amp;$C$3:$C$700&amp;$D$3:$D$700,0))</f>
        <v>0</v>
      </c>
      <c r="S539">
        <f t="array" ref="S539">INDEX(H$3:H$700,MATCH($B539&amp;$C539&amp;"baseline",$B$3:$B$700&amp;$C$3:$C$700&amp;$D$3:$D$700,0))</f>
        <v>301.65987388488929</v>
      </c>
      <c r="T539">
        <f t="array" ref="T539">INDEX(I$3:I$700,MATCH($B539&amp;$C539&amp;"baseline",$B$3:$B$700&amp;$C$3:$C$700&amp;$D$3:$D$700,0))</f>
        <v>1.8559110606135065</v>
      </c>
      <c r="U539">
        <f t="array" ref="U539">INDEX(J$3:J$700,MATCH($B539&amp;$C539&amp;"baseline",$B$3:$B$700&amp;$C$3:$C$700&amp;$D$3:$D$700,0))</f>
        <v>7.7111903331558764</v>
      </c>
      <c r="V539">
        <f t="array" ref="V539">INDEX(K$3:K$700,MATCH($B539&amp;$C539&amp;"baseline",$B$3:$B$700&amp;$C$3:$C$700&amp;$D$3:$D$700,0))</f>
        <v>0</v>
      </c>
      <c r="W539">
        <f t="array" ref="W539">INDEX(L$3:L$700,MATCH($B539&amp;$C539&amp;"baseline",$B$3:$B$700&amp;$C$3:$C$700&amp;$D$3:$D$700,0))</f>
        <v>37.958336291892508</v>
      </c>
      <c r="X539">
        <f t="array" ref="X539">INDEX(M$3:M$700,MATCH($B539&amp;$C539&amp;"baseline",$B$3:$B$700&amp;$C$3:$C$700&amp;$D$3:$D$700,0))</f>
        <v>9.2652906144948552</v>
      </c>
      <c r="Y539">
        <f t="array" ref="Y539">INDEX(N$3:N$700,MATCH($B539&amp;$C539&amp;"baseline",$B$3:$B$700&amp;$C$3:$C$700&amp;$D$3:$D$700,0))</f>
        <v>0</v>
      </c>
      <c r="Z539">
        <f t="array" ref="Z539">INDEX(O$3:O$700,MATCH($B539&amp;$C539&amp;"baseline",$B$3:$B$700&amp;$C$3:$C$700&amp;$D$3:$D$700,0))</f>
        <v>15.231684303287548</v>
      </c>
      <c r="AA539">
        <f t="array" ref="AA539">INDEX(P$3:P$700,MATCH($B539&amp;$C539&amp;"baseline",$B$3:$B$700&amp;$C$3:$C$700&amp;$D$3:$D$700,0))</f>
        <v>0.74476689811027452</v>
      </c>
      <c r="AB539">
        <f t="array" ref="AB539">INDEX(Q$3:Q$700,MATCH($B539&amp;$C539&amp;"baseline",$B$3:$B$700&amp;$C$3:$C$700&amp;$D$3:$D$700,0))</f>
        <v>0</v>
      </c>
      <c r="AC539">
        <f t="shared" si="67"/>
        <v>374.42705338644384</v>
      </c>
      <c r="AD539">
        <f t="shared" si="64"/>
        <v>-10.293849737893083</v>
      </c>
      <c r="AE539">
        <f t="shared" si="65"/>
        <v>10.563377274608428</v>
      </c>
      <c r="AF539">
        <f t="shared" si="68"/>
        <v>7.1983991081212423E-2</v>
      </c>
      <c r="AG539">
        <f>(S539+V539+Y539)*constants!$O$2+(R539+T539+U539+W539+X539+Z539+AA539+AB539)*constants!$N$2</f>
        <v>13.109581240610872</v>
      </c>
      <c r="AH539">
        <f>((S539+V539+Y539)-(H539+K539+N539))*constants!$O$2</f>
        <v>-0.16676036575386793</v>
      </c>
      <c r="AI539">
        <f>((R539+T539+U539+W539+X539+Z539+AA539+AB539)-(G539+I539+J539+L539+M539+O539+P539+Q539))*constants!$N$2</f>
        <v>1.1936616320307523</v>
      </c>
      <c r="AJ539">
        <f t="shared" si="69"/>
        <v>7.833211812256434</v>
      </c>
      <c r="AK539">
        <f t="shared" si="66"/>
        <v>1.0269012662768844</v>
      </c>
      <c r="AL539">
        <f>COUNTIFS($B:$B,$B539,$AK:$AK,"&lt;"&amp;$AK539)+COUNTIFS($B$2:$B539,$B539,$AK$2:$AK539,$AK539)</f>
        <v>55</v>
      </c>
      <c r="AM539" s="191">
        <f>IF(AK539=0, "NA",IF(((sim_annual_output!F539/E539)/AK539)&lt;0,100,((sim_annual_output!F539/E539)/AK539)))</f>
        <v>40.963533175947781</v>
      </c>
      <c r="AN539">
        <f>(S539+V539)*constants!$F$2+(T539+U539+W539+X539+Y539+Z539+AA539+AB539)*constants!$G$2</f>
        <v>117304.56359174766</v>
      </c>
      <c r="AO539">
        <f>(AD539*constants!$F$2+AE539*constants!$G$2)</f>
        <v>7347.5391258264708</v>
      </c>
      <c r="AP539">
        <f t="shared" si="70"/>
        <v>6.2636430338703102</v>
      </c>
    </row>
    <row r="540" spans="1:42">
      <c r="A540">
        <f>sim_annual_output!B540</f>
        <v>25</v>
      </c>
      <c r="B540" t="str">
        <f>sim_annual_output!C540</f>
        <v>Training Building</v>
      </c>
      <c r="C540" t="str">
        <f>sim_annual_output!D540</f>
        <v>1980-2004</v>
      </c>
      <c r="D540" t="str">
        <f>sim_annual_output!E540</f>
        <v>load_reduce</v>
      </c>
      <c r="E540" s="45">
        <f t="array" ref="E540">IFERROR(INDEX(baseline!$J$3:$J$201,MATCH($B540&amp;$C540,baseline!$C$3:$C$201&amp;baseline!$D$3:$D$201,0)),"NA")</f>
        <v>3699.892902</v>
      </c>
      <c r="F540">
        <f>sim_annual_output!G540</f>
        <v>3699.8929020249998</v>
      </c>
      <c r="G540">
        <f>$E540/$F540^2*sim_annual_output!I540</f>
        <v>0</v>
      </c>
      <c r="H540">
        <f>$E540/$F540^2*sim_annual_output!J540</f>
        <v>122.66656167494295</v>
      </c>
      <c r="I540">
        <f>$E540/$F540^2*sim_annual_output!K540</f>
        <v>4.0872086626132402</v>
      </c>
      <c r="J540">
        <f>$E540/$F540^2*sim_annual_output!L540</f>
        <v>7.7111903331558764</v>
      </c>
      <c r="K540">
        <f>$E540/$F540^2*sim_annual_output!M540</f>
        <v>0</v>
      </c>
      <c r="L540">
        <f>$E540/$F540^2*sim_annual_output!N540</f>
        <v>37.958336291892508</v>
      </c>
      <c r="M540">
        <f>$E540/$F540^2*sim_annual_output!O540</f>
        <v>9.2652906144948552</v>
      </c>
      <c r="N540">
        <f>$E540/$F540^2*sim_annual_output!P540</f>
        <v>0</v>
      </c>
      <c r="O540">
        <f>$E540/$F540^2*sim_annual_output!Q540</f>
        <v>17.953236728337696</v>
      </c>
      <c r="P540">
        <f>$E540/$F540^2*sim_annual_output!R540</f>
        <v>0.33259247566819716</v>
      </c>
      <c r="Q540">
        <f>$E540/$F540^2*sim_annual_output!S540</f>
        <v>0</v>
      </c>
      <c r="R540">
        <f t="array" ref="R540">INDEX(G$3:G$700,MATCH($B540&amp;$C540&amp;"baseline",$B$3:$B$700&amp;$C$3:$C$700&amp;$D$3:$D$700,0))</f>
        <v>0</v>
      </c>
      <c r="S540">
        <f t="array" ref="S540">INDEX(H$3:H$700,MATCH($B540&amp;$C540&amp;"baseline",$B$3:$B$700&amp;$C$3:$C$700&amp;$D$3:$D$700,0))</f>
        <v>301.65987388488929</v>
      </c>
      <c r="T540">
        <f t="array" ref="T540">INDEX(I$3:I$700,MATCH($B540&amp;$C540&amp;"baseline",$B$3:$B$700&amp;$C$3:$C$700&amp;$D$3:$D$700,0))</f>
        <v>1.8559110606135065</v>
      </c>
      <c r="U540">
        <f t="array" ref="U540">INDEX(J$3:J$700,MATCH($B540&amp;$C540&amp;"baseline",$B$3:$B$700&amp;$C$3:$C$700&amp;$D$3:$D$700,0))</f>
        <v>7.7111903331558764</v>
      </c>
      <c r="V540">
        <f t="array" ref="V540">INDEX(K$3:K$700,MATCH($B540&amp;$C540&amp;"baseline",$B$3:$B$700&amp;$C$3:$C$700&amp;$D$3:$D$700,0))</f>
        <v>0</v>
      </c>
      <c r="W540">
        <f t="array" ref="W540">INDEX(L$3:L$700,MATCH($B540&amp;$C540&amp;"baseline",$B$3:$B$700&amp;$C$3:$C$700&amp;$D$3:$D$700,0))</f>
        <v>37.958336291892508</v>
      </c>
      <c r="X540">
        <f t="array" ref="X540">INDEX(M$3:M$700,MATCH($B540&amp;$C540&amp;"baseline",$B$3:$B$700&amp;$C$3:$C$700&amp;$D$3:$D$700,0))</f>
        <v>9.2652906144948552</v>
      </c>
      <c r="Y540">
        <f t="array" ref="Y540">INDEX(N$3:N$700,MATCH($B540&amp;$C540&amp;"baseline",$B$3:$B$700&amp;$C$3:$C$700&amp;$D$3:$D$700,0))</f>
        <v>0</v>
      </c>
      <c r="Z540">
        <f t="array" ref="Z540">INDEX(O$3:O$700,MATCH($B540&amp;$C540&amp;"baseline",$B$3:$B$700&amp;$C$3:$C$700&amp;$D$3:$D$700,0))</f>
        <v>15.231684303287548</v>
      </c>
      <c r="AA540">
        <f t="array" ref="AA540">INDEX(P$3:P$700,MATCH($B540&amp;$C540&amp;"baseline",$B$3:$B$700&amp;$C$3:$C$700&amp;$D$3:$D$700,0))</f>
        <v>0.74476689811027452</v>
      </c>
      <c r="AB540">
        <f t="array" ref="AB540">INDEX(Q$3:Q$700,MATCH($B540&amp;$C540&amp;"baseline",$B$3:$B$700&amp;$C$3:$C$700&amp;$D$3:$D$700,0))</f>
        <v>0</v>
      </c>
      <c r="AC540">
        <f t="shared" si="67"/>
        <v>374.42705338644384</v>
      </c>
      <c r="AD540">
        <f t="shared" si="64"/>
        <v>178.99331220994634</v>
      </c>
      <c r="AE540">
        <f t="shared" si="65"/>
        <v>-4.5406756046078129</v>
      </c>
      <c r="AF540">
        <f t="shared" si="68"/>
        <v>46.591888867946466</v>
      </c>
      <c r="AG540">
        <f>(S540+V540+Y540)*constants!$O$2+(R540+T540+U540+W540+X540+Z540+AA540+AB540)*constants!$N$2</f>
        <v>13.109581240610872</v>
      </c>
      <c r="AH540">
        <f>((S540+V540+Y540)-(H540+K540+N540))*constants!$O$2</f>
        <v>2.8996916578011307</v>
      </c>
      <c r="AI540">
        <f>((R540+T540+U540+W540+X540+Z540+AA540+AB540)-(G540+I540+J540+L540+M540+O540+P540+Q540))*constants!$N$2</f>
        <v>-0.51309634332068288</v>
      </c>
      <c r="AJ540">
        <f t="shared" si="69"/>
        <v>18.204969866522134</v>
      </c>
      <c r="AK540">
        <f t="shared" si="66"/>
        <v>2.3865953144804477</v>
      </c>
      <c r="AL540">
        <f>COUNTIFS($B:$B,$B540,$AK:$AK,"&lt;"&amp;$AK540)+COUNTIFS($B$2:$B540,$B540,$AK$2:$AK540,$AK540)</f>
        <v>63</v>
      </c>
      <c r="AM540" s="191">
        <f>IF(AK540=0, "NA",IF(((sim_annual_output!F540/E540)/AK540)&lt;0,100,((sim_annual_output!F540/E540)/AK540)))</f>
        <v>13.625431052062025</v>
      </c>
      <c r="AN540">
        <f>(S540+V540)*constants!$F$2+(T540+U540+W540+X540+Y540+Z540+AA540+AB540)*constants!$G$2</f>
        <v>117304.56359174766</v>
      </c>
      <c r="AO540">
        <f>(AD540*constants!$F$2+AE540*constants!$G$2)</f>
        <v>28089.415109571597</v>
      </c>
      <c r="AP540">
        <f t="shared" si="70"/>
        <v>23.945713832012995</v>
      </c>
    </row>
    <row r="541" spans="1:42">
      <c r="A541">
        <f>sim_annual_output!B541</f>
        <v>25</v>
      </c>
      <c r="B541" t="str">
        <f>sim_annual_output!C541</f>
        <v>Training Building</v>
      </c>
      <c r="C541" t="str">
        <f>sim_annual_output!D541</f>
        <v>1980-2004</v>
      </c>
      <c r="D541" t="str">
        <f>sim_annual_output!E541</f>
        <v>occupancy_setback</v>
      </c>
      <c r="E541" s="45">
        <f t="array" ref="E541">IFERROR(INDEX(baseline!$J$3:$J$201,MATCH($B541&amp;$C541,baseline!$C$3:$C$201&amp;baseline!$D$3:$D$201,0)),"NA")</f>
        <v>3699.892902</v>
      </c>
      <c r="F541">
        <f>sim_annual_output!G541</f>
        <v>3699.8929020249998</v>
      </c>
      <c r="G541">
        <f>$E541/$F541^2*sim_annual_output!I541</f>
        <v>0</v>
      </c>
      <c r="H541">
        <f>$E541/$F541^2*sim_annual_output!J541</f>
        <v>257.62628180720208</v>
      </c>
      <c r="I541">
        <f>$E541/$F541^2*sim_annual_output!K541</f>
        <v>3.1427361244854928</v>
      </c>
      <c r="J541">
        <f>$E541/$F541^2*sim_annual_output!L541</f>
        <v>7.7111903331558764</v>
      </c>
      <c r="K541">
        <f>$E541/$F541^2*sim_annual_output!M541</f>
        <v>0</v>
      </c>
      <c r="L541">
        <f>$E541/$F541^2*sim_annual_output!N541</f>
        <v>37.958336291892508</v>
      </c>
      <c r="M541">
        <f>$E541/$F541^2*sim_annual_output!O541</f>
        <v>9.2652906144948552</v>
      </c>
      <c r="N541">
        <f>$E541/$F541^2*sim_annual_output!P541</f>
        <v>0</v>
      </c>
      <c r="O541">
        <f>$E541/$F541^2*sim_annual_output!Q541</f>
        <v>21.251382880957085</v>
      </c>
      <c r="P541">
        <f>$E541/$F541^2*sim_annual_output!R541</f>
        <v>0.39340509537276597</v>
      </c>
      <c r="Q541">
        <f>$E541/$F541^2*sim_annual_output!S541</f>
        <v>0</v>
      </c>
      <c r="R541">
        <f t="array" ref="R541">INDEX(G$3:G$700,MATCH($B541&amp;$C541&amp;"baseline",$B$3:$B$700&amp;$C$3:$C$700&amp;$D$3:$D$700,0))</f>
        <v>0</v>
      </c>
      <c r="S541">
        <f t="array" ref="S541">INDEX(H$3:H$700,MATCH($B541&amp;$C541&amp;"baseline",$B$3:$B$700&amp;$C$3:$C$700&amp;$D$3:$D$700,0))</f>
        <v>301.65987388488929</v>
      </c>
      <c r="T541">
        <f t="array" ref="T541">INDEX(I$3:I$700,MATCH($B541&amp;$C541&amp;"baseline",$B$3:$B$700&amp;$C$3:$C$700&amp;$D$3:$D$700,0))</f>
        <v>1.8559110606135065</v>
      </c>
      <c r="U541">
        <f t="array" ref="U541">INDEX(J$3:J$700,MATCH($B541&amp;$C541&amp;"baseline",$B$3:$B$700&amp;$C$3:$C$700&amp;$D$3:$D$700,0))</f>
        <v>7.7111903331558764</v>
      </c>
      <c r="V541">
        <f t="array" ref="V541">INDEX(K$3:K$700,MATCH($B541&amp;$C541&amp;"baseline",$B$3:$B$700&amp;$C$3:$C$700&amp;$D$3:$D$700,0))</f>
        <v>0</v>
      </c>
      <c r="W541">
        <f t="array" ref="W541">INDEX(L$3:L$700,MATCH($B541&amp;$C541&amp;"baseline",$B$3:$B$700&amp;$C$3:$C$700&amp;$D$3:$D$700,0))</f>
        <v>37.958336291892508</v>
      </c>
      <c r="X541">
        <f t="array" ref="X541">INDEX(M$3:M$700,MATCH($B541&amp;$C541&amp;"baseline",$B$3:$B$700&amp;$C$3:$C$700&amp;$D$3:$D$700,0))</f>
        <v>9.2652906144948552</v>
      </c>
      <c r="Y541">
        <f t="array" ref="Y541">INDEX(N$3:N$700,MATCH($B541&amp;$C541&amp;"baseline",$B$3:$B$700&amp;$C$3:$C$700&amp;$D$3:$D$700,0))</f>
        <v>0</v>
      </c>
      <c r="Z541">
        <f t="array" ref="Z541">INDEX(O$3:O$700,MATCH($B541&amp;$C541&amp;"baseline",$B$3:$B$700&amp;$C$3:$C$700&amp;$D$3:$D$700,0))</f>
        <v>15.231684303287548</v>
      </c>
      <c r="AA541">
        <f t="array" ref="AA541">INDEX(P$3:P$700,MATCH($B541&amp;$C541&amp;"baseline",$B$3:$B$700&amp;$C$3:$C$700&amp;$D$3:$D$700,0))</f>
        <v>0.74476689811027452</v>
      </c>
      <c r="AB541">
        <f t="array" ref="AB541">INDEX(Q$3:Q$700,MATCH($B541&amp;$C541&amp;"baseline",$B$3:$B$700&amp;$C$3:$C$700&amp;$D$3:$D$700,0))</f>
        <v>0</v>
      </c>
      <c r="AC541">
        <f t="shared" si="67"/>
        <v>374.42705338644384</v>
      </c>
      <c r="AD541">
        <f t="shared" si="64"/>
        <v>44.033592077687217</v>
      </c>
      <c r="AE541">
        <f t="shared" si="65"/>
        <v>-6.9551618388040168</v>
      </c>
      <c r="AF541">
        <f t="shared" si="68"/>
        <v>9.9027113301598906</v>
      </c>
      <c r="AG541">
        <f>(S541+V541+Y541)*constants!$O$2+(R541+T541+U541+W541+X541+Z541+AA541+AB541)*constants!$N$2</f>
        <v>13.109581240610872</v>
      </c>
      <c r="AH541">
        <f>((S541+V541+Y541)-(H541+K541+N541))*constants!$O$2</f>
        <v>0.71334419165853291</v>
      </c>
      <c r="AI541">
        <f>((R541+T541+U541+W541+X541+Z541+AA541+AB541)-(G541+I541+J541+L541+M541+O541+P541+Q541))*constants!$N$2</f>
        <v>-0.78593328778485394</v>
      </c>
      <c r="AJ541">
        <f t="shared" si="69"/>
        <v>-0.5537102581236879</v>
      </c>
      <c r="AK541">
        <f t="shared" si="66"/>
        <v>-7.2589096126321029E-2</v>
      </c>
      <c r="AL541">
        <f>COUNTIFS($B:$B,$B541,$AK:$AK,"&lt;"&amp;$AK541)+COUNTIFS($B$2:$B541,$B541,$AK$2:$AK541,$AK541)</f>
        <v>35</v>
      </c>
      <c r="AM541" s="191">
        <f>IF(AK541=0, "NA",IF(((sim_annual_output!F541/E541)/AK541)&lt;0,100,((sim_annual_output!F541/E541)/AK541)))</f>
        <v>100</v>
      </c>
      <c r="AN541">
        <f>(S541+V541)*constants!$F$2+(T541+U541+W541+X541+Y541+Z541+AA541+AB541)*constants!$G$2</f>
        <v>117304.56359174766</v>
      </c>
      <c r="AO541">
        <f>(AD541*constants!$F$2+AE541*constants!$G$2)</f>
        <v>1831.0221821465175</v>
      </c>
      <c r="AP541">
        <f t="shared" si="70"/>
        <v>1.5609129995308464</v>
      </c>
    </row>
    <row r="542" spans="1:42">
      <c r="A542">
        <f>sim_annual_output!B542</f>
        <v>25</v>
      </c>
      <c r="B542" t="str">
        <f>sim_annual_output!C542</f>
        <v>Training Building</v>
      </c>
      <c r="C542" t="str">
        <f>sim_annual_output!D542</f>
        <v>1980-2004</v>
      </c>
      <c r="D542" t="str">
        <f>sim_annual_output!E542</f>
        <v>payback_less_than_20</v>
      </c>
      <c r="E542" s="45">
        <f t="array" ref="E542">IFERROR(INDEX(baseline!$J$3:$J$201,MATCH($B542&amp;$C542,baseline!$C$3:$C$201&amp;baseline!$D$3:$D$201,0)),"NA")</f>
        <v>3699.892902</v>
      </c>
      <c r="F542">
        <f>sim_annual_output!G542</f>
        <v>3699.8929020249998</v>
      </c>
      <c r="G542">
        <f>$E542/$F542^2*sim_annual_output!I542</f>
        <v>0</v>
      </c>
      <c r="H542">
        <f>$E542/$F542^2*sim_annual_output!J542</f>
        <v>84.416925426934739</v>
      </c>
      <c r="I542">
        <f>$E542/$F542^2*sim_annual_output!K542</f>
        <v>6.3507895071721894</v>
      </c>
      <c r="J542">
        <f>$E542/$F542^2*sim_annual_output!L542</f>
        <v>7.7111903331558764</v>
      </c>
      <c r="K542">
        <f>$E542/$F542^2*sim_annual_output!M542</f>
        <v>0</v>
      </c>
      <c r="L542">
        <f>$E542/$F542^2*sim_annual_output!N542</f>
        <v>26.570610172399924</v>
      </c>
      <c r="M542">
        <f>$E542/$F542^2*sim_annual_output!O542</f>
        <v>9.2652906144948552</v>
      </c>
      <c r="N542">
        <f>$E542/$F542^2*sim_annual_output!P542</f>
        <v>0</v>
      </c>
      <c r="O542">
        <f>$E542/$F542^2*sim_annual_output!Q542</f>
        <v>18.31210626190293</v>
      </c>
      <c r="P542">
        <f>$E542/$F542^2*sim_annual_output!R542</f>
        <v>0.11636982782973039</v>
      </c>
      <c r="Q542">
        <f>$E542/$F542^2*sim_annual_output!S542</f>
        <v>0</v>
      </c>
      <c r="R542">
        <f t="array" ref="R542">INDEX(G$3:G$700,MATCH($B542&amp;$C542&amp;"baseline",$B$3:$B$700&amp;$C$3:$C$700&amp;$D$3:$D$700,0))</f>
        <v>0</v>
      </c>
      <c r="S542">
        <f t="array" ref="S542">INDEX(H$3:H$700,MATCH($B542&amp;$C542&amp;"baseline",$B$3:$B$700&amp;$C$3:$C$700&amp;$D$3:$D$700,0))</f>
        <v>301.65987388488929</v>
      </c>
      <c r="T542">
        <f t="array" ref="T542">INDEX(I$3:I$700,MATCH($B542&amp;$C542&amp;"baseline",$B$3:$B$700&amp;$C$3:$C$700&amp;$D$3:$D$700,0))</f>
        <v>1.8559110606135065</v>
      </c>
      <c r="U542">
        <f t="array" ref="U542">INDEX(J$3:J$700,MATCH($B542&amp;$C542&amp;"baseline",$B$3:$B$700&amp;$C$3:$C$700&amp;$D$3:$D$700,0))</f>
        <v>7.7111903331558764</v>
      </c>
      <c r="V542">
        <f t="array" ref="V542">INDEX(K$3:K$700,MATCH($B542&amp;$C542&amp;"baseline",$B$3:$B$700&amp;$C$3:$C$700&amp;$D$3:$D$700,0))</f>
        <v>0</v>
      </c>
      <c r="W542">
        <f t="array" ref="W542">INDEX(L$3:L$700,MATCH($B542&amp;$C542&amp;"baseline",$B$3:$B$700&amp;$C$3:$C$700&amp;$D$3:$D$700,0))</f>
        <v>37.958336291892508</v>
      </c>
      <c r="X542">
        <f t="array" ref="X542">INDEX(M$3:M$700,MATCH($B542&amp;$C542&amp;"baseline",$B$3:$B$700&amp;$C$3:$C$700&amp;$D$3:$D$700,0))</f>
        <v>9.2652906144948552</v>
      </c>
      <c r="Y542">
        <f t="array" ref="Y542">INDEX(N$3:N$700,MATCH($B542&amp;$C542&amp;"baseline",$B$3:$B$700&amp;$C$3:$C$700&amp;$D$3:$D$700,0))</f>
        <v>0</v>
      </c>
      <c r="Z542">
        <f t="array" ref="Z542">INDEX(O$3:O$700,MATCH($B542&amp;$C542&amp;"baseline",$B$3:$B$700&amp;$C$3:$C$700&amp;$D$3:$D$700,0))</f>
        <v>15.231684303287548</v>
      </c>
      <c r="AA542">
        <f t="array" ref="AA542">INDEX(P$3:P$700,MATCH($B542&amp;$C542&amp;"baseline",$B$3:$B$700&amp;$C$3:$C$700&amp;$D$3:$D$700,0))</f>
        <v>0.74476689811027452</v>
      </c>
      <c r="AB542">
        <f t="array" ref="AB542">INDEX(Q$3:Q$700,MATCH($B542&amp;$C542&amp;"baseline",$B$3:$B$700&amp;$C$3:$C$700&amp;$D$3:$D$700,0))</f>
        <v>0</v>
      </c>
      <c r="AC542">
        <f t="shared" si="67"/>
        <v>374.42705338644384</v>
      </c>
      <c r="AD542">
        <f t="shared" si="64"/>
        <v>217.24294845795455</v>
      </c>
      <c r="AE542">
        <f t="shared" si="65"/>
        <v>4.4408227845990638</v>
      </c>
      <c r="AF542">
        <f t="shared" si="68"/>
        <v>59.206130870505014</v>
      </c>
      <c r="AG542">
        <f>(S542+V542+Y542)*constants!$O$2+(R542+T542+U542+W542+X542+Z542+AA542+AB542)*constants!$N$2</f>
        <v>13.109581240610872</v>
      </c>
      <c r="AH542">
        <f>((S542+V542+Y542)-(H542+K542+N542))*constants!$O$2</f>
        <v>3.5193357650188637</v>
      </c>
      <c r="AI542">
        <f>((R542+T542+U542+W542+X542+Z542+AA542+AB542)-(G542+I542+J542+L542+M542+O542+P542+Q542))*constants!$N$2</f>
        <v>0.50181297465969421</v>
      </c>
      <c r="AJ542">
        <f t="shared" si="69"/>
        <v>30.67335764487915</v>
      </c>
      <c r="AK542">
        <f t="shared" si="66"/>
        <v>4.0211487396785577</v>
      </c>
      <c r="AL542">
        <f>COUNTIFS($B:$B,$B542,$AK:$AK,"&lt;"&amp;$AK542)+COUNTIFS($B$2:$B542,$B542,$AK$2:$AK542,$AK542)</f>
        <v>66</v>
      </c>
      <c r="AM542" s="191">
        <f>IF(AK542=0, "NA",IF(((sim_annual_output!F542/E542)/AK542)&lt;0,100,((sim_annual_output!F542/E542)/AK542)))</f>
        <v>25.27976397711496</v>
      </c>
      <c r="AN542">
        <f>(S542+V542)*constants!$F$2+(T542+U542+W542+X542+Y542+Z542+AA542+AB542)*constants!$G$2</f>
        <v>117304.56359174766</v>
      </c>
      <c r="AO542">
        <f>(AD542*constants!$F$2+AE542*constants!$G$2)</f>
        <v>42750.00359657505</v>
      </c>
      <c r="AP542">
        <f t="shared" si="70"/>
        <v>36.443598004726304</v>
      </c>
    </row>
    <row r="543" spans="1:42">
      <c r="A543">
        <f>sim_annual_output!B543</f>
        <v>25</v>
      </c>
      <c r="B543" t="str">
        <f>sim_annual_output!C543</f>
        <v>Training Building</v>
      </c>
      <c r="C543" t="str">
        <f>sim_annual_output!D543</f>
        <v>1980-2004</v>
      </c>
      <c r="D543" t="str">
        <f>sim_annual_output!E543</f>
        <v>plug_loads_90_percent</v>
      </c>
      <c r="E543" s="45">
        <f t="array" ref="E543">IFERROR(INDEX(baseline!$J$3:$J$201,MATCH($B543&amp;$C543,baseline!$C$3:$C$201&amp;baseline!$D$3:$D$201,0)),"NA")</f>
        <v>3699.892902</v>
      </c>
      <c r="F543">
        <f>sim_annual_output!G543</f>
        <v>3699.8929020249998</v>
      </c>
      <c r="G543">
        <f>$E543/$F543^2*sim_annual_output!I543</f>
        <v>0</v>
      </c>
      <c r="H543">
        <f>$E543/$F543^2*sim_annual_output!J543</f>
        <v>300.38205809801059</v>
      </c>
      <c r="I543">
        <f>$E543/$F543^2*sim_annual_output!K543</f>
        <v>3.4925963810574565</v>
      </c>
      <c r="J543">
        <f>$E543/$F543^2*sim_annual_output!L543</f>
        <v>7.7111903331558764</v>
      </c>
      <c r="K543">
        <f>$E543/$F543^2*sim_annual_output!M543</f>
        <v>0</v>
      </c>
      <c r="L543">
        <f>$E543/$F543^2*sim_annual_output!N543</f>
        <v>37.958336291892508</v>
      </c>
      <c r="M543">
        <f>$E543/$F543^2*sim_annual_output!O543</f>
        <v>9.2652906144948552</v>
      </c>
      <c r="N543">
        <f>$E543/$F543^2*sim_annual_output!P543</f>
        <v>0</v>
      </c>
      <c r="O543">
        <f>$E543/$F543^2*sim_annual_output!Q543</f>
        <v>16.361597792860092</v>
      </c>
      <c r="P543">
        <f>$E543/$F543^2*sim_annual_output!R543</f>
        <v>0.70647747088887936</v>
      </c>
      <c r="Q543">
        <f>$E543/$F543^2*sim_annual_output!S543</f>
        <v>0</v>
      </c>
      <c r="R543">
        <f t="array" ref="R543">INDEX(G$3:G$700,MATCH($B543&amp;$C543&amp;"baseline",$B$3:$B$700&amp;$C$3:$C$700&amp;$D$3:$D$700,0))</f>
        <v>0</v>
      </c>
      <c r="S543">
        <f t="array" ref="S543">INDEX(H$3:H$700,MATCH($B543&amp;$C543&amp;"baseline",$B$3:$B$700&amp;$C$3:$C$700&amp;$D$3:$D$700,0))</f>
        <v>301.65987388488929</v>
      </c>
      <c r="T543">
        <f t="array" ref="T543">INDEX(I$3:I$700,MATCH($B543&amp;$C543&amp;"baseline",$B$3:$B$700&amp;$C$3:$C$700&amp;$D$3:$D$700,0))</f>
        <v>1.8559110606135065</v>
      </c>
      <c r="U543">
        <f t="array" ref="U543">INDEX(J$3:J$700,MATCH($B543&amp;$C543&amp;"baseline",$B$3:$B$700&amp;$C$3:$C$700&amp;$D$3:$D$700,0))</f>
        <v>7.7111903331558764</v>
      </c>
      <c r="V543">
        <f t="array" ref="V543">INDEX(K$3:K$700,MATCH($B543&amp;$C543&amp;"baseline",$B$3:$B$700&amp;$C$3:$C$700&amp;$D$3:$D$700,0))</f>
        <v>0</v>
      </c>
      <c r="W543">
        <f t="array" ref="W543">INDEX(L$3:L$700,MATCH($B543&amp;$C543&amp;"baseline",$B$3:$B$700&amp;$C$3:$C$700&amp;$D$3:$D$700,0))</f>
        <v>37.958336291892508</v>
      </c>
      <c r="X543">
        <f t="array" ref="X543">INDEX(M$3:M$700,MATCH($B543&amp;$C543&amp;"baseline",$B$3:$B$700&amp;$C$3:$C$700&amp;$D$3:$D$700,0))</f>
        <v>9.2652906144948552</v>
      </c>
      <c r="Y543">
        <f t="array" ref="Y543">INDEX(N$3:N$700,MATCH($B543&amp;$C543&amp;"baseline",$B$3:$B$700&amp;$C$3:$C$700&amp;$D$3:$D$700,0))</f>
        <v>0</v>
      </c>
      <c r="Z543">
        <f t="array" ref="Z543">INDEX(O$3:O$700,MATCH($B543&amp;$C543&amp;"baseline",$B$3:$B$700&amp;$C$3:$C$700&amp;$D$3:$D$700,0))</f>
        <v>15.231684303287548</v>
      </c>
      <c r="AA543">
        <f t="array" ref="AA543">INDEX(P$3:P$700,MATCH($B543&amp;$C543&amp;"baseline",$B$3:$B$700&amp;$C$3:$C$700&amp;$D$3:$D$700,0))</f>
        <v>0.74476689811027452</v>
      </c>
      <c r="AB543">
        <f t="array" ref="AB543">INDEX(Q$3:Q$700,MATCH($B543&amp;$C543&amp;"baseline",$B$3:$B$700&amp;$C$3:$C$700&amp;$D$3:$D$700,0))</f>
        <v>0</v>
      </c>
      <c r="AC543">
        <f t="shared" si="67"/>
        <v>374.42705338644384</v>
      </c>
      <c r="AD543">
        <f t="shared" si="64"/>
        <v>1.2778157868787048</v>
      </c>
      <c r="AE543">
        <f t="shared" si="65"/>
        <v>-2.7283093827951177</v>
      </c>
      <c r="AF543">
        <f t="shared" si="68"/>
        <v>-0.38739016927266934</v>
      </c>
      <c r="AG543">
        <f>(S543+V543+Y543)*constants!$O$2+(R543+T543+U543+W543+X543+Z543+AA543+AB543)*constants!$N$2</f>
        <v>13.109581240610872</v>
      </c>
      <c r="AH543">
        <f>((S543+V543+Y543)-(H543+K543+N543))*constants!$O$2</f>
        <v>2.0700615747435015E-2</v>
      </c>
      <c r="AI543">
        <f>((R543+T543+U543+W543+X543+Z543+AA543+AB543)-(G543+I543+J543+L543+M543+O543+P543+Q543))*constants!$N$2</f>
        <v>-0.3082989602558483</v>
      </c>
      <c r="AJ543">
        <f t="shared" si="69"/>
        <v>-2.1938026793524945</v>
      </c>
      <c r="AK543">
        <f t="shared" si="66"/>
        <v>-0.28759834450841326</v>
      </c>
      <c r="AL543">
        <f>COUNTIFS($B:$B,$B543,$AK:$AK,"&lt;"&amp;$AK543)+COUNTIFS($B$2:$B543,$B543,$AK$2:$AK543,$AK543)</f>
        <v>21</v>
      </c>
      <c r="AM543" s="191">
        <f>IF(AK543=0, "NA",IF(((sim_annual_output!F543/E543)/AK543)&lt;0,100,((sim_annual_output!F543/E543)/AK543)))</f>
        <v>100</v>
      </c>
      <c r="AN543">
        <f>(S543+V543)*constants!$F$2+(T543+U543+W543+X543+Y543+Z543+AA543+AB543)*constants!$G$2</f>
        <v>117304.56359174766</v>
      </c>
      <c r="AO543">
        <f>(AD543*constants!$F$2+AE543*constants!$G$2)</f>
        <v>-2144.9001371804643</v>
      </c>
      <c r="AP543">
        <f t="shared" si="70"/>
        <v>-1.8284882288512752</v>
      </c>
    </row>
    <row r="544" spans="1:42">
      <c r="A544">
        <f>sim_annual_output!B544</f>
        <v>25</v>
      </c>
      <c r="B544" t="str">
        <f>sim_annual_output!C544</f>
        <v>Training Building</v>
      </c>
      <c r="C544" t="str">
        <f>sim_annual_output!D544</f>
        <v>1980-2004</v>
      </c>
      <c r="D544" t="str">
        <f>sim_annual_output!E544</f>
        <v>pumps_to_variable</v>
      </c>
      <c r="E544" s="45">
        <f t="array" ref="E544">IFERROR(INDEX(baseline!$J$3:$J$201,MATCH($B544&amp;$C544,baseline!$C$3:$C$201&amp;baseline!$D$3:$D$201,0)),"NA")</f>
        <v>3699.892902</v>
      </c>
      <c r="F544">
        <f>sim_annual_output!G544</f>
        <v>3699.8929020249998</v>
      </c>
      <c r="G544">
        <f>$E544/$F544^2*sim_annual_output!I544</f>
        <v>0</v>
      </c>
      <c r="H544">
        <f>$E544/$F544^2*sim_annual_output!J544</f>
        <v>300.80324179744593</v>
      </c>
      <c r="I544">
        <f>$E544/$F544^2*sim_annual_output!K544</f>
        <v>3.6945543403232466</v>
      </c>
      <c r="J544">
        <f>$E544/$F544^2*sim_annual_output!L544</f>
        <v>7.7111903331558764</v>
      </c>
      <c r="K544">
        <f>$E544/$F544^2*sim_annual_output!M544</f>
        <v>0</v>
      </c>
      <c r="L544">
        <f>$E544/$F544^2*sim_annual_output!N544</f>
        <v>37.958336291892508</v>
      </c>
      <c r="M544">
        <f>$E544/$F544^2*sim_annual_output!O544</f>
        <v>9.2652906144948552</v>
      </c>
      <c r="N544">
        <f>$E544/$F544^2*sim_annual_output!P544</f>
        <v>0</v>
      </c>
      <c r="O544">
        <f>$E544/$F544^2*sim_annual_output!Q544</f>
        <v>16.556048021298157</v>
      </c>
      <c r="P544">
        <f>$E544/$F544^2*sim_annual_output!R544</f>
        <v>0.70197283239224462</v>
      </c>
      <c r="Q544">
        <f>$E544/$F544^2*sim_annual_output!S544</f>
        <v>0</v>
      </c>
      <c r="R544">
        <f t="array" ref="R544">INDEX(G$3:G$700,MATCH($B544&amp;$C544&amp;"baseline",$B$3:$B$700&amp;$C$3:$C$700&amp;$D$3:$D$700,0))</f>
        <v>0</v>
      </c>
      <c r="S544">
        <f t="array" ref="S544">INDEX(H$3:H$700,MATCH($B544&amp;$C544&amp;"baseline",$B$3:$B$700&amp;$C$3:$C$700&amp;$D$3:$D$700,0))</f>
        <v>301.65987388488929</v>
      </c>
      <c r="T544">
        <f t="array" ref="T544">INDEX(I$3:I$700,MATCH($B544&amp;$C544&amp;"baseline",$B$3:$B$700&amp;$C$3:$C$700&amp;$D$3:$D$700,0))</f>
        <v>1.8559110606135065</v>
      </c>
      <c r="U544">
        <f t="array" ref="U544">INDEX(J$3:J$700,MATCH($B544&amp;$C544&amp;"baseline",$B$3:$B$700&amp;$C$3:$C$700&amp;$D$3:$D$700,0))</f>
        <v>7.7111903331558764</v>
      </c>
      <c r="V544">
        <f t="array" ref="V544">INDEX(K$3:K$700,MATCH($B544&amp;$C544&amp;"baseline",$B$3:$B$700&amp;$C$3:$C$700&amp;$D$3:$D$700,0))</f>
        <v>0</v>
      </c>
      <c r="W544">
        <f t="array" ref="W544">INDEX(L$3:L$700,MATCH($B544&amp;$C544&amp;"baseline",$B$3:$B$700&amp;$C$3:$C$700&amp;$D$3:$D$700,0))</f>
        <v>37.958336291892508</v>
      </c>
      <c r="X544">
        <f t="array" ref="X544">INDEX(M$3:M$700,MATCH($B544&amp;$C544&amp;"baseline",$B$3:$B$700&amp;$C$3:$C$700&amp;$D$3:$D$700,0))</f>
        <v>9.2652906144948552</v>
      </c>
      <c r="Y544">
        <f t="array" ref="Y544">INDEX(N$3:N$700,MATCH($B544&amp;$C544&amp;"baseline",$B$3:$B$700&amp;$C$3:$C$700&amp;$D$3:$D$700,0))</f>
        <v>0</v>
      </c>
      <c r="Z544">
        <f t="array" ref="Z544">INDEX(O$3:O$700,MATCH($B544&amp;$C544&amp;"baseline",$B$3:$B$700&amp;$C$3:$C$700&amp;$D$3:$D$700,0))</f>
        <v>15.231684303287548</v>
      </c>
      <c r="AA544">
        <f t="array" ref="AA544">INDEX(P$3:P$700,MATCH($B544&amp;$C544&amp;"baseline",$B$3:$B$700&amp;$C$3:$C$700&amp;$D$3:$D$700,0))</f>
        <v>0.74476689811027452</v>
      </c>
      <c r="AB544">
        <f t="array" ref="AB544">INDEX(Q$3:Q$700,MATCH($B544&amp;$C544&amp;"baseline",$B$3:$B$700&amp;$C$3:$C$700&amp;$D$3:$D$700,0))</f>
        <v>0</v>
      </c>
      <c r="AC544">
        <f t="shared" si="67"/>
        <v>374.42705338644384</v>
      </c>
      <c r="AD544">
        <f t="shared" si="64"/>
        <v>0.85663208744335861</v>
      </c>
      <c r="AE544">
        <f t="shared" si="65"/>
        <v>-3.1202129320023175</v>
      </c>
      <c r="AF544">
        <f t="shared" si="68"/>
        <v>-0.60454521757612723</v>
      </c>
      <c r="AG544">
        <f>(S544+V544+Y544)*constants!$O$2+(R544+T544+U544+W544+X544+Z544+AA544+AB544)*constants!$N$2</f>
        <v>13.109581240610872</v>
      </c>
      <c r="AH544">
        <f>((S544+V544+Y544)-(H544+K544+N544))*constants!$O$2</f>
        <v>1.3877439816582409E-2</v>
      </c>
      <c r="AI544">
        <f>((R544+T544+U544+W544+X544+Z544+AA544+AB544)-(G544+I544+J544+L544+M544+O544+P544+Q544))*constants!$N$2</f>
        <v>-0.35258406131626191</v>
      </c>
      <c r="AJ544">
        <f t="shared" si="69"/>
        <v>-2.5836570618322563</v>
      </c>
      <c r="AK544">
        <f t="shared" si="66"/>
        <v>-0.33870662149967951</v>
      </c>
      <c r="AL544">
        <f>COUNTIFS($B:$B,$B544,$AK:$AK,"&lt;"&amp;$AK544)+COUNTIFS($B$2:$B544,$B544,$AK$2:$AK544,$AK544)</f>
        <v>17</v>
      </c>
      <c r="AM544" s="191">
        <f>IF(AK544=0, "NA",IF(((sim_annual_output!F544/E544)/AK544)&lt;0,100,((sim_annual_output!F544/E544)/AK544)))</f>
        <v>100</v>
      </c>
      <c r="AN544">
        <f>(S544+V544)*constants!$F$2+(T544+U544+W544+X544+Y544+Z544+AA544+AB544)*constants!$G$2</f>
        <v>117304.56359174766</v>
      </c>
      <c r="AO544">
        <f>(AD544*constants!$F$2+AE544*constants!$G$2)</f>
        <v>-2561.248107189655</v>
      </c>
      <c r="AP544">
        <f t="shared" si="70"/>
        <v>-2.1834172761628499</v>
      </c>
    </row>
    <row r="545" spans="1:42">
      <c r="A545">
        <f>sim_annual_output!B545</f>
        <v>25</v>
      </c>
      <c r="B545" t="str">
        <f>sim_annual_output!C545</f>
        <v>Training Building</v>
      </c>
      <c r="C545" t="str">
        <f>sim_annual_output!D545</f>
        <v>1980-2004</v>
      </c>
      <c r="D545" t="str">
        <f>sim_annual_output!E545</f>
        <v>pump_fan_eff_</v>
      </c>
      <c r="E545" s="45">
        <f t="array" ref="E545">IFERROR(INDEX(baseline!$J$3:$J$201,MATCH($B545&amp;$C545,baseline!$C$3:$C$201&amp;baseline!$D$3:$D$201,0)),"NA")</f>
        <v>3699.892902</v>
      </c>
      <c r="F545">
        <f>sim_annual_output!G545</f>
        <v>3699.8929020249998</v>
      </c>
      <c r="G545">
        <f>$E545/$F545^2*sim_annual_output!I545</f>
        <v>0</v>
      </c>
      <c r="H545">
        <f>$E545/$F545^2*sim_annual_output!J545</f>
        <v>300.80324179744593</v>
      </c>
      <c r="I545">
        <f>$E545/$F545^2*sim_annual_output!K545</f>
        <v>3.6945543403232466</v>
      </c>
      <c r="J545">
        <f>$E545/$F545^2*sim_annual_output!L545</f>
        <v>7.7111903331558764</v>
      </c>
      <c r="K545">
        <f>$E545/$F545^2*sim_annual_output!M545</f>
        <v>0</v>
      </c>
      <c r="L545">
        <f>$E545/$F545^2*sim_annual_output!N545</f>
        <v>37.958336291892508</v>
      </c>
      <c r="M545">
        <f>$E545/$F545^2*sim_annual_output!O545</f>
        <v>9.2652906144948552</v>
      </c>
      <c r="N545">
        <f>$E545/$F545^2*sim_annual_output!P545</f>
        <v>0</v>
      </c>
      <c r="O545">
        <f>$E545/$F545^2*sim_annual_output!Q545</f>
        <v>16.556048021298157</v>
      </c>
      <c r="P545">
        <f>$E545/$F545^2*sim_annual_output!R545</f>
        <v>0.54881512350666395</v>
      </c>
      <c r="Q545">
        <f>$E545/$F545^2*sim_annual_output!S545</f>
        <v>0</v>
      </c>
      <c r="R545">
        <f t="array" ref="R545">INDEX(G$3:G$700,MATCH($B545&amp;$C545&amp;"baseline",$B$3:$B$700&amp;$C$3:$C$700&amp;$D$3:$D$700,0))</f>
        <v>0</v>
      </c>
      <c r="S545">
        <f t="array" ref="S545">INDEX(H$3:H$700,MATCH($B545&amp;$C545&amp;"baseline",$B$3:$B$700&amp;$C$3:$C$700&amp;$D$3:$D$700,0))</f>
        <v>301.65987388488929</v>
      </c>
      <c r="T545">
        <f t="array" ref="T545">INDEX(I$3:I$700,MATCH($B545&amp;$C545&amp;"baseline",$B$3:$B$700&amp;$C$3:$C$700&amp;$D$3:$D$700,0))</f>
        <v>1.8559110606135065</v>
      </c>
      <c r="U545">
        <f t="array" ref="U545">INDEX(J$3:J$700,MATCH($B545&amp;$C545&amp;"baseline",$B$3:$B$700&amp;$C$3:$C$700&amp;$D$3:$D$700,0))</f>
        <v>7.7111903331558764</v>
      </c>
      <c r="V545">
        <f t="array" ref="V545">INDEX(K$3:K$700,MATCH($B545&amp;$C545&amp;"baseline",$B$3:$B$700&amp;$C$3:$C$700&amp;$D$3:$D$700,0))</f>
        <v>0</v>
      </c>
      <c r="W545">
        <f t="array" ref="W545">INDEX(L$3:L$700,MATCH($B545&amp;$C545&amp;"baseline",$B$3:$B$700&amp;$C$3:$C$700&amp;$D$3:$D$700,0))</f>
        <v>37.958336291892508</v>
      </c>
      <c r="X545">
        <f t="array" ref="X545">INDEX(M$3:M$700,MATCH($B545&amp;$C545&amp;"baseline",$B$3:$B$700&amp;$C$3:$C$700&amp;$D$3:$D$700,0))</f>
        <v>9.2652906144948552</v>
      </c>
      <c r="Y545">
        <f t="array" ref="Y545">INDEX(N$3:N$700,MATCH($B545&amp;$C545&amp;"baseline",$B$3:$B$700&amp;$C$3:$C$700&amp;$D$3:$D$700,0))</f>
        <v>0</v>
      </c>
      <c r="Z545">
        <f t="array" ref="Z545">INDEX(O$3:O$700,MATCH($B545&amp;$C545&amp;"baseline",$B$3:$B$700&amp;$C$3:$C$700&amp;$D$3:$D$700,0))</f>
        <v>15.231684303287548</v>
      </c>
      <c r="AA545">
        <f t="array" ref="AA545">INDEX(P$3:P$700,MATCH($B545&amp;$C545&amp;"baseline",$B$3:$B$700&amp;$C$3:$C$700&amp;$D$3:$D$700,0))</f>
        <v>0.74476689811027452</v>
      </c>
      <c r="AB545">
        <f t="array" ref="AB545">INDEX(Q$3:Q$700,MATCH($B545&amp;$C545&amp;"baseline",$B$3:$B$700&amp;$C$3:$C$700&amp;$D$3:$D$700,0))</f>
        <v>0</v>
      </c>
      <c r="AC545">
        <f t="shared" si="67"/>
        <v>374.42705338644384</v>
      </c>
      <c r="AD545">
        <f t="shared" si="64"/>
        <v>0.85663208744335861</v>
      </c>
      <c r="AE545">
        <f t="shared" si="65"/>
        <v>-2.9670552231167449</v>
      </c>
      <c r="AF545">
        <f t="shared" si="68"/>
        <v>-0.56364066554112779</v>
      </c>
      <c r="AG545">
        <f>(S545+V545+Y545)*constants!$O$2+(R545+T545+U545+W545+X545+Z545+AA545+AB545)*constants!$N$2</f>
        <v>13.109581240610872</v>
      </c>
      <c r="AH545">
        <f>((S545+V545+Y545)-(H545+K545+N545))*constants!$O$2</f>
        <v>1.3877439816582409E-2</v>
      </c>
      <c r="AI545">
        <f>((R545+T545+U545+W545+X545+Z545+AA545+AB545)-(G545+I545+J545+L545+M545+O545+P545+Q545))*constants!$N$2</f>
        <v>-0.33527724021219218</v>
      </c>
      <c r="AJ545">
        <f t="shared" si="69"/>
        <v>-2.4516404795599205</v>
      </c>
      <c r="AK545">
        <f t="shared" si="66"/>
        <v>-0.32139980039560978</v>
      </c>
      <c r="AL545">
        <f>COUNTIFS($B:$B,$B545,$AK:$AK,"&lt;"&amp;$AK545)+COUNTIFS($B$2:$B545,$B545,$AK$2:$AK545,$AK545)</f>
        <v>19</v>
      </c>
      <c r="AM545" s="191">
        <f>IF(AK545=0, "NA",IF(((sim_annual_output!F545/E545)/AK545)&lt;0,100,((sim_annual_output!F545/E545)/AK545)))</f>
        <v>100</v>
      </c>
      <c r="AN545">
        <f>(S545+V545)*constants!$F$2+(T545+U545+W545+X545+Y545+Z545+AA545+AB545)*constants!$G$2</f>
        <v>117304.56359174766</v>
      </c>
      <c r="AO545">
        <f>(AD545*constants!$F$2+AE545*constants!$G$2)</f>
        <v>-2428.0009004592066</v>
      </c>
      <c r="AP545">
        <f t="shared" si="70"/>
        <v>-2.0698264637932771</v>
      </c>
    </row>
    <row r="546" spans="1:42">
      <c r="A546">
        <f>sim_annual_output!B546</f>
        <v>26</v>
      </c>
      <c r="B546" t="str">
        <f>sim_annual_output!C546</f>
        <v>Training Building</v>
      </c>
      <c r="C546" t="str">
        <f>sim_annual_output!D546</f>
        <v>2005-2014</v>
      </c>
      <c r="D546" t="str">
        <f>sim_annual_output!E546</f>
        <v>air_temp_reset_enabled</v>
      </c>
      <c r="E546" s="45">
        <f t="array" ref="E546">IFERROR(INDEX(baseline!$J$3:$J$201,MATCH($B546&amp;$C546,baseline!$C$3:$C$201&amp;baseline!$D$3:$D$201,0)),"NA")</f>
        <v>3699.892902</v>
      </c>
      <c r="F546">
        <f>sim_annual_output!G546</f>
        <v>3699.8929020249998</v>
      </c>
      <c r="G546">
        <f>$E546/$F546^2*sim_annual_output!I546</f>
        <v>0</v>
      </c>
      <c r="H546">
        <f>$E546/$F546^2*sim_annual_output!J546</f>
        <v>235.36585990299884</v>
      </c>
      <c r="I546">
        <f>$E546/$F546^2*sim_annual_output!K546</f>
        <v>7.4251457886195711</v>
      </c>
      <c r="J546">
        <f>$E546/$F546^2*sim_annual_output!L546</f>
        <v>7.7111903331558764</v>
      </c>
      <c r="K546">
        <f>$E546/$F546^2*sim_annual_output!M546</f>
        <v>0</v>
      </c>
      <c r="L546">
        <f>$E546/$F546^2*sim_annual_output!N546</f>
        <v>37.958336291892508</v>
      </c>
      <c r="M546">
        <f>$E546/$F546^2*sim_annual_output!O546</f>
        <v>9.2652906144948552</v>
      </c>
      <c r="N546">
        <f>$E546/$F546^2*sim_annual_output!P546</f>
        <v>0</v>
      </c>
      <c r="O546">
        <f>$E546/$F546^2*sim_annual_output!Q546</f>
        <v>13.514666262986946</v>
      </c>
      <c r="P546">
        <f>$E546/$F546^2*sim_annual_output!R546</f>
        <v>0.37013112980681989</v>
      </c>
      <c r="Q546">
        <f>$E546/$F546^2*sim_annual_output!S546</f>
        <v>0</v>
      </c>
      <c r="R546">
        <f t="array" ref="R546">INDEX(G$3:G$700,MATCH($B546&amp;$C546&amp;"baseline",$B$3:$B$700&amp;$C$3:$C$700&amp;$D$3:$D$700,0))</f>
        <v>0</v>
      </c>
      <c r="S546">
        <f t="array" ref="S546">INDEX(H$3:H$700,MATCH($B546&amp;$C546&amp;"baseline",$B$3:$B$700&amp;$C$3:$C$700&amp;$D$3:$D$700,0))</f>
        <v>208.52046678230417</v>
      </c>
      <c r="T546">
        <f t="array" ref="T546">INDEX(I$3:I$700,MATCH($B546&amp;$C546&amp;"baseline",$B$3:$B$700&amp;$C$3:$C$700&amp;$D$3:$D$700,0))</f>
        <v>1.7665690637635845</v>
      </c>
      <c r="U546">
        <f t="array" ref="U546">INDEX(J$3:J$700,MATCH($B546&amp;$C546&amp;"baseline",$B$3:$B$700&amp;$C$3:$C$700&amp;$D$3:$D$700,0))</f>
        <v>7.7111903331558764</v>
      </c>
      <c r="V546">
        <f t="array" ref="V546">INDEX(K$3:K$700,MATCH($B546&amp;$C546&amp;"baseline",$B$3:$B$700&amp;$C$3:$C$700&amp;$D$3:$D$700,0))</f>
        <v>0</v>
      </c>
      <c r="W546">
        <f t="array" ref="W546">INDEX(L$3:L$700,MATCH($B546&amp;$C546&amp;"baseline",$B$3:$B$700&amp;$C$3:$C$700&amp;$D$3:$D$700,0))</f>
        <v>37.958336291892508</v>
      </c>
      <c r="X546">
        <f t="array" ref="X546">INDEX(M$3:M$700,MATCH($B546&amp;$C546&amp;"baseline",$B$3:$B$700&amp;$C$3:$C$700&amp;$D$3:$D$700,0))</f>
        <v>9.2652906144948552</v>
      </c>
      <c r="Y546">
        <f t="array" ref="Y546">INDEX(N$3:N$700,MATCH($B546&amp;$C546&amp;"baseline",$B$3:$B$700&amp;$C$3:$C$700&amp;$D$3:$D$700,0))</f>
        <v>0</v>
      </c>
      <c r="Z546">
        <f t="array" ref="Z546">INDEX(O$3:O$700,MATCH($B546&amp;$C546&amp;"baseline",$B$3:$B$700&amp;$C$3:$C$700&amp;$D$3:$D$700,0))</f>
        <v>9.4920240854921385</v>
      </c>
      <c r="AA546">
        <f t="array" ref="AA546">INDEX(P$3:P$700,MATCH($B546&amp;$C546&amp;"baseline",$B$3:$B$700&amp;$C$3:$C$700&amp;$D$3:$D$700,0))</f>
        <v>0.71248365555105897</v>
      </c>
      <c r="AB546">
        <f t="array" ref="AB546">INDEX(Q$3:Q$700,MATCH($B546&amp;$C546&amp;"baseline",$B$3:$B$700&amp;$C$3:$C$700&amp;$D$3:$D$700,0))</f>
        <v>0</v>
      </c>
      <c r="AC546">
        <f t="shared" si="67"/>
        <v>275.42636082665422</v>
      </c>
      <c r="AD546">
        <f t="shared" si="64"/>
        <v>-26.845393120694666</v>
      </c>
      <c r="AE546">
        <f t="shared" si="65"/>
        <v>-9.3388663766065747</v>
      </c>
      <c r="AF546">
        <f t="shared" si="68"/>
        <v>-13.137544056676049</v>
      </c>
      <c r="AG546">
        <f>(S546+V546+Y546)*constants!$O$2+(R546+T546+U546+W546+X546+Z546+AA546+AB546)*constants!$N$2</f>
        <v>10.938397588884879</v>
      </c>
      <c r="AH546">
        <f>((S546+V546+Y546)-(H546+K546+N546))*constants!$O$2</f>
        <v>-0.43489536855525357</v>
      </c>
      <c r="AI546">
        <f>((R546+T546+U546+W546+X546+Z546+AA546+AB546)-(G546+I546+J546+L546+M546+O546+P546+Q546))*constants!$N$2</f>
        <v>-1.0552919005565429</v>
      </c>
      <c r="AJ546">
        <f t="shared" si="69"/>
        <v>-13.623451305391018</v>
      </c>
      <c r="AK546">
        <f t="shared" si="66"/>
        <v>-1.4901872691117966</v>
      </c>
      <c r="AL546">
        <f>COUNTIFS($B:$B,$B546,$AK:$AK,"&lt;"&amp;$AK546)+COUNTIFS($B$2:$B546,$B546,$AK$2:$AK546,$AK546)</f>
        <v>2</v>
      </c>
      <c r="AM546" s="191">
        <f>IF(AK546=0, "NA",IF(((sim_annual_output!F546/E546)/AK546)&lt;0,100,((sim_annual_output!F546/E546)/AK546)))</f>
        <v>100</v>
      </c>
      <c r="AN546">
        <f>(S546+V546)*constants!$F$2+(T546+U546+W546+X546+Y546+Z546+AA546+AB546)*constants!$G$2</f>
        <v>95533.29137261695</v>
      </c>
      <c r="AO546">
        <f>(AD546*constants!$F$2+AE546*constants!$G$2)</f>
        <v>-12930.139116252067</v>
      </c>
      <c r="AP546">
        <f t="shared" si="70"/>
        <v>-13.534694482386774</v>
      </c>
    </row>
    <row r="547" spans="1:42">
      <c r="A547">
        <f>sim_annual_output!B547</f>
        <v>26</v>
      </c>
      <c r="B547" t="str">
        <f>sim_annual_output!C547</f>
        <v>Training Building</v>
      </c>
      <c r="C547" t="str">
        <f>sim_annual_output!D547</f>
        <v>2005-2014</v>
      </c>
      <c r="D547" t="str">
        <f>sim_annual_output!E547</f>
        <v>baseline</v>
      </c>
      <c r="E547" s="45">
        <f t="array" ref="E547">IFERROR(INDEX(baseline!$J$3:$J$201,MATCH($B547&amp;$C547,baseline!$C$3:$C$201&amp;baseline!$D$3:$D$201,0)),"NA")</f>
        <v>3699.892902</v>
      </c>
      <c r="F547">
        <f>sim_annual_output!G547</f>
        <v>3699.8929020249998</v>
      </c>
      <c r="G547">
        <f>$E547/$F547^2*sim_annual_output!I547</f>
        <v>0</v>
      </c>
      <c r="H547">
        <f>$E547/$F547^2*sim_annual_output!J547</f>
        <v>208.52046678230417</v>
      </c>
      <c r="I547">
        <f>$E547/$F547^2*sim_annual_output!K547</f>
        <v>1.7665690637635845</v>
      </c>
      <c r="J547">
        <f>$E547/$F547^2*sim_annual_output!L547</f>
        <v>7.7111903331558764</v>
      </c>
      <c r="K547">
        <f>$E547/$F547^2*sim_annual_output!M547</f>
        <v>0</v>
      </c>
      <c r="L547">
        <f>$E547/$F547^2*sim_annual_output!N547</f>
        <v>37.958336291892508</v>
      </c>
      <c r="M547">
        <f>$E547/$F547^2*sim_annual_output!O547</f>
        <v>9.2652906144948552</v>
      </c>
      <c r="N547">
        <f>$E547/$F547^2*sim_annual_output!P547</f>
        <v>0</v>
      </c>
      <c r="O547">
        <f>$E547/$F547^2*sim_annual_output!Q547</f>
        <v>9.4920240854921385</v>
      </c>
      <c r="P547">
        <f>$E547/$F547^2*sim_annual_output!R547</f>
        <v>0.71248365555105897</v>
      </c>
      <c r="Q547">
        <f>$E547/$F547^2*sim_annual_output!S547</f>
        <v>0</v>
      </c>
      <c r="R547">
        <f t="array" ref="R547">INDEX(G$3:G$700,MATCH($B547&amp;$C547&amp;"baseline",$B$3:$B$700&amp;$C$3:$C$700&amp;$D$3:$D$700,0))</f>
        <v>0</v>
      </c>
      <c r="S547">
        <f t="array" ref="S547">INDEX(H$3:H$700,MATCH($B547&amp;$C547&amp;"baseline",$B$3:$B$700&amp;$C$3:$C$700&amp;$D$3:$D$700,0))</f>
        <v>208.52046678230417</v>
      </c>
      <c r="T547">
        <f t="array" ref="T547">INDEX(I$3:I$700,MATCH($B547&amp;$C547&amp;"baseline",$B$3:$B$700&amp;$C$3:$C$700&amp;$D$3:$D$700,0))</f>
        <v>1.7665690637635845</v>
      </c>
      <c r="U547">
        <f t="array" ref="U547">INDEX(J$3:J$700,MATCH($B547&amp;$C547&amp;"baseline",$B$3:$B$700&amp;$C$3:$C$700&amp;$D$3:$D$700,0))</f>
        <v>7.7111903331558764</v>
      </c>
      <c r="V547">
        <f t="array" ref="V547">INDEX(K$3:K$700,MATCH($B547&amp;$C547&amp;"baseline",$B$3:$B$700&amp;$C$3:$C$700&amp;$D$3:$D$700,0))</f>
        <v>0</v>
      </c>
      <c r="W547">
        <f t="array" ref="W547">INDEX(L$3:L$700,MATCH($B547&amp;$C547&amp;"baseline",$B$3:$B$700&amp;$C$3:$C$700&amp;$D$3:$D$700,0))</f>
        <v>37.958336291892508</v>
      </c>
      <c r="X547">
        <f t="array" ref="X547">INDEX(M$3:M$700,MATCH($B547&amp;$C547&amp;"baseline",$B$3:$B$700&amp;$C$3:$C$700&amp;$D$3:$D$700,0))</f>
        <v>9.2652906144948552</v>
      </c>
      <c r="Y547">
        <f t="array" ref="Y547">INDEX(N$3:N$700,MATCH($B547&amp;$C547&amp;"baseline",$B$3:$B$700&amp;$C$3:$C$700&amp;$D$3:$D$700,0))</f>
        <v>0</v>
      </c>
      <c r="Z547">
        <f t="array" ref="Z547">INDEX(O$3:O$700,MATCH($B547&amp;$C547&amp;"baseline",$B$3:$B$700&amp;$C$3:$C$700&amp;$D$3:$D$700,0))</f>
        <v>9.4920240854921385</v>
      </c>
      <c r="AA547">
        <f t="array" ref="AA547">INDEX(P$3:P$700,MATCH($B547&amp;$C547&amp;"baseline",$B$3:$B$700&amp;$C$3:$C$700&amp;$D$3:$D$700,0))</f>
        <v>0.71248365555105897</v>
      </c>
      <c r="AB547">
        <f t="array" ref="AB547">INDEX(Q$3:Q$700,MATCH($B547&amp;$C547&amp;"baseline",$B$3:$B$700&amp;$C$3:$C$700&amp;$D$3:$D$700,0))</f>
        <v>0</v>
      </c>
      <c r="AC547">
        <f t="shared" si="67"/>
        <v>275.42636082665422</v>
      </c>
      <c r="AD547">
        <f t="shared" si="64"/>
        <v>0</v>
      </c>
      <c r="AE547">
        <f t="shared" si="65"/>
        <v>0</v>
      </c>
      <c r="AF547">
        <f t="shared" si="68"/>
        <v>0</v>
      </c>
      <c r="AG547">
        <f>(S547+V547+Y547)*constants!$O$2+(R547+T547+U547+W547+X547+Z547+AA547+AB547)*constants!$N$2</f>
        <v>10.938397588884879</v>
      </c>
      <c r="AH547">
        <f>((S547+V547+Y547)-(H547+K547+N547))*constants!$O$2</f>
        <v>0</v>
      </c>
      <c r="AI547">
        <f>((R547+T547+U547+W547+X547+Z547+AA547+AB547)-(G547+I547+J547+L547+M547+O547+P547+Q547))*constants!$N$2</f>
        <v>0</v>
      </c>
      <c r="AJ547">
        <f t="shared" si="69"/>
        <v>0</v>
      </c>
      <c r="AK547">
        <f t="shared" si="66"/>
        <v>0</v>
      </c>
      <c r="AL547">
        <f>COUNTIFS($B:$B,$B547,$AK:$AK,"&lt;"&amp;$AK547)+COUNTIFS($B$2:$B547,$B547,$AK$2:$AK547,$AK547)</f>
        <v>40</v>
      </c>
      <c r="AM547" s="191" t="str">
        <f>IF(AK547=0, "NA",IF(((sim_annual_output!F547/E547)/AK547)&lt;0,100,((sim_annual_output!F547/E547)/AK547)))</f>
        <v>NA</v>
      </c>
      <c r="AN547">
        <f>(S547+V547)*constants!$F$2+(T547+U547+W547+X547+Y547+Z547+AA547+AB547)*constants!$G$2</f>
        <v>95533.29137261695</v>
      </c>
      <c r="AO547">
        <f>(AD547*constants!$F$2+AE547*constants!$G$2)</f>
        <v>0</v>
      </c>
      <c r="AP547">
        <f t="shared" si="70"/>
        <v>0</v>
      </c>
    </row>
    <row r="548" spans="1:42">
      <c r="A548">
        <f>sim_annual_output!B548</f>
        <v>26</v>
      </c>
      <c r="B548" t="str">
        <f>sim_annual_output!C548</f>
        <v>Training Building</v>
      </c>
      <c r="C548" t="str">
        <f>sim_annual_output!D548</f>
        <v>2005-2014</v>
      </c>
      <c r="D548" t="str">
        <f>sim_annual_output!E548</f>
        <v>boiler_eff_upgrade</v>
      </c>
      <c r="E548" s="45">
        <f t="array" ref="E548">IFERROR(INDEX(baseline!$J$3:$J$201,MATCH($B548&amp;$C548,baseline!$C$3:$C$201&amp;baseline!$D$3:$D$201,0)),"NA")</f>
        <v>3699.892902</v>
      </c>
      <c r="F548">
        <f>sim_annual_output!G548</f>
        <v>3699.8929020249998</v>
      </c>
      <c r="G548">
        <f>$E548/$F548^2*sim_annual_output!I548</f>
        <v>0</v>
      </c>
      <c r="H548">
        <f>$E548/$F548^2*sim_annual_output!J548</f>
        <v>210.30805749238542</v>
      </c>
      <c r="I548">
        <f>$E548/$F548^2*sim_annual_output!K548</f>
        <v>3.8191826720634743</v>
      </c>
      <c r="J548">
        <f>$E548/$F548^2*sim_annual_output!L548</f>
        <v>7.7111903331558764</v>
      </c>
      <c r="K548">
        <f>$E548/$F548^2*sim_annual_output!M548</f>
        <v>0</v>
      </c>
      <c r="L548">
        <f>$E548/$F548^2*sim_annual_output!N548</f>
        <v>37.958336291892508</v>
      </c>
      <c r="M548">
        <f>$E548/$F548^2*sim_annual_output!O548</f>
        <v>9.2652906144948552</v>
      </c>
      <c r="N548">
        <f>$E548/$F548^2*sim_annual_output!P548</f>
        <v>0</v>
      </c>
      <c r="O548">
        <f>$E548/$F548^2*sim_annual_output!Q548</f>
        <v>13.514666262986946</v>
      </c>
      <c r="P548">
        <f>$E548/$F548^2*sim_annual_output!R548</f>
        <v>0.45797158049119702</v>
      </c>
      <c r="Q548">
        <f>$E548/$F548^2*sim_annual_output!S548</f>
        <v>0</v>
      </c>
      <c r="R548">
        <f t="array" ref="R548">INDEX(G$3:G$700,MATCH($B548&amp;$C548&amp;"baseline",$B$3:$B$700&amp;$C$3:$C$700&amp;$D$3:$D$700,0))</f>
        <v>0</v>
      </c>
      <c r="S548">
        <f t="array" ref="S548">INDEX(H$3:H$700,MATCH($B548&amp;$C548&amp;"baseline",$B$3:$B$700&amp;$C$3:$C$700&amp;$D$3:$D$700,0))</f>
        <v>208.52046678230417</v>
      </c>
      <c r="T548">
        <f t="array" ref="T548">INDEX(I$3:I$700,MATCH($B548&amp;$C548&amp;"baseline",$B$3:$B$700&amp;$C$3:$C$700&amp;$D$3:$D$700,0))</f>
        <v>1.7665690637635845</v>
      </c>
      <c r="U548">
        <f t="array" ref="U548">INDEX(J$3:J$700,MATCH($B548&amp;$C548&amp;"baseline",$B$3:$B$700&amp;$C$3:$C$700&amp;$D$3:$D$700,0))</f>
        <v>7.7111903331558764</v>
      </c>
      <c r="V548">
        <f t="array" ref="V548">INDEX(K$3:K$700,MATCH($B548&amp;$C548&amp;"baseline",$B$3:$B$700&amp;$C$3:$C$700&amp;$D$3:$D$700,0))</f>
        <v>0</v>
      </c>
      <c r="W548">
        <f t="array" ref="W548">INDEX(L$3:L$700,MATCH($B548&amp;$C548&amp;"baseline",$B$3:$B$700&amp;$C$3:$C$700&amp;$D$3:$D$700,0))</f>
        <v>37.958336291892508</v>
      </c>
      <c r="X548">
        <f t="array" ref="X548">INDEX(M$3:M$700,MATCH($B548&amp;$C548&amp;"baseline",$B$3:$B$700&amp;$C$3:$C$700&amp;$D$3:$D$700,0))</f>
        <v>9.2652906144948552</v>
      </c>
      <c r="Y548">
        <f t="array" ref="Y548">INDEX(N$3:N$700,MATCH($B548&amp;$C548&amp;"baseline",$B$3:$B$700&amp;$C$3:$C$700&amp;$D$3:$D$700,0))</f>
        <v>0</v>
      </c>
      <c r="Z548">
        <f t="array" ref="Z548">INDEX(O$3:O$700,MATCH($B548&amp;$C548&amp;"baseline",$B$3:$B$700&amp;$C$3:$C$700&amp;$D$3:$D$700,0))</f>
        <v>9.4920240854921385</v>
      </c>
      <c r="AA548">
        <f t="array" ref="AA548">INDEX(P$3:P$700,MATCH($B548&amp;$C548&amp;"baseline",$B$3:$B$700&amp;$C$3:$C$700&amp;$D$3:$D$700,0))</f>
        <v>0.71248365555105897</v>
      </c>
      <c r="AB548">
        <f t="array" ref="AB548">INDEX(Q$3:Q$700,MATCH($B548&amp;$C548&amp;"baseline",$B$3:$B$700&amp;$C$3:$C$700&amp;$D$3:$D$700,0))</f>
        <v>0</v>
      </c>
      <c r="AC548">
        <f t="shared" si="67"/>
        <v>275.42636082665422</v>
      </c>
      <c r="AD548">
        <f t="shared" si="64"/>
        <v>-1.7875907100812469</v>
      </c>
      <c r="AE548">
        <f t="shared" si="65"/>
        <v>-5.8207437107348454</v>
      </c>
      <c r="AF548">
        <f t="shared" si="68"/>
        <v>-2.7623842532649112</v>
      </c>
      <c r="AG548">
        <f>(S548+V548+Y548)*constants!$O$2+(R548+T548+U548+W548+X548+Z548+AA548+AB548)*constants!$N$2</f>
        <v>10.938397588884879</v>
      </c>
      <c r="AH548">
        <f>((S548+V548+Y548)-(H548+K548+N548))*constants!$O$2</f>
        <v>-2.8958969503316199E-2</v>
      </c>
      <c r="AI548">
        <f>((R548+T548+U548+W548+X548+Z548+AA548+AB548)-(G548+I548+J548+L548+M548+O548+P548+Q548))*constants!$N$2</f>
        <v>-0.6577440393130376</v>
      </c>
      <c r="AJ548">
        <f t="shared" si="69"/>
        <v>-6.2779123106125834</v>
      </c>
      <c r="AK548">
        <f t="shared" si="66"/>
        <v>-0.68670300881635382</v>
      </c>
      <c r="AL548">
        <f>COUNTIFS($B:$B,$B548,$AK:$AK,"&lt;"&amp;$AK548)+COUNTIFS($B$2:$B548,$B548,$AK$2:$AK548,$AK548)</f>
        <v>4</v>
      </c>
      <c r="AM548" s="191">
        <f>IF(AK548=0, "NA",IF(((sim_annual_output!F548/E548)/AK548)&lt;0,100,((sim_annual_output!F548/E548)/AK548)))</f>
        <v>100</v>
      </c>
      <c r="AN548">
        <f>(S548+V548)*constants!$F$2+(T548+U548+W548+X548+Y548+Z548+AA548+AB548)*constants!$G$2</f>
        <v>95533.29137261695</v>
      </c>
      <c r="AO548">
        <f>(AD548*constants!$F$2+AE548*constants!$G$2)</f>
        <v>-5384.0257654438583</v>
      </c>
      <c r="AP548">
        <f t="shared" si="70"/>
        <v>-5.6357586848380068</v>
      </c>
    </row>
    <row r="549" spans="1:42">
      <c r="A549">
        <f>sim_annual_output!B549</f>
        <v>26</v>
      </c>
      <c r="B549" t="str">
        <f>sim_annual_output!C549</f>
        <v>Training Building</v>
      </c>
      <c r="C549" t="str">
        <f>sim_annual_output!D549</f>
        <v>2005-2014</v>
      </c>
      <c r="D549" t="str">
        <f>sim_annual_output!E549</f>
        <v>boiler_reset</v>
      </c>
      <c r="E549" s="45">
        <f t="array" ref="E549">IFERROR(INDEX(baseline!$J$3:$J$201,MATCH($B549&amp;$C549,baseline!$C$3:$C$201&amp;baseline!$D$3:$D$201,0)),"NA")</f>
        <v>3699.892902</v>
      </c>
      <c r="F549">
        <f>sim_annual_output!G549</f>
        <v>3699.8929020249998</v>
      </c>
      <c r="G549">
        <f>$E549/$F549^2*sim_annual_output!I549</f>
        <v>0</v>
      </c>
      <c r="H549">
        <f>$E549/$F549^2*sim_annual_output!J549</f>
        <v>132.56175090588391</v>
      </c>
      <c r="I549">
        <f>$E549/$F549^2*sim_annual_output!K549</f>
        <v>3.8191826720634743</v>
      </c>
      <c r="J549">
        <f>$E549/$F549^2*sim_annual_output!L549</f>
        <v>7.7111903331558764</v>
      </c>
      <c r="K549">
        <f>$E549/$F549^2*sim_annual_output!M549</f>
        <v>0</v>
      </c>
      <c r="L549">
        <f>$E549/$F549^2*sim_annual_output!N549</f>
        <v>37.958336291892508</v>
      </c>
      <c r="M549">
        <f>$E549/$F549^2*sim_annual_output!O549</f>
        <v>9.2652906144948552</v>
      </c>
      <c r="N549">
        <f>$E549/$F549^2*sim_annual_output!P549</f>
        <v>0</v>
      </c>
      <c r="O549">
        <f>$E549/$F549^2*sim_annual_output!Q549</f>
        <v>13.514666262986946</v>
      </c>
      <c r="P549">
        <f>$E549/$F549^2*sim_annual_output!R549</f>
        <v>0.45797158049119702</v>
      </c>
      <c r="Q549">
        <f>$E549/$F549^2*sim_annual_output!S549</f>
        <v>0</v>
      </c>
      <c r="R549">
        <f t="array" ref="R549">INDEX(G$3:G$700,MATCH($B549&amp;$C549&amp;"baseline",$B$3:$B$700&amp;$C$3:$C$700&amp;$D$3:$D$700,0))</f>
        <v>0</v>
      </c>
      <c r="S549">
        <f t="array" ref="S549">INDEX(H$3:H$700,MATCH($B549&amp;$C549&amp;"baseline",$B$3:$B$700&amp;$C$3:$C$700&amp;$D$3:$D$700,0))</f>
        <v>208.52046678230417</v>
      </c>
      <c r="T549">
        <f t="array" ref="T549">INDEX(I$3:I$700,MATCH($B549&amp;$C549&amp;"baseline",$B$3:$B$700&amp;$C$3:$C$700&amp;$D$3:$D$700,0))</f>
        <v>1.7665690637635845</v>
      </c>
      <c r="U549">
        <f t="array" ref="U549">INDEX(J$3:J$700,MATCH($B549&amp;$C549&amp;"baseline",$B$3:$B$700&amp;$C$3:$C$700&amp;$D$3:$D$700,0))</f>
        <v>7.7111903331558764</v>
      </c>
      <c r="V549">
        <f t="array" ref="V549">INDEX(K$3:K$700,MATCH($B549&amp;$C549&amp;"baseline",$B$3:$B$700&amp;$C$3:$C$700&amp;$D$3:$D$700,0))</f>
        <v>0</v>
      </c>
      <c r="W549">
        <f t="array" ref="W549">INDEX(L$3:L$700,MATCH($B549&amp;$C549&amp;"baseline",$B$3:$B$700&amp;$C$3:$C$700&amp;$D$3:$D$700,0))</f>
        <v>37.958336291892508</v>
      </c>
      <c r="X549">
        <f t="array" ref="X549">INDEX(M$3:M$700,MATCH($B549&amp;$C549&amp;"baseline",$B$3:$B$700&amp;$C$3:$C$700&amp;$D$3:$D$700,0))</f>
        <v>9.2652906144948552</v>
      </c>
      <c r="Y549">
        <f t="array" ref="Y549">INDEX(N$3:N$700,MATCH($B549&amp;$C549&amp;"baseline",$B$3:$B$700&amp;$C$3:$C$700&amp;$D$3:$D$700,0))</f>
        <v>0</v>
      </c>
      <c r="Z549">
        <f t="array" ref="Z549">INDEX(O$3:O$700,MATCH($B549&amp;$C549&amp;"baseline",$B$3:$B$700&amp;$C$3:$C$700&amp;$D$3:$D$700,0))</f>
        <v>9.4920240854921385</v>
      </c>
      <c r="AA549">
        <f t="array" ref="AA549">INDEX(P$3:P$700,MATCH($B549&amp;$C549&amp;"baseline",$B$3:$B$700&amp;$C$3:$C$700&amp;$D$3:$D$700,0))</f>
        <v>0.71248365555105897</v>
      </c>
      <c r="AB549">
        <f t="array" ref="AB549">INDEX(Q$3:Q$700,MATCH($B549&amp;$C549&amp;"baseline",$B$3:$B$700&amp;$C$3:$C$700&amp;$D$3:$D$700,0))</f>
        <v>0</v>
      </c>
      <c r="AC549">
        <f t="shared" si="67"/>
        <v>275.42636082665422</v>
      </c>
      <c r="AD549">
        <f t="shared" si="64"/>
        <v>75.958715876420257</v>
      </c>
      <c r="AE549">
        <f t="shared" si="65"/>
        <v>-5.8207437107348454</v>
      </c>
      <c r="AF549">
        <f t="shared" si="68"/>
        <v>25.46523577306688</v>
      </c>
      <c r="AG549">
        <f>(S549+V549+Y549)*constants!$O$2+(R549+T549+U549+W549+X549+Z549+AA549+AB549)*constants!$N$2</f>
        <v>10.938397588884879</v>
      </c>
      <c r="AH549">
        <f>((S549+V549+Y549)-(H549+K549+N549))*constants!$O$2</f>
        <v>1.2305311971980082</v>
      </c>
      <c r="AI549">
        <f>((R549+T549+U549+W549+X549+Z549+AA549+AB549)-(G549+I549+J549+L549+M549+O549+P549+Q549))*constants!$N$2</f>
        <v>-0.6577440393130376</v>
      </c>
      <c r="AJ549">
        <f t="shared" si="69"/>
        <v>5.2364814245462412</v>
      </c>
      <c r="AK549">
        <f t="shared" si="66"/>
        <v>0.57278715788497059</v>
      </c>
      <c r="AL549">
        <f>COUNTIFS($B:$B,$B549,$AK:$AK,"&lt;"&amp;$AK549)+COUNTIFS($B$2:$B549,$B549,$AK$2:$AK549,$AK549)</f>
        <v>45</v>
      </c>
      <c r="AM549" s="191">
        <f>IF(AK549=0, "NA",IF(((sim_annual_output!F549/E549)/AK549)&lt;0,100,((sim_annual_output!F549/E549)/AK549)))</f>
        <v>0.43842373494297249</v>
      </c>
      <c r="AN549">
        <f>(S549+V549)*constants!$F$2+(T549+U549+W549+X549+Y549+Z549+AA549+AB549)*constants!$G$2</f>
        <v>95533.29137261695</v>
      </c>
      <c r="AO549">
        <f>(AD549*constants!$F$2+AE549*constants!$G$2)</f>
        <v>8532.5631135399108</v>
      </c>
      <c r="AP549">
        <f t="shared" si="70"/>
        <v>8.9315075309816354</v>
      </c>
    </row>
    <row r="550" spans="1:42">
      <c r="A550">
        <f>sim_annual_output!B550</f>
        <v>26</v>
      </c>
      <c r="B550" t="str">
        <f>sim_annual_output!C550</f>
        <v>Training Building</v>
      </c>
      <c r="C550" t="str">
        <f>sim_annual_output!D550</f>
        <v>2005-2014</v>
      </c>
      <c r="D550" t="str">
        <f>sim_annual_output!E550</f>
        <v>cooling_cop_3_0</v>
      </c>
      <c r="E550" s="45">
        <f t="array" ref="E550">IFERROR(INDEX(baseline!$J$3:$J$201,MATCH($B550&amp;$C550,baseline!$C$3:$C$201&amp;baseline!$D$3:$D$201,0)),"NA")</f>
        <v>3699.892902</v>
      </c>
      <c r="F550">
        <f>sim_annual_output!G550</f>
        <v>3699.8929020249998</v>
      </c>
      <c r="G550">
        <f>$E550/$F550^2*sim_annual_output!I550</f>
        <v>0</v>
      </c>
      <c r="H550">
        <f>$E550/$F550^2*sim_annual_output!J550</f>
        <v>210.30805749238542</v>
      </c>
      <c r="I550">
        <f>$E550/$F550^2*sim_annual_output!K550</f>
        <v>3.8191826720634743</v>
      </c>
      <c r="J550">
        <f>$E550/$F550^2*sim_annual_output!L550</f>
        <v>7.7111903331558764</v>
      </c>
      <c r="K550">
        <f>$E550/$F550^2*sim_annual_output!M550</f>
        <v>0</v>
      </c>
      <c r="L550">
        <f>$E550/$F550^2*sim_annual_output!N550</f>
        <v>37.958336291892508</v>
      </c>
      <c r="M550">
        <f>$E550/$F550^2*sim_annual_output!O550</f>
        <v>9.2652906144948552</v>
      </c>
      <c r="N550">
        <f>$E550/$F550^2*sim_annual_output!P550</f>
        <v>0</v>
      </c>
      <c r="O550">
        <f>$E550/$F550^2*sim_annual_output!Q550</f>
        <v>13.514666262986946</v>
      </c>
      <c r="P550">
        <f>$E550/$F550^2*sim_annual_output!R550</f>
        <v>0.45797158049119702</v>
      </c>
      <c r="Q550">
        <f>$E550/$F550^2*sim_annual_output!S550</f>
        <v>0</v>
      </c>
      <c r="R550">
        <f t="array" ref="R550">INDEX(G$3:G$700,MATCH($B550&amp;$C550&amp;"baseline",$B$3:$B$700&amp;$C$3:$C$700&amp;$D$3:$D$700,0))</f>
        <v>0</v>
      </c>
      <c r="S550">
        <f t="array" ref="S550">INDEX(H$3:H$700,MATCH($B550&amp;$C550&amp;"baseline",$B$3:$B$700&amp;$C$3:$C$700&amp;$D$3:$D$700,0))</f>
        <v>208.52046678230417</v>
      </c>
      <c r="T550">
        <f t="array" ref="T550">INDEX(I$3:I$700,MATCH($B550&amp;$C550&amp;"baseline",$B$3:$B$700&amp;$C$3:$C$700&amp;$D$3:$D$700,0))</f>
        <v>1.7665690637635845</v>
      </c>
      <c r="U550">
        <f t="array" ref="U550">INDEX(J$3:J$700,MATCH($B550&amp;$C550&amp;"baseline",$B$3:$B$700&amp;$C$3:$C$700&amp;$D$3:$D$700,0))</f>
        <v>7.7111903331558764</v>
      </c>
      <c r="V550">
        <f t="array" ref="V550">INDEX(K$3:K$700,MATCH($B550&amp;$C550&amp;"baseline",$B$3:$B$700&amp;$C$3:$C$700&amp;$D$3:$D$700,0))</f>
        <v>0</v>
      </c>
      <c r="W550">
        <f t="array" ref="W550">INDEX(L$3:L$700,MATCH($B550&amp;$C550&amp;"baseline",$B$3:$B$700&amp;$C$3:$C$700&amp;$D$3:$D$700,0))</f>
        <v>37.958336291892508</v>
      </c>
      <c r="X550">
        <f t="array" ref="X550">INDEX(M$3:M$700,MATCH($B550&amp;$C550&amp;"baseline",$B$3:$B$700&amp;$C$3:$C$700&amp;$D$3:$D$700,0))</f>
        <v>9.2652906144948552</v>
      </c>
      <c r="Y550">
        <f t="array" ref="Y550">INDEX(N$3:N$700,MATCH($B550&amp;$C550&amp;"baseline",$B$3:$B$700&amp;$C$3:$C$700&amp;$D$3:$D$700,0))</f>
        <v>0</v>
      </c>
      <c r="Z550">
        <f t="array" ref="Z550">INDEX(O$3:O$700,MATCH($B550&amp;$C550&amp;"baseline",$B$3:$B$700&amp;$C$3:$C$700&amp;$D$3:$D$700,0))</f>
        <v>9.4920240854921385</v>
      </c>
      <c r="AA550">
        <f t="array" ref="AA550">INDEX(P$3:P$700,MATCH($B550&amp;$C550&amp;"baseline",$B$3:$B$700&amp;$C$3:$C$700&amp;$D$3:$D$700,0))</f>
        <v>0.71248365555105897</v>
      </c>
      <c r="AB550">
        <f t="array" ref="AB550">INDEX(Q$3:Q$700,MATCH($B550&amp;$C550&amp;"baseline",$B$3:$B$700&amp;$C$3:$C$700&amp;$D$3:$D$700,0))</f>
        <v>0</v>
      </c>
      <c r="AC550">
        <f t="shared" si="67"/>
        <v>275.42636082665422</v>
      </c>
      <c r="AD550">
        <f t="shared" si="64"/>
        <v>-1.7875907100812469</v>
      </c>
      <c r="AE550">
        <f t="shared" si="65"/>
        <v>-5.8207437107348454</v>
      </c>
      <c r="AF550">
        <f t="shared" si="68"/>
        <v>-2.7623842532649112</v>
      </c>
      <c r="AG550">
        <f>(S550+V550+Y550)*constants!$O$2+(R550+T550+U550+W550+X550+Z550+AA550+AB550)*constants!$N$2</f>
        <v>10.938397588884879</v>
      </c>
      <c r="AH550">
        <f>((S550+V550+Y550)-(H550+K550+N550))*constants!$O$2</f>
        <v>-2.8958969503316199E-2</v>
      </c>
      <c r="AI550">
        <f>((R550+T550+U550+W550+X550+Z550+AA550+AB550)-(G550+I550+J550+L550+M550+O550+P550+Q550))*constants!$N$2</f>
        <v>-0.6577440393130376</v>
      </c>
      <c r="AJ550">
        <f t="shared" si="69"/>
        <v>-6.2779123106125834</v>
      </c>
      <c r="AK550">
        <f t="shared" si="66"/>
        <v>-0.68670300881635382</v>
      </c>
      <c r="AL550">
        <f>COUNTIFS($B:$B,$B550,$AK:$AK,"&lt;"&amp;$AK550)+COUNTIFS($B$2:$B550,$B550,$AK$2:$AK550,$AK550)</f>
        <v>5</v>
      </c>
      <c r="AM550" s="191">
        <f>IF(AK550=0, "NA",IF(((sim_annual_output!F550/E550)/AK550)&lt;0,100,((sim_annual_output!F550/E550)/AK550)))</f>
        <v>100</v>
      </c>
      <c r="AN550">
        <f>(S550+V550)*constants!$F$2+(T550+U550+W550+X550+Y550+Z550+AA550+AB550)*constants!$G$2</f>
        <v>95533.29137261695</v>
      </c>
      <c r="AO550">
        <f>(AD550*constants!$F$2+AE550*constants!$G$2)</f>
        <v>-5384.0257654438583</v>
      </c>
      <c r="AP550">
        <f t="shared" si="70"/>
        <v>-5.6357586848380068</v>
      </c>
    </row>
    <row r="551" spans="1:42">
      <c r="A551">
        <f>sim_annual_output!B551</f>
        <v>26</v>
      </c>
      <c r="B551" t="str">
        <f>sim_annual_output!C551</f>
        <v>Training Building</v>
      </c>
      <c r="C551" t="str">
        <f>sim_annual_output!D551</f>
        <v>2005-2014</v>
      </c>
      <c r="D551" t="str">
        <f>sim_annual_output!E551</f>
        <v>dcv_enabled</v>
      </c>
      <c r="E551" s="45">
        <f t="array" ref="E551">IFERROR(INDEX(baseline!$J$3:$J$201,MATCH($B551&amp;$C551,baseline!$C$3:$C$201&amp;baseline!$D$3:$D$201,0)),"NA")</f>
        <v>3699.892902</v>
      </c>
      <c r="F551">
        <f>sim_annual_output!G551</f>
        <v>3699.8929020249998</v>
      </c>
      <c r="G551">
        <f>$E551/$F551^2*sim_annual_output!I551</f>
        <v>0</v>
      </c>
      <c r="H551">
        <f>$E551/$F551^2*sim_annual_output!J551</f>
        <v>132.53772616723518</v>
      </c>
      <c r="I551">
        <f>$E551/$F551^2*sim_annual_output!K551</f>
        <v>4.1547782400627611</v>
      </c>
      <c r="J551">
        <f>$E551/$F551^2*sim_annual_output!L551</f>
        <v>7.7111903331558764</v>
      </c>
      <c r="K551">
        <f>$E551/$F551^2*sim_annual_output!M551</f>
        <v>0</v>
      </c>
      <c r="L551">
        <f>$E551/$F551^2*sim_annual_output!N551</f>
        <v>37.958336291892508</v>
      </c>
      <c r="M551">
        <f>$E551/$F551^2*sim_annual_output!O551</f>
        <v>9.2652906144948552</v>
      </c>
      <c r="N551">
        <f>$E551/$F551^2*sim_annual_output!P551</f>
        <v>0</v>
      </c>
      <c r="O551">
        <f>$E551/$F551^2*sim_annual_output!Q551</f>
        <v>13.402801073653851</v>
      </c>
      <c r="P551">
        <f>$E551/$F551^2*sim_annual_output!R551</f>
        <v>0.22523192483173624</v>
      </c>
      <c r="Q551">
        <f>$E551/$F551^2*sim_annual_output!S551</f>
        <v>0</v>
      </c>
      <c r="R551">
        <f t="array" ref="R551">INDEX(G$3:G$700,MATCH($B551&amp;$C551&amp;"baseline",$B$3:$B$700&amp;$C$3:$C$700&amp;$D$3:$D$700,0))</f>
        <v>0</v>
      </c>
      <c r="S551">
        <f t="array" ref="S551">INDEX(H$3:H$700,MATCH($B551&amp;$C551&amp;"baseline",$B$3:$B$700&amp;$C$3:$C$700&amp;$D$3:$D$700,0))</f>
        <v>208.52046678230417</v>
      </c>
      <c r="T551">
        <f t="array" ref="T551">INDEX(I$3:I$700,MATCH($B551&amp;$C551&amp;"baseline",$B$3:$B$700&amp;$C$3:$C$700&amp;$D$3:$D$700,0))</f>
        <v>1.7665690637635845</v>
      </c>
      <c r="U551">
        <f t="array" ref="U551">INDEX(J$3:J$700,MATCH($B551&amp;$C551&amp;"baseline",$B$3:$B$700&amp;$C$3:$C$700&amp;$D$3:$D$700,0))</f>
        <v>7.7111903331558764</v>
      </c>
      <c r="V551">
        <f t="array" ref="V551">INDEX(K$3:K$700,MATCH($B551&amp;$C551&amp;"baseline",$B$3:$B$700&amp;$C$3:$C$700&amp;$D$3:$D$700,0))</f>
        <v>0</v>
      </c>
      <c r="W551">
        <f t="array" ref="W551">INDEX(L$3:L$700,MATCH($B551&amp;$C551&amp;"baseline",$B$3:$B$700&amp;$C$3:$C$700&amp;$D$3:$D$700,0))</f>
        <v>37.958336291892508</v>
      </c>
      <c r="X551">
        <f t="array" ref="X551">INDEX(M$3:M$700,MATCH($B551&amp;$C551&amp;"baseline",$B$3:$B$700&amp;$C$3:$C$700&amp;$D$3:$D$700,0))</f>
        <v>9.2652906144948552</v>
      </c>
      <c r="Y551">
        <f t="array" ref="Y551">INDEX(N$3:N$700,MATCH($B551&amp;$C551&amp;"baseline",$B$3:$B$700&amp;$C$3:$C$700&amp;$D$3:$D$700,0))</f>
        <v>0</v>
      </c>
      <c r="Z551">
        <f t="array" ref="Z551">INDEX(O$3:O$700,MATCH($B551&amp;$C551&amp;"baseline",$B$3:$B$700&amp;$C$3:$C$700&amp;$D$3:$D$700,0))</f>
        <v>9.4920240854921385</v>
      </c>
      <c r="AA551">
        <f t="array" ref="AA551">INDEX(P$3:P$700,MATCH($B551&amp;$C551&amp;"baseline",$B$3:$B$700&amp;$C$3:$C$700&amp;$D$3:$D$700,0))</f>
        <v>0.71248365555105897</v>
      </c>
      <c r="AB551">
        <f t="array" ref="AB551">INDEX(Q$3:Q$700,MATCH($B551&amp;$C551&amp;"baseline",$B$3:$B$700&amp;$C$3:$C$700&amp;$D$3:$D$700,0))</f>
        <v>0</v>
      </c>
      <c r="AC551">
        <f t="shared" si="67"/>
        <v>275.42636082665422</v>
      </c>
      <c r="AD551">
        <f t="shared" si="64"/>
        <v>75.982740615068991</v>
      </c>
      <c r="AE551">
        <f t="shared" si="65"/>
        <v>-5.8117344337415773</v>
      </c>
      <c r="AF551">
        <f t="shared" si="68"/>
        <v>25.477229547207763</v>
      </c>
      <c r="AG551">
        <f>(S551+V551+Y551)*constants!$O$2+(R551+T551+U551+W551+X551+Z551+AA551+AB551)*constants!$N$2</f>
        <v>10.938397588884879</v>
      </c>
      <c r="AH551">
        <f>((S551+V551+Y551)-(H551+K551+N551))*constants!$O$2</f>
        <v>1.2309203979641177</v>
      </c>
      <c r="AI551">
        <f>((R551+T551+U551+W551+X551+Z551+AA551+AB551)-(G551+I551+J551+L551+M551+O551+P551+Q551))*constants!$N$2</f>
        <v>-0.65672599101279827</v>
      </c>
      <c r="AJ551">
        <f t="shared" si="69"/>
        <v>5.2493466459364271</v>
      </c>
      <c r="AK551">
        <f t="shared" si="66"/>
        <v>0.5741944069513194</v>
      </c>
      <c r="AL551">
        <f>COUNTIFS($B:$B,$B551,$AK:$AK,"&lt;"&amp;$AK551)+COUNTIFS($B$2:$B551,$B551,$AK$2:$AK551,$AK551)</f>
        <v>46</v>
      </c>
      <c r="AM551" s="191">
        <f>IF(AK551=0, "NA",IF(((sim_annual_output!F551/E551)/AK551)&lt;0,100,((sim_annual_output!F551/E551)/AK551)))</f>
        <v>16.057551168599655</v>
      </c>
      <c r="AN551">
        <f>(S551+V551)*constants!$F$2+(T551+U551+W551+X551+Y551+Z551+AA551+AB551)*constants!$G$2</f>
        <v>95533.29137261695</v>
      </c>
      <c r="AO551">
        <f>(AD551*constants!$F$2+AE551*constants!$G$2)</f>
        <v>8544.7016127421775</v>
      </c>
      <c r="AP551">
        <f t="shared" si="70"/>
        <v>8.9442135720149345</v>
      </c>
    </row>
    <row r="552" spans="1:42">
      <c r="A552">
        <f>sim_annual_output!B552</f>
        <v>26</v>
      </c>
      <c r="B552" t="str">
        <f>sim_annual_output!C552</f>
        <v>Training Building</v>
      </c>
      <c r="C552" t="str">
        <f>sim_annual_output!D552</f>
        <v>2005-2014</v>
      </c>
      <c r="D552" t="str">
        <f>sim_annual_output!E552</f>
        <v>ecm_cold_deck_reset_control</v>
      </c>
      <c r="E552" s="45">
        <f t="array" ref="E552">IFERROR(INDEX(baseline!$J$3:$J$201,MATCH($B552&amp;$C552,baseline!$C$3:$C$201&amp;baseline!$D$3:$D$201,0)),"NA")</f>
        <v>3699.892902</v>
      </c>
      <c r="F552">
        <f>sim_annual_output!G552</f>
        <v>3699.8929020249998</v>
      </c>
      <c r="G552">
        <f>$E552/$F552^2*sim_annual_output!I552</f>
        <v>0</v>
      </c>
      <c r="H552">
        <f>$E552/$F552^2*sim_annual_output!J552</f>
        <v>200.69140507515303</v>
      </c>
      <c r="I552">
        <f>$E552/$F552^2*sim_annual_output!K552</f>
        <v>5.2771839988075797</v>
      </c>
      <c r="J552">
        <f>$E552/$F552^2*sim_annual_output!L552</f>
        <v>7.7111903331558764</v>
      </c>
      <c r="K552">
        <f>$E552/$F552^2*sim_annual_output!M552</f>
        <v>0</v>
      </c>
      <c r="L552">
        <f>$E552/$F552^2*sim_annual_output!N552</f>
        <v>37.958336291892508</v>
      </c>
      <c r="M552">
        <f>$E552/$F552^2*sim_annual_output!O552</f>
        <v>9.2652906144948552</v>
      </c>
      <c r="N552">
        <f>$E552/$F552^2*sim_annual_output!P552</f>
        <v>0</v>
      </c>
      <c r="O552">
        <f>$E552/$F552^2*sim_annual_output!Q552</f>
        <v>13.514666262986946</v>
      </c>
      <c r="P552">
        <f>$E552/$F552^2*sim_annual_output!R552</f>
        <v>0.18994558994143088</v>
      </c>
      <c r="Q552">
        <f>$E552/$F552^2*sim_annual_output!S552</f>
        <v>0</v>
      </c>
      <c r="R552">
        <f t="array" ref="R552">INDEX(G$3:G$700,MATCH($B552&amp;$C552&amp;"baseline",$B$3:$B$700&amp;$C$3:$C$700&amp;$D$3:$D$700,0))</f>
        <v>0</v>
      </c>
      <c r="S552">
        <f t="array" ref="S552">INDEX(H$3:H$700,MATCH($B552&amp;$C552&amp;"baseline",$B$3:$B$700&amp;$C$3:$C$700&amp;$D$3:$D$700,0))</f>
        <v>208.52046678230417</v>
      </c>
      <c r="T552">
        <f t="array" ref="T552">INDEX(I$3:I$700,MATCH($B552&amp;$C552&amp;"baseline",$B$3:$B$700&amp;$C$3:$C$700&amp;$D$3:$D$700,0))</f>
        <v>1.7665690637635845</v>
      </c>
      <c r="U552">
        <f t="array" ref="U552">INDEX(J$3:J$700,MATCH($B552&amp;$C552&amp;"baseline",$B$3:$B$700&amp;$C$3:$C$700&amp;$D$3:$D$700,0))</f>
        <v>7.7111903331558764</v>
      </c>
      <c r="V552">
        <f t="array" ref="V552">INDEX(K$3:K$700,MATCH($B552&amp;$C552&amp;"baseline",$B$3:$B$700&amp;$C$3:$C$700&amp;$D$3:$D$700,0))</f>
        <v>0</v>
      </c>
      <c r="W552">
        <f t="array" ref="W552">INDEX(L$3:L$700,MATCH($B552&amp;$C552&amp;"baseline",$B$3:$B$700&amp;$C$3:$C$700&amp;$D$3:$D$700,0))</f>
        <v>37.958336291892508</v>
      </c>
      <c r="X552">
        <f t="array" ref="X552">INDEX(M$3:M$700,MATCH($B552&amp;$C552&amp;"baseline",$B$3:$B$700&amp;$C$3:$C$700&amp;$D$3:$D$700,0))</f>
        <v>9.2652906144948552</v>
      </c>
      <c r="Y552">
        <f t="array" ref="Y552">INDEX(N$3:N$700,MATCH($B552&amp;$C552&amp;"baseline",$B$3:$B$700&amp;$C$3:$C$700&amp;$D$3:$D$700,0))</f>
        <v>0</v>
      </c>
      <c r="Z552">
        <f t="array" ref="Z552">INDEX(O$3:O$700,MATCH($B552&amp;$C552&amp;"baseline",$B$3:$B$700&amp;$C$3:$C$700&amp;$D$3:$D$700,0))</f>
        <v>9.4920240854921385</v>
      </c>
      <c r="AA552">
        <f t="array" ref="AA552">INDEX(P$3:P$700,MATCH($B552&amp;$C552&amp;"baseline",$B$3:$B$700&amp;$C$3:$C$700&amp;$D$3:$D$700,0))</f>
        <v>0.71248365555105897</v>
      </c>
      <c r="AB552">
        <f t="array" ref="AB552">INDEX(Q$3:Q$700,MATCH($B552&amp;$C552&amp;"baseline",$B$3:$B$700&amp;$C$3:$C$700&amp;$D$3:$D$700,0))</f>
        <v>0</v>
      </c>
      <c r="AC552">
        <f t="shared" si="67"/>
        <v>275.42636082665422</v>
      </c>
      <c r="AD552">
        <f t="shared" si="64"/>
        <v>7.8290617071511406</v>
      </c>
      <c r="AE552">
        <f t="shared" si="65"/>
        <v>-7.0107190469291965</v>
      </c>
      <c r="AF552">
        <f t="shared" si="68"/>
        <v>0.29711849576264293</v>
      </c>
      <c r="AG552">
        <f>(S552+V552+Y552)*constants!$O$2+(R552+T552+U552+W552+X552+Z552+AA552+AB552)*constants!$N$2</f>
        <v>10.938397588884879</v>
      </c>
      <c r="AH552">
        <f>((S552+V552+Y552)-(H552+K552+N552))*constants!$O$2</f>
        <v>0.12683079965584848</v>
      </c>
      <c r="AI552">
        <f>((R552+T552+U552+W552+X552+Z552+AA552+AB552)-(G552+I552+J552+L552+M552+O552+P552+Q552))*constants!$N$2</f>
        <v>-0.79221125230299927</v>
      </c>
      <c r="AJ552">
        <f t="shared" si="69"/>
        <v>-6.0829792228733872</v>
      </c>
      <c r="AK552">
        <f t="shared" si="66"/>
        <v>-0.66538045264715073</v>
      </c>
      <c r="AL552">
        <f>COUNTIFS($B:$B,$B552,$AK:$AK,"&lt;"&amp;$AK552)+COUNTIFS($B$2:$B552,$B552,$AK$2:$AK552,$AK552)</f>
        <v>9</v>
      </c>
      <c r="AM552" s="191">
        <f>IF(AK552=0, "NA",IF(((sim_annual_output!F552/E552)/AK552)&lt;0,100,((sim_annual_output!F552/E552)/AK552)))</f>
        <v>100</v>
      </c>
      <c r="AN552">
        <f>(S552+V552)*constants!$F$2+(T552+U552+W552+X552+Y552+Z552+AA552+AB552)*constants!$G$2</f>
        <v>95533.29137261695</v>
      </c>
      <c r="AO552">
        <f>(AD552*constants!$F$2+AE552*constants!$G$2)</f>
        <v>-4697.9235252483468</v>
      </c>
      <c r="AP552">
        <f t="shared" si="70"/>
        <v>-4.9175773782613854</v>
      </c>
    </row>
    <row r="553" spans="1:42">
      <c r="A553">
        <f>sim_annual_output!B553</f>
        <v>26</v>
      </c>
      <c r="B553" t="str">
        <f>sim_annual_output!C553</f>
        <v>Training Building</v>
      </c>
      <c r="C553" t="str">
        <f>sim_annual_output!D553</f>
        <v>2005-2014</v>
      </c>
      <c r="D553" t="str">
        <f>sim_annual_output!E553</f>
        <v>economizers_enabled</v>
      </c>
      <c r="E553" s="45">
        <f t="array" ref="E553">IFERROR(INDEX(baseline!$J$3:$J$201,MATCH($B553&amp;$C553,baseline!$C$3:$C$201&amp;baseline!$D$3:$D$201,0)),"NA")</f>
        <v>3699.892902</v>
      </c>
      <c r="F553">
        <f>sim_annual_output!G553</f>
        <v>3699.8929020249998</v>
      </c>
      <c r="G553">
        <f>$E553/$F553^2*sim_annual_output!I553</f>
        <v>0</v>
      </c>
      <c r="H553">
        <f>$E553/$F553^2*sim_annual_output!J553</f>
        <v>209.8958830699433</v>
      </c>
      <c r="I553">
        <f>$E553/$F553^2*sim_annual_output!K553</f>
        <v>2.3867076301336319</v>
      </c>
      <c r="J553">
        <f>$E553/$F553^2*sim_annual_output!L553</f>
        <v>7.7111903331558764</v>
      </c>
      <c r="K553">
        <f>$E553/$F553^2*sim_annual_output!M553</f>
        <v>0</v>
      </c>
      <c r="L553">
        <f>$E553/$F553^2*sim_annual_output!N553</f>
        <v>37.958336291892508</v>
      </c>
      <c r="M553">
        <f>$E553/$F553^2*sim_annual_output!O553</f>
        <v>9.2652906144948552</v>
      </c>
      <c r="N553">
        <f>$E553/$F553^2*sim_annual_output!P553</f>
        <v>0</v>
      </c>
      <c r="O553">
        <f>$E553/$F553^2*sim_annual_output!Q553</f>
        <v>13.514666262986946</v>
      </c>
      <c r="P553">
        <f>$E553/$F553^2*sim_annual_output!R553</f>
        <v>0.45797158049119702</v>
      </c>
      <c r="Q553">
        <f>$E553/$F553^2*sim_annual_output!S553</f>
        <v>0</v>
      </c>
      <c r="R553">
        <f t="array" ref="R553">INDEX(G$3:G$700,MATCH($B553&amp;$C553&amp;"baseline",$B$3:$B$700&amp;$C$3:$C$700&amp;$D$3:$D$700,0))</f>
        <v>0</v>
      </c>
      <c r="S553">
        <f t="array" ref="S553">INDEX(H$3:H$700,MATCH($B553&amp;$C553&amp;"baseline",$B$3:$B$700&amp;$C$3:$C$700&amp;$D$3:$D$700,0))</f>
        <v>208.52046678230417</v>
      </c>
      <c r="T553">
        <f t="array" ref="T553">INDEX(I$3:I$700,MATCH($B553&amp;$C553&amp;"baseline",$B$3:$B$700&amp;$C$3:$C$700&amp;$D$3:$D$700,0))</f>
        <v>1.7665690637635845</v>
      </c>
      <c r="U553">
        <f t="array" ref="U553">INDEX(J$3:J$700,MATCH($B553&amp;$C553&amp;"baseline",$B$3:$B$700&amp;$C$3:$C$700&amp;$D$3:$D$700,0))</f>
        <v>7.7111903331558764</v>
      </c>
      <c r="V553">
        <f t="array" ref="V553">INDEX(K$3:K$700,MATCH($B553&amp;$C553&amp;"baseline",$B$3:$B$700&amp;$C$3:$C$700&amp;$D$3:$D$700,0))</f>
        <v>0</v>
      </c>
      <c r="W553">
        <f t="array" ref="W553">INDEX(L$3:L$700,MATCH($B553&amp;$C553&amp;"baseline",$B$3:$B$700&amp;$C$3:$C$700&amp;$D$3:$D$700,0))</f>
        <v>37.958336291892508</v>
      </c>
      <c r="X553">
        <f t="array" ref="X553">INDEX(M$3:M$700,MATCH($B553&amp;$C553&amp;"baseline",$B$3:$B$700&amp;$C$3:$C$700&amp;$D$3:$D$700,0))</f>
        <v>9.2652906144948552</v>
      </c>
      <c r="Y553">
        <f t="array" ref="Y553">INDEX(N$3:N$700,MATCH($B553&amp;$C553&amp;"baseline",$B$3:$B$700&amp;$C$3:$C$700&amp;$D$3:$D$700,0))</f>
        <v>0</v>
      </c>
      <c r="Z553">
        <f t="array" ref="Z553">INDEX(O$3:O$700,MATCH($B553&amp;$C553&amp;"baseline",$B$3:$B$700&amp;$C$3:$C$700&amp;$D$3:$D$700,0))</f>
        <v>9.4920240854921385</v>
      </c>
      <c r="AA553">
        <f t="array" ref="AA553">INDEX(P$3:P$700,MATCH($B553&amp;$C553&amp;"baseline",$B$3:$B$700&amp;$C$3:$C$700&amp;$D$3:$D$700,0))</f>
        <v>0.71248365555105897</v>
      </c>
      <c r="AB553">
        <f t="array" ref="AB553">INDEX(Q$3:Q$700,MATCH($B553&amp;$C553&amp;"baseline",$B$3:$B$700&amp;$C$3:$C$700&amp;$D$3:$D$700,0))</f>
        <v>0</v>
      </c>
      <c r="AC553">
        <f t="shared" si="67"/>
        <v>275.42636082665422</v>
      </c>
      <c r="AD553">
        <f t="shared" si="64"/>
        <v>-1.3754162876391263</v>
      </c>
      <c r="AE553">
        <f t="shared" si="65"/>
        <v>-4.3882686688050256</v>
      </c>
      <c r="AF553">
        <f t="shared" si="68"/>
        <v>-2.0926410018072517</v>
      </c>
      <c r="AG553">
        <f>(S553+V553+Y553)*constants!$O$2+(R553+T553+U553+W553+X553+Z553+AA553+AB553)*constants!$N$2</f>
        <v>10.938397588884879</v>
      </c>
      <c r="AH553">
        <f>((S553+V553+Y553)-(H553+K553+N553))*constants!$O$2</f>
        <v>-2.2281743859753844E-2</v>
      </c>
      <c r="AI553">
        <f>((R553+T553+U553+W553+X553+Z553+AA553+AB553)-(G553+I553+J553+L553+M553+O553+P553+Q553))*constants!$N$2</f>
        <v>-0.49587435957496789</v>
      </c>
      <c r="AJ553">
        <f t="shared" si="69"/>
        <v>-4.7370384850633815</v>
      </c>
      <c r="AK553">
        <f t="shared" si="66"/>
        <v>-0.51815610343472174</v>
      </c>
      <c r="AL553">
        <f>COUNTIFS($B:$B,$B553,$AK:$AK,"&lt;"&amp;$AK553)+COUNTIFS($B$2:$B553,$B553,$AK$2:$AK553,$AK553)</f>
        <v>14</v>
      </c>
      <c r="AM553" s="191">
        <f>IF(AK553=0, "NA",IF(((sim_annual_output!F553/E553)/AK553)&lt;0,100,((sim_annual_output!F553/E553)/AK553)))</f>
        <v>100</v>
      </c>
      <c r="AN553">
        <f>(S553+V553)*constants!$F$2+(T553+U553+W553+X553+Y553+Z553+AA553+AB553)*constants!$G$2</f>
        <v>95533.29137261695</v>
      </c>
      <c r="AO553">
        <f>(AD553*constants!$F$2+AE553*constants!$G$2)</f>
        <v>-4063.9932573477759</v>
      </c>
      <c r="AP553">
        <f t="shared" si="70"/>
        <v>-4.2540073716256916</v>
      </c>
    </row>
    <row r="554" spans="1:42">
      <c r="A554">
        <f>sim_annual_output!B554</f>
        <v>26</v>
      </c>
      <c r="B554" t="str">
        <f>sim_annual_output!C554</f>
        <v>Training Building</v>
      </c>
      <c r="C554" t="str">
        <f>sim_annual_output!D554</f>
        <v>2005-2014</v>
      </c>
      <c r="D554" t="str">
        <f>sim_annual_output!E554</f>
        <v>elec_reduce</v>
      </c>
      <c r="E554" s="45">
        <f t="array" ref="E554">IFERROR(INDEX(baseline!$J$3:$J$201,MATCH($B554&amp;$C554,baseline!$C$3:$C$201&amp;baseline!$D$3:$D$201,0)),"NA")</f>
        <v>3699.892902</v>
      </c>
      <c r="F554">
        <f>sim_annual_output!G554</f>
        <v>3699.8929020249998</v>
      </c>
      <c r="G554">
        <f>$E554/$F554^2*sim_annual_output!I554</f>
        <v>0</v>
      </c>
      <c r="H554">
        <f>$E554/$F554^2*sim_annual_output!J554</f>
        <v>147.91656199474613</v>
      </c>
      <c r="I554">
        <f>$E554/$F554^2*sim_annual_output!K554</f>
        <v>2.5128375080394041</v>
      </c>
      <c r="J554">
        <f>$E554/$F554^2*sim_annual_output!L554</f>
        <v>7.7111903331558764</v>
      </c>
      <c r="K554">
        <f>$E554/$F554^2*sim_annual_output!M554</f>
        <v>0</v>
      </c>
      <c r="L554">
        <f>$E554/$F554^2*sim_annual_output!N554</f>
        <v>26.570610172399924</v>
      </c>
      <c r="M554">
        <f>$E554/$F554^2*sim_annual_output!O554</f>
        <v>9.2652906144948552</v>
      </c>
      <c r="N554">
        <f>$E554/$F554^2*sim_annual_output!P554</f>
        <v>0</v>
      </c>
      <c r="O554">
        <f>$E554/$F554^2*sim_annual_output!Q554</f>
        <v>10.916240623511483</v>
      </c>
      <c r="P554">
        <f>$E554/$F554^2*sim_annual_output!R554</f>
        <v>0.40316514544880788</v>
      </c>
      <c r="Q554">
        <f>$E554/$F554^2*sim_annual_output!S554</f>
        <v>0</v>
      </c>
      <c r="R554">
        <f t="array" ref="R554">INDEX(G$3:G$700,MATCH($B554&amp;$C554&amp;"baseline",$B$3:$B$700&amp;$C$3:$C$700&amp;$D$3:$D$700,0))</f>
        <v>0</v>
      </c>
      <c r="S554">
        <f t="array" ref="S554">INDEX(H$3:H$700,MATCH($B554&amp;$C554&amp;"baseline",$B$3:$B$700&amp;$C$3:$C$700&amp;$D$3:$D$700,0))</f>
        <v>208.52046678230417</v>
      </c>
      <c r="T554">
        <f t="array" ref="T554">INDEX(I$3:I$700,MATCH($B554&amp;$C554&amp;"baseline",$B$3:$B$700&amp;$C$3:$C$700&amp;$D$3:$D$700,0))</f>
        <v>1.7665690637635845</v>
      </c>
      <c r="U554">
        <f t="array" ref="U554">INDEX(J$3:J$700,MATCH($B554&amp;$C554&amp;"baseline",$B$3:$B$700&amp;$C$3:$C$700&amp;$D$3:$D$700,0))</f>
        <v>7.7111903331558764</v>
      </c>
      <c r="V554">
        <f t="array" ref="V554">INDEX(K$3:K$700,MATCH($B554&amp;$C554&amp;"baseline",$B$3:$B$700&amp;$C$3:$C$700&amp;$D$3:$D$700,0))</f>
        <v>0</v>
      </c>
      <c r="W554">
        <f t="array" ref="W554">INDEX(L$3:L$700,MATCH($B554&amp;$C554&amp;"baseline",$B$3:$B$700&amp;$C$3:$C$700&amp;$D$3:$D$700,0))</f>
        <v>37.958336291892508</v>
      </c>
      <c r="X554">
        <f t="array" ref="X554">INDEX(M$3:M$700,MATCH($B554&amp;$C554&amp;"baseline",$B$3:$B$700&amp;$C$3:$C$700&amp;$D$3:$D$700,0))</f>
        <v>9.2652906144948552</v>
      </c>
      <c r="Y554">
        <f t="array" ref="Y554">INDEX(N$3:N$700,MATCH($B554&amp;$C554&amp;"baseline",$B$3:$B$700&amp;$C$3:$C$700&amp;$D$3:$D$700,0))</f>
        <v>0</v>
      </c>
      <c r="Z554">
        <f t="array" ref="Z554">INDEX(O$3:O$700,MATCH($B554&amp;$C554&amp;"baseline",$B$3:$B$700&amp;$C$3:$C$700&amp;$D$3:$D$700,0))</f>
        <v>9.4920240854921385</v>
      </c>
      <c r="AA554">
        <f t="array" ref="AA554">INDEX(P$3:P$700,MATCH($B554&amp;$C554&amp;"baseline",$B$3:$B$700&amp;$C$3:$C$700&amp;$D$3:$D$700,0))</f>
        <v>0.71248365555105897</v>
      </c>
      <c r="AB554">
        <f t="array" ref="AB554">INDEX(Q$3:Q$700,MATCH($B554&amp;$C554&amp;"baseline",$B$3:$B$700&amp;$C$3:$C$700&amp;$D$3:$D$700,0))</f>
        <v>0</v>
      </c>
      <c r="AC554">
        <f t="shared" si="67"/>
        <v>275.42636082665422</v>
      </c>
      <c r="AD554">
        <f t="shared" si="64"/>
        <v>60.603904787558037</v>
      </c>
      <c r="AE554">
        <f t="shared" si="65"/>
        <v>9.5265596472996492</v>
      </c>
      <c r="AF554">
        <f t="shared" si="68"/>
        <v>25.462509915307592</v>
      </c>
      <c r="AG554">
        <f>(S554+V554+Y554)*constants!$O$2+(R554+T554+U554+W554+X554+Z554+AA554+AB554)*constants!$N$2</f>
        <v>10.938397588884879</v>
      </c>
      <c r="AH554">
        <f>((S554+V554+Y554)-(H554+K554+N554))*constants!$O$2</f>
        <v>0.98178325755844009</v>
      </c>
      <c r="AI554">
        <f>((R554+T554+U554+W554+X554+Z554+AA554+AB554)-(G554+I554+J554+L554+M554+O554+P554+Q554))*constants!$N$2</f>
        <v>1.0765012401448604</v>
      </c>
      <c r="AJ554">
        <f t="shared" si="69"/>
        <v>18.817056895013938</v>
      </c>
      <c r="AK554">
        <f t="shared" si="66"/>
        <v>2.0582844977033004</v>
      </c>
      <c r="AL554">
        <f>COUNTIFS($B:$B,$B554,$AK:$AK,"&lt;"&amp;$AK554)+COUNTIFS($B$2:$B554,$B554,$AK$2:$AK554,$AK554)</f>
        <v>60</v>
      </c>
      <c r="AM554" s="191">
        <f>IF(AK554=0, "NA",IF(((sim_annual_output!F554/E554)/AK554)&lt;0,100,((sim_annual_output!F554/E554)/AK554)))</f>
        <v>27.892519338112656</v>
      </c>
      <c r="AN554">
        <f>(S554+V554)*constants!$F$2+(T554+U554+W554+X554+Y554+Z554+AA554+AB554)*constants!$G$2</f>
        <v>95533.29137261695</v>
      </c>
      <c r="AO554">
        <f>(AD554*constants!$F$2+AE554*constants!$G$2)</f>
        <v>19136.205850123581</v>
      </c>
      <c r="AP554">
        <f t="shared" si="70"/>
        <v>20.030929087834881</v>
      </c>
    </row>
    <row r="555" spans="1:42">
      <c r="A555">
        <f>sim_annual_output!B555</f>
        <v>26</v>
      </c>
      <c r="B555" t="str">
        <f>sim_annual_output!C555</f>
        <v>Training Building</v>
      </c>
      <c r="C555" t="str">
        <f>sim_annual_output!D555</f>
        <v>2005-2014</v>
      </c>
      <c r="D555" t="str">
        <f>sim_annual_output!E555</f>
        <v>envelope_ecm_roof</v>
      </c>
      <c r="E555" s="45">
        <f t="array" ref="E555">IFERROR(INDEX(baseline!$J$3:$J$201,MATCH($B555&amp;$C555,baseline!$C$3:$C$201&amp;baseline!$D$3:$D$201,0)),"NA")</f>
        <v>3699.892902</v>
      </c>
      <c r="F555">
        <f>sim_annual_output!G555</f>
        <v>3699.8929020249998</v>
      </c>
      <c r="G555">
        <f>$E555/$F555^2*sim_annual_output!I555</f>
        <v>0</v>
      </c>
      <c r="H555">
        <f>$E555/$F555^2*sim_annual_output!J555</f>
        <v>195.84516482585684</v>
      </c>
      <c r="I555">
        <f>$E555/$F555^2*sim_annual_output!K555</f>
        <v>3.8679829224436837</v>
      </c>
      <c r="J555">
        <f>$E555/$F555^2*sim_annual_output!L555</f>
        <v>7.7111903331558764</v>
      </c>
      <c r="K555">
        <f>$E555/$F555^2*sim_annual_output!M555</f>
        <v>0</v>
      </c>
      <c r="L555">
        <f>$E555/$F555^2*sim_annual_output!N555</f>
        <v>37.958336291892508</v>
      </c>
      <c r="M555">
        <f>$E555/$F555^2*sim_annual_output!O555</f>
        <v>9.2652906144948552</v>
      </c>
      <c r="N555">
        <f>$E555/$F555^2*sim_annual_output!P555</f>
        <v>0</v>
      </c>
      <c r="O555">
        <f>$E555/$F555^2*sim_annual_output!Q555</f>
        <v>13.025162213019307</v>
      </c>
      <c r="P555">
        <f>$E555/$F555^2*sim_annual_output!R555</f>
        <v>0.42343601868366415</v>
      </c>
      <c r="Q555">
        <f>$E555/$F555^2*sim_annual_output!S555</f>
        <v>0</v>
      </c>
      <c r="R555">
        <f t="array" ref="R555">INDEX(G$3:G$700,MATCH($B555&amp;$C555&amp;"baseline",$B$3:$B$700&amp;$C$3:$C$700&amp;$D$3:$D$700,0))</f>
        <v>0</v>
      </c>
      <c r="S555">
        <f t="array" ref="S555">INDEX(H$3:H$700,MATCH($B555&amp;$C555&amp;"baseline",$B$3:$B$700&amp;$C$3:$C$700&amp;$D$3:$D$700,0))</f>
        <v>208.52046678230417</v>
      </c>
      <c r="T555">
        <f t="array" ref="T555">INDEX(I$3:I$700,MATCH($B555&amp;$C555&amp;"baseline",$B$3:$B$700&amp;$C$3:$C$700&amp;$D$3:$D$700,0))</f>
        <v>1.7665690637635845</v>
      </c>
      <c r="U555">
        <f t="array" ref="U555">INDEX(J$3:J$700,MATCH($B555&amp;$C555&amp;"baseline",$B$3:$B$700&amp;$C$3:$C$700&amp;$D$3:$D$700,0))</f>
        <v>7.7111903331558764</v>
      </c>
      <c r="V555">
        <f t="array" ref="V555">INDEX(K$3:K$700,MATCH($B555&amp;$C555&amp;"baseline",$B$3:$B$700&amp;$C$3:$C$700&amp;$D$3:$D$700,0))</f>
        <v>0</v>
      </c>
      <c r="W555">
        <f t="array" ref="W555">INDEX(L$3:L$700,MATCH($B555&amp;$C555&amp;"baseline",$B$3:$B$700&amp;$C$3:$C$700&amp;$D$3:$D$700,0))</f>
        <v>37.958336291892508</v>
      </c>
      <c r="X555">
        <f t="array" ref="X555">INDEX(M$3:M$700,MATCH($B555&amp;$C555&amp;"baseline",$B$3:$B$700&amp;$C$3:$C$700&amp;$D$3:$D$700,0))</f>
        <v>9.2652906144948552</v>
      </c>
      <c r="Y555">
        <f t="array" ref="Y555">INDEX(N$3:N$700,MATCH($B555&amp;$C555&amp;"baseline",$B$3:$B$700&amp;$C$3:$C$700&amp;$D$3:$D$700,0))</f>
        <v>0</v>
      </c>
      <c r="Z555">
        <f t="array" ref="Z555">INDEX(O$3:O$700,MATCH($B555&amp;$C555&amp;"baseline",$B$3:$B$700&amp;$C$3:$C$700&amp;$D$3:$D$700,0))</f>
        <v>9.4920240854921385</v>
      </c>
      <c r="AA555">
        <f t="array" ref="AA555">INDEX(P$3:P$700,MATCH($B555&amp;$C555&amp;"baseline",$B$3:$B$700&amp;$C$3:$C$700&amp;$D$3:$D$700,0))</f>
        <v>0.71248365555105897</v>
      </c>
      <c r="AB555">
        <f t="array" ref="AB555">INDEX(Q$3:Q$700,MATCH($B555&amp;$C555&amp;"baseline",$B$3:$B$700&amp;$C$3:$C$700&amp;$D$3:$D$700,0))</f>
        <v>0</v>
      </c>
      <c r="AC555">
        <f t="shared" si="67"/>
        <v>275.42636082665422</v>
      </c>
      <c r="AD555">
        <f t="shared" si="64"/>
        <v>12.675301956447328</v>
      </c>
      <c r="AE555">
        <f t="shared" si="65"/>
        <v>-5.3455043493398762</v>
      </c>
      <c r="AF555">
        <f t="shared" si="68"/>
        <v>2.6612549303952155</v>
      </c>
      <c r="AG555">
        <f>(S555+V555+Y555)*constants!$O$2+(R555+T555+U555+W555+X555+Z555+AA555+AB555)*constants!$N$2</f>
        <v>10.938397588884879</v>
      </c>
      <c r="AH555">
        <f>((S555+V555+Y555)-(H555+K555+N555))*constants!$O$2</f>
        <v>0.20533989169444669</v>
      </c>
      <c r="AI555">
        <f>((R555+T555+U555+W555+X555+Z555+AA555+AB555)-(G555+I555+J555+L555+M555+O555+P555+Q555))*constants!$N$2</f>
        <v>-0.60404199147540605</v>
      </c>
      <c r="AJ555">
        <f t="shared" si="69"/>
        <v>-3.6449772148171231</v>
      </c>
      <c r="AK555">
        <f t="shared" si="66"/>
        <v>-0.39870209978095938</v>
      </c>
      <c r="AL555">
        <f>COUNTIFS($B:$B,$B555,$AK:$AK,"&lt;"&amp;$AK555)+COUNTIFS($B$2:$B555,$B555,$AK$2:$AK555,$AK555)</f>
        <v>15</v>
      </c>
      <c r="AM555" s="191">
        <f>IF(AK555=0, "NA",IF(((sim_annual_output!F555/E555)/AK555)&lt;0,100,((sim_annual_output!F555/E555)/AK555)))</f>
        <v>0</v>
      </c>
      <c r="AN555">
        <f>(S555+V555)*constants!$F$2+(T555+U555+W555+X555+Y555+Z555+AA555+AB555)*constants!$G$2</f>
        <v>95533.29137261695</v>
      </c>
      <c r="AO555">
        <f>(AD555*constants!$F$2+AE555*constants!$G$2)</f>
        <v>-2381.7097337216205</v>
      </c>
      <c r="AP555">
        <f t="shared" si="70"/>
        <v>-2.4930678086155615</v>
      </c>
    </row>
    <row r="556" spans="1:42">
      <c r="A556">
        <f>sim_annual_output!B556</f>
        <v>26</v>
      </c>
      <c r="B556" t="str">
        <f>sim_annual_output!C556</f>
        <v>Training Building</v>
      </c>
      <c r="C556" t="str">
        <f>sim_annual_output!D556</f>
        <v>2005-2014</v>
      </c>
      <c r="D556" t="str">
        <f>sim_annual_output!E556</f>
        <v>envelope_ecm_wall</v>
      </c>
      <c r="E556" s="45">
        <f t="array" ref="E556">IFERROR(INDEX(baseline!$J$3:$J$201,MATCH($B556&amp;$C556,baseline!$C$3:$C$201&amp;baseline!$D$3:$D$201,0)),"NA")</f>
        <v>3699.892902</v>
      </c>
      <c r="F556">
        <f>sim_annual_output!G556</f>
        <v>3699.8929020249998</v>
      </c>
      <c r="G556">
        <f>$E556/$F556^2*sim_annual_output!I556</f>
        <v>0</v>
      </c>
      <c r="H556">
        <f>$E556/$F556^2*sim_annual_output!J556</f>
        <v>205.96933984704336</v>
      </c>
      <c r="I556">
        <f>$E556/$F556^2*sim_annual_output!K556</f>
        <v>3.8462105030432827</v>
      </c>
      <c r="J556">
        <f>$E556/$F556^2*sim_annual_output!L556</f>
        <v>7.7111903331558764</v>
      </c>
      <c r="K556">
        <f>$E556/$F556^2*sim_annual_output!M556</f>
        <v>0</v>
      </c>
      <c r="L556">
        <f>$E556/$F556^2*sim_annual_output!N556</f>
        <v>37.958336291892508</v>
      </c>
      <c r="M556">
        <f>$E556/$F556^2*sim_annual_output!O556</f>
        <v>9.2652906144948552</v>
      </c>
      <c r="N556">
        <f>$E556/$F556^2*sim_annual_output!P556</f>
        <v>0</v>
      </c>
      <c r="O556">
        <f>$E556/$F556^2*sim_annual_output!Q556</f>
        <v>13.465115239523964</v>
      </c>
      <c r="P556">
        <f>$E556/$F556^2*sim_annual_output!R556</f>
        <v>0.44370689191852036</v>
      </c>
      <c r="Q556">
        <f>$E556/$F556^2*sim_annual_output!S556</f>
        <v>0</v>
      </c>
      <c r="R556">
        <f t="array" ref="R556">INDEX(G$3:G$700,MATCH($B556&amp;$C556&amp;"baseline",$B$3:$B$700&amp;$C$3:$C$700&amp;$D$3:$D$700,0))</f>
        <v>0</v>
      </c>
      <c r="S556">
        <f t="array" ref="S556">INDEX(H$3:H$700,MATCH($B556&amp;$C556&amp;"baseline",$B$3:$B$700&amp;$C$3:$C$700&amp;$D$3:$D$700,0))</f>
        <v>208.52046678230417</v>
      </c>
      <c r="T556">
        <f t="array" ref="T556">INDEX(I$3:I$700,MATCH($B556&amp;$C556&amp;"baseline",$B$3:$B$700&amp;$C$3:$C$700&amp;$D$3:$D$700,0))</f>
        <v>1.7665690637635845</v>
      </c>
      <c r="U556">
        <f t="array" ref="U556">INDEX(J$3:J$700,MATCH($B556&amp;$C556&amp;"baseline",$B$3:$B$700&amp;$C$3:$C$700&amp;$D$3:$D$700,0))</f>
        <v>7.7111903331558764</v>
      </c>
      <c r="V556">
        <f t="array" ref="V556">INDEX(K$3:K$700,MATCH($B556&amp;$C556&amp;"baseline",$B$3:$B$700&amp;$C$3:$C$700&amp;$D$3:$D$700,0))</f>
        <v>0</v>
      </c>
      <c r="W556">
        <f t="array" ref="W556">INDEX(L$3:L$700,MATCH($B556&amp;$C556&amp;"baseline",$B$3:$B$700&amp;$C$3:$C$700&amp;$D$3:$D$700,0))</f>
        <v>37.958336291892508</v>
      </c>
      <c r="X556">
        <f t="array" ref="X556">INDEX(M$3:M$700,MATCH($B556&amp;$C556&amp;"baseline",$B$3:$B$700&amp;$C$3:$C$700&amp;$D$3:$D$700,0))</f>
        <v>9.2652906144948552</v>
      </c>
      <c r="Y556">
        <f t="array" ref="Y556">INDEX(N$3:N$700,MATCH($B556&amp;$C556&amp;"baseline",$B$3:$B$700&amp;$C$3:$C$700&amp;$D$3:$D$700,0))</f>
        <v>0</v>
      </c>
      <c r="Z556">
        <f t="array" ref="Z556">INDEX(O$3:O$700,MATCH($B556&amp;$C556&amp;"baseline",$B$3:$B$700&amp;$C$3:$C$700&amp;$D$3:$D$700,0))</f>
        <v>9.4920240854921385</v>
      </c>
      <c r="AA556">
        <f t="array" ref="AA556">INDEX(P$3:P$700,MATCH($B556&amp;$C556&amp;"baseline",$B$3:$B$700&amp;$C$3:$C$700&amp;$D$3:$D$700,0))</f>
        <v>0.71248365555105897</v>
      </c>
      <c r="AB556">
        <f t="array" ref="AB556">INDEX(Q$3:Q$700,MATCH($B556&amp;$C556&amp;"baseline",$B$3:$B$700&amp;$C$3:$C$700&amp;$D$3:$D$700,0))</f>
        <v>0</v>
      </c>
      <c r="AC556">
        <f t="shared" si="67"/>
        <v>275.42636082665422</v>
      </c>
      <c r="AD556">
        <f t="shared" si="64"/>
        <v>2.551126935260811</v>
      </c>
      <c r="AE556">
        <f t="shared" si="65"/>
        <v>-5.7839558296790017</v>
      </c>
      <c r="AF556">
        <f t="shared" si="68"/>
        <v>-1.1737543511504493</v>
      </c>
      <c r="AG556">
        <f>(S556+V556+Y556)*constants!$O$2+(R556+T556+U556+W556+X556+Z556+AA556+AB556)*constants!$N$2</f>
        <v>10.938397588884879</v>
      </c>
      <c r="AH556">
        <f>((S556+V556+Y556)-(H556+K556+N556))*constants!$O$2</f>
        <v>4.1328256351225133E-2</v>
      </c>
      <c r="AI556">
        <f>((R556+T556+U556+W556+X556+Z556+AA556+AB556)-(G556+I556+J556+L556+M556+O556+P556+Q556))*constants!$N$2</f>
        <v>-0.65358700875372722</v>
      </c>
      <c r="AJ556">
        <f t="shared" si="69"/>
        <v>-5.597334960878114</v>
      </c>
      <c r="AK556">
        <f t="shared" si="66"/>
        <v>-0.61225875240250205</v>
      </c>
      <c r="AL556">
        <f>COUNTIFS($B:$B,$B556,$AK:$AK,"&lt;"&amp;$AK556)+COUNTIFS($B$2:$B556,$B556,$AK$2:$AK556,$AK556)</f>
        <v>11</v>
      </c>
      <c r="AM556" s="191">
        <f>IF(AK556=0, "NA",IF(((sim_annual_output!F556/E556)/AK556)&lt;0,100,((sim_annual_output!F556/E556)/AK556)))</f>
        <v>0</v>
      </c>
      <c r="AN556">
        <f>(S556+V556)*constants!$F$2+(T556+U556+W556+X556+Y556+Z556+AA556+AB556)*constants!$G$2</f>
        <v>95533.29137261695</v>
      </c>
      <c r="AO556">
        <f>(AD556*constants!$F$2+AE556*constants!$G$2)</f>
        <v>-4575.3898504090466</v>
      </c>
      <c r="AP556">
        <f t="shared" si="70"/>
        <v>-4.7893145778504049</v>
      </c>
    </row>
    <row r="557" spans="1:42">
      <c r="A557">
        <f>sim_annual_output!B557</f>
        <v>26</v>
      </c>
      <c r="B557" t="str">
        <f>sim_annual_output!C557</f>
        <v>Training Building</v>
      </c>
      <c r="C557" t="str">
        <f>sim_annual_output!D557</f>
        <v>2005-2014</v>
      </c>
      <c r="D557" t="str">
        <f>sim_annual_output!E557</f>
        <v>envelope_ecm_windows</v>
      </c>
      <c r="E557" s="45">
        <f t="array" ref="E557">IFERROR(INDEX(baseline!$J$3:$J$201,MATCH($B557&amp;$C557,baseline!$C$3:$C$201&amp;baseline!$D$3:$D$201,0)),"NA")</f>
        <v>3699.892902</v>
      </c>
      <c r="F557">
        <f>sim_annual_output!G557</f>
        <v>3699.8929020249998</v>
      </c>
      <c r="G557">
        <f>$E557/$F557^2*sim_annual_output!I557</f>
        <v>0</v>
      </c>
      <c r="H557">
        <f>$E557/$F557^2*sim_annual_output!J557</f>
        <v>204.24781716824614</v>
      </c>
      <c r="I557">
        <f>$E557/$F557^2*sim_annual_output!K557</f>
        <v>3.8875030225957672</v>
      </c>
      <c r="J557">
        <f>$E557/$F557^2*sim_annual_output!L557</f>
        <v>7.7111903331558764</v>
      </c>
      <c r="K557">
        <f>$E557/$F557^2*sim_annual_output!M557</f>
        <v>0</v>
      </c>
      <c r="L557">
        <f>$E557/$F557^2*sim_annual_output!N557</f>
        <v>37.958336291892508</v>
      </c>
      <c r="M557">
        <f>$E557/$F557^2*sim_annual_output!O557</f>
        <v>9.2652906144948552</v>
      </c>
      <c r="N557">
        <f>$E557/$F557^2*sim_annual_output!P557</f>
        <v>0</v>
      </c>
      <c r="O557">
        <f>$E557/$F557^2*sim_annual_output!Q557</f>
        <v>13.501903120579815</v>
      </c>
      <c r="P557">
        <f>$E557/$F557^2*sim_annual_output!R557</f>
        <v>0.43619916109079587</v>
      </c>
      <c r="Q557">
        <f>$E557/$F557^2*sim_annual_output!S557</f>
        <v>0</v>
      </c>
      <c r="R557">
        <f t="array" ref="R557">INDEX(G$3:G$700,MATCH($B557&amp;$C557&amp;"baseline",$B$3:$B$700&amp;$C$3:$C$700&amp;$D$3:$D$700,0))</f>
        <v>0</v>
      </c>
      <c r="S557">
        <f t="array" ref="S557">INDEX(H$3:H$700,MATCH($B557&amp;$C557&amp;"baseline",$B$3:$B$700&amp;$C$3:$C$700&amp;$D$3:$D$700,0))</f>
        <v>208.52046678230417</v>
      </c>
      <c r="T557">
        <f t="array" ref="T557">INDEX(I$3:I$700,MATCH($B557&amp;$C557&amp;"baseline",$B$3:$B$700&amp;$C$3:$C$700&amp;$D$3:$D$700,0))</f>
        <v>1.7665690637635845</v>
      </c>
      <c r="U557">
        <f t="array" ref="U557">INDEX(J$3:J$700,MATCH($B557&amp;$C557&amp;"baseline",$B$3:$B$700&amp;$C$3:$C$700&amp;$D$3:$D$700,0))</f>
        <v>7.7111903331558764</v>
      </c>
      <c r="V557">
        <f t="array" ref="V557">INDEX(K$3:K$700,MATCH($B557&amp;$C557&amp;"baseline",$B$3:$B$700&amp;$C$3:$C$700&amp;$D$3:$D$700,0))</f>
        <v>0</v>
      </c>
      <c r="W557">
        <f t="array" ref="W557">INDEX(L$3:L$700,MATCH($B557&amp;$C557&amp;"baseline",$B$3:$B$700&amp;$C$3:$C$700&amp;$D$3:$D$700,0))</f>
        <v>37.958336291892508</v>
      </c>
      <c r="X557">
        <f t="array" ref="X557">INDEX(M$3:M$700,MATCH($B557&amp;$C557&amp;"baseline",$B$3:$B$700&amp;$C$3:$C$700&amp;$D$3:$D$700,0))</f>
        <v>9.2652906144948552</v>
      </c>
      <c r="Y557">
        <f t="array" ref="Y557">INDEX(N$3:N$700,MATCH($B557&amp;$C557&amp;"baseline",$B$3:$B$700&amp;$C$3:$C$700&amp;$D$3:$D$700,0))</f>
        <v>0</v>
      </c>
      <c r="Z557">
        <f t="array" ref="Z557">INDEX(O$3:O$700,MATCH($B557&amp;$C557&amp;"baseline",$B$3:$B$700&amp;$C$3:$C$700&amp;$D$3:$D$700,0))</f>
        <v>9.4920240854921385</v>
      </c>
      <c r="AA557">
        <f t="array" ref="AA557">INDEX(P$3:P$700,MATCH($B557&amp;$C557&amp;"baseline",$B$3:$B$700&amp;$C$3:$C$700&amp;$D$3:$D$700,0))</f>
        <v>0.71248365555105897</v>
      </c>
      <c r="AB557">
        <f t="array" ref="AB557">INDEX(Q$3:Q$700,MATCH($B557&amp;$C557&amp;"baseline",$B$3:$B$700&amp;$C$3:$C$700&amp;$D$3:$D$700,0))</f>
        <v>0</v>
      </c>
      <c r="AC557">
        <f t="shared" si="67"/>
        <v>275.42636082665422</v>
      </c>
      <c r="AD557">
        <f t="shared" si="64"/>
        <v>4.2726496140580252</v>
      </c>
      <c r="AE557">
        <f t="shared" si="65"/>
        <v>-5.8545284994596045</v>
      </c>
      <c r="AF557">
        <f t="shared" si="68"/>
        <v>-0.57433822988249494</v>
      </c>
      <c r="AG557">
        <f>(S557+V557+Y557)*constants!$O$2+(R557+T557+U557+W557+X557+Z557+AA557+AB557)*constants!$N$2</f>
        <v>10.938397588884879</v>
      </c>
      <c r="AH557">
        <f>((S557+V557+Y557)-(H557+K557+N557))*constants!$O$2</f>
        <v>6.9216923747740008E-2</v>
      </c>
      <c r="AI557">
        <f>((R557+T557+U557+W557+X557+Z557+AA557+AB557)-(G557+I557+J557+L557+M557+O557+P557+Q557))*constants!$N$2</f>
        <v>-0.66156172043893535</v>
      </c>
      <c r="AJ557">
        <f t="shared" si="69"/>
        <v>-5.4152794490950864</v>
      </c>
      <c r="AK557">
        <f t="shared" si="66"/>
        <v>-0.59234479669119533</v>
      </c>
      <c r="AL557">
        <f>COUNTIFS($B:$B,$B557,$AK:$AK,"&lt;"&amp;$AK557)+COUNTIFS($B$2:$B557,$B557,$AK$2:$AK557,$AK557)</f>
        <v>12</v>
      </c>
      <c r="AM557" s="191">
        <f>IF(AK557=0, "NA",IF(((sim_annual_output!F557/E557)/AK557)&lt;0,100,((sim_annual_output!F557/E557)/AK557)))</f>
        <v>100</v>
      </c>
      <c r="AN557">
        <f>(S557+V557)*constants!$F$2+(T557+U557+W557+X557+Y557+Z557+AA557+AB557)*constants!$G$2</f>
        <v>95533.29137261695</v>
      </c>
      <c r="AO557">
        <f>(AD557*constants!$F$2+AE557*constants!$G$2)</f>
        <v>-4328.6355136134698</v>
      </c>
      <c r="AP557">
        <f t="shared" si="70"/>
        <v>-4.5310231139531343</v>
      </c>
    </row>
    <row r="558" spans="1:42">
      <c r="A558">
        <f>sim_annual_output!B558</f>
        <v>26</v>
      </c>
      <c r="B558" t="str">
        <f>sim_annual_output!C558</f>
        <v>Training Building</v>
      </c>
      <c r="C558" t="str">
        <f>sim_annual_output!D558</f>
        <v>2005-2014</v>
      </c>
      <c r="D558" t="str">
        <f>sim_annual_output!E558</f>
        <v>exhaust_fans_occ_control</v>
      </c>
      <c r="E558" s="45">
        <f t="array" ref="E558">IFERROR(INDEX(baseline!$J$3:$J$201,MATCH($B558&amp;$C558,baseline!$C$3:$C$201&amp;baseline!$D$3:$D$201,0)),"NA")</f>
        <v>3699.892902</v>
      </c>
      <c r="F558">
        <f>sim_annual_output!G558</f>
        <v>3699.8929020249998</v>
      </c>
      <c r="G558">
        <f>$E558/$F558^2*sim_annual_output!I558</f>
        <v>0</v>
      </c>
      <c r="H558">
        <f>$E558/$F558^2*sim_annual_output!J558</f>
        <v>210.21721394936992</v>
      </c>
      <c r="I558">
        <f>$E558/$F558^2*sim_annual_output!K558</f>
        <v>3.8311950413878333</v>
      </c>
      <c r="J558">
        <f>$E558/$F558^2*sim_annual_output!L558</f>
        <v>7.7111903331558764</v>
      </c>
      <c r="K558">
        <f>$E558/$F558^2*sim_annual_output!M558</f>
        <v>0</v>
      </c>
      <c r="L558">
        <f>$E558/$F558^2*sim_annual_output!N558</f>
        <v>37.958336291892508</v>
      </c>
      <c r="M558">
        <f>$E558/$F558^2*sim_annual_output!O558</f>
        <v>9.2652906144948552</v>
      </c>
      <c r="N558">
        <f>$E558/$F558^2*sim_annual_output!P558</f>
        <v>0</v>
      </c>
      <c r="O558">
        <f>$E558/$F558^2*sim_annual_output!Q558</f>
        <v>13.494395389752091</v>
      </c>
      <c r="P558">
        <f>$E558/$F558^2*sim_annual_output!R558</f>
        <v>0.45797158049119702</v>
      </c>
      <c r="Q558">
        <f>$E558/$F558^2*sim_annual_output!S558</f>
        <v>0</v>
      </c>
      <c r="R558">
        <f t="array" ref="R558">INDEX(G$3:G$700,MATCH($B558&amp;$C558&amp;"baseline",$B$3:$B$700&amp;$C$3:$C$700&amp;$D$3:$D$700,0))</f>
        <v>0</v>
      </c>
      <c r="S558">
        <f t="array" ref="S558">INDEX(H$3:H$700,MATCH($B558&amp;$C558&amp;"baseline",$B$3:$B$700&amp;$C$3:$C$700&amp;$D$3:$D$700,0))</f>
        <v>208.52046678230417</v>
      </c>
      <c r="T558">
        <f t="array" ref="T558">INDEX(I$3:I$700,MATCH($B558&amp;$C558&amp;"baseline",$B$3:$B$700&amp;$C$3:$C$700&amp;$D$3:$D$700,0))</f>
        <v>1.7665690637635845</v>
      </c>
      <c r="U558">
        <f t="array" ref="U558">INDEX(J$3:J$700,MATCH($B558&amp;$C558&amp;"baseline",$B$3:$B$700&amp;$C$3:$C$700&amp;$D$3:$D$700,0))</f>
        <v>7.7111903331558764</v>
      </c>
      <c r="V558">
        <f t="array" ref="V558">INDEX(K$3:K$700,MATCH($B558&amp;$C558&amp;"baseline",$B$3:$B$700&amp;$C$3:$C$700&amp;$D$3:$D$700,0))</f>
        <v>0</v>
      </c>
      <c r="W558">
        <f t="array" ref="W558">INDEX(L$3:L$700,MATCH($B558&amp;$C558&amp;"baseline",$B$3:$B$700&amp;$C$3:$C$700&amp;$D$3:$D$700,0))</f>
        <v>37.958336291892508</v>
      </c>
      <c r="X558">
        <f t="array" ref="X558">INDEX(M$3:M$700,MATCH($B558&amp;$C558&amp;"baseline",$B$3:$B$700&amp;$C$3:$C$700&amp;$D$3:$D$700,0))</f>
        <v>9.2652906144948552</v>
      </c>
      <c r="Y558">
        <f t="array" ref="Y558">INDEX(N$3:N$700,MATCH($B558&amp;$C558&amp;"baseline",$B$3:$B$700&amp;$C$3:$C$700&amp;$D$3:$D$700,0))</f>
        <v>0</v>
      </c>
      <c r="Z558">
        <f t="array" ref="Z558">INDEX(O$3:O$700,MATCH($B558&amp;$C558&amp;"baseline",$B$3:$B$700&amp;$C$3:$C$700&amp;$D$3:$D$700,0))</f>
        <v>9.4920240854921385</v>
      </c>
      <c r="AA558">
        <f t="array" ref="AA558">INDEX(P$3:P$700,MATCH($B558&amp;$C558&amp;"baseline",$B$3:$B$700&amp;$C$3:$C$700&amp;$D$3:$D$700,0))</f>
        <v>0.71248365555105897</v>
      </c>
      <c r="AB558">
        <f t="array" ref="AB558">INDEX(Q$3:Q$700,MATCH($B558&amp;$C558&amp;"baseline",$B$3:$B$700&amp;$C$3:$C$700&amp;$D$3:$D$700,0))</f>
        <v>0</v>
      </c>
      <c r="AC558">
        <f t="shared" si="67"/>
        <v>275.42636082665422</v>
      </c>
      <c r="AD558">
        <f t="shared" si="64"/>
        <v>-1.6967471670657517</v>
      </c>
      <c r="AE558">
        <f t="shared" si="65"/>
        <v>-5.8124852068243484</v>
      </c>
      <c r="AF558">
        <f t="shared" si="68"/>
        <v>-2.7264029308422679</v>
      </c>
      <c r="AG558">
        <f>(S558+V558+Y558)*constants!$O$2+(R558+T558+U558+W558+X558+Z558+AA558+AB558)*constants!$N$2</f>
        <v>10.938397588884879</v>
      </c>
      <c r="AH558">
        <f>((S558+V558+Y558)-(H558+K558+N558))*constants!$O$2</f>
        <v>-2.7487304106465174E-2</v>
      </c>
      <c r="AI558">
        <f>((R558+T558+U558+W558+X558+Z558+AA558+AB558)-(G558+I558+J558+L558+M558+O558+P558+Q558))*constants!$N$2</f>
        <v>-0.65681082837115135</v>
      </c>
      <c r="AJ558">
        <f t="shared" si="69"/>
        <v>-6.2559266740584594</v>
      </c>
      <c r="AK558">
        <f t="shared" si="66"/>
        <v>-0.68429813247761651</v>
      </c>
      <c r="AL558">
        <f>COUNTIFS($B:$B,$B558,$AK:$AK,"&lt;"&amp;$AK558)+COUNTIFS($B$2:$B558,$B558,$AK$2:$AK558,$AK558)</f>
        <v>7</v>
      </c>
      <c r="AM558" s="191">
        <f>IF(AK558=0, "NA",IF(((sim_annual_output!F558/E558)/AK558)&lt;0,100,((sim_annual_output!F558/E558)/AK558)))</f>
        <v>100</v>
      </c>
      <c r="AN558">
        <f>(S558+V558)*constants!$F$2+(T558+U558+W558+X558+Y558+Z558+AA558+AB558)*constants!$G$2</f>
        <v>95533.29137261695</v>
      </c>
      <c r="AO558">
        <f>(AD558*constants!$F$2+AE558*constants!$G$2)</f>
        <v>-5360.5798728419531</v>
      </c>
      <c r="AP558">
        <f t="shared" si="70"/>
        <v>-5.6112165673572463</v>
      </c>
    </row>
    <row r="559" spans="1:42">
      <c r="A559">
        <f>sim_annual_output!B559</f>
        <v>26</v>
      </c>
      <c r="B559" t="str">
        <f>sim_annual_output!C559</f>
        <v>Training Building</v>
      </c>
      <c r="C559" t="str">
        <f>sim_annual_output!D559</f>
        <v>2005-2014</v>
      </c>
      <c r="D559" t="str">
        <f>sim_annual_output!E559</f>
        <v>fans_to_variable</v>
      </c>
      <c r="E559" s="45">
        <f t="array" ref="E559">IFERROR(INDEX(baseline!$J$3:$J$201,MATCH($B559&amp;$C559,baseline!$C$3:$C$201&amp;baseline!$D$3:$D$201,0)),"NA")</f>
        <v>3699.892902</v>
      </c>
      <c r="F559">
        <f>sim_annual_output!G559</f>
        <v>3699.8929020249998</v>
      </c>
      <c r="G559">
        <f>$E559/$F559^2*sim_annual_output!I559</f>
        <v>0</v>
      </c>
      <c r="H559">
        <f>$E559/$F559^2*sim_annual_output!J559</f>
        <v>211.11513855636579</v>
      </c>
      <c r="I559">
        <f>$E559/$F559^2*sim_annual_output!K559</f>
        <v>3.7974102526630729</v>
      </c>
      <c r="J559">
        <f>$E559/$F559^2*sim_annual_output!L559</f>
        <v>7.7111903331558764</v>
      </c>
      <c r="K559">
        <f>$E559/$F559^2*sim_annual_output!M559</f>
        <v>0</v>
      </c>
      <c r="L559">
        <f>$E559/$F559^2*sim_annual_output!N559</f>
        <v>37.958336291892508</v>
      </c>
      <c r="M559">
        <f>$E559/$F559^2*sim_annual_output!O559</f>
        <v>9.2652906144948552</v>
      </c>
      <c r="N559">
        <f>$E559/$F559^2*sim_annual_output!P559</f>
        <v>0</v>
      </c>
      <c r="O559">
        <f>$E559/$F559^2*sim_annual_output!Q559</f>
        <v>12.730108391489733</v>
      </c>
      <c r="P559">
        <f>$E559/$F559^2*sim_annual_output!R559</f>
        <v>0.29355227536402956</v>
      </c>
      <c r="Q559">
        <f>$E559/$F559^2*sim_annual_output!S559</f>
        <v>0</v>
      </c>
      <c r="R559">
        <f t="array" ref="R559">INDEX(G$3:G$700,MATCH($B559&amp;$C559&amp;"baseline",$B$3:$B$700&amp;$C$3:$C$700&amp;$D$3:$D$700,0))</f>
        <v>0</v>
      </c>
      <c r="S559">
        <f t="array" ref="S559">INDEX(H$3:H$700,MATCH($B559&amp;$C559&amp;"baseline",$B$3:$B$700&amp;$C$3:$C$700&amp;$D$3:$D$700,0))</f>
        <v>208.52046678230417</v>
      </c>
      <c r="T559">
        <f t="array" ref="T559">INDEX(I$3:I$700,MATCH($B559&amp;$C559&amp;"baseline",$B$3:$B$700&amp;$C$3:$C$700&amp;$D$3:$D$700,0))</f>
        <v>1.7665690637635845</v>
      </c>
      <c r="U559">
        <f t="array" ref="U559">INDEX(J$3:J$700,MATCH($B559&amp;$C559&amp;"baseline",$B$3:$B$700&amp;$C$3:$C$700&amp;$D$3:$D$700,0))</f>
        <v>7.7111903331558764</v>
      </c>
      <c r="V559">
        <f t="array" ref="V559">INDEX(K$3:K$700,MATCH($B559&amp;$C559&amp;"baseline",$B$3:$B$700&amp;$C$3:$C$700&amp;$D$3:$D$700,0))</f>
        <v>0</v>
      </c>
      <c r="W559">
        <f t="array" ref="W559">INDEX(L$3:L$700,MATCH($B559&amp;$C559&amp;"baseline",$B$3:$B$700&amp;$C$3:$C$700&amp;$D$3:$D$700,0))</f>
        <v>37.958336291892508</v>
      </c>
      <c r="X559">
        <f t="array" ref="X559">INDEX(M$3:M$700,MATCH($B559&amp;$C559&amp;"baseline",$B$3:$B$700&amp;$C$3:$C$700&amp;$D$3:$D$700,0))</f>
        <v>9.2652906144948552</v>
      </c>
      <c r="Y559">
        <f t="array" ref="Y559">INDEX(N$3:N$700,MATCH($B559&amp;$C559&amp;"baseline",$B$3:$B$700&amp;$C$3:$C$700&amp;$D$3:$D$700,0))</f>
        <v>0</v>
      </c>
      <c r="Z559">
        <f t="array" ref="Z559">INDEX(O$3:O$700,MATCH($B559&amp;$C559&amp;"baseline",$B$3:$B$700&amp;$C$3:$C$700&amp;$D$3:$D$700,0))</f>
        <v>9.4920240854921385</v>
      </c>
      <c r="AA559">
        <f t="array" ref="AA559">INDEX(P$3:P$700,MATCH($B559&amp;$C559&amp;"baseline",$B$3:$B$700&amp;$C$3:$C$700&amp;$D$3:$D$700,0))</f>
        <v>0.71248365555105897</v>
      </c>
      <c r="AB559">
        <f t="array" ref="AB559">INDEX(Q$3:Q$700,MATCH($B559&amp;$C559&amp;"baseline",$B$3:$B$700&amp;$C$3:$C$700&amp;$D$3:$D$700,0))</f>
        <v>0</v>
      </c>
      <c r="AC559">
        <f t="shared" si="67"/>
        <v>275.42636082665422</v>
      </c>
      <c r="AD559">
        <f t="shared" si="64"/>
        <v>-2.5946717740616236</v>
      </c>
      <c r="AE559">
        <f t="shared" si="65"/>
        <v>-4.8499941147100856</v>
      </c>
      <c r="AF559">
        <f t="shared" si="68"/>
        <v>-2.7029605541123849</v>
      </c>
      <c r="AG559">
        <f>(S559+V559+Y559)*constants!$O$2+(R559+T559+U559+W559+X559+Z559+AA559+AB559)*constants!$N$2</f>
        <v>10.938397588884879</v>
      </c>
      <c r="AH559">
        <f>((S559+V559+Y559)-(H559+K559+N559))*constants!$O$2</f>
        <v>-4.2033682739798302E-2</v>
      </c>
      <c r="AI559">
        <f>((R559+T559+U559+W559+X559+Z559+AA559+AB559)-(G559+I559+J559+L559+M559+O559+P559+Q559))*constants!$N$2</f>
        <v>-0.54804933496223973</v>
      </c>
      <c r="AJ559">
        <f t="shared" si="69"/>
        <v>-5.3946020238069847</v>
      </c>
      <c r="AK559">
        <f t="shared" si="66"/>
        <v>-0.59008301770203808</v>
      </c>
      <c r="AL559">
        <f>COUNTIFS($B:$B,$B559,$AK:$AK,"&lt;"&amp;$AK559)+COUNTIFS($B$2:$B559,$B559,$AK$2:$AK559,$AK559)</f>
        <v>13</v>
      </c>
      <c r="AM559" s="191">
        <f>IF(AK559=0, "NA",IF(((sim_annual_output!F559/E559)/AK559)&lt;0,100,((sim_annual_output!F559/E559)/AK559)))</f>
        <v>100</v>
      </c>
      <c r="AN559">
        <f>(S559+V559)*constants!$F$2+(T559+U559+W559+X559+Y559+Z559+AA559+AB559)*constants!$G$2</f>
        <v>95533.29137261695</v>
      </c>
      <c r="AO559">
        <f>(AD559*constants!$F$2+AE559*constants!$G$2)</f>
        <v>-4683.9411273548048</v>
      </c>
      <c r="AP559">
        <f t="shared" si="70"/>
        <v>-4.9029412260963721</v>
      </c>
    </row>
    <row r="560" spans="1:42">
      <c r="A560">
        <f>sim_annual_output!B560</f>
        <v>26</v>
      </c>
      <c r="B560" t="str">
        <f>sim_annual_output!C560</f>
        <v>Training Building</v>
      </c>
      <c r="C560" t="str">
        <f>sim_annual_output!D560</f>
        <v>2005-2014</v>
      </c>
      <c r="D560" t="str">
        <f>sim_annual_output!E560</f>
        <v>hrv_enabled</v>
      </c>
      <c r="E560" s="45">
        <f t="array" ref="E560">IFERROR(INDEX(baseline!$J$3:$J$201,MATCH($B560&amp;$C560,baseline!$C$3:$C$201&amp;baseline!$D$3:$D$201,0)),"NA")</f>
        <v>3699.892902</v>
      </c>
      <c r="F560">
        <f>sim_annual_output!G560</f>
        <v>3699.8929020249998</v>
      </c>
      <c r="G560">
        <f>$E560/$F560^2*sim_annual_output!I560</f>
        <v>0</v>
      </c>
      <c r="H560">
        <f>$E560/$F560^2*sim_annual_output!J560</f>
        <v>137.14822366854082</v>
      </c>
      <c r="I560">
        <f>$E560/$F560^2*sim_annual_output!K560</f>
        <v>4.9108067344146225</v>
      </c>
      <c r="J560">
        <f>$E560/$F560^2*sim_annual_output!L560</f>
        <v>7.7111903331558764</v>
      </c>
      <c r="K560">
        <f>$E560/$F560^2*sim_annual_output!M560</f>
        <v>0</v>
      </c>
      <c r="L560">
        <f>$E560/$F560^2*sim_annual_output!N560</f>
        <v>37.958336291892508</v>
      </c>
      <c r="M560">
        <f>$E560/$F560^2*sim_annual_output!O560</f>
        <v>9.2652906144948552</v>
      </c>
      <c r="N560">
        <f>$E560/$F560^2*sim_annual_output!P560</f>
        <v>0</v>
      </c>
      <c r="O560">
        <f>$E560/$F560^2*sim_annual_output!Q560</f>
        <v>13.507158532159222</v>
      </c>
      <c r="P560">
        <f>$E560/$F560^2*sim_annual_output!R560</f>
        <v>0.24099815956995777</v>
      </c>
      <c r="Q560">
        <f>$E560/$F560^2*sim_annual_output!S560</f>
        <v>1.1824676053666152</v>
      </c>
      <c r="R560">
        <f t="array" ref="R560">INDEX(G$3:G$700,MATCH($B560&amp;$C560&amp;"baseline",$B$3:$B$700&amp;$C$3:$C$700&amp;$D$3:$D$700,0))</f>
        <v>0</v>
      </c>
      <c r="S560">
        <f t="array" ref="S560">INDEX(H$3:H$700,MATCH($B560&amp;$C560&amp;"baseline",$B$3:$B$700&amp;$C$3:$C$700&amp;$D$3:$D$700,0))</f>
        <v>208.52046678230417</v>
      </c>
      <c r="T560">
        <f t="array" ref="T560">INDEX(I$3:I$700,MATCH($B560&amp;$C560&amp;"baseline",$B$3:$B$700&amp;$C$3:$C$700&amp;$D$3:$D$700,0))</f>
        <v>1.7665690637635845</v>
      </c>
      <c r="U560">
        <f t="array" ref="U560">INDEX(J$3:J$700,MATCH($B560&amp;$C560&amp;"baseline",$B$3:$B$700&amp;$C$3:$C$700&amp;$D$3:$D$700,0))</f>
        <v>7.7111903331558764</v>
      </c>
      <c r="V560">
        <f t="array" ref="V560">INDEX(K$3:K$700,MATCH($B560&amp;$C560&amp;"baseline",$B$3:$B$700&amp;$C$3:$C$700&amp;$D$3:$D$700,0))</f>
        <v>0</v>
      </c>
      <c r="W560">
        <f t="array" ref="W560">INDEX(L$3:L$700,MATCH($B560&amp;$C560&amp;"baseline",$B$3:$B$700&amp;$C$3:$C$700&amp;$D$3:$D$700,0))</f>
        <v>37.958336291892508</v>
      </c>
      <c r="X560">
        <f t="array" ref="X560">INDEX(M$3:M$700,MATCH($B560&amp;$C560&amp;"baseline",$B$3:$B$700&amp;$C$3:$C$700&amp;$D$3:$D$700,0))</f>
        <v>9.2652906144948552</v>
      </c>
      <c r="Y560">
        <f t="array" ref="Y560">INDEX(N$3:N$700,MATCH($B560&amp;$C560&amp;"baseline",$B$3:$B$700&amp;$C$3:$C$700&amp;$D$3:$D$700,0))</f>
        <v>0</v>
      </c>
      <c r="Z560">
        <f t="array" ref="Z560">INDEX(O$3:O$700,MATCH($B560&amp;$C560&amp;"baseline",$B$3:$B$700&amp;$C$3:$C$700&amp;$D$3:$D$700,0))</f>
        <v>9.4920240854921385</v>
      </c>
      <c r="AA560">
        <f t="array" ref="AA560">INDEX(P$3:P$700,MATCH($B560&amp;$C560&amp;"baseline",$B$3:$B$700&amp;$C$3:$C$700&amp;$D$3:$D$700,0))</f>
        <v>0.71248365555105897</v>
      </c>
      <c r="AB560">
        <f t="array" ref="AB560">INDEX(Q$3:Q$700,MATCH($B560&amp;$C560&amp;"baseline",$B$3:$B$700&amp;$C$3:$C$700&amp;$D$3:$D$700,0))</f>
        <v>0</v>
      </c>
      <c r="AC560">
        <f t="shared" si="67"/>
        <v>275.42636082665422</v>
      </c>
      <c r="AD560">
        <f t="shared" si="64"/>
        <v>71.372243113763346</v>
      </c>
      <c r="AE560">
        <f t="shared" si="65"/>
        <v>-7.8703542267036397</v>
      </c>
      <c r="AF560">
        <f t="shared" si="68"/>
        <v>23.055850099630096</v>
      </c>
      <c r="AG560">
        <f>(S560+V560+Y560)*constants!$O$2+(R560+T560+U560+W560+X560+Z560+AA560+AB560)*constants!$N$2</f>
        <v>10.938397588884879</v>
      </c>
      <c r="AH560">
        <f>((S560+V560+Y560)-(H560+K560+N560))*constants!$O$2</f>
        <v>1.1562303384429662</v>
      </c>
      <c r="AI560">
        <f>((R560+T560+U560+W560+X560+Z560+AA560+AB560)-(G560+I560+J560+L560+M560+O560+P560+Q560))*constants!$N$2</f>
        <v>-0.88935002761751136</v>
      </c>
      <c r="AJ560">
        <f t="shared" si="69"/>
        <v>2.4398483293078224</v>
      </c>
      <c r="AK560">
        <f t="shared" si="66"/>
        <v>0.26688031082545483</v>
      </c>
      <c r="AL560">
        <f>COUNTIFS($B:$B,$B560,$AK:$AK,"&lt;"&amp;$AK560)+COUNTIFS($B$2:$B560,$B560,$AK$2:$AK560,$AK560)</f>
        <v>43</v>
      </c>
      <c r="AM560" s="191">
        <f>IF(AK560=0, "NA",IF(((sim_annual_output!F560/E560)/AK560)&lt;0,100,((sim_annual_output!F560/E560)/AK560)))</f>
        <v>250.01784237757815</v>
      </c>
      <c r="AN560">
        <f>(S560+V560)*constants!$F$2+(T560+U560+W560+X560+Y560+Z560+AA560+AB560)*constants!$G$2</f>
        <v>95533.29137261695</v>
      </c>
      <c r="AO560">
        <f>(AD560*constants!$F$2+AE560*constants!$G$2)</f>
        <v>5928.4233401314732</v>
      </c>
      <c r="AP560">
        <f t="shared" si="70"/>
        <v>6.2056098507150974</v>
      </c>
    </row>
    <row r="561" spans="1:42">
      <c r="A561">
        <f>sim_annual_output!B561</f>
        <v>26</v>
      </c>
      <c r="B561" t="str">
        <f>sim_annual_output!C561</f>
        <v>Training Building</v>
      </c>
      <c r="C561" t="str">
        <f>sim_annual_output!D561</f>
        <v>2005-2014</v>
      </c>
      <c r="D561" t="str">
        <f>sim_annual_output!E561</f>
        <v>lights_reduce_70p</v>
      </c>
      <c r="E561" s="45">
        <f t="array" ref="E561">IFERROR(INDEX(baseline!$J$3:$J$201,MATCH($B561&amp;$C561,baseline!$C$3:$C$201&amp;baseline!$D$3:$D$201,0)),"NA")</f>
        <v>3699.892902</v>
      </c>
      <c r="F561">
        <f>sim_annual_output!G561</f>
        <v>3699.8929020249998</v>
      </c>
      <c r="G561">
        <f>$E561/$F561^2*sim_annual_output!I561</f>
        <v>0</v>
      </c>
      <c r="H561">
        <f>$E561/$F561^2*sim_annual_output!J561</f>
        <v>220.23853305821666</v>
      </c>
      <c r="I561">
        <f>$E561/$F561^2*sim_annual_output!K561</f>
        <v>2.3521720683260985</v>
      </c>
      <c r="J561">
        <f>$E561/$F561^2*sim_annual_output!L561</f>
        <v>7.7111903331558764</v>
      </c>
      <c r="K561">
        <f>$E561/$F561^2*sim_annual_output!M561</f>
        <v>0</v>
      </c>
      <c r="L561">
        <f>$E561/$F561^2*sim_annual_output!N561</f>
        <v>26.570610172399924</v>
      </c>
      <c r="M561">
        <f>$E561/$F561^2*sim_annual_output!O561</f>
        <v>9.2652906144948552</v>
      </c>
      <c r="N561">
        <f>$E561/$F561^2*sim_annual_output!P561</f>
        <v>0</v>
      </c>
      <c r="O561">
        <f>$E561/$F561^2*sim_annual_output!Q561</f>
        <v>11.187269706392339</v>
      </c>
      <c r="P561">
        <f>$E561/$F561^2*sim_annual_output!R561</f>
        <v>0.65016948968094523</v>
      </c>
      <c r="Q561">
        <f>$E561/$F561^2*sim_annual_output!S561</f>
        <v>0</v>
      </c>
      <c r="R561">
        <f t="array" ref="R561">INDEX(G$3:G$700,MATCH($B561&amp;$C561&amp;"baseline",$B$3:$B$700&amp;$C$3:$C$700&amp;$D$3:$D$700,0))</f>
        <v>0</v>
      </c>
      <c r="S561">
        <f t="array" ref="S561">INDEX(H$3:H$700,MATCH($B561&amp;$C561&amp;"baseline",$B$3:$B$700&amp;$C$3:$C$700&amp;$D$3:$D$700,0))</f>
        <v>208.52046678230417</v>
      </c>
      <c r="T561">
        <f t="array" ref="T561">INDEX(I$3:I$700,MATCH($B561&amp;$C561&amp;"baseline",$B$3:$B$700&amp;$C$3:$C$700&amp;$D$3:$D$700,0))</f>
        <v>1.7665690637635845</v>
      </c>
      <c r="U561">
        <f t="array" ref="U561">INDEX(J$3:J$700,MATCH($B561&amp;$C561&amp;"baseline",$B$3:$B$700&amp;$C$3:$C$700&amp;$D$3:$D$700,0))</f>
        <v>7.7111903331558764</v>
      </c>
      <c r="V561">
        <f t="array" ref="V561">INDEX(K$3:K$700,MATCH($B561&amp;$C561&amp;"baseline",$B$3:$B$700&amp;$C$3:$C$700&amp;$D$3:$D$700,0))</f>
        <v>0</v>
      </c>
      <c r="W561">
        <f t="array" ref="W561">INDEX(L$3:L$700,MATCH($B561&amp;$C561&amp;"baseline",$B$3:$B$700&amp;$C$3:$C$700&amp;$D$3:$D$700,0))</f>
        <v>37.958336291892508</v>
      </c>
      <c r="X561">
        <f t="array" ref="X561">INDEX(M$3:M$700,MATCH($B561&amp;$C561&amp;"baseline",$B$3:$B$700&amp;$C$3:$C$700&amp;$D$3:$D$700,0))</f>
        <v>9.2652906144948552</v>
      </c>
      <c r="Y561">
        <f t="array" ref="Y561">INDEX(N$3:N$700,MATCH($B561&amp;$C561&amp;"baseline",$B$3:$B$700&amp;$C$3:$C$700&amp;$D$3:$D$700,0))</f>
        <v>0</v>
      </c>
      <c r="Z561">
        <f t="array" ref="Z561">INDEX(O$3:O$700,MATCH($B561&amp;$C561&amp;"baseline",$B$3:$B$700&amp;$C$3:$C$700&amp;$D$3:$D$700,0))</f>
        <v>9.4920240854921385</v>
      </c>
      <c r="AA561">
        <f t="array" ref="AA561">INDEX(P$3:P$700,MATCH($B561&amp;$C561&amp;"baseline",$B$3:$B$700&amp;$C$3:$C$700&amp;$D$3:$D$700,0))</f>
        <v>0.71248365555105897</v>
      </c>
      <c r="AB561">
        <f t="array" ref="AB561">INDEX(Q$3:Q$700,MATCH($B561&amp;$C561&amp;"baseline",$B$3:$B$700&amp;$C$3:$C$700&amp;$D$3:$D$700,0))</f>
        <v>0</v>
      </c>
      <c r="AC561">
        <f t="shared" si="67"/>
        <v>275.42636082665422</v>
      </c>
      <c r="AD561">
        <f t="shared" si="64"/>
        <v>-11.718066275912491</v>
      </c>
      <c r="AE561">
        <f t="shared" si="65"/>
        <v>9.1691916598999654</v>
      </c>
      <c r="AF561">
        <f t="shared" si="68"/>
        <v>-0.92542870927910836</v>
      </c>
      <c r="AG561">
        <f>(S561+V561+Y561)*constants!$O$2+(R561+T561+U561+W561+X561+Z561+AA561+AB561)*constants!$N$2</f>
        <v>10.938397588884879</v>
      </c>
      <c r="AH561">
        <f>((S561+V561+Y561)-(H561+K561+N561))*constants!$O$2</f>
        <v>-0.18983267366978235</v>
      </c>
      <c r="AI561">
        <f>((R561+T561+U561+W561+X561+Z561+AA561+AB561)-(G561+I561+J561+L561+M561+O561+P561+Q561))*constants!$N$2</f>
        <v>1.036118657568696</v>
      </c>
      <c r="AJ561">
        <f t="shared" si="69"/>
        <v>7.7368369271827566</v>
      </c>
      <c r="AK561">
        <f t="shared" si="66"/>
        <v>0.84628598389891363</v>
      </c>
      <c r="AL561">
        <f>COUNTIFS($B:$B,$B561,$AK:$AK,"&lt;"&amp;$AK561)+COUNTIFS($B$2:$B561,$B561,$AK$2:$AK561,$AK561)</f>
        <v>50</v>
      </c>
      <c r="AM561" s="191">
        <f>IF(AK561=0, "NA",IF(((sim_annual_output!F561/E561)/AK561)&lt;0,100,((sim_annual_output!F561/E561)/AK561)))</f>
        <v>49.706015330369148</v>
      </c>
      <c r="AN561">
        <f>(S561+V561)*constants!$F$2+(T561+U561+W561+X561+Y561+Z561+AA561+AB561)*constants!$G$2</f>
        <v>95533.29137261695</v>
      </c>
      <c r="AO561">
        <f>(AD561*constants!$F$2+AE561*constants!$G$2)</f>
        <v>5879.6628807246343</v>
      </c>
      <c r="AP561">
        <f t="shared" si="70"/>
        <v>6.1545695707181958</v>
      </c>
    </row>
    <row r="562" spans="1:42">
      <c r="A562">
        <f>sim_annual_output!B562</f>
        <v>26</v>
      </c>
      <c r="B562" t="str">
        <f>sim_annual_output!C562</f>
        <v>Training Building</v>
      </c>
      <c r="C562" t="str">
        <f>sim_annual_output!D562</f>
        <v>2005-2014</v>
      </c>
      <c r="D562" t="str">
        <f>sim_annual_output!E562</f>
        <v>load_reduce</v>
      </c>
      <c r="E562" s="45">
        <f t="array" ref="E562">IFERROR(INDEX(baseline!$J$3:$J$201,MATCH($B562&amp;$C562,baseline!$C$3:$C$201&amp;baseline!$D$3:$D$201,0)),"NA")</f>
        <v>3699.892902</v>
      </c>
      <c r="F562">
        <f>sim_annual_output!G562</f>
        <v>3699.8929020249998</v>
      </c>
      <c r="G562">
        <f>$E562/$F562^2*sim_annual_output!I562</f>
        <v>0</v>
      </c>
      <c r="H562">
        <f>$E562/$F562^2*sim_annual_output!J562</f>
        <v>108.10757005381953</v>
      </c>
      <c r="I562">
        <f>$E562/$F562^2*sim_annual_output!K562</f>
        <v>3.51511957354063</v>
      </c>
      <c r="J562">
        <f>$E562/$F562^2*sim_annual_output!L562</f>
        <v>7.7111903331558764</v>
      </c>
      <c r="K562">
        <f>$E562/$F562^2*sim_annual_output!M562</f>
        <v>0</v>
      </c>
      <c r="L562">
        <f>$E562/$F562^2*sim_annual_output!N562</f>
        <v>37.958336291892508</v>
      </c>
      <c r="M562">
        <f>$E562/$F562^2*sim_annual_output!O562</f>
        <v>9.2652906144948552</v>
      </c>
      <c r="N562">
        <f>$E562/$F562^2*sim_annual_output!P562</f>
        <v>0</v>
      </c>
      <c r="O562">
        <f>$E562/$F562^2*sim_annual_output!Q562</f>
        <v>15.674640422123296</v>
      </c>
      <c r="P562">
        <f>$E562/$F562^2*sim_annual_output!R562</f>
        <v>0.29505382152957443</v>
      </c>
      <c r="Q562">
        <f>$E562/$F562^2*sim_annual_output!S562</f>
        <v>0</v>
      </c>
      <c r="R562">
        <f t="array" ref="R562">INDEX(G$3:G$700,MATCH($B562&amp;$C562&amp;"baseline",$B$3:$B$700&amp;$C$3:$C$700&amp;$D$3:$D$700,0))</f>
        <v>0</v>
      </c>
      <c r="S562">
        <f t="array" ref="S562">INDEX(H$3:H$700,MATCH($B562&amp;$C562&amp;"baseline",$B$3:$B$700&amp;$C$3:$C$700&amp;$D$3:$D$700,0))</f>
        <v>208.52046678230417</v>
      </c>
      <c r="T562">
        <f t="array" ref="T562">INDEX(I$3:I$700,MATCH($B562&amp;$C562&amp;"baseline",$B$3:$B$700&amp;$C$3:$C$700&amp;$D$3:$D$700,0))</f>
        <v>1.7665690637635845</v>
      </c>
      <c r="U562">
        <f t="array" ref="U562">INDEX(J$3:J$700,MATCH($B562&amp;$C562&amp;"baseline",$B$3:$B$700&amp;$C$3:$C$700&amp;$D$3:$D$700,0))</f>
        <v>7.7111903331558764</v>
      </c>
      <c r="V562">
        <f t="array" ref="V562">INDEX(K$3:K$700,MATCH($B562&amp;$C562&amp;"baseline",$B$3:$B$700&amp;$C$3:$C$700&amp;$D$3:$D$700,0))</f>
        <v>0</v>
      </c>
      <c r="W562">
        <f t="array" ref="W562">INDEX(L$3:L$700,MATCH($B562&amp;$C562&amp;"baseline",$B$3:$B$700&amp;$C$3:$C$700&amp;$D$3:$D$700,0))</f>
        <v>37.958336291892508</v>
      </c>
      <c r="X562">
        <f t="array" ref="X562">INDEX(M$3:M$700,MATCH($B562&amp;$C562&amp;"baseline",$B$3:$B$700&amp;$C$3:$C$700&amp;$D$3:$D$700,0))</f>
        <v>9.2652906144948552</v>
      </c>
      <c r="Y562">
        <f t="array" ref="Y562">INDEX(N$3:N$700,MATCH($B562&amp;$C562&amp;"baseline",$B$3:$B$700&amp;$C$3:$C$700&amp;$D$3:$D$700,0))</f>
        <v>0</v>
      </c>
      <c r="Z562">
        <f t="array" ref="Z562">INDEX(O$3:O$700,MATCH($B562&amp;$C562&amp;"baseline",$B$3:$B$700&amp;$C$3:$C$700&amp;$D$3:$D$700,0))</f>
        <v>9.4920240854921385</v>
      </c>
      <c r="AA562">
        <f t="array" ref="AA562">INDEX(P$3:P$700,MATCH($B562&amp;$C562&amp;"baseline",$B$3:$B$700&amp;$C$3:$C$700&amp;$D$3:$D$700,0))</f>
        <v>0.71248365555105897</v>
      </c>
      <c r="AB562">
        <f t="array" ref="AB562">INDEX(Q$3:Q$700,MATCH($B562&amp;$C562&amp;"baseline",$B$3:$B$700&amp;$C$3:$C$700&amp;$D$3:$D$700,0))</f>
        <v>0</v>
      </c>
      <c r="AC562">
        <f t="shared" si="67"/>
        <v>275.42636082665422</v>
      </c>
      <c r="AD562">
        <f t="shared" si="64"/>
        <v>100.41289672848464</v>
      </c>
      <c r="AE562">
        <f t="shared" si="65"/>
        <v>-7.5137370123867413</v>
      </c>
      <c r="AF562">
        <f t="shared" si="68"/>
        <v>33.729218741907594</v>
      </c>
      <c r="AG562">
        <f>(S562+V562+Y562)*constants!$O$2+(R562+T562+U562+W562+X562+Z562+AA562+AB562)*constants!$N$2</f>
        <v>10.938397588884879</v>
      </c>
      <c r="AH562">
        <f>((S562+V562+Y562)-(H562+K562+N562))*constants!$O$2</f>
        <v>1.6266889270014511</v>
      </c>
      <c r="AI562">
        <f>((R562+T562+U562+W562+X562+Z562+AA562+AB562)-(G562+I562+J562+L562+M562+O562+P562+Q562))*constants!$N$2</f>
        <v>-0.84905228239970176</v>
      </c>
      <c r="AJ562">
        <f t="shared" si="69"/>
        <v>7.1092373291673878</v>
      </c>
      <c r="AK562">
        <f t="shared" si="66"/>
        <v>0.77763664460174931</v>
      </c>
      <c r="AL562">
        <f>COUNTIFS($B:$B,$B562,$AK:$AK,"&lt;"&amp;$AK562)+COUNTIFS($B$2:$B562,$B562,$AK$2:$AK562,$AK562)</f>
        <v>48</v>
      </c>
      <c r="AM562" s="191">
        <f>IF(AK562=0, "NA",IF(((sim_annual_output!F562/E562)/AK562)&lt;0,100,((sim_annual_output!F562/E562)/AK562)))</f>
        <v>6.7896350831951393</v>
      </c>
      <c r="AN562">
        <f>(S562+V562)*constants!$F$2+(T562+U562+W562+X562+Y562+Z562+AA562+AB562)*constants!$G$2</f>
        <v>95533.29137261695</v>
      </c>
      <c r="AO562">
        <f>(AD562*constants!$F$2+AE562*constants!$G$2)</f>
        <v>11436.957313622286</v>
      </c>
      <c r="AP562">
        <f t="shared" si="70"/>
        <v>11.9716981894968</v>
      </c>
    </row>
    <row r="563" spans="1:42">
      <c r="A563">
        <f>sim_annual_output!B563</f>
        <v>26</v>
      </c>
      <c r="B563" t="str">
        <f>sim_annual_output!C563</f>
        <v>Training Building</v>
      </c>
      <c r="C563" t="str">
        <f>sim_annual_output!D563</f>
        <v>2005-2014</v>
      </c>
      <c r="D563" t="str">
        <f>sim_annual_output!E563</f>
        <v>occupancy_setback</v>
      </c>
      <c r="E563" s="45">
        <f t="array" ref="E563">IFERROR(INDEX(baseline!$J$3:$J$201,MATCH($B563&amp;$C563,baseline!$C$3:$C$201&amp;baseline!$D$3:$D$201,0)),"NA")</f>
        <v>3699.892902</v>
      </c>
      <c r="F563">
        <f>sim_annual_output!G563</f>
        <v>3699.8929020249998</v>
      </c>
      <c r="G563">
        <f>$E563/$F563^2*sim_annual_output!I563</f>
        <v>0</v>
      </c>
      <c r="H563">
        <f>$E563/$F563^2*sim_annual_output!J563</f>
        <v>173.18758396086696</v>
      </c>
      <c r="I563">
        <f>$E563/$F563^2*sim_annual_output!K563</f>
        <v>3.51511957354063</v>
      </c>
      <c r="J563">
        <f>$E563/$F563^2*sim_annual_output!L563</f>
        <v>7.7111903331558764</v>
      </c>
      <c r="K563">
        <f>$E563/$F563^2*sim_annual_output!M563</f>
        <v>0</v>
      </c>
      <c r="L563">
        <f>$E563/$F563^2*sim_annual_output!N563</f>
        <v>37.958336291892508</v>
      </c>
      <c r="M563">
        <f>$E563/$F563^2*sim_annual_output!O563</f>
        <v>9.2652906144948552</v>
      </c>
      <c r="N563">
        <f>$E563/$F563^2*sim_annual_output!P563</f>
        <v>0</v>
      </c>
      <c r="O563">
        <f>$E563/$F563^2*sim_annual_output!Q563</f>
        <v>15.674640422123296</v>
      </c>
      <c r="P563">
        <f>$E563/$F563^2*sim_annual_output!R563</f>
        <v>0.29505382152957443</v>
      </c>
      <c r="Q563">
        <f>$E563/$F563^2*sim_annual_output!S563</f>
        <v>0</v>
      </c>
      <c r="R563">
        <f t="array" ref="R563">INDEX(G$3:G$700,MATCH($B563&amp;$C563&amp;"baseline",$B$3:$B$700&amp;$C$3:$C$700&amp;$D$3:$D$700,0))</f>
        <v>0</v>
      </c>
      <c r="S563">
        <f t="array" ref="S563">INDEX(H$3:H$700,MATCH($B563&amp;$C563&amp;"baseline",$B$3:$B$700&amp;$C$3:$C$700&amp;$D$3:$D$700,0))</f>
        <v>208.52046678230417</v>
      </c>
      <c r="T563">
        <f t="array" ref="T563">INDEX(I$3:I$700,MATCH($B563&amp;$C563&amp;"baseline",$B$3:$B$700&amp;$C$3:$C$700&amp;$D$3:$D$700,0))</f>
        <v>1.7665690637635845</v>
      </c>
      <c r="U563">
        <f t="array" ref="U563">INDEX(J$3:J$700,MATCH($B563&amp;$C563&amp;"baseline",$B$3:$B$700&amp;$C$3:$C$700&amp;$D$3:$D$700,0))</f>
        <v>7.7111903331558764</v>
      </c>
      <c r="V563">
        <f t="array" ref="V563">INDEX(K$3:K$700,MATCH($B563&amp;$C563&amp;"baseline",$B$3:$B$700&amp;$C$3:$C$700&amp;$D$3:$D$700,0))</f>
        <v>0</v>
      </c>
      <c r="W563">
        <f t="array" ref="W563">INDEX(L$3:L$700,MATCH($B563&amp;$C563&amp;"baseline",$B$3:$B$700&amp;$C$3:$C$700&amp;$D$3:$D$700,0))</f>
        <v>37.958336291892508</v>
      </c>
      <c r="X563">
        <f t="array" ref="X563">INDEX(M$3:M$700,MATCH($B563&amp;$C563&amp;"baseline",$B$3:$B$700&amp;$C$3:$C$700&amp;$D$3:$D$700,0))</f>
        <v>9.2652906144948552</v>
      </c>
      <c r="Y563">
        <f t="array" ref="Y563">INDEX(N$3:N$700,MATCH($B563&amp;$C563&amp;"baseline",$B$3:$B$700&amp;$C$3:$C$700&amp;$D$3:$D$700,0))</f>
        <v>0</v>
      </c>
      <c r="Z563">
        <f t="array" ref="Z563">INDEX(O$3:O$700,MATCH($B563&amp;$C563&amp;"baseline",$B$3:$B$700&amp;$C$3:$C$700&amp;$D$3:$D$700,0))</f>
        <v>9.4920240854921385</v>
      </c>
      <c r="AA563">
        <f t="array" ref="AA563">INDEX(P$3:P$700,MATCH($B563&amp;$C563&amp;"baseline",$B$3:$B$700&amp;$C$3:$C$700&amp;$D$3:$D$700,0))</f>
        <v>0.71248365555105897</v>
      </c>
      <c r="AB563">
        <f t="array" ref="AB563">INDEX(Q$3:Q$700,MATCH($B563&amp;$C563&amp;"baseline",$B$3:$B$700&amp;$C$3:$C$700&amp;$D$3:$D$700,0))</f>
        <v>0</v>
      </c>
      <c r="AC563">
        <f t="shared" si="67"/>
        <v>275.42636082665422</v>
      </c>
      <c r="AD563">
        <f t="shared" si="64"/>
        <v>35.332882821437209</v>
      </c>
      <c r="AE563">
        <f t="shared" si="65"/>
        <v>-7.5137370123867413</v>
      </c>
      <c r="AF563">
        <f t="shared" si="68"/>
        <v>10.100393341274648</v>
      </c>
      <c r="AG563">
        <f>(S563+V563+Y563)*constants!$O$2+(R563+T563+U563+W563+X563+Z563+AA563+AB563)*constants!$N$2</f>
        <v>10.938397588884879</v>
      </c>
      <c r="AH563">
        <f>((S563+V563+Y563)-(H563+K563+N563))*constants!$O$2</f>
        <v>0.57239270170728274</v>
      </c>
      <c r="AI563">
        <f>((R563+T563+U563+W563+X563+Z563+AA563+AB563)-(G563+I563+J563+L563+M563+O563+P563+Q563))*constants!$N$2</f>
        <v>-0.84905228239970176</v>
      </c>
      <c r="AJ563">
        <f t="shared" si="69"/>
        <v>-2.5292514597709301</v>
      </c>
      <c r="AK563">
        <f t="shared" si="66"/>
        <v>-0.27665958069241903</v>
      </c>
      <c r="AL563">
        <f>COUNTIFS($B:$B,$B563,$AK:$AK,"&lt;"&amp;$AK563)+COUNTIFS($B$2:$B563,$B563,$AK$2:$AK563,$AK563)</f>
        <v>23</v>
      </c>
      <c r="AM563" s="191">
        <f>IF(AK563=0, "NA",IF(((sim_annual_output!F563/E563)/AK563)&lt;0,100,((sim_annual_output!F563/E563)/AK563)))</f>
        <v>100</v>
      </c>
      <c r="AN563">
        <f>(S563+V563)*constants!$F$2+(T563+U563+W563+X563+Y563+Z563+AA563+AB563)*constants!$G$2</f>
        <v>95533.29137261695</v>
      </c>
      <c r="AO563">
        <f>(AD563*constants!$F$2+AE563*constants!$G$2)</f>
        <v>-212.36517573920446</v>
      </c>
      <c r="AP563">
        <f t="shared" si="70"/>
        <v>-0.22229441976504061</v>
      </c>
    </row>
    <row r="564" spans="1:42">
      <c r="A564">
        <f>sim_annual_output!B564</f>
        <v>26</v>
      </c>
      <c r="B564" t="str">
        <f>sim_annual_output!C564</f>
        <v>Training Building</v>
      </c>
      <c r="C564" t="str">
        <f>sim_annual_output!D564</f>
        <v>2005-2014</v>
      </c>
      <c r="D564" t="str">
        <f>sim_annual_output!E564</f>
        <v>payback_less_than_20</v>
      </c>
      <c r="E564" s="45">
        <f t="array" ref="E564">IFERROR(INDEX(baseline!$J$3:$J$201,MATCH($B564&amp;$C564,baseline!$C$3:$C$201&amp;baseline!$D$3:$D$201,0)),"NA")</f>
        <v>3699.892902</v>
      </c>
      <c r="F564">
        <f>sim_annual_output!G564</f>
        <v>3699.8929020249998</v>
      </c>
      <c r="G564">
        <f>$E564/$F564^2*sim_annual_output!I564</f>
        <v>0</v>
      </c>
      <c r="H564">
        <f>$E564/$F564^2*sim_annual_output!J564</f>
        <v>71.807691501771373</v>
      </c>
      <c r="I564">
        <f>$E564/$F564^2*sim_annual_output!K564</f>
        <v>5.0722229472107001</v>
      </c>
      <c r="J564">
        <f>$E564/$F564^2*sim_annual_output!L564</f>
        <v>7.7111903331558764</v>
      </c>
      <c r="K564">
        <f>$E564/$F564^2*sim_annual_output!M564</f>
        <v>0</v>
      </c>
      <c r="L564">
        <f>$E564/$F564^2*sim_annual_output!N564</f>
        <v>26.570610172399924</v>
      </c>
      <c r="M564">
        <f>$E564/$F564^2*sim_annual_output!O564</f>
        <v>9.2652906144948552</v>
      </c>
      <c r="N564">
        <f>$E564/$F564^2*sim_annual_output!P564</f>
        <v>0</v>
      </c>
      <c r="O564">
        <f>$E564/$F564^2*sim_annual_output!Q564</f>
        <v>15.17387477591407</v>
      </c>
      <c r="P564">
        <f>$E564/$F564^2*sim_annual_output!R564</f>
        <v>0.10811132391923339</v>
      </c>
      <c r="Q564">
        <f>$E564/$F564^2*sim_annual_output!S564</f>
        <v>0</v>
      </c>
      <c r="R564">
        <f t="array" ref="R564">INDEX(G$3:G$700,MATCH($B564&amp;$C564&amp;"baseline",$B$3:$B$700&amp;$C$3:$C$700&amp;$D$3:$D$700,0))</f>
        <v>0</v>
      </c>
      <c r="S564">
        <f t="array" ref="S564">INDEX(H$3:H$700,MATCH($B564&amp;$C564&amp;"baseline",$B$3:$B$700&amp;$C$3:$C$700&amp;$D$3:$D$700,0))</f>
        <v>208.52046678230417</v>
      </c>
      <c r="T564">
        <f t="array" ref="T564">INDEX(I$3:I$700,MATCH($B564&amp;$C564&amp;"baseline",$B$3:$B$700&amp;$C$3:$C$700&amp;$D$3:$D$700,0))</f>
        <v>1.7665690637635845</v>
      </c>
      <c r="U564">
        <f t="array" ref="U564">INDEX(J$3:J$700,MATCH($B564&amp;$C564&amp;"baseline",$B$3:$B$700&amp;$C$3:$C$700&amp;$D$3:$D$700,0))</f>
        <v>7.7111903331558764</v>
      </c>
      <c r="V564">
        <f t="array" ref="V564">INDEX(K$3:K$700,MATCH($B564&amp;$C564&amp;"baseline",$B$3:$B$700&amp;$C$3:$C$700&amp;$D$3:$D$700,0))</f>
        <v>0</v>
      </c>
      <c r="W564">
        <f t="array" ref="W564">INDEX(L$3:L$700,MATCH($B564&amp;$C564&amp;"baseline",$B$3:$B$700&amp;$C$3:$C$700&amp;$D$3:$D$700,0))</f>
        <v>37.958336291892508</v>
      </c>
      <c r="X564">
        <f t="array" ref="X564">INDEX(M$3:M$700,MATCH($B564&amp;$C564&amp;"baseline",$B$3:$B$700&amp;$C$3:$C$700&amp;$D$3:$D$700,0))</f>
        <v>9.2652906144948552</v>
      </c>
      <c r="Y564">
        <f t="array" ref="Y564">INDEX(N$3:N$700,MATCH($B564&amp;$C564&amp;"baseline",$B$3:$B$700&amp;$C$3:$C$700&amp;$D$3:$D$700,0))</f>
        <v>0</v>
      </c>
      <c r="Z564">
        <f t="array" ref="Z564">INDEX(O$3:O$700,MATCH($B564&amp;$C564&amp;"baseline",$B$3:$B$700&amp;$C$3:$C$700&amp;$D$3:$D$700,0))</f>
        <v>9.4920240854921385</v>
      </c>
      <c r="AA564">
        <f t="array" ref="AA564">INDEX(P$3:P$700,MATCH($B564&amp;$C564&amp;"baseline",$B$3:$B$700&amp;$C$3:$C$700&amp;$D$3:$D$700,0))</f>
        <v>0.71248365555105897</v>
      </c>
      <c r="AB564">
        <f t="array" ref="AB564">INDEX(Q$3:Q$700,MATCH($B564&amp;$C564&amp;"baseline",$B$3:$B$700&amp;$C$3:$C$700&amp;$D$3:$D$700,0))</f>
        <v>0</v>
      </c>
      <c r="AC564">
        <f t="shared" si="67"/>
        <v>275.42636082665422</v>
      </c>
      <c r="AD564">
        <f t="shared" si="64"/>
        <v>136.71277528053281</v>
      </c>
      <c r="AE564">
        <f t="shared" si="65"/>
        <v>3.0045938772553455</v>
      </c>
      <c r="AF564">
        <f t="shared" si="68"/>
        <v>50.727667728842562</v>
      </c>
      <c r="AG564">
        <f>(S564+V564+Y564)*constants!$O$2+(R564+T564+U564+W564+X564+Z564+AA564+AB564)*constants!$N$2</f>
        <v>10.938397588884879</v>
      </c>
      <c r="AH564">
        <f>((S564+V564+Y564)-(H564+K564+N564))*constants!$O$2</f>
        <v>2.2147469595446312</v>
      </c>
      <c r="AI564">
        <f>((R564+T564+U564+W564+X564+Z564+AA564+AB564)-(G564+I564+J564+L564+M564+O564+P564+Q564))*constants!$N$2</f>
        <v>0.33951910812985403</v>
      </c>
      <c r="AJ564">
        <f t="shared" si="69"/>
        <v>23.351373424842581</v>
      </c>
      <c r="AK564">
        <f t="shared" si="66"/>
        <v>2.5542660676744853</v>
      </c>
      <c r="AL564">
        <f>COUNTIFS($B:$B,$B564,$AK:$AK,"&lt;"&amp;$AK564)+COUNTIFS($B$2:$B564,$B564,$AK$2:$AK564,$AK564)</f>
        <v>64</v>
      </c>
      <c r="AM564" s="191">
        <f>IF(AK564=0, "NA",IF(((sim_annual_output!F564/E564)/AK564)&lt;0,100,((sim_annual_output!F564/E564)/AK564)))</f>
        <v>29.133679977683986</v>
      </c>
      <c r="AN564">
        <f>(S564+V564)*constants!$F$2+(T564+U564+W564+X564+Y564+Z564+AA564+AB564)*constants!$G$2</f>
        <v>95533.29137261695</v>
      </c>
      <c r="AO564">
        <f>(AD564*constants!$F$2+AE564*constants!$G$2)</f>
        <v>27085.583448427522</v>
      </c>
      <c r="AP564">
        <f t="shared" si="70"/>
        <v>28.351983962096757</v>
      </c>
    </row>
    <row r="565" spans="1:42">
      <c r="A565">
        <f>sim_annual_output!B565</f>
        <v>26</v>
      </c>
      <c r="B565" t="str">
        <f>sim_annual_output!C565</f>
        <v>Training Building</v>
      </c>
      <c r="C565" t="str">
        <f>sim_annual_output!D565</f>
        <v>2005-2014</v>
      </c>
      <c r="D565" t="str">
        <f>sim_annual_output!E565</f>
        <v>plug_loads_90_percent</v>
      </c>
      <c r="E565" s="45">
        <f t="array" ref="E565">IFERROR(INDEX(baseline!$J$3:$J$201,MATCH($B565&amp;$C565,baseline!$C$3:$C$201&amp;baseline!$D$3:$D$201,0)),"NA")</f>
        <v>3699.892902</v>
      </c>
      <c r="F565">
        <f>sim_annual_output!G565</f>
        <v>3699.8929020249998</v>
      </c>
      <c r="G565">
        <f>$E565/$F565^2*sim_annual_output!I565</f>
        <v>0</v>
      </c>
      <c r="H565">
        <f>$E565/$F565^2*sim_annual_output!J565</f>
        <v>210.01675753626969</v>
      </c>
      <c r="I565">
        <f>$E565/$F565^2*sim_annual_output!K565</f>
        <v>3.6510095015224442</v>
      </c>
      <c r="J565">
        <f>$E565/$F565^2*sim_annual_output!L565</f>
        <v>7.7111903331558764</v>
      </c>
      <c r="K565">
        <f>$E565/$F565^2*sim_annual_output!M565</f>
        <v>0</v>
      </c>
      <c r="L565">
        <f>$E565/$F565^2*sim_annual_output!N565</f>
        <v>37.958336291892508</v>
      </c>
      <c r="M565">
        <f>$E565/$F565^2*sim_annual_output!O565</f>
        <v>9.2652906144948552</v>
      </c>
      <c r="N565">
        <f>$E565/$F565^2*sim_annual_output!P565</f>
        <v>0</v>
      </c>
      <c r="O565">
        <f>$E565/$F565^2*sim_annual_output!Q565</f>
        <v>13.211353937546876</v>
      </c>
      <c r="P565">
        <f>$E565/$F565^2*sim_annual_output!R565</f>
        <v>0.47073472289832874</v>
      </c>
      <c r="Q565">
        <f>$E565/$F565^2*sim_annual_output!S565</f>
        <v>0</v>
      </c>
      <c r="R565">
        <f t="array" ref="R565">INDEX(G$3:G$700,MATCH($B565&amp;$C565&amp;"baseline",$B$3:$B$700&amp;$C$3:$C$700&amp;$D$3:$D$700,0))</f>
        <v>0</v>
      </c>
      <c r="S565">
        <f t="array" ref="S565">INDEX(H$3:H$700,MATCH($B565&amp;$C565&amp;"baseline",$B$3:$B$700&amp;$C$3:$C$700&amp;$D$3:$D$700,0))</f>
        <v>208.52046678230417</v>
      </c>
      <c r="T565">
        <f t="array" ref="T565">INDEX(I$3:I$700,MATCH($B565&amp;$C565&amp;"baseline",$B$3:$B$700&amp;$C$3:$C$700&amp;$D$3:$D$700,0))</f>
        <v>1.7665690637635845</v>
      </c>
      <c r="U565">
        <f t="array" ref="U565">INDEX(J$3:J$700,MATCH($B565&amp;$C565&amp;"baseline",$B$3:$B$700&amp;$C$3:$C$700&amp;$D$3:$D$700,0))</f>
        <v>7.7111903331558764</v>
      </c>
      <c r="V565">
        <f t="array" ref="V565">INDEX(K$3:K$700,MATCH($B565&amp;$C565&amp;"baseline",$B$3:$B$700&amp;$C$3:$C$700&amp;$D$3:$D$700,0))</f>
        <v>0</v>
      </c>
      <c r="W565">
        <f t="array" ref="W565">INDEX(L$3:L$700,MATCH($B565&amp;$C565&amp;"baseline",$B$3:$B$700&amp;$C$3:$C$700&amp;$D$3:$D$700,0))</f>
        <v>37.958336291892508</v>
      </c>
      <c r="X565">
        <f t="array" ref="X565">INDEX(M$3:M$700,MATCH($B565&amp;$C565&amp;"baseline",$B$3:$B$700&amp;$C$3:$C$700&amp;$D$3:$D$700,0))</f>
        <v>9.2652906144948552</v>
      </c>
      <c r="Y565">
        <f t="array" ref="Y565">INDEX(N$3:N$700,MATCH($B565&amp;$C565&amp;"baseline",$B$3:$B$700&amp;$C$3:$C$700&amp;$D$3:$D$700,0))</f>
        <v>0</v>
      </c>
      <c r="Z565">
        <f t="array" ref="Z565">INDEX(O$3:O$700,MATCH($B565&amp;$C565&amp;"baseline",$B$3:$B$700&amp;$C$3:$C$700&amp;$D$3:$D$700,0))</f>
        <v>9.4920240854921385</v>
      </c>
      <c r="AA565">
        <f t="array" ref="AA565">INDEX(P$3:P$700,MATCH($B565&amp;$C565&amp;"baseline",$B$3:$B$700&amp;$C$3:$C$700&amp;$D$3:$D$700,0))</f>
        <v>0.71248365555105897</v>
      </c>
      <c r="AB565">
        <f t="array" ref="AB565">INDEX(Q$3:Q$700,MATCH($B565&amp;$C565&amp;"baseline",$B$3:$B$700&amp;$C$3:$C$700&amp;$D$3:$D$700,0))</f>
        <v>0</v>
      </c>
      <c r="AC565">
        <f t="shared" si="67"/>
        <v>275.42636082665422</v>
      </c>
      <c r="AD565">
        <f t="shared" si="64"/>
        <v>-1.4962907539655248</v>
      </c>
      <c r="AE565">
        <f t="shared" si="65"/>
        <v>-5.3620213571608843</v>
      </c>
      <c r="AF565">
        <f t="shared" si="68"/>
        <v>-2.4900710631117993</v>
      </c>
      <c r="AG565">
        <f>(S565+V565+Y565)*constants!$O$2+(R565+T565+U565+W565+X565+Z565+AA565+AB565)*constants!$N$2</f>
        <v>10.938397588884879</v>
      </c>
      <c r="AH565">
        <f>((S565+V565+Y565)-(H565+K565+N565))*constants!$O$2</f>
        <v>-2.4239910214241499E-2</v>
      </c>
      <c r="AI565">
        <f>((R565+T565+U565+W565+X565+Z565+AA565+AB565)-(G565+I565+J565+L565+M565+O565+P565+Q565))*constants!$N$2</f>
        <v>-0.60590841335918</v>
      </c>
      <c r="AJ565">
        <f t="shared" si="69"/>
        <v>-5.7608833327995939</v>
      </c>
      <c r="AK565">
        <f t="shared" si="66"/>
        <v>-0.63014832357342154</v>
      </c>
      <c r="AL565">
        <f>COUNTIFS($B:$B,$B565,$AK:$AK,"&lt;"&amp;$AK565)+COUNTIFS($B$2:$B565,$B565,$AK$2:$AK565,$AK565)</f>
        <v>10</v>
      </c>
      <c r="AM565" s="191">
        <f>IF(AK565=0, "NA",IF(((sim_annual_output!F565/E565)/AK565)&lt;0,100,((sim_annual_output!F565/E565)/AK565)))</f>
        <v>100</v>
      </c>
      <c r="AN565">
        <f>(S565+V565)*constants!$F$2+(T565+U565+W565+X565+Y565+Z565+AA565+AB565)*constants!$G$2</f>
        <v>95533.29137261695</v>
      </c>
      <c r="AO565">
        <f>(AD565*constants!$F$2+AE565*constants!$G$2)</f>
        <v>-4932.7946256897976</v>
      </c>
      <c r="AP565">
        <f t="shared" si="70"/>
        <v>-5.1634299989204626</v>
      </c>
    </row>
    <row r="566" spans="1:42">
      <c r="A566">
        <f>sim_annual_output!B566</f>
        <v>26</v>
      </c>
      <c r="B566" t="str">
        <f>sim_annual_output!C566</f>
        <v>Training Building</v>
      </c>
      <c r="C566" t="str">
        <f>sim_annual_output!D566</f>
        <v>2005-2014</v>
      </c>
      <c r="D566" t="str">
        <f>sim_annual_output!E566</f>
        <v>pumps_to_variable</v>
      </c>
      <c r="E566" s="45">
        <f t="array" ref="E566">IFERROR(INDEX(baseline!$J$3:$J$201,MATCH($B566&amp;$C566,baseline!$C$3:$C$201&amp;baseline!$D$3:$D$201,0)),"NA")</f>
        <v>3699.892902</v>
      </c>
      <c r="F566">
        <f>sim_annual_output!G566</f>
        <v>3699.8929020249998</v>
      </c>
      <c r="G566">
        <f>$E566/$F566^2*sim_annual_output!I566</f>
        <v>0</v>
      </c>
      <c r="H566">
        <f>$E566/$F566^2*sim_annual_output!J566</f>
        <v>210.30805749238542</v>
      </c>
      <c r="I566">
        <f>$E566/$F566^2*sim_annual_output!K566</f>
        <v>3.8191826720634743</v>
      </c>
      <c r="J566">
        <f>$E566/$F566^2*sim_annual_output!L566</f>
        <v>7.7111903331558764</v>
      </c>
      <c r="K566">
        <f>$E566/$F566^2*sim_annual_output!M566</f>
        <v>0</v>
      </c>
      <c r="L566">
        <f>$E566/$F566^2*sim_annual_output!N566</f>
        <v>37.958336291892508</v>
      </c>
      <c r="M566">
        <f>$E566/$F566^2*sim_annual_output!O566</f>
        <v>9.2652906144948552</v>
      </c>
      <c r="N566">
        <f>$E566/$F566^2*sim_annual_output!P566</f>
        <v>0</v>
      </c>
      <c r="O566">
        <f>$E566/$F566^2*sim_annual_output!Q566</f>
        <v>13.514666262986946</v>
      </c>
      <c r="P566">
        <f>$E566/$F566^2*sim_annual_output!R566</f>
        <v>0.45797158049119702</v>
      </c>
      <c r="Q566">
        <f>$E566/$F566^2*sim_annual_output!S566</f>
        <v>0</v>
      </c>
      <c r="R566">
        <f t="array" ref="R566">INDEX(G$3:G$700,MATCH($B566&amp;$C566&amp;"baseline",$B$3:$B$700&amp;$C$3:$C$700&amp;$D$3:$D$700,0))</f>
        <v>0</v>
      </c>
      <c r="S566">
        <f t="array" ref="S566">INDEX(H$3:H$700,MATCH($B566&amp;$C566&amp;"baseline",$B$3:$B$700&amp;$C$3:$C$700&amp;$D$3:$D$700,0))</f>
        <v>208.52046678230417</v>
      </c>
      <c r="T566">
        <f t="array" ref="T566">INDEX(I$3:I$700,MATCH($B566&amp;$C566&amp;"baseline",$B$3:$B$700&amp;$C$3:$C$700&amp;$D$3:$D$700,0))</f>
        <v>1.7665690637635845</v>
      </c>
      <c r="U566">
        <f t="array" ref="U566">INDEX(J$3:J$700,MATCH($B566&amp;$C566&amp;"baseline",$B$3:$B$700&amp;$C$3:$C$700&amp;$D$3:$D$700,0))</f>
        <v>7.7111903331558764</v>
      </c>
      <c r="V566">
        <f t="array" ref="V566">INDEX(K$3:K$700,MATCH($B566&amp;$C566&amp;"baseline",$B$3:$B$700&amp;$C$3:$C$700&amp;$D$3:$D$700,0))</f>
        <v>0</v>
      </c>
      <c r="W566">
        <f t="array" ref="W566">INDEX(L$3:L$700,MATCH($B566&amp;$C566&amp;"baseline",$B$3:$B$700&amp;$C$3:$C$700&amp;$D$3:$D$700,0))</f>
        <v>37.958336291892508</v>
      </c>
      <c r="X566">
        <f t="array" ref="X566">INDEX(M$3:M$700,MATCH($B566&amp;$C566&amp;"baseline",$B$3:$B$700&amp;$C$3:$C$700&amp;$D$3:$D$700,0))</f>
        <v>9.2652906144948552</v>
      </c>
      <c r="Y566">
        <f t="array" ref="Y566">INDEX(N$3:N$700,MATCH($B566&amp;$C566&amp;"baseline",$B$3:$B$700&amp;$C$3:$C$700&amp;$D$3:$D$700,0))</f>
        <v>0</v>
      </c>
      <c r="Z566">
        <f t="array" ref="Z566">INDEX(O$3:O$700,MATCH($B566&amp;$C566&amp;"baseline",$B$3:$B$700&amp;$C$3:$C$700&amp;$D$3:$D$700,0))</f>
        <v>9.4920240854921385</v>
      </c>
      <c r="AA566">
        <f t="array" ref="AA566">INDEX(P$3:P$700,MATCH($B566&amp;$C566&amp;"baseline",$B$3:$B$700&amp;$C$3:$C$700&amp;$D$3:$D$700,0))</f>
        <v>0.71248365555105897</v>
      </c>
      <c r="AB566">
        <f t="array" ref="AB566">INDEX(Q$3:Q$700,MATCH($B566&amp;$C566&amp;"baseline",$B$3:$B$700&amp;$C$3:$C$700&amp;$D$3:$D$700,0))</f>
        <v>0</v>
      </c>
      <c r="AC566">
        <f t="shared" si="67"/>
        <v>275.42636082665422</v>
      </c>
      <c r="AD566">
        <f t="shared" si="64"/>
        <v>-1.7875907100812469</v>
      </c>
      <c r="AE566">
        <f t="shared" si="65"/>
        <v>-5.8207437107348454</v>
      </c>
      <c r="AF566">
        <f t="shared" si="68"/>
        <v>-2.7623842532649112</v>
      </c>
      <c r="AG566">
        <f>(S566+V566+Y566)*constants!$O$2+(R566+T566+U566+W566+X566+Z566+AA566+AB566)*constants!$N$2</f>
        <v>10.938397588884879</v>
      </c>
      <c r="AH566">
        <f>((S566+V566+Y566)-(H566+K566+N566))*constants!$O$2</f>
        <v>-2.8958969503316199E-2</v>
      </c>
      <c r="AI566">
        <f>((R566+T566+U566+W566+X566+Z566+AA566+AB566)-(G566+I566+J566+L566+M566+O566+P566+Q566))*constants!$N$2</f>
        <v>-0.6577440393130376</v>
      </c>
      <c r="AJ566">
        <f t="shared" si="69"/>
        <v>-6.2779123106125834</v>
      </c>
      <c r="AK566">
        <f t="shared" si="66"/>
        <v>-0.68670300881635382</v>
      </c>
      <c r="AL566">
        <f>COUNTIFS($B:$B,$B566,$AK:$AK,"&lt;"&amp;$AK566)+COUNTIFS($B$2:$B566,$B566,$AK$2:$AK566,$AK566)</f>
        <v>6</v>
      </c>
      <c r="AM566" s="191">
        <f>IF(AK566=0, "NA",IF(((sim_annual_output!F566/E566)/AK566)&lt;0,100,((sim_annual_output!F566/E566)/AK566)))</f>
        <v>100</v>
      </c>
      <c r="AN566">
        <f>(S566+V566)*constants!$F$2+(T566+U566+W566+X566+Y566+Z566+AA566+AB566)*constants!$G$2</f>
        <v>95533.29137261695</v>
      </c>
      <c r="AO566">
        <f>(AD566*constants!$F$2+AE566*constants!$G$2)</f>
        <v>-5384.0257654438583</v>
      </c>
      <c r="AP566">
        <f t="shared" si="70"/>
        <v>-5.6357586848380068</v>
      </c>
    </row>
    <row r="567" spans="1:42">
      <c r="A567">
        <f>sim_annual_output!B567</f>
        <v>26</v>
      </c>
      <c r="B567" t="str">
        <f>sim_annual_output!C567</f>
        <v>Training Building</v>
      </c>
      <c r="C567" t="str">
        <f>sim_annual_output!D567</f>
        <v>2005-2014</v>
      </c>
      <c r="D567" t="str">
        <f>sim_annual_output!E567</f>
        <v>pump_fan_eff_</v>
      </c>
      <c r="E567" s="45">
        <f t="array" ref="E567">IFERROR(INDEX(baseline!$J$3:$J$201,MATCH($B567&amp;$C567,baseline!$C$3:$C$201&amp;baseline!$D$3:$D$201,0)),"NA")</f>
        <v>3699.892902</v>
      </c>
      <c r="F567">
        <f>sim_annual_output!G567</f>
        <v>3699.8929020249998</v>
      </c>
      <c r="G567">
        <f>$E567/$F567^2*sim_annual_output!I567</f>
        <v>0</v>
      </c>
      <c r="H567">
        <f>$E567/$F567^2*sim_annual_output!J567</f>
        <v>210.30805749238542</v>
      </c>
      <c r="I567">
        <f>$E567/$F567^2*sim_annual_output!K567</f>
        <v>3.8191826720634743</v>
      </c>
      <c r="J567">
        <f>$E567/$F567^2*sim_annual_output!L567</f>
        <v>7.7111903331558764</v>
      </c>
      <c r="K567">
        <f>$E567/$F567^2*sim_annual_output!M567</f>
        <v>0</v>
      </c>
      <c r="L567">
        <f>$E567/$F567^2*sim_annual_output!N567</f>
        <v>37.958336291892508</v>
      </c>
      <c r="M567">
        <f>$E567/$F567^2*sim_annual_output!O567</f>
        <v>9.2652906144948552</v>
      </c>
      <c r="N567">
        <f>$E567/$F567^2*sim_annual_output!P567</f>
        <v>0</v>
      </c>
      <c r="O567">
        <f>$E567/$F567^2*sim_annual_output!Q567</f>
        <v>13.514666262986946</v>
      </c>
      <c r="P567">
        <f>$E567/$F567^2*sim_annual_output!R567</f>
        <v>0.35811876048246061</v>
      </c>
      <c r="Q567">
        <f>$E567/$F567^2*sim_annual_output!S567</f>
        <v>0</v>
      </c>
      <c r="R567">
        <f t="array" ref="R567">INDEX(G$3:G$700,MATCH($B567&amp;$C567&amp;"baseline",$B$3:$B$700&amp;$C$3:$C$700&amp;$D$3:$D$700,0))</f>
        <v>0</v>
      </c>
      <c r="S567">
        <f t="array" ref="S567">INDEX(H$3:H$700,MATCH($B567&amp;$C567&amp;"baseline",$B$3:$B$700&amp;$C$3:$C$700&amp;$D$3:$D$700,0))</f>
        <v>208.52046678230417</v>
      </c>
      <c r="T567">
        <f t="array" ref="T567">INDEX(I$3:I$700,MATCH($B567&amp;$C567&amp;"baseline",$B$3:$B$700&amp;$C$3:$C$700&amp;$D$3:$D$700,0))</f>
        <v>1.7665690637635845</v>
      </c>
      <c r="U567">
        <f t="array" ref="U567">INDEX(J$3:J$700,MATCH($B567&amp;$C567&amp;"baseline",$B$3:$B$700&amp;$C$3:$C$700&amp;$D$3:$D$700,0))</f>
        <v>7.7111903331558764</v>
      </c>
      <c r="V567">
        <f t="array" ref="V567">INDEX(K$3:K$700,MATCH($B567&amp;$C567&amp;"baseline",$B$3:$B$700&amp;$C$3:$C$700&amp;$D$3:$D$700,0))</f>
        <v>0</v>
      </c>
      <c r="W567">
        <f t="array" ref="W567">INDEX(L$3:L$700,MATCH($B567&amp;$C567&amp;"baseline",$B$3:$B$700&amp;$C$3:$C$700&amp;$D$3:$D$700,0))</f>
        <v>37.958336291892508</v>
      </c>
      <c r="X567">
        <f t="array" ref="X567">INDEX(M$3:M$700,MATCH($B567&amp;$C567&amp;"baseline",$B$3:$B$700&amp;$C$3:$C$700&amp;$D$3:$D$700,0))</f>
        <v>9.2652906144948552</v>
      </c>
      <c r="Y567">
        <f t="array" ref="Y567">INDEX(N$3:N$700,MATCH($B567&amp;$C567&amp;"baseline",$B$3:$B$700&amp;$C$3:$C$700&amp;$D$3:$D$700,0))</f>
        <v>0</v>
      </c>
      <c r="Z567">
        <f t="array" ref="Z567">INDEX(O$3:O$700,MATCH($B567&amp;$C567&amp;"baseline",$B$3:$B$700&amp;$C$3:$C$700&amp;$D$3:$D$700,0))</f>
        <v>9.4920240854921385</v>
      </c>
      <c r="AA567">
        <f t="array" ref="AA567">INDEX(P$3:P$700,MATCH($B567&amp;$C567&amp;"baseline",$B$3:$B$700&amp;$C$3:$C$700&amp;$D$3:$D$700,0))</f>
        <v>0.71248365555105897</v>
      </c>
      <c r="AB567">
        <f t="array" ref="AB567">INDEX(Q$3:Q$700,MATCH($B567&amp;$C567&amp;"baseline",$B$3:$B$700&amp;$C$3:$C$700&amp;$D$3:$D$700,0))</f>
        <v>0</v>
      </c>
      <c r="AC567">
        <f t="shared" si="67"/>
        <v>275.42636082665422</v>
      </c>
      <c r="AD567">
        <f t="shared" ref="AD567:AD579" si="71">(S567+V567+Y567)-(H567+K567+N567)</f>
        <v>-1.7875907100812469</v>
      </c>
      <c r="AE567">
        <f t="shared" ref="AE567:AE579" si="72">(R567+T567+U567+W567+X567+Z567+AA567+AB567)-(G567+I567+J567+L567+M567+O567+P567+Q567)</f>
        <v>-5.7208908907261105</v>
      </c>
      <c r="AF567">
        <f t="shared" si="68"/>
        <v>-2.7261303450663492</v>
      </c>
      <c r="AG567">
        <f>(S567+V567+Y567)*constants!$O$2+(R567+T567+U567+W567+X567+Z567+AA567+AB567)*constants!$N$2</f>
        <v>10.938397588884879</v>
      </c>
      <c r="AH567">
        <f>((S567+V567+Y567)-(H567+K567+N567))*constants!$O$2</f>
        <v>-2.8958969503316199E-2</v>
      </c>
      <c r="AI567">
        <f>((R567+T567+U567+W567+X567+Z567+AA567+AB567)-(G567+I567+J567+L567+M567+O567+P567+Q567))*constants!$N$2</f>
        <v>-0.64646067065205048</v>
      </c>
      <c r="AJ567">
        <f t="shared" si="69"/>
        <v>-6.174758548196297</v>
      </c>
      <c r="AK567">
        <f t="shared" ref="AK567:AK579" si="73">AH567+AI567</f>
        <v>-0.67541964015536671</v>
      </c>
      <c r="AL567">
        <f>COUNTIFS($B:$B,$B567,$AK:$AK,"&lt;"&amp;$AK567)+COUNTIFS($B$2:$B567,$B567,$AK$2:$AK567,$AK567)</f>
        <v>8</v>
      </c>
      <c r="AM567" s="191">
        <f>IF(AK567=0, "NA",IF(((sim_annual_output!F567/E567)/AK567)&lt;0,100,((sim_annual_output!F567/E567)/AK567)))</f>
        <v>100</v>
      </c>
      <c r="AN567">
        <f>(S567+V567)*constants!$F$2+(T567+U567+W567+X567+Y567+Z567+AA567+AB567)*constants!$G$2</f>
        <v>95533.29137261695</v>
      </c>
      <c r="AO567">
        <f>(AD567*constants!$F$2+AE567*constants!$G$2)</f>
        <v>-5297.1538120362593</v>
      </c>
      <c r="AP567">
        <f t="shared" si="70"/>
        <v>-5.5448249881554919</v>
      </c>
    </row>
    <row r="568" spans="1:42">
      <c r="A568">
        <f>sim_annual_output!B568</f>
        <v>27</v>
      </c>
      <c r="B568" t="str">
        <f>sim_annual_output!C568</f>
        <v>Vehicle Garage</v>
      </c>
      <c r="C568" t="str">
        <f>sim_annual_output!D568</f>
        <v>1959-pre</v>
      </c>
      <c r="D568" t="str">
        <f>sim_annual_output!E568</f>
        <v>air_temp_reset_enabled</v>
      </c>
      <c r="E568" s="45">
        <f t="array" ref="E568">IFERROR(INDEX(baseline!$J$3:$J$201,MATCH($B568&amp;$C568,baseline!$C$3:$C$201&amp;baseline!$D$3:$D$201,0)),"NA")</f>
        <v>2270</v>
      </c>
      <c r="F568">
        <f>sim_annual_output!G568</f>
        <v>3744.59714816727</v>
      </c>
      <c r="G568">
        <f>$E568/$F568^2*sim_annual_output!I568</f>
        <v>0</v>
      </c>
      <c r="H568">
        <f>$E568/$F568^2*sim_annual_output!J568</f>
        <v>117.99018508214286</v>
      </c>
      <c r="I568">
        <f>$E568/$F568^2*sim_annual_output!K568</f>
        <v>0</v>
      </c>
      <c r="J568">
        <f>$E568/$F568^2*sim_annual_output!L568</f>
        <v>0.74873431445786043</v>
      </c>
      <c r="K568">
        <f>$E568/$F568^2*sim_annual_output!M568</f>
        <v>0</v>
      </c>
      <c r="L568">
        <f>$E568/$F568^2*sim_annual_output!N568</f>
        <v>10.344675177050222</v>
      </c>
      <c r="M568">
        <f>$E568/$F568^2*sim_annual_output!O568</f>
        <v>2.2309134738891565</v>
      </c>
      <c r="N568">
        <f>$E568/$F568^2*sim_annual_output!P568</f>
        <v>0</v>
      </c>
      <c r="O568">
        <f>$E568/$F568^2*sim_annual_output!Q568</f>
        <v>8.3637894982593064</v>
      </c>
      <c r="P568">
        <f>$E568/$F568^2*sim_annual_output!R568</f>
        <v>7.6051619976644655</v>
      </c>
      <c r="Q568">
        <f>$E568/$F568^2*sim_annual_output!S568</f>
        <v>0</v>
      </c>
      <c r="R568">
        <f t="array" ref="R568">INDEX(G$3:G$700,MATCH($B568&amp;$C568&amp;"baseline",$B$3:$B$700&amp;$C$3:$C$700&amp;$D$3:$D$700,0))</f>
        <v>0</v>
      </c>
      <c r="S568">
        <f t="array" ref="S568">INDEX(H$3:H$700,MATCH($B568&amp;$C568&amp;"baseline",$B$3:$B$700&amp;$C$3:$C$700&amp;$D$3:$D$700,0))</f>
        <v>121.24594271583724</v>
      </c>
      <c r="T568">
        <f t="array" ref="T568">INDEX(I$3:I$700,MATCH($B568&amp;$C568&amp;"baseline",$B$3:$B$700&amp;$C$3:$C$700&amp;$D$3:$D$700,0))</f>
        <v>0</v>
      </c>
      <c r="U568">
        <f t="array" ref="U568">INDEX(J$3:J$700,MATCH($B568&amp;$C568&amp;"baseline",$B$3:$B$700&amp;$C$3:$C$700&amp;$D$3:$D$700,0))</f>
        <v>0.74873431452475192</v>
      </c>
      <c r="V568">
        <f t="array" ref="V568">INDEX(K$3:K$700,MATCH($B568&amp;$C568&amp;"baseline",$B$3:$B$700&amp;$C$3:$C$700&amp;$D$3:$D$700,0))</f>
        <v>0</v>
      </c>
      <c r="W568">
        <f t="array" ref="W568">INDEX(L$3:L$700,MATCH($B568&amp;$C568&amp;"baseline",$B$3:$B$700&amp;$C$3:$C$700&amp;$D$3:$D$700,0))</f>
        <v>10.344675177974409</v>
      </c>
      <c r="X568">
        <f t="array" ref="X568">INDEX(M$3:M$700,MATCH($B568&amp;$C568&amp;"baseline",$B$3:$B$700&amp;$C$3:$C$700&amp;$D$3:$D$700,0))</f>
        <v>2.2309134740884651</v>
      </c>
      <c r="Y568">
        <f t="array" ref="Y568">INDEX(N$3:N$700,MATCH($B568&amp;$C568&amp;"baseline",$B$3:$B$700&amp;$C$3:$C$700&amp;$D$3:$D$700,0))</f>
        <v>0</v>
      </c>
      <c r="Z568">
        <f t="array" ref="Z568">INDEX(O$3:O$700,MATCH($B568&amp;$C568&amp;"baseline",$B$3:$B$700&amp;$C$3:$C$700&amp;$D$3:$D$700,0))</f>
        <v>7.1509748165601223</v>
      </c>
      <c r="AA568">
        <f t="array" ref="AA568">INDEX(P$3:P$700,MATCH($B568&amp;$C568&amp;"baseline",$B$3:$B$700&amp;$C$3:$C$700&amp;$D$3:$D$700,0))</f>
        <v>7.5673880149084232</v>
      </c>
      <c r="AB568">
        <f t="array" ref="AB568">INDEX(Q$3:Q$700,MATCH($B568&amp;$C568&amp;"baseline",$B$3:$B$700&amp;$C$3:$C$700&amp;$D$3:$D$700,0))</f>
        <v>0</v>
      </c>
      <c r="AC568">
        <f t="shared" si="67"/>
        <v>149.2886285138934</v>
      </c>
      <c r="AD568">
        <f t="shared" si="71"/>
        <v>3.2557576336943868</v>
      </c>
      <c r="AE568">
        <f t="shared" si="72"/>
        <v>-1.2505886632648391</v>
      </c>
      <c r="AF568">
        <f t="shared" si="68"/>
        <v>1.3431491670800222</v>
      </c>
      <c r="AG568">
        <f>(S568+V568+Y568)*constants!$O$2+(R568+T568+U568+W568+X568+Z568+AA568+AB568)*constants!$N$2</f>
        <v>5.1330077671769105</v>
      </c>
      <c r="AH568">
        <f>((S568+V568+Y568)-(H568+K568+N568))*constants!$O$2</f>
        <v>5.2743273665849064E-2</v>
      </c>
      <c r="AI568">
        <f>((R568+T568+U568+W568+X568+Z568+AA568+AB568)-(G568+I568+J568+L568+M568+O568+P568+Q568))*constants!$N$2</f>
        <v>-0.14131651894892683</v>
      </c>
      <c r="AJ568">
        <f t="shared" si="69"/>
        <v>-1.7255622687629777</v>
      </c>
      <c r="AK568">
        <f t="shared" si="73"/>
        <v>-8.8573245283077764E-2</v>
      </c>
      <c r="AL568">
        <f>COUNTIFS($B:$B,$B568,$AK:$AK,"&lt;"&amp;$AK568)+COUNTIFS($B$2:$B568,$B568,$AK$2:$AK568,$AK568)</f>
        <v>2</v>
      </c>
      <c r="AM568" s="191">
        <f>IF(AK568=0, "NA",IF(((sim_annual_output!F568/E568)/AK568)&lt;0,100,((sim_annual_output!F568/E568)/AK568)))</f>
        <v>100</v>
      </c>
      <c r="AN568">
        <f>(S568+V568)*constants!$F$2+(T568+U568+W568+X568+Y568+Z568+AA568+AB568)*constants!$G$2</f>
        <v>46100.160390443736</v>
      </c>
      <c r="AO568">
        <f>(AD568*constants!$F$2+AE568*constants!$G$2)</f>
        <v>-505.23152060911468</v>
      </c>
      <c r="AP568">
        <f t="shared" si="70"/>
        <v>-1.0959430863799031</v>
      </c>
    </row>
    <row r="569" spans="1:42">
      <c r="A569">
        <f>sim_annual_output!B569</f>
        <v>27</v>
      </c>
      <c r="B569" t="str">
        <f>sim_annual_output!C569</f>
        <v>Vehicle Garage</v>
      </c>
      <c r="C569" t="str">
        <f>sim_annual_output!D569</f>
        <v>1959-pre</v>
      </c>
      <c r="D569" t="str">
        <f>sim_annual_output!E569</f>
        <v>baseline</v>
      </c>
      <c r="E569" s="45">
        <f t="array" ref="E569">IFERROR(INDEX(baseline!$J$3:$J$201,MATCH($B569&amp;$C569,baseline!$C$3:$C$201&amp;baseline!$D$3:$D$201,0)),"NA")</f>
        <v>2270</v>
      </c>
      <c r="F569">
        <f>sim_annual_output!G569</f>
        <v>3744.5971479999998</v>
      </c>
      <c r="G569">
        <f>$E569/$F569^2*sim_annual_output!I569</f>
        <v>0</v>
      </c>
      <c r="H569">
        <f>$E569/$F569^2*sim_annual_output!J569</f>
        <v>121.24594271583724</v>
      </c>
      <c r="I569">
        <f>$E569/$F569^2*sim_annual_output!K569</f>
        <v>0</v>
      </c>
      <c r="J569">
        <f>$E569/$F569^2*sim_annual_output!L569</f>
        <v>0.74873431452475192</v>
      </c>
      <c r="K569">
        <f>$E569/$F569^2*sim_annual_output!M569</f>
        <v>0</v>
      </c>
      <c r="L569">
        <f>$E569/$F569^2*sim_annual_output!N569</f>
        <v>10.344675177974409</v>
      </c>
      <c r="M569">
        <f>$E569/$F569^2*sim_annual_output!O569</f>
        <v>2.2309134740884651</v>
      </c>
      <c r="N569">
        <f>$E569/$F569^2*sim_annual_output!P569</f>
        <v>0</v>
      </c>
      <c r="O569">
        <f>$E569/$F569^2*sim_annual_output!Q569</f>
        <v>7.1509748165601223</v>
      </c>
      <c r="P569">
        <f>$E569/$F569^2*sim_annual_output!R569</f>
        <v>7.5673880149084232</v>
      </c>
      <c r="Q569">
        <f>$E569/$F569^2*sim_annual_output!S569</f>
        <v>0</v>
      </c>
      <c r="R569">
        <f t="array" ref="R569">INDEX(G$3:G$700,MATCH($B569&amp;$C569&amp;"baseline",$B$3:$B$700&amp;$C$3:$C$700&amp;$D$3:$D$700,0))</f>
        <v>0</v>
      </c>
      <c r="S569">
        <f t="array" ref="S569">INDEX(H$3:H$700,MATCH($B569&amp;$C569&amp;"baseline",$B$3:$B$700&amp;$C$3:$C$700&amp;$D$3:$D$700,0))</f>
        <v>121.24594271583724</v>
      </c>
      <c r="T569">
        <f t="array" ref="T569">INDEX(I$3:I$700,MATCH($B569&amp;$C569&amp;"baseline",$B$3:$B$700&amp;$C$3:$C$700&amp;$D$3:$D$700,0))</f>
        <v>0</v>
      </c>
      <c r="U569">
        <f t="array" ref="U569">INDEX(J$3:J$700,MATCH($B569&amp;$C569&amp;"baseline",$B$3:$B$700&amp;$C$3:$C$700&amp;$D$3:$D$700,0))</f>
        <v>0.74873431452475192</v>
      </c>
      <c r="V569">
        <f t="array" ref="V569">INDEX(K$3:K$700,MATCH($B569&amp;$C569&amp;"baseline",$B$3:$B$700&amp;$C$3:$C$700&amp;$D$3:$D$700,0))</f>
        <v>0</v>
      </c>
      <c r="W569">
        <f t="array" ref="W569">INDEX(L$3:L$700,MATCH($B569&amp;$C569&amp;"baseline",$B$3:$B$700&amp;$C$3:$C$700&amp;$D$3:$D$700,0))</f>
        <v>10.344675177974409</v>
      </c>
      <c r="X569">
        <f t="array" ref="X569">INDEX(M$3:M$700,MATCH($B569&amp;$C569&amp;"baseline",$B$3:$B$700&amp;$C$3:$C$700&amp;$D$3:$D$700,0))</f>
        <v>2.2309134740884651</v>
      </c>
      <c r="Y569">
        <f t="array" ref="Y569">INDEX(N$3:N$700,MATCH($B569&amp;$C569&amp;"baseline",$B$3:$B$700&amp;$C$3:$C$700&amp;$D$3:$D$700,0))</f>
        <v>0</v>
      </c>
      <c r="Z569">
        <f t="array" ref="Z569">INDEX(O$3:O$700,MATCH($B569&amp;$C569&amp;"baseline",$B$3:$B$700&amp;$C$3:$C$700&amp;$D$3:$D$700,0))</f>
        <v>7.1509748165601223</v>
      </c>
      <c r="AA569">
        <f t="array" ref="AA569">INDEX(P$3:P$700,MATCH($B569&amp;$C569&amp;"baseline",$B$3:$B$700&amp;$C$3:$C$700&amp;$D$3:$D$700,0))</f>
        <v>7.5673880149084232</v>
      </c>
      <c r="AB569">
        <f t="array" ref="AB569">INDEX(Q$3:Q$700,MATCH($B569&amp;$C569&amp;"baseline",$B$3:$B$700&amp;$C$3:$C$700&amp;$D$3:$D$700,0))</f>
        <v>0</v>
      </c>
      <c r="AC569">
        <f t="shared" si="67"/>
        <v>149.2886285138934</v>
      </c>
      <c r="AD569">
        <f t="shared" si="71"/>
        <v>0</v>
      </c>
      <c r="AE569">
        <f t="shared" si="72"/>
        <v>0</v>
      </c>
      <c r="AF569">
        <f t="shared" si="68"/>
        <v>0</v>
      </c>
      <c r="AG569">
        <f>(S569+V569+Y569)*constants!$O$2+(R569+T569+U569+W569+X569+Z569+AA569+AB569)*constants!$N$2</f>
        <v>5.1330077671769105</v>
      </c>
      <c r="AH569">
        <f>((S569+V569+Y569)-(H569+K569+N569))*constants!$O$2</f>
        <v>0</v>
      </c>
      <c r="AI569">
        <f>((R569+T569+U569+W569+X569+Z569+AA569+AB569)-(G569+I569+J569+L569+M569+O569+P569+Q569))*constants!$N$2</f>
        <v>0</v>
      </c>
      <c r="AJ569">
        <f t="shared" si="69"/>
        <v>0</v>
      </c>
      <c r="AK569">
        <f t="shared" si="73"/>
        <v>0</v>
      </c>
      <c r="AL569">
        <f>COUNTIFS($B:$B,$B569,$AK:$AK,"&lt;"&amp;$AK569)+COUNTIFS($B$2:$B569,$B569,$AK$2:$AK569,$AK569)</f>
        <v>4</v>
      </c>
      <c r="AM569" s="191" t="str">
        <f>IF(AK569=0, "NA",IF(((sim_annual_output!F569/E569)/AK569)&lt;0,100,((sim_annual_output!F569/E569)/AK569)))</f>
        <v>NA</v>
      </c>
      <c r="AN569">
        <f>(S569+V569)*constants!$F$2+(T569+U569+W569+X569+Y569+Z569+AA569+AB569)*constants!$G$2</f>
        <v>46100.160390443736</v>
      </c>
      <c r="AO569">
        <f>(AD569*constants!$F$2+AE569*constants!$G$2)</f>
        <v>0</v>
      </c>
      <c r="AP569">
        <f t="shared" si="70"/>
        <v>0</v>
      </c>
    </row>
    <row r="570" spans="1:42">
      <c r="A570">
        <f>sim_annual_output!B570</f>
        <v>27</v>
      </c>
      <c r="B570" t="str">
        <f>sim_annual_output!C570</f>
        <v>Vehicle Garage</v>
      </c>
      <c r="C570" t="str">
        <f>sim_annual_output!D570</f>
        <v>1959-pre</v>
      </c>
      <c r="D570" t="str">
        <f>sim_annual_output!E570</f>
        <v>boiler_eff_upgrade</v>
      </c>
      <c r="E570" s="45">
        <f t="array" ref="E570">IFERROR(INDEX(baseline!$J$3:$J$201,MATCH($B570&amp;$C570,baseline!$C$3:$C$201&amp;baseline!$D$3:$D$201,0)),"NA")</f>
        <v>2270</v>
      </c>
      <c r="F570">
        <f>sim_annual_output!G570</f>
        <v>3744.59714816727</v>
      </c>
      <c r="G570">
        <f>$E570/$F570^2*sim_annual_output!I570</f>
        <v>0</v>
      </c>
      <c r="H570">
        <f>$E570/$F570^2*sim_annual_output!J570</f>
        <v>117.85842583040943</v>
      </c>
      <c r="I570">
        <f>$E570/$F570^2*sim_annual_output!K570</f>
        <v>0</v>
      </c>
      <c r="J570">
        <f>$E570/$F570^2*sim_annual_output!L570</f>
        <v>0.74873431445786043</v>
      </c>
      <c r="K570">
        <f>$E570/$F570^2*sim_annual_output!M570</f>
        <v>0</v>
      </c>
      <c r="L570">
        <f>$E570/$F570^2*sim_annual_output!N570</f>
        <v>10.344675177050222</v>
      </c>
      <c r="M570">
        <f>$E570/$F570^2*sim_annual_output!O570</f>
        <v>2.2309134738891565</v>
      </c>
      <c r="N570">
        <f>$E570/$F570^2*sim_annual_output!P570</f>
        <v>0</v>
      </c>
      <c r="O570">
        <f>$E570/$F570^2*sim_annual_output!Q570</f>
        <v>7.1442294617369528</v>
      </c>
      <c r="P570">
        <f>$E570/$F570^2*sim_annual_output!R570</f>
        <v>7.6002154045959749</v>
      </c>
      <c r="Q570">
        <f>$E570/$F570^2*sim_annual_output!S570</f>
        <v>0</v>
      </c>
      <c r="R570">
        <f t="array" ref="R570">INDEX(G$3:G$700,MATCH($B570&amp;$C570&amp;"baseline",$B$3:$B$700&amp;$C$3:$C$700&amp;$D$3:$D$700,0))</f>
        <v>0</v>
      </c>
      <c r="S570">
        <f t="array" ref="S570">INDEX(H$3:H$700,MATCH($B570&amp;$C570&amp;"baseline",$B$3:$B$700&amp;$C$3:$C$700&amp;$D$3:$D$700,0))</f>
        <v>121.24594271583724</v>
      </c>
      <c r="T570">
        <f t="array" ref="T570">INDEX(I$3:I$700,MATCH($B570&amp;$C570&amp;"baseline",$B$3:$B$700&amp;$C$3:$C$700&amp;$D$3:$D$700,0))</f>
        <v>0</v>
      </c>
      <c r="U570">
        <f t="array" ref="U570">INDEX(J$3:J$700,MATCH($B570&amp;$C570&amp;"baseline",$B$3:$B$700&amp;$C$3:$C$700&amp;$D$3:$D$700,0))</f>
        <v>0.74873431452475192</v>
      </c>
      <c r="V570">
        <f t="array" ref="V570">INDEX(K$3:K$700,MATCH($B570&amp;$C570&amp;"baseline",$B$3:$B$700&amp;$C$3:$C$700&amp;$D$3:$D$700,0))</f>
        <v>0</v>
      </c>
      <c r="W570">
        <f t="array" ref="W570">INDEX(L$3:L$700,MATCH($B570&amp;$C570&amp;"baseline",$B$3:$B$700&amp;$C$3:$C$700&amp;$D$3:$D$700,0))</f>
        <v>10.344675177974409</v>
      </c>
      <c r="X570">
        <f t="array" ref="X570">INDEX(M$3:M$700,MATCH($B570&amp;$C570&amp;"baseline",$B$3:$B$700&amp;$C$3:$C$700&amp;$D$3:$D$700,0))</f>
        <v>2.2309134740884651</v>
      </c>
      <c r="Y570">
        <f t="array" ref="Y570">INDEX(N$3:N$700,MATCH($B570&amp;$C570&amp;"baseline",$B$3:$B$700&amp;$C$3:$C$700&amp;$D$3:$D$700,0))</f>
        <v>0</v>
      </c>
      <c r="Z570">
        <f t="array" ref="Z570">INDEX(O$3:O$700,MATCH($B570&amp;$C570&amp;"baseline",$B$3:$B$700&amp;$C$3:$C$700&amp;$D$3:$D$700,0))</f>
        <v>7.1509748165601223</v>
      </c>
      <c r="AA570">
        <f t="array" ref="AA570">INDEX(P$3:P$700,MATCH($B570&amp;$C570&amp;"baseline",$B$3:$B$700&amp;$C$3:$C$700&amp;$D$3:$D$700,0))</f>
        <v>7.5673880149084232</v>
      </c>
      <c r="AB570">
        <f t="array" ref="AB570">INDEX(Q$3:Q$700,MATCH($B570&amp;$C570&amp;"baseline",$B$3:$B$700&amp;$C$3:$C$700&amp;$D$3:$D$700,0))</f>
        <v>0</v>
      </c>
      <c r="AC570">
        <f t="shared" si="67"/>
        <v>149.2886285138934</v>
      </c>
      <c r="AD570">
        <f t="shared" si="71"/>
        <v>3.3875168854278144</v>
      </c>
      <c r="AE570">
        <f t="shared" si="72"/>
        <v>-2.6082033673993976E-2</v>
      </c>
      <c r="AF570">
        <f t="shared" si="68"/>
        <v>2.251634893571945</v>
      </c>
      <c r="AG570">
        <f>(S570+V570+Y570)*constants!$O$2+(R570+T570+U570+W570+X570+Z570+AA570+AB570)*constants!$N$2</f>
        <v>5.1330077671769105</v>
      </c>
      <c r="AH570">
        <f>((S570+V570+Y570)-(H570+K570+N570))*constants!$O$2</f>
        <v>5.4877773543930593E-2</v>
      </c>
      <c r="AI570">
        <f>((R570+T570+U570+W570+X570+Z570+AA570+AB570)-(G570+I570+J570+L570+M570+O570+P570+Q570))*constants!$N$2</f>
        <v>-2.9472698051613193E-3</v>
      </c>
      <c r="AJ570">
        <f t="shared" si="69"/>
        <v>1.0116973535641149</v>
      </c>
      <c r="AK570">
        <f t="shared" si="73"/>
        <v>5.1930503738769271E-2</v>
      </c>
      <c r="AL570">
        <f>COUNTIFS($B:$B,$B570,$AK:$AK,"&lt;"&amp;$AK570)+COUNTIFS($B$2:$B570,$B570,$AK$2:$AK570,$AK570)</f>
        <v>16</v>
      </c>
      <c r="AM570" s="191">
        <f>IF(AK570=0, "NA",IF(((sim_annual_output!F570/E570)/AK570)&lt;0,100,((sim_annual_output!F570/E570)/AK570)))</f>
        <v>554.2144267656505</v>
      </c>
      <c r="AN570">
        <f>(S570+V570)*constants!$F$2+(T570+U570+W570+X570+Y570+Z570+AA570+AB570)*constants!$G$2</f>
        <v>46100.160390443736</v>
      </c>
      <c r="AO570">
        <f>(AD570*constants!$F$2+AE570*constants!$G$2)</f>
        <v>583.67415319520398</v>
      </c>
      <c r="AP570">
        <f t="shared" si="70"/>
        <v>1.2661000487889753</v>
      </c>
    </row>
    <row r="571" spans="1:42">
      <c r="A571">
        <f>sim_annual_output!B571</f>
        <v>27</v>
      </c>
      <c r="B571" t="str">
        <f>sim_annual_output!C571</f>
        <v>Vehicle Garage</v>
      </c>
      <c r="C571" t="str">
        <f>sim_annual_output!D571</f>
        <v>1959-pre</v>
      </c>
      <c r="D571" t="str">
        <f>sim_annual_output!E571</f>
        <v>boiler_reset</v>
      </c>
      <c r="E571" s="45">
        <f t="array" ref="E571">IFERROR(INDEX(baseline!$J$3:$J$201,MATCH($B571&amp;$C571,baseline!$C$3:$C$201&amp;baseline!$D$3:$D$201,0)),"NA")</f>
        <v>2270</v>
      </c>
      <c r="F571">
        <f>sim_annual_output!G571</f>
        <v>3744.59714816727</v>
      </c>
      <c r="G571">
        <f>$E571/$F571^2*sim_annual_output!I571</f>
        <v>0</v>
      </c>
      <c r="H571">
        <f>$E571/$F571^2*sim_annual_output!J571</f>
        <v>72.85117426133138</v>
      </c>
      <c r="I571">
        <f>$E571/$F571^2*sim_annual_output!K571</f>
        <v>0</v>
      </c>
      <c r="J571">
        <f>$E571/$F571^2*sim_annual_output!L571</f>
        <v>0.74873431445786043</v>
      </c>
      <c r="K571">
        <f>$E571/$F571^2*sim_annual_output!M571</f>
        <v>0</v>
      </c>
      <c r="L571">
        <f>$E571/$F571^2*sim_annual_output!N571</f>
        <v>10.344675177050222</v>
      </c>
      <c r="M571">
        <f>$E571/$F571^2*sim_annual_output!O571</f>
        <v>2.2309134738891565</v>
      </c>
      <c r="N571">
        <f>$E571/$F571^2*sim_annual_output!P571</f>
        <v>0</v>
      </c>
      <c r="O571">
        <f>$E571/$F571^2*sim_annual_output!Q571</f>
        <v>7.1442294617369528</v>
      </c>
      <c r="P571">
        <f>$E571/$F571^2*sim_annual_output!R571</f>
        <v>7.6002154045959749</v>
      </c>
      <c r="Q571">
        <f>$E571/$F571^2*sim_annual_output!S571</f>
        <v>0</v>
      </c>
      <c r="R571">
        <f t="array" ref="R571">INDEX(G$3:G$700,MATCH($B571&amp;$C571&amp;"baseline",$B$3:$B$700&amp;$C$3:$C$700&amp;$D$3:$D$700,0))</f>
        <v>0</v>
      </c>
      <c r="S571">
        <f t="array" ref="S571">INDEX(H$3:H$700,MATCH($B571&amp;$C571&amp;"baseline",$B$3:$B$700&amp;$C$3:$C$700&amp;$D$3:$D$700,0))</f>
        <v>121.24594271583724</v>
      </c>
      <c r="T571">
        <f t="array" ref="T571">INDEX(I$3:I$700,MATCH($B571&amp;$C571&amp;"baseline",$B$3:$B$700&amp;$C$3:$C$700&amp;$D$3:$D$700,0))</f>
        <v>0</v>
      </c>
      <c r="U571">
        <f t="array" ref="U571">INDEX(J$3:J$700,MATCH($B571&amp;$C571&amp;"baseline",$B$3:$B$700&amp;$C$3:$C$700&amp;$D$3:$D$700,0))</f>
        <v>0.74873431452475192</v>
      </c>
      <c r="V571">
        <f t="array" ref="V571">INDEX(K$3:K$700,MATCH($B571&amp;$C571&amp;"baseline",$B$3:$B$700&amp;$C$3:$C$700&amp;$D$3:$D$700,0))</f>
        <v>0</v>
      </c>
      <c r="W571">
        <f t="array" ref="W571">INDEX(L$3:L$700,MATCH($B571&amp;$C571&amp;"baseline",$B$3:$B$700&amp;$C$3:$C$700&amp;$D$3:$D$700,0))</f>
        <v>10.344675177974409</v>
      </c>
      <c r="X571">
        <f t="array" ref="X571">INDEX(M$3:M$700,MATCH($B571&amp;$C571&amp;"baseline",$B$3:$B$700&amp;$C$3:$C$700&amp;$D$3:$D$700,0))</f>
        <v>2.2309134740884651</v>
      </c>
      <c r="Y571">
        <f t="array" ref="Y571">INDEX(N$3:N$700,MATCH($B571&amp;$C571&amp;"baseline",$B$3:$B$700&amp;$C$3:$C$700&amp;$D$3:$D$700,0))</f>
        <v>0</v>
      </c>
      <c r="Z571">
        <f t="array" ref="Z571">INDEX(O$3:O$700,MATCH($B571&amp;$C571&amp;"baseline",$B$3:$B$700&amp;$C$3:$C$700&amp;$D$3:$D$700,0))</f>
        <v>7.1509748165601223</v>
      </c>
      <c r="AA571">
        <f t="array" ref="AA571">INDEX(P$3:P$700,MATCH($B571&amp;$C571&amp;"baseline",$B$3:$B$700&amp;$C$3:$C$700&amp;$D$3:$D$700,0))</f>
        <v>7.5673880149084232</v>
      </c>
      <c r="AB571">
        <f t="array" ref="AB571">INDEX(Q$3:Q$700,MATCH($B571&amp;$C571&amp;"baseline",$B$3:$B$700&amp;$C$3:$C$700&amp;$D$3:$D$700,0))</f>
        <v>0</v>
      </c>
      <c r="AC571">
        <f t="shared" si="67"/>
        <v>149.2886285138934</v>
      </c>
      <c r="AD571">
        <f t="shared" si="71"/>
        <v>48.394768454505865</v>
      </c>
      <c r="AE571">
        <f t="shared" si="72"/>
        <v>-2.6082033673993976E-2</v>
      </c>
      <c r="AF571">
        <f t="shared" si="68"/>
        <v>32.399444554030779</v>
      </c>
      <c r="AG571">
        <f>(S571+V571+Y571)*constants!$O$2+(R571+T571+U571+W571+X571+Z571+AA571+AB571)*constants!$N$2</f>
        <v>5.1330077671769105</v>
      </c>
      <c r="AH571">
        <f>((S571+V571+Y571)-(H571+K571+N571))*constants!$O$2</f>
        <v>0.78399524896299499</v>
      </c>
      <c r="AI571">
        <f>((R571+T571+U571+W571+X571+Z571+AA571+AB571)-(G571+I571+J571+L571+M571+O571+P571+Q571))*constants!$N$2</f>
        <v>-2.9472698051613193E-3</v>
      </c>
      <c r="AJ571">
        <f t="shared" si="69"/>
        <v>15.216185413789079</v>
      </c>
      <c r="AK571">
        <f t="shared" si="73"/>
        <v>0.78104797915783364</v>
      </c>
      <c r="AL571">
        <f>COUNTIFS($B:$B,$B571,$AK:$AK,"&lt;"&amp;$AK571)+COUNTIFS($B$2:$B571,$B571,$AK$2:$AK571,$AK571)</f>
        <v>37</v>
      </c>
      <c r="AM571" s="191">
        <f>IF(AK571=0, "NA",IF(((sim_annual_output!F571/E571)/AK571)&lt;0,100,((sim_annual_output!F571/E571)/AK571)))</f>
        <v>0.52405022606343632</v>
      </c>
      <c r="AN571">
        <f>(S571+V571)*constants!$F$2+(T571+U571+W571+X571+Y571+Z571+AA571+AB571)*constants!$G$2</f>
        <v>46100.160390443736</v>
      </c>
      <c r="AO571">
        <f>(AD571*constants!$F$2+AE571*constants!$G$2)</f>
        <v>8639.9721840601742</v>
      </c>
      <c r="AP571">
        <f t="shared" si="70"/>
        <v>18.741739965510369</v>
      </c>
    </row>
    <row r="572" spans="1:42">
      <c r="A572">
        <f>sim_annual_output!B572</f>
        <v>27</v>
      </c>
      <c r="B572" t="str">
        <f>sim_annual_output!C572</f>
        <v>Vehicle Garage</v>
      </c>
      <c r="C572" t="str">
        <f>sim_annual_output!D572</f>
        <v>1959-pre</v>
      </c>
      <c r="D572" t="str">
        <f>sim_annual_output!E572</f>
        <v>dcv_enabled</v>
      </c>
      <c r="E572" s="45">
        <f t="array" ref="E572">IFERROR(INDEX(baseline!$J$3:$J$201,MATCH($B572&amp;$C572,baseline!$C$3:$C$201&amp;baseline!$D$3:$D$201,0)),"NA")</f>
        <v>2270</v>
      </c>
      <c r="F572">
        <f>sim_annual_output!G572</f>
        <v>3744.59714816727</v>
      </c>
      <c r="G572">
        <f>$E572/$F572^2*sim_annual_output!I572</f>
        <v>0</v>
      </c>
      <c r="H572">
        <f>$E572/$F572^2*sim_annual_output!J572</f>
        <v>102.14624748376821</v>
      </c>
      <c r="I572">
        <f>$E572/$F572^2*sim_annual_output!K572</f>
        <v>0</v>
      </c>
      <c r="J572">
        <f>$E572/$F572^2*sim_annual_output!L572</f>
        <v>0.74873431445786043</v>
      </c>
      <c r="K572">
        <f>$E572/$F572^2*sim_annual_output!M572</f>
        <v>0</v>
      </c>
      <c r="L572">
        <f>$E572/$F572^2*sim_annual_output!N572</f>
        <v>10.344675177050222</v>
      </c>
      <c r="M572">
        <f>$E572/$F572^2*sim_annual_output!O572</f>
        <v>2.2309134738891565</v>
      </c>
      <c r="N572">
        <f>$E572/$F572^2*sim_annual_output!P572</f>
        <v>0</v>
      </c>
      <c r="O572">
        <f>$E572/$F572^2*sim_annual_output!Q572</f>
        <v>7.1275909214156679</v>
      </c>
      <c r="P572">
        <f>$E572/$F572^2*sim_annual_output!R572</f>
        <v>7.6002154045959749</v>
      </c>
      <c r="Q572">
        <f>$E572/$F572^2*sim_annual_output!S572</f>
        <v>0</v>
      </c>
      <c r="R572">
        <f t="array" ref="R572">INDEX(G$3:G$700,MATCH($B572&amp;$C572&amp;"baseline",$B$3:$B$700&amp;$C$3:$C$700&amp;$D$3:$D$700,0))</f>
        <v>0</v>
      </c>
      <c r="S572">
        <f t="array" ref="S572">INDEX(H$3:H$700,MATCH($B572&amp;$C572&amp;"baseline",$B$3:$B$700&amp;$C$3:$C$700&amp;$D$3:$D$700,0))</f>
        <v>121.24594271583724</v>
      </c>
      <c r="T572">
        <f t="array" ref="T572">INDEX(I$3:I$700,MATCH($B572&amp;$C572&amp;"baseline",$B$3:$B$700&amp;$C$3:$C$700&amp;$D$3:$D$700,0))</f>
        <v>0</v>
      </c>
      <c r="U572">
        <f t="array" ref="U572">INDEX(J$3:J$700,MATCH($B572&amp;$C572&amp;"baseline",$B$3:$B$700&amp;$C$3:$C$700&amp;$D$3:$D$700,0))</f>
        <v>0.74873431452475192</v>
      </c>
      <c r="V572">
        <f t="array" ref="V572">INDEX(K$3:K$700,MATCH($B572&amp;$C572&amp;"baseline",$B$3:$B$700&amp;$C$3:$C$700&amp;$D$3:$D$700,0))</f>
        <v>0</v>
      </c>
      <c r="W572">
        <f t="array" ref="W572">INDEX(L$3:L$700,MATCH($B572&amp;$C572&amp;"baseline",$B$3:$B$700&amp;$C$3:$C$700&amp;$D$3:$D$700,0))</f>
        <v>10.344675177974409</v>
      </c>
      <c r="X572">
        <f t="array" ref="X572">INDEX(M$3:M$700,MATCH($B572&amp;$C572&amp;"baseline",$B$3:$B$700&amp;$C$3:$C$700&amp;$D$3:$D$700,0))</f>
        <v>2.2309134740884651</v>
      </c>
      <c r="Y572">
        <f t="array" ref="Y572">INDEX(N$3:N$700,MATCH($B572&amp;$C572&amp;"baseline",$B$3:$B$700&amp;$C$3:$C$700&amp;$D$3:$D$700,0))</f>
        <v>0</v>
      </c>
      <c r="Z572">
        <f t="array" ref="Z572">INDEX(O$3:O$700,MATCH($B572&amp;$C572&amp;"baseline",$B$3:$B$700&amp;$C$3:$C$700&amp;$D$3:$D$700,0))</f>
        <v>7.1509748165601223</v>
      </c>
      <c r="AA572">
        <f t="array" ref="AA572">INDEX(P$3:P$700,MATCH($B572&amp;$C572&amp;"baseline",$B$3:$B$700&amp;$C$3:$C$700&amp;$D$3:$D$700,0))</f>
        <v>7.5673880149084232</v>
      </c>
      <c r="AB572">
        <f t="array" ref="AB572">INDEX(Q$3:Q$700,MATCH($B572&amp;$C572&amp;"baseline",$B$3:$B$700&amp;$C$3:$C$700&amp;$D$3:$D$700,0))</f>
        <v>0</v>
      </c>
      <c r="AC572">
        <f t="shared" si="67"/>
        <v>149.2886285138934</v>
      </c>
      <c r="AD572">
        <f t="shared" si="71"/>
        <v>19.099695232069038</v>
      </c>
      <c r="AE572">
        <f t="shared" si="72"/>
        <v>-9.4434933527089981E-3</v>
      </c>
      <c r="AF572">
        <f t="shared" si="68"/>
        <v>12.787478811180661</v>
      </c>
      <c r="AG572">
        <f>(S572+V572+Y572)*constants!$O$2+(R572+T572+U572+W572+X572+Z572+AA572+AB572)*constants!$N$2</f>
        <v>5.1330077671769105</v>
      </c>
      <c r="AH572">
        <f>((S572+V572+Y572)-(H572+K572+N572))*constants!$O$2</f>
        <v>0.30941506275951841</v>
      </c>
      <c r="AI572">
        <f>((R572+T572+U572+W572+X572+Z572+AA572+AB572)-(G572+I572+J572+L572+M572+O572+P572+Q572))*constants!$N$2</f>
        <v>-1.0671147488561167E-3</v>
      </c>
      <c r="AJ572">
        <f t="shared" si="69"/>
        <v>6.0071591939213009</v>
      </c>
      <c r="AK572">
        <f t="shared" si="73"/>
        <v>0.30834794801066229</v>
      </c>
      <c r="AL572">
        <f>COUNTIFS($B:$B,$B572,$AK:$AK,"&lt;"&amp;$AK572)+COUNTIFS($B$2:$B572,$B572,$AK$2:$AK572,$AK572)</f>
        <v>31</v>
      </c>
      <c r="AM572" s="191">
        <f>IF(AK572=0, "NA",IF(((sim_annual_output!F572/E572)/AK572)&lt;0,100,((sim_annual_output!F572/E572)/AK572)))</f>
        <v>12.13679822531015</v>
      </c>
      <c r="AN572">
        <f>(S572+V572)*constants!$F$2+(T572+U572+W572+X572+Y572+Z572+AA572+AB572)*constants!$G$2</f>
        <v>46100.160390443736</v>
      </c>
      <c r="AO572">
        <f>(AD572*constants!$F$2+AE572*constants!$G$2)</f>
        <v>3410.6296073235012</v>
      </c>
      <c r="AP572">
        <f t="shared" si="70"/>
        <v>7.3983031261437917</v>
      </c>
    </row>
    <row r="573" spans="1:42">
      <c r="A573">
        <f>sim_annual_output!B573</f>
        <v>27</v>
      </c>
      <c r="B573" t="str">
        <f>sim_annual_output!C573</f>
        <v>Vehicle Garage</v>
      </c>
      <c r="C573" t="str">
        <f>sim_annual_output!D573</f>
        <v>1959-pre</v>
      </c>
      <c r="D573" t="str">
        <f>sim_annual_output!E573</f>
        <v>ecm_cold_deck_reset_control</v>
      </c>
      <c r="E573" s="45">
        <f t="array" ref="E573">IFERROR(INDEX(baseline!$J$3:$J$201,MATCH($B573&amp;$C573,baseline!$C$3:$C$201&amp;baseline!$D$3:$D$201,0)),"NA")</f>
        <v>2270</v>
      </c>
      <c r="F573">
        <f>sim_annual_output!G573</f>
        <v>3744.59714816727</v>
      </c>
      <c r="G573">
        <f>$E573/$F573^2*sim_annual_output!I573</f>
        <v>0</v>
      </c>
      <c r="H573">
        <f>$E573/$F573^2*sim_annual_output!J573</f>
        <v>117.85842583040943</v>
      </c>
      <c r="I573">
        <f>$E573/$F573^2*sim_annual_output!K573</f>
        <v>0</v>
      </c>
      <c r="J573">
        <f>$E573/$F573^2*sim_annual_output!L573</f>
        <v>0.74873431445786043</v>
      </c>
      <c r="K573">
        <f>$E573/$F573^2*sim_annual_output!M573</f>
        <v>0</v>
      </c>
      <c r="L573">
        <f>$E573/$F573^2*sim_annual_output!N573</f>
        <v>10.344675177050222</v>
      </c>
      <c r="M573">
        <f>$E573/$F573^2*sim_annual_output!O573</f>
        <v>2.2309134738891565</v>
      </c>
      <c r="N573">
        <f>$E573/$F573^2*sim_annual_output!P573</f>
        <v>0</v>
      </c>
      <c r="O573">
        <f>$E573/$F573^2*sim_annual_output!Q573</f>
        <v>7.1442294617369528</v>
      </c>
      <c r="P573">
        <f>$E573/$F573^2*sim_annual_output!R573</f>
        <v>7.6002154045959749</v>
      </c>
      <c r="Q573">
        <f>$E573/$F573^2*sim_annual_output!S573</f>
        <v>0</v>
      </c>
      <c r="R573">
        <f t="array" ref="R573">INDEX(G$3:G$700,MATCH($B573&amp;$C573&amp;"baseline",$B$3:$B$700&amp;$C$3:$C$700&amp;$D$3:$D$700,0))</f>
        <v>0</v>
      </c>
      <c r="S573">
        <f t="array" ref="S573">INDEX(H$3:H$700,MATCH($B573&amp;$C573&amp;"baseline",$B$3:$B$700&amp;$C$3:$C$700&amp;$D$3:$D$700,0))</f>
        <v>121.24594271583724</v>
      </c>
      <c r="T573">
        <f t="array" ref="T573">INDEX(I$3:I$700,MATCH($B573&amp;$C573&amp;"baseline",$B$3:$B$700&amp;$C$3:$C$700&amp;$D$3:$D$700,0))</f>
        <v>0</v>
      </c>
      <c r="U573">
        <f t="array" ref="U573">INDEX(J$3:J$700,MATCH($B573&amp;$C573&amp;"baseline",$B$3:$B$700&amp;$C$3:$C$700&amp;$D$3:$D$700,0))</f>
        <v>0.74873431452475192</v>
      </c>
      <c r="V573">
        <f t="array" ref="V573">INDEX(K$3:K$700,MATCH($B573&amp;$C573&amp;"baseline",$B$3:$B$700&amp;$C$3:$C$700&amp;$D$3:$D$700,0))</f>
        <v>0</v>
      </c>
      <c r="W573">
        <f t="array" ref="W573">INDEX(L$3:L$700,MATCH($B573&amp;$C573&amp;"baseline",$B$3:$B$700&amp;$C$3:$C$700&amp;$D$3:$D$700,0))</f>
        <v>10.344675177974409</v>
      </c>
      <c r="X573">
        <f t="array" ref="X573">INDEX(M$3:M$700,MATCH($B573&amp;$C573&amp;"baseline",$B$3:$B$700&amp;$C$3:$C$700&amp;$D$3:$D$700,0))</f>
        <v>2.2309134740884651</v>
      </c>
      <c r="Y573">
        <f t="array" ref="Y573">INDEX(N$3:N$700,MATCH($B573&amp;$C573&amp;"baseline",$B$3:$B$700&amp;$C$3:$C$700&amp;$D$3:$D$700,0))</f>
        <v>0</v>
      </c>
      <c r="Z573">
        <f t="array" ref="Z573">INDEX(O$3:O$700,MATCH($B573&amp;$C573&amp;"baseline",$B$3:$B$700&amp;$C$3:$C$700&amp;$D$3:$D$700,0))</f>
        <v>7.1509748165601223</v>
      </c>
      <c r="AA573">
        <f t="array" ref="AA573">INDEX(P$3:P$700,MATCH($B573&amp;$C573&amp;"baseline",$B$3:$B$700&amp;$C$3:$C$700&amp;$D$3:$D$700,0))</f>
        <v>7.5673880149084232</v>
      </c>
      <c r="AB573">
        <f t="array" ref="AB573">INDEX(Q$3:Q$700,MATCH($B573&amp;$C573&amp;"baseline",$B$3:$B$700&amp;$C$3:$C$700&amp;$D$3:$D$700,0))</f>
        <v>0</v>
      </c>
      <c r="AC573">
        <f t="shared" si="67"/>
        <v>149.2886285138934</v>
      </c>
      <c r="AD573">
        <f t="shared" si="71"/>
        <v>3.3875168854278144</v>
      </c>
      <c r="AE573">
        <f t="shared" si="72"/>
        <v>-2.6082033673993976E-2</v>
      </c>
      <c r="AF573">
        <f t="shared" si="68"/>
        <v>2.251634893571945</v>
      </c>
      <c r="AG573">
        <f>(S573+V573+Y573)*constants!$O$2+(R573+T573+U573+W573+X573+Z573+AA573+AB573)*constants!$N$2</f>
        <v>5.1330077671769105</v>
      </c>
      <c r="AH573">
        <f>((S573+V573+Y573)-(H573+K573+N573))*constants!$O$2</f>
        <v>5.4877773543930593E-2</v>
      </c>
      <c r="AI573">
        <f>((R573+T573+U573+W573+X573+Z573+AA573+AB573)-(G573+I573+J573+L573+M573+O573+P573+Q573))*constants!$N$2</f>
        <v>-2.9472698051613193E-3</v>
      </c>
      <c r="AJ573">
        <f t="shared" si="69"/>
        <v>1.0116973535641149</v>
      </c>
      <c r="AK573">
        <f t="shared" si="73"/>
        <v>5.1930503738769271E-2</v>
      </c>
      <c r="AL573">
        <f>COUNTIFS($B:$B,$B573,$AK:$AK,"&lt;"&amp;$AK573)+COUNTIFS($B$2:$B573,$B573,$AK$2:$AK573,$AK573)</f>
        <v>17</v>
      </c>
      <c r="AM573" s="191">
        <f>IF(AK573=0, "NA",IF(((sim_annual_output!F573/E573)/AK573)&lt;0,100,((sim_annual_output!F573/E573)/AK573)))</f>
        <v>76.718000374643836</v>
      </c>
      <c r="AN573">
        <f>(S573+V573)*constants!$F$2+(T573+U573+W573+X573+Y573+Z573+AA573+AB573)*constants!$G$2</f>
        <v>46100.160390443736</v>
      </c>
      <c r="AO573">
        <f>(AD573*constants!$F$2+AE573*constants!$G$2)</f>
        <v>583.67415319520398</v>
      </c>
      <c r="AP573">
        <f t="shared" si="70"/>
        <v>1.2661000487889753</v>
      </c>
    </row>
    <row r="574" spans="1:42">
      <c r="A574">
        <f>sim_annual_output!B574</f>
        <v>27</v>
      </c>
      <c r="B574" t="str">
        <f>sim_annual_output!C574</f>
        <v>Vehicle Garage</v>
      </c>
      <c r="C574" t="str">
        <f>sim_annual_output!D574</f>
        <v>1959-pre</v>
      </c>
      <c r="D574" t="str">
        <f>sim_annual_output!E574</f>
        <v>economizers_enabled</v>
      </c>
      <c r="E574" s="45">
        <f t="array" ref="E574">IFERROR(INDEX(baseline!$J$3:$J$201,MATCH($B574&amp;$C574,baseline!$C$3:$C$201&amp;baseline!$D$3:$D$201,0)),"NA")</f>
        <v>2270</v>
      </c>
      <c r="F574">
        <f>sim_annual_output!G574</f>
        <v>3744.59714816727</v>
      </c>
      <c r="G574">
        <f>$E574/$F574^2*sim_annual_output!I574</f>
        <v>0</v>
      </c>
      <c r="H574">
        <f>$E574/$F574^2*sim_annual_output!J574</f>
        <v>118.05359141147532</v>
      </c>
      <c r="I574">
        <f>$E574/$F574^2*sim_annual_output!K574</f>
        <v>0</v>
      </c>
      <c r="J574">
        <f>$E574/$F574^2*sim_annual_output!L574</f>
        <v>0.74873431445786043</v>
      </c>
      <c r="K574">
        <f>$E574/$F574^2*sim_annual_output!M574</f>
        <v>0</v>
      </c>
      <c r="L574">
        <f>$E574/$F574^2*sim_annual_output!N574</f>
        <v>10.344675177050222</v>
      </c>
      <c r="M574">
        <f>$E574/$F574^2*sim_annual_output!O574</f>
        <v>2.2309134738891565</v>
      </c>
      <c r="N574">
        <f>$E574/$F574^2*sim_annual_output!P574</f>
        <v>0</v>
      </c>
      <c r="O574">
        <f>$E574/$F574^2*sim_annual_output!Q574</f>
        <v>7.1451288422948602</v>
      </c>
      <c r="P574">
        <f>$E574/$F574^2*sim_annual_output!R574</f>
        <v>7.459462347283476</v>
      </c>
      <c r="Q574">
        <f>$E574/$F574^2*sim_annual_output!S574</f>
        <v>0</v>
      </c>
      <c r="R574">
        <f t="array" ref="R574">INDEX(G$3:G$700,MATCH($B574&amp;$C574&amp;"baseline",$B$3:$B$700&amp;$C$3:$C$700&amp;$D$3:$D$700,0))</f>
        <v>0</v>
      </c>
      <c r="S574">
        <f t="array" ref="S574">INDEX(H$3:H$700,MATCH($B574&amp;$C574&amp;"baseline",$B$3:$B$700&amp;$C$3:$C$700&amp;$D$3:$D$700,0))</f>
        <v>121.24594271583724</v>
      </c>
      <c r="T574">
        <f t="array" ref="T574">INDEX(I$3:I$700,MATCH($B574&amp;$C574&amp;"baseline",$B$3:$B$700&amp;$C$3:$C$700&amp;$D$3:$D$700,0))</f>
        <v>0</v>
      </c>
      <c r="U574">
        <f t="array" ref="U574">INDEX(J$3:J$700,MATCH($B574&amp;$C574&amp;"baseline",$B$3:$B$700&amp;$C$3:$C$700&amp;$D$3:$D$700,0))</f>
        <v>0.74873431452475192</v>
      </c>
      <c r="V574">
        <f t="array" ref="V574">INDEX(K$3:K$700,MATCH($B574&amp;$C574&amp;"baseline",$B$3:$B$700&amp;$C$3:$C$700&amp;$D$3:$D$700,0))</f>
        <v>0</v>
      </c>
      <c r="W574">
        <f t="array" ref="W574">INDEX(L$3:L$700,MATCH($B574&amp;$C574&amp;"baseline",$B$3:$B$700&amp;$C$3:$C$700&amp;$D$3:$D$700,0))</f>
        <v>10.344675177974409</v>
      </c>
      <c r="X574">
        <f t="array" ref="X574">INDEX(M$3:M$700,MATCH($B574&amp;$C574&amp;"baseline",$B$3:$B$700&amp;$C$3:$C$700&amp;$D$3:$D$700,0))</f>
        <v>2.2309134740884651</v>
      </c>
      <c r="Y574">
        <f t="array" ref="Y574">INDEX(N$3:N$700,MATCH($B574&amp;$C574&amp;"baseline",$B$3:$B$700&amp;$C$3:$C$700&amp;$D$3:$D$700,0))</f>
        <v>0</v>
      </c>
      <c r="Z574">
        <f t="array" ref="Z574">INDEX(O$3:O$700,MATCH($B574&amp;$C574&amp;"baseline",$B$3:$B$700&amp;$C$3:$C$700&amp;$D$3:$D$700,0))</f>
        <v>7.1509748165601223</v>
      </c>
      <c r="AA574">
        <f t="array" ref="AA574">INDEX(P$3:P$700,MATCH($B574&amp;$C574&amp;"baseline",$B$3:$B$700&amp;$C$3:$C$700&amp;$D$3:$D$700,0))</f>
        <v>7.5673880149084232</v>
      </c>
      <c r="AB574">
        <f t="array" ref="AB574">INDEX(Q$3:Q$700,MATCH($B574&amp;$C574&amp;"baseline",$B$3:$B$700&amp;$C$3:$C$700&amp;$D$3:$D$700,0))</f>
        <v>0</v>
      </c>
      <c r="AC574">
        <f t="shared" si="67"/>
        <v>149.2886285138934</v>
      </c>
      <c r="AD574">
        <f t="shared" si="71"/>
        <v>3.1923513043619209</v>
      </c>
      <c r="AE574">
        <f t="shared" si="72"/>
        <v>0.11377164308059662</v>
      </c>
      <c r="AF574">
        <f t="shared" si="68"/>
        <v>2.2145845804557287</v>
      </c>
      <c r="AG574">
        <f>(S574+V574+Y574)*constants!$O$2+(R574+T574+U574+W574+X574+Z574+AA574+AB574)*constants!$N$2</f>
        <v>5.1330077671769105</v>
      </c>
      <c r="AH574">
        <f>((S574+V574+Y574)-(H574+K574+N574))*constants!$O$2</f>
        <v>5.1716091130663118E-2</v>
      </c>
      <c r="AI574">
        <f>((R574+T574+U574+W574+X574+Z574+AA574+AB574)-(G574+I574+J574+L574+M574+O574+P574+Q574))*constants!$N$2</f>
        <v>1.2856195668107417E-2</v>
      </c>
      <c r="AJ574">
        <f t="shared" si="69"/>
        <v>1.2579814745592031</v>
      </c>
      <c r="AK574">
        <f t="shared" si="73"/>
        <v>6.4572286798770528E-2</v>
      </c>
      <c r="AL574">
        <f>COUNTIFS($B:$B,$B574,$AK:$AK,"&lt;"&amp;$AK574)+COUNTIFS($B$2:$B574,$B574,$AK$2:$AK574,$AK574)</f>
        <v>21</v>
      </c>
      <c r="AM574" s="191">
        <f>IF(AK574=0, "NA",IF(((sim_annual_output!F574/E574)/AK574)&lt;0,100,((sim_annual_output!F574/E574)/AK574)))</f>
        <v>23.997147036497015</v>
      </c>
      <c r="AN574">
        <f>(S574+V574)*constants!$F$2+(T574+U574+W574+X574+Y574+Z574+AA574+AB574)*constants!$G$2</f>
        <v>46100.160390443736</v>
      </c>
      <c r="AO574">
        <f>(AD574*constants!$F$2+AE574*constants!$G$2)</f>
        <v>670.41221296090293</v>
      </c>
      <c r="AP574">
        <f t="shared" si="70"/>
        <v>1.4542513676370528</v>
      </c>
    </row>
    <row r="575" spans="1:42">
      <c r="A575">
        <f>sim_annual_output!B575</f>
        <v>27</v>
      </c>
      <c r="B575" t="str">
        <f>sim_annual_output!C575</f>
        <v>Vehicle Garage</v>
      </c>
      <c r="C575" t="str">
        <f>sim_annual_output!D575</f>
        <v>1959-pre</v>
      </c>
      <c r="D575" t="str">
        <f>sim_annual_output!E575</f>
        <v>elec_reduce</v>
      </c>
      <c r="E575" s="45">
        <f t="array" ref="E575">IFERROR(INDEX(baseline!$J$3:$J$201,MATCH($B575&amp;$C575,baseline!$C$3:$C$201&amp;baseline!$D$3:$D$201,0)),"NA")</f>
        <v>2270</v>
      </c>
      <c r="F575">
        <f>sim_annual_output!G575</f>
        <v>3744.59714816727</v>
      </c>
      <c r="G575">
        <f>$E575/$F575^2*sim_annual_output!I575</f>
        <v>0</v>
      </c>
      <c r="H575">
        <f>$E575/$F575^2*sim_annual_output!J575</f>
        <v>106.83246988074441</v>
      </c>
      <c r="I575">
        <f>$E575/$F575^2*sim_annual_output!K575</f>
        <v>0</v>
      </c>
      <c r="J575">
        <f>$E575/$F575^2*sim_annual_output!L575</f>
        <v>0.74873431445786043</v>
      </c>
      <c r="K575">
        <f>$E575/$F575^2*sim_annual_output!M575</f>
        <v>0</v>
      </c>
      <c r="L575">
        <f>$E575/$F575^2*sim_annual_output!N575</f>
        <v>7.2413625619909459</v>
      </c>
      <c r="M575">
        <f>$E575/$F575^2*sim_annual_output!O575</f>
        <v>2.2309134738891565</v>
      </c>
      <c r="N575">
        <f>$E575/$F575^2*sim_annual_output!P575</f>
        <v>0</v>
      </c>
      <c r="O575">
        <f>$E575/$F575^2*sim_annual_output!Q575</f>
        <v>7.1082542394206598</v>
      </c>
      <c r="P575">
        <f>$E575/$F575^2*sim_annual_output!R575</f>
        <v>5.9610943378098487</v>
      </c>
      <c r="Q575">
        <f>$E575/$F575^2*sim_annual_output!S575</f>
        <v>0</v>
      </c>
      <c r="R575">
        <f t="array" ref="R575">INDEX(G$3:G$700,MATCH($B575&amp;$C575&amp;"baseline",$B$3:$B$700&amp;$C$3:$C$700&amp;$D$3:$D$700,0))</f>
        <v>0</v>
      </c>
      <c r="S575">
        <f t="array" ref="S575">INDEX(H$3:H$700,MATCH($B575&amp;$C575&amp;"baseline",$B$3:$B$700&amp;$C$3:$C$700&amp;$D$3:$D$700,0))</f>
        <v>121.24594271583724</v>
      </c>
      <c r="T575">
        <f t="array" ref="T575">INDEX(I$3:I$700,MATCH($B575&amp;$C575&amp;"baseline",$B$3:$B$700&amp;$C$3:$C$700&amp;$D$3:$D$700,0))</f>
        <v>0</v>
      </c>
      <c r="U575">
        <f t="array" ref="U575">INDEX(J$3:J$700,MATCH($B575&amp;$C575&amp;"baseline",$B$3:$B$700&amp;$C$3:$C$700&amp;$D$3:$D$700,0))</f>
        <v>0.74873431452475192</v>
      </c>
      <c r="V575">
        <f t="array" ref="V575">INDEX(K$3:K$700,MATCH($B575&amp;$C575&amp;"baseline",$B$3:$B$700&amp;$C$3:$C$700&amp;$D$3:$D$700,0))</f>
        <v>0</v>
      </c>
      <c r="W575">
        <f t="array" ref="W575">INDEX(L$3:L$700,MATCH($B575&amp;$C575&amp;"baseline",$B$3:$B$700&amp;$C$3:$C$700&amp;$D$3:$D$700,0))</f>
        <v>10.344675177974409</v>
      </c>
      <c r="X575">
        <f t="array" ref="X575">INDEX(M$3:M$700,MATCH($B575&amp;$C575&amp;"baseline",$B$3:$B$700&amp;$C$3:$C$700&amp;$D$3:$D$700,0))</f>
        <v>2.2309134740884651</v>
      </c>
      <c r="Y575">
        <f t="array" ref="Y575">INDEX(N$3:N$700,MATCH($B575&amp;$C575&amp;"baseline",$B$3:$B$700&amp;$C$3:$C$700&amp;$D$3:$D$700,0))</f>
        <v>0</v>
      </c>
      <c r="Z575">
        <f t="array" ref="Z575">INDEX(O$3:O$700,MATCH($B575&amp;$C575&amp;"baseline",$B$3:$B$700&amp;$C$3:$C$700&amp;$D$3:$D$700,0))</f>
        <v>7.1509748165601223</v>
      </c>
      <c r="AA575">
        <f t="array" ref="AA575">INDEX(P$3:P$700,MATCH($B575&amp;$C575&amp;"baseline",$B$3:$B$700&amp;$C$3:$C$700&amp;$D$3:$D$700,0))</f>
        <v>7.5673880149084232</v>
      </c>
      <c r="AB575">
        <f t="array" ref="AB575">INDEX(Q$3:Q$700,MATCH($B575&amp;$C575&amp;"baseline",$B$3:$B$700&amp;$C$3:$C$700&amp;$D$3:$D$700,0))</f>
        <v>0</v>
      </c>
      <c r="AC575">
        <f t="shared" si="67"/>
        <v>149.2886285138934</v>
      </c>
      <c r="AD575">
        <f t="shared" si="71"/>
        <v>14.413472835092833</v>
      </c>
      <c r="AE575">
        <f t="shared" si="72"/>
        <v>4.7523268704877033</v>
      </c>
      <c r="AF575">
        <f t="shared" si="68"/>
        <v>12.838084116900363</v>
      </c>
      <c r="AG575">
        <f>(S575+V575+Y575)*constants!$O$2+(R575+T575+U575+W575+X575+Z575+AA575+AB575)*constants!$N$2</f>
        <v>5.1330077671769105</v>
      </c>
      <c r="AH575">
        <f>((S575+V575+Y575)-(H575+K575+N575))*constants!$O$2</f>
        <v>0.23349825992850387</v>
      </c>
      <c r="AI575">
        <f>((R575+T575+U575+W575+X575+Z575+AA575+AB575)-(G575+I575+J575+L575+M575+O575+P575+Q575))*constants!$N$2</f>
        <v>0.53701293636511049</v>
      </c>
      <c r="AJ575">
        <f t="shared" si="69"/>
        <v>15.010910390992569</v>
      </c>
      <c r="AK575">
        <f t="shared" si="73"/>
        <v>0.77051119629361442</v>
      </c>
      <c r="AL575">
        <f>COUNTIFS($B:$B,$B575,$AK:$AK,"&lt;"&amp;$AK575)+COUNTIFS($B$2:$B575,$B575,$AK$2:$AK575,$AK575)</f>
        <v>36</v>
      </c>
      <c r="AM575" s="191">
        <f>IF(AK575=0, "NA",IF(((sim_annual_output!F575/E575)/AK575)&lt;0,100,((sim_annual_output!F575/E575)/AK575)))</f>
        <v>27.033657373204363</v>
      </c>
      <c r="AN575">
        <f>(S575+V575)*constants!$F$2+(T575+U575+W575+X575+Y575+Z575+AA575+AB575)*constants!$G$2</f>
        <v>46100.160390443736</v>
      </c>
      <c r="AO575">
        <f>(AD575*constants!$F$2+AE575*constants!$G$2)</f>
        <v>6714.536014805919</v>
      </c>
      <c r="AP575">
        <f t="shared" si="70"/>
        <v>14.565103370438163</v>
      </c>
    </row>
    <row r="576" spans="1:42">
      <c r="A576">
        <f>sim_annual_output!B576</f>
        <v>27</v>
      </c>
      <c r="B576" t="str">
        <f>sim_annual_output!C576</f>
        <v>Vehicle Garage</v>
      </c>
      <c r="C576" t="str">
        <f>sim_annual_output!D576</f>
        <v>1959-pre</v>
      </c>
      <c r="D576" t="str">
        <f>sim_annual_output!E576</f>
        <v>envelope_ecm_roof</v>
      </c>
      <c r="E576" s="45">
        <f t="array" ref="E576">IFERROR(INDEX(baseline!$J$3:$J$201,MATCH($B576&amp;$C576,baseline!$C$3:$C$201&amp;baseline!$D$3:$D$201,0)),"NA")</f>
        <v>2270</v>
      </c>
      <c r="F576">
        <f>sim_annual_output!G576</f>
        <v>3744.59714816727</v>
      </c>
      <c r="G576">
        <f>$E576/$F576^2*sim_annual_output!I576</f>
        <v>0</v>
      </c>
      <c r="H576">
        <f>$E576/$F576^2*sim_annual_output!J576</f>
        <v>115.52093576040826</v>
      </c>
      <c r="I576">
        <f>$E576/$F576^2*sim_annual_output!K576</f>
        <v>0</v>
      </c>
      <c r="J576">
        <f>$E576/$F576^2*sim_annual_output!L576</f>
        <v>0.74873431445786043</v>
      </c>
      <c r="K576">
        <f>$E576/$F576^2*sim_annual_output!M576</f>
        <v>0</v>
      </c>
      <c r="L576">
        <f>$E576/$F576^2*sim_annual_output!N576</f>
        <v>10.344675177050222</v>
      </c>
      <c r="M576">
        <f>$E576/$F576^2*sim_annual_output!O576</f>
        <v>2.2309134738891565</v>
      </c>
      <c r="N576">
        <f>$E576/$F576^2*sim_annual_output!P576</f>
        <v>0</v>
      </c>
      <c r="O576">
        <f>$E576/$F576^2*sim_annual_output!Q576</f>
        <v>6.9652527307133774</v>
      </c>
      <c r="P576">
        <f>$E576/$F576^2*sim_annual_output!R576</f>
        <v>7.4203392930145071</v>
      </c>
      <c r="Q576">
        <f>$E576/$F576^2*sim_annual_output!S576</f>
        <v>0</v>
      </c>
      <c r="R576">
        <f t="array" ref="R576">INDEX(G$3:G$700,MATCH($B576&amp;$C576&amp;"baseline",$B$3:$B$700&amp;$C$3:$C$700&amp;$D$3:$D$700,0))</f>
        <v>0</v>
      </c>
      <c r="S576">
        <f t="array" ref="S576">INDEX(H$3:H$700,MATCH($B576&amp;$C576&amp;"baseline",$B$3:$B$700&amp;$C$3:$C$700&amp;$D$3:$D$700,0))</f>
        <v>121.24594271583724</v>
      </c>
      <c r="T576">
        <f t="array" ref="T576">INDEX(I$3:I$700,MATCH($B576&amp;$C576&amp;"baseline",$B$3:$B$700&amp;$C$3:$C$700&amp;$D$3:$D$700,0))</f>
        <v>0</v>
      </c>
      <c r="U576">
        <f t="array" ref="U576">INDEX(J$3:J$700,MATCH($B576&amp;$C576&amp;"baseline",$B$3:$B$700&amp;$C$3:$C$700&amp;$D$3:$D$700,0))</f>
        <v>0.74873431452475192</v>
      </c>
      <c r="V576">
        <f t="array" ref="V576">INDEX(K$3:K$700,MATCH($B576&amp;$C576&amp;"baseline",$B$3:$B$700&amp;$C$3:$C$700&amp;$D$3:$D$700,0))</f>
        <v>0</v>
      </c>
      <c r="W576">
        <f t="array" ref="W576">INDEX(L$3:L$700,MATCH($B576&amp;$C576&amp;"baseline",$B$3:$B$700&amp;$C$3:$C$700&amp;$D$3:$D$700,0))</f>
        <v>10.344675177974409</v>
      </c>
      <c r="X576">
        <f t="array" ref="X576">INDEX(M$3:M$700,MATCH($B576&amp;$C576&amp;"baseline",$B$3:$B$700&amp;$C$3:$C$700&amp;$D$3:$D$700,0))</f>
        <v>2.2309134740884651</v>
      </c>
      <c r="Y576">
        <f t="array" ref="Y576">INDEX(N$3:N$700,MATCH($B576&amp;$C576&amp;"baseline",$B$3:$B$700&amp;$C$3:$C$700&amp;$D$3:$D$700,0))</f>
        <v>0</v>
      </c>
      <c r="Z576">
        <f t="array" ref="Z576">INDEX(O$3:O$700,MATCH($B576&amp;$C576&amp;"baseline",$B$3:$B$700&amp;$C$3:$C$700&amp;$D$3:$D$700,0))</f>
        <v>7.1509748165601223</v>
      </c>
      <c r="AA576">
        <f t="array" ref="AA576">INDEX(P$3:P$700,MATCH($B576&amp;$C576&amp;"baseline",$B$3:$B$700&amp;$C$3:$C$700&amp;$D$3:$D$700,0))</f>
        <v>7.5673880149084232</v>
      </c>
      <c r="AB576">
        <f t="array" ref="AB576">INDEX(Q$3:Q$700,MATCH($B576&amp;$C576&amp;"baseline",$B$3:$B$700&amp;$C$3:$C$700&amp;$D$3:$D$700,0))</f>
        <v>0</v>
      </c>
      <c r="AC576">
        <f t="shared" si="67"/>
        <v>149.2886285138934</v>
      </c>
      <c r="AD576">
        <f t="shared" si="71"/>
        <v>5.7250069554289809</v>
      </c>
      <c r="AE576">
        <f t="shared" si="72"/>
        <v>0.33277080893104838</v>
      </c>
      <c r="AF576">
        <f t="shared" si="68"/>
        <v>4.0577623524729933</v>
      </c>
      <c r="AG576">
        <f>(S576+V576+Y576)*constants!$O$2+(R576+T576+U576+W576+X576+Z576+AA576+AB576)*constants!$N$2</f>
        <v>5.1330077671769105</v>
      </c>
      <c r="AH576">
        <f>((S576+V576+Y576)-(H576+K576+N576))*constants!$O$2</f>
        <v>9.2745112677949479E-2</v>
      </c>
      <c r="AI576">
        <f>((R576+T576+U576+W576+X576+Z576+AA576+AB576)-(G576+I576+J576+L576+M576+O576+P576+Q576))*constants!$N$2</f>
        <v>3.7603101409208466E-2</v>
      </c>
      <c r="AJ576">
        <f t="shared" si="69"/>
        <v>2.5394119783077556</v>
      </c>
      <c r="AK576">
        <f t="shared" si="73"/>
        <v>0.13034821408715794</v>
      </c>
      <c r="AL576">
        <f>COUNTIFS($B:$B,$B576,$AK:$AK,"&lt;"&amp;$AK576)+COUNTIFS($B$2:$B576,$B576,$AK$2:$AK576,$AK576)</f>
        <v>24</v>
      </c>
      <c r="AM576" s="191">
        <f>IF(AK576=0, "NA",IF(((sim_annual_output!F576/E576)/AK576)&lt;0,100,((sim_annual_output!F576/E576)/AK576)))</f>
        <v>1171.3729345149172</v>
      </c>
      <c r="AN576">
        <f>(S576+V576)*constants!$F$2+(T576+U576+W576+X576+Y576+Z576+AA576+AB576)*constants!$G$2</f>
        <v>46100.160390443736</v>
      </c>
      <c r="AO576">
        <f>(AD576*constants!$F$2+AE576*constants!$G$2)</f>
        <v>1314.2868487917997</v>
      </c>
      <c r="AP576">
        <f t="shared" si="70"/>
        <v>2.8509376923214411</v>
      </c>
    </row>
    <row r="577" spans="1:42">
      <c r="A577">
        <f>sim_annual_output!B577</f>
        <v>27</v>
      </c>
      <c r="B577" t="str">
        <f>sim_annual_output!C577</f>
        <v>Vehicle Garage</v>
      </c>
      <c r="C577" t="str">
        <f>sim_annual_output!D577</f>
        <v>1959-pre</v>
      </c>
      <c r="D577" t="str">
        <f>sim_annual_output!E577</f>
        <v>envelope_ecm_wall</v>
      </c>
      <c r="E577" s="45">
        <f t="array" ref="E577">IFERROR(INDEX(baseline!$J$3:$J$201,MATCH($B577&amp;$C577,baseline!$C$3:$C$201&amp;baseline!$D$3:$D$201,0)),"NA")</f>
        <v>2270</v>
      </c>
      <c r="F577">
        <f>sim_annual_output!G577</f>
        <v>3744.59714816727</v>
      </c>
      <c r="G577">
        <f>$E577/$F577^2*sim_annual_output!I577</f>
        <v>0</v>
      </c>
      <c r="H577">
        <f>$E577/$F577^2*sim_annual_output!J577</f>
        <v>111.09913124745682</v>
      </c>
      <c r="I577">
        <f>$E577/$F577^2*sim_annual_output!K577</f>
        <v>0</v>
      </c>
      <c r="J577">
        <f>$E577/$F577^2*sim_annual_output!L577</f>
        <v>0.74873431445786043</v>
      </c>
      <c r="K577">
        <f>$E577/$F577^2*sim_annual_output!M577</f>
        <v>0</v>
      </c>
      <c r="L577">
        <f>$E577/$F577^2*sim_annual_output!N577</f>
        <v>10.344675177050222</v>
      </c>
      <c r="M577">
        <f>$E577/$F577^2*sim_annual_output!O577</f>
        <v>2.2309134738891565</v>
      </c>
      <c r="N577">
        <f>$E577/$F577^2*sim_annual_output!P577</f>
        <v>0</v>
      </c>
      <c r="O577">
        <f>$E577/$F577^2*sim_annual_output!Q577</f>
        <v>6.7120771036624767</v>
      </c>
      <c r="P577">
        <f>$E577/$F577^2*sim_annual_output!R577</f>
        <v>7.1046567171890311</v>
      </c>
      <c r="Q577">
        <f>$E577/$F577^2*sim_annual_output!S577</f>
        <v>0</v>
      </c>
      <c r="R577">
        <f t="array" ref="R577">INDEX(G$3:G$700,MATCH($B577&amp;$C577&amp;"baseline",$B$3:$B$700&amp;$C$3:$C$700&amp;$D$3:$D$700,0))</f>
        <v>0</v>
      </c>
      <c r="S577">
        <f t="array" ref="S577">INDEX(H$3:H$700,MATCH($B577&amp;$C577&amp;"baseline",$B$3:$B$700&amp;$C$3:$C$700&amp;$D$3:$D$700,0))</f>
        <v>121.24594271583724</v>
      </c>
      <c r="T577">
        <f t="array" ref="T577">INDEX(I$3:I$700,MATCH($B577&amp;$C577&amp;"baseline",$B$3:$B$700&amp;$C$3:$C$700&amp;$D$3:$D$700,0))</f>
        <v>0</v>
      </c>
      <c r="U577">
        <f t="array" ref="U577">INDEX(J$3:J$700,MATCH($B577&amp;$C577&amp;"baseline",$B$3:$B$700&amp;$C$3:$C$700&amp;$D$3:$D$700,0))</f>
        <v>0.74873431452475192</v>
      </c>
      <c r="V577">
        <f t="array" ref="V577">INDEX(K$3:K$700,MATCH($B577&amp;$C577&amp;"baseline",$B$3:$B$700&amp;$C$3:$C$700&amp;$D$3:$D$700,0))</f>
        <v>0</v>
      </c>
      <c r="W577">
        <f t="array" ref="W577">INDEX(L$3:L$700,MATCH($B577&amp;$C577&amp;"baseline",$B$3:$B$700&amp;$C$3:$C$700&amp;$D$3:$D$700,0))</f>
        <v>10.344675177974409</v>
      </c>
      <c r="X577">
        <f t="array" ref="X577">INDEX(M$3:M$700,MATCH($B577&amp;$C577&amp;"baseline",$B$3:$B$700&amp;$C$3:$C$700&amp;$D$3:$D$700,0))</f>
        <v>2.2309134740884651</v>
      </c>
      <c r="Y577">
        <f t="array" ref="Y577">INDEX(N$3:N$700,MATCH($B577&amp;$C577&amp;"baseline",$B$3:$B$700&amp;$C$3:$C$700&amp;$D$3:$D$700,0))</f>
        <v>0</v>
      </c>
      <c r="Z577">
        <f t="array" ref="Z577">INDEX(O$3:O$700,MATCH($B577&amp;$C577&amp;"baseline",$B$3:$B$700&amp;$C$3:$C$700&amp;$D$3:$D$700,0))</f>
        <v>7.1509748165601223</v>
      </c>
      <c r="AA577">
        <f t="array" ref="AA577">INDEX(P$3:P$700,MATCH($B577&amp;$C577&amp;"baseline",$B$3:$B$700&amp;$C$3:$C$700&amp;$D$3:$D$700,0))</f>
        <v>7.5673880149084232</v>
      </c>
      <c r="AB577">
        <f t="array" ref="AB577">INDEX(Q$3:Q$700,MATCH($B577&amp;$C577&amp;"baseline",$B$3:$B$700&amp;$C$3:$C$700&amp;$D$3:$D$700,0))</f>
        <v>0</v>
      </c>
      <c r="AC577">
        <f t="shared" si="67"/>
        <v>149.2886285138934</v>
      </c>
      <c r="AD577">
        <f t="shared" si="71"/>
        <v>10.14681146838042</v>
      </c>
      <c r="AE577">
        <f t="shared" si="72"/>
        <v>0.90162901180742594</v>
      </c>
      <c r="AF577">
        <f t="shared" si="68"/>
        <v>7.4007247505523397</v>
      </c>
      <c r="AG577">
        <f>(S577+V577+Y577)*constants!$O$2+(R577+T577+U577+W577+X577+Z577+AA577+AB577)*constants!$N$2</f>
        <v>5.1330077671769105</v>
      </c>
      <c r="AH577">
        <f>((S577+V577+Y577)-(H577+K577+N577))*constants!$O$2</f>
        <v>0.16437834578776281</v>
      </c>
      <c r="AI577">
        <f>((R577+T577+U577+W577+X577+Z577+AA577+AB577)-(G577+I577+J577+L577+M577+O577+P577+Q577))*constants!$N$2</f>
        <v>0.10188407833423914</v>
      </c>
      <c r="AJ577">
        <f t="shared" si="69"/>
        <v>5.1872593262885891</v>
      </c>
      <c r="AK577">
        <f t="shared" si="73"/>
        <v>0.26626242412200196</v>
      </c>
      <c r="AL577">
        <f>COUNTIFS($B:$B,$B577,$AK:$AK,"&lt;"&amp;$AK577)+COUNTIFS($B$2:$B577,$B577,$AK$2:$AK577,$AK577)</f>
        <v>28</v>
      </c>
      <c r="AM577" s="191">
        <f>IF(AK577=0, "NA",IF(((sim_annual_output!F577/E577)/AK577)&lt;0,100,((sim_annual_output!F577/E577)/AK577)))</f>
        <v>610.82661869303695</v>
      </c>
      <c r="AN577">
        <f>(S577+V577)*constants!$F$2+(T577+U577+W577+X577+Y577+Z577+AA577+AB577)*constants!$G$2</f>
        <v>46100.160390443736</v>
      </c>
      <c r="AO577">
        <f>(AD577*constants!$F$2+AE577*constants!$G$2)</f>
        <v>2600.6964931125558</v>
      </c>
      <c r="AP577">
        <f t="shared" si="70"/>
        <v>5.6414044356593243</v>
      </c>
    </row>
    <row r="578" spans="1:42">
      <c r="A578">
        <f>sim_annual_output!B578</f>
        <v>27</v>
      </c>
      <c r="B578" t="str">
        <f>sim_annual_output!C578</f>
        <v>Vehicle Garage</v>
      </c>
      <c r="C578" t="str">
        <f>sim_annual_output!D578</f>
        <v>1959-pre</v>
      </c>
      <c r="D578" t="str">
        <f>sim_annual_output!E578</f>
        <v>envelope_ecm_windows</v>
      </c>
      <c r="E578" s="45">
        <f t="array" ref="E578">IFERROR(INDEX(baseline!$J$3:$J$201,MATCH($B578&amp;$C578,baseline!$C$3:$C$201&amp;baseline!$D$3:$D$201,0)),"NA")</f>
        <v>2270</v>
      </c>
      <c r="F578">
        <f>sim_annual_output!G578</f>
        <v>3744.59714816727</v>
      </c>
      <c r="G578">
        <f>$E578/$F578^2*sim_annual_output!I578</f>
        <v>0</v>
      </c>
      <c r="H578">
        <f>$E578/$F578^2*sim_annual_output!J578</f>
        <v>117.73970759676567</v>
      </c>
      <c r="I578">
        <f>$E578/$F578^2*sim_annual_output!K578</f>
        <v>0</v>
      </c>
      <c r="J578">
        <f>$E578/$F578^2*sim_annual_output!L578</f>
        <v>0.74873431445786043</v>
      </c>
      <c r="K578">
        <f>$E578/$F578^2*sim_annual_output!M578</f>
        <v>0</v>
      </c>
      <c r="L578">
        <f>$E578/$F578^2*sim_annual_output!N578</f>
        <v>10.344675177050222</v>
      </c>
      <c r="M578">
        <f>$E578/$F578^2*sim_annual_output!O578</f>
        <v>2.2309134738891565</v>
      </c>
      <c r="N578">
        <f>$E578/$F578^2*sim_annual_output!P578</f>
        <v>0</v>
      </c>
      <c r="O578">
        <f>$E578/$F578^2*sim_annual_output!Q578</f>
        <v>7.137933797831602</v>
      </c>
      <c r="P578">
        <f>$E578/$F578^2*sim_annual_output!R578</f>
        <v>7.5934700504116694</v>
      </c>
      <c r="Q578">
        <f>$E578/$F578^2*sim_annual_output!S578</f>
        <v>0</v>
      </c>
      <c r="R578">
        <f t="array" ref="R578">INDEX(G$3:G$700,MATCH($B578&amp;$C578&amp;"baseline",$B$3:$B$700&amp;$C$3:$C$700&amp;$D$3:$D$700,0))</f>
        <v>0</v>
      </c>
      <c r="S578">
        <f t="array" ref="S578">INDEX(H$3:H$700,MATCH($B578&amp;$C578&amp;"baseline",$B$3:$B$700&amp;$C$3:$C$700&amp;$D$3:$D$700,0))</f>
        <v>121.24594271583724</v>
      </c>
      <c r="T578">
        <f t="array" ref="T578">INDEX(I$3:I$700,MATCH($B578&amp;$C578&amp;"baseline",$B$3:$B$700&amp;$C$3:$C$700&amp;$D$3:$D$700,0))</f>
        <v>0</v>
      </c>
      <c r="U578">
        <f t="array" ref="U578">INDEX(J$3:J$700,MATCH($B578&amp;$C578&amp;"baseline",$B$3:$B$700&amp;$C$3:$C$700&amp;$D$3:$D$700,0))</f>
        <v>0.74873431452475192</v>
      </c>
      <c r="V578">
        <f t="array" ref="V578">INDEX(K$3:K$700,MATCH($B578&amp;$C578&amp;"baseline",$B$3:$B$700&amp;$C$3:$C$700&amp;$D$3:$D$700,0))</f>
        <v>0</v>
      </c>
      <c r="W578">
        <f t="array" ref="W578">INDEX(L$3:L$700,MATCH($B578&amp;$C578&amp;"baseline",$B$3:$B$700&amp;$C$3:$C$700&amp;$D$3:$D$700,0))</f>
        <v>10.344675177974409</v>
      </c>
      <c r="X578">
        <f t="array" ref="X578">INDEX(M$3:M$700,MATCH($B578&amp;$C578&amp;"baseline",$B$3:$B$700&amp;$C$3:$C$700&amp;$D$3:$D$700,0))</f>
        <v>2.2309134740884651</v>
      </c>
      <c r="Y578">
        <f t="array" ref="Y578">INDEX(N$3:N$700,MATCH($B578&amp;$C578&amp;"baseline",$B$3:$B$700&amp;$C$3:$C$700&amp;$D$3:$D$700,0))</f>
        <v>0</v>
      </c>
      <c r="Z578">
        <f t="array" ref="Z578">INDEX(O$3:O$700,MATCH($B578&amp;$C578&amp;"baseline",$B$3:$B$700&amp;$C$3:$C$700&amp;$D$3:$D$700,0))</f>
        <v>7.1509748165601223</v>
      </c>
      <c r="AA578">
        <f t="array" ref="AA578">INDEX(P$3:P$700,MATCH($B578&amp;$C578&amp;"baseline",$B$3:$B$700&amp;$C$3:$C$700&amp;$D$3:$D$700,0))</f>
        <v>7.5673880149084232</v>
      </c>
      <c r="AB578">
        <f t="array" ref="AB578">INDEX(Q$3:Q$700,MATCH($B578&amp;$C578&amp;"baseline",$B$3:$B$700&amp;$C$3:$C$700&amp;$D$3:$D$700,0))</f>
        <v>0</v>
      </c>
      <c r="AC578">
        <f t="shared" si="67"/>
        <v>149.2886285138934</v>
      </c>
      <c r="AD578">
        <f t="shared" si="71"/>
        <v>3.5062351190715759</v>
      </c>
      <c r="AE578">
        <f t="shared" si="72"/>
        <v>-1.3041015584338567E-2</v>
      </c>
      <c r="AF578">
        <f t="shared" si="68"/>
        <v>2.3398929565235753</v>
      </c>
      <c r="AG578">
        <f>(S578+V578+Y578)*constants!$O$2+(R578+T578+U578+W578+X578+Z578+AA578+AB578)*constants!$N$2</f>
        <v>5.1330077671769105</v>
      </c>
      <c r="AH578">
        <f>((S578+V578+Y578)-(H578+K578+N578))*constants!$O$2</f>
        <v>5.6801008928959527E-2</v>
      </c>
      <c r="AI578">
        <f>((R578+T578+U578+W578+X578+Z578+AA578+AB578)-(G578+I578+J578+L578+M578+O578+P578+Q578))*constants!$N$2</f>
        <v>-1.4736347610302581E-3</v>
      </c>
      <c r="AJ578">
        <f t="shared" si="69"/>
        <v>1.0778743512082902</v>
      </c>
      <c r="AK578">
        <f t="shared" si="73"/>
        <v>5.5327374167929266E-2</v>
      </c>
      <c r="AL578">
        <f>COUNTIFS($B:$B,$B578,$AK:$AK,"&lt;"&amp;$AK578)+COUNTIFS($B$2:$B578,$B578,$AK$2:$AK578,$AK578)</f>
        <v>18</v>
      </c>
      <c r="AM578" s="191">
        <f>IF(AK578=0, "NA",IF(((sim_annual_output!F578/E578)/AK578)&lt;0,100,((sim_annual_output!F578/E578)/AK578)))</f>
        <v>34.508095124015455</v>
      </c>
      <c r="AN578">
        <f>(S578+V578)*constants!$F$2+(T578+U578+W578+X578+Y578+Z578+AA578+AB578)*constants!$G$2</f>
        <v>46100.160390443736</v>
      </c>
      <c r="AO578">
        <f>(AD578*constants!$F$2+AE578*constants!$G$2)</f>
        <v>616.27040275543754</v>
      </c>
      <c r="AP578">
        <f t="shared" si="70"/>
        <v>1.3368075024814585</v>
      </c>
    </row>
    <row r="579" spans="1:42">
      <c r="A579">
        <f>sim_annual_output!B579</f>
        <v>27</v>
      </c>
      <c r="B579" t="str">
        <f>sim_annual_output!C579</f>
        <v>Vehicle Garage</v>
      </c>
      <c r="C579" t="str">
        <f>sim_annual_output!D579</f>
        <v>1959-pre</v>
      </c>
      <c r="D579" t="str">
        <f>sim_annual_output!E579</f>
        <v>exhaust_fans_occ_control</v>
      </c>
      <c r="E579" s="45">
        <f t="array" ref="E579">IFERROR(INDEX(baseline!$J$3:$J$201,MATCH($B579&amp;$C579,baseline!$C$3:$C$201&amp;baseline!$D$3:$D$201,0)),"NA")</f>
        <v>2270</v>
      </c>
      <c r="F579">
        <f>sim_annual_output!G579</f>
        <v>3744.59714816727</v>
      </c>
      <c r="G579">
        <f>$E579/$F579^2*sim_annual_output!I579</f>
        <v>0</v>
      </c>
      <c r="H579">
        <f>$E579/$F579^2*sim_annual_output!J579</f>
        <v>117.85842583040943</v>
      </c>
      <c r="I579">
        <f>$E579/$F579^2*sim_annual_output!K579</f>
        <v>0</v>
      </c>
      <c r="J579">
        <f>$E579/$F579^2*sim_annual_output!L579</f>
        <v>0.74873431445786043</v>
      </c>
      <c r="K579">
        <f>$E579/$F579^2*sim_annual_output!M579</f>
        <v>0</v>
      </c>
      <c r="L579">
        <f>$E579/$F579^2*sim_annual_output!N579</f>
        <v>10.344675177050222</v>
      </c>
      <c r="M579">
        <f>$E579/$F579^2*sim_annual_output!O579</f>
        <v>2.2309134738891565</v>
      </c>
      <c r="N579">
        <f>$E579/$F579^2*sim_annual_output!P579</f>
        <v>0</v>
      </c>
      <c r="O579">
        <f>$E579/$F579^2*sim_annual_output!Q579</f>
        <v>7.078124990730764</v>
      </c>
      <c r="P579">
        <f>$E579/$F579^2*sim_annual_output!R579</f>
        <v>7.6002154045959749</v>
      </c>
      <c r="Q579">
        <f>$E579/$F579^2*sim_annual_output!S579</f>
        <v>0</v>
      </c>
      <c r="R579">
        <f t="array" ref="R579">INDEX(G$3:G$700,MATCH($B579&amp;$C579&amp;"baseline",$B$3:$B$700&amp;$C$3:$C$700&amp;$D$3:$D$700,0))</f>
        <v>0</v>
      </c>
      <c r="S579">
        <f t="array" ref="S579">INDEX(H$3:H$700,MATCH($B579&amp;$C579&amp;"baseline",$B$3:$B$700&amp;$C$3:$C$700&amp;$D$3:$D$700,0))</f>
        <v>121.24594271583724</v>
      </c>
      <c r="T579">
        <f t="array" ref="T579">INDEX(I$3:I$700,MATCH($B579&amp;$C579&amp;"baseline",$B$3:$B$700&amp;$C$3:$C$700&amp;$D$3:$D$700,0))</f>
        <v>0</v>
      </c>
      <c r="U579">
        <f t="array" ref="U579">INDEX(J$3:J$700,MATCH($B579&amp;$C579&amp;"baseline",$B$3:$B$700&amp;$C$3:$C$700&amp;$D$3:$D$700,0))</f>
        <v>0.74873431452475192</v>
      </c>
      <c r="V579">
        <f t="array" ref="V579">INDEX(K$3:K$700,MATCH($B579&amp;$C579&amp;"baseline",$B$3:$B$700&amp;$C$3:$C$700&amp;$D$3:$D$700,0))</f>
        <v>0</v>
      </c>
      <c r="W579">
        <f t="array" ref="W579">INDEX(L$3:L$700,MATCH($B579&amp;$C579&amp;"baseline",$B$3:$B$700&amp;$C$3:$C$700&amp;$D$3:$D$700,0))</f>
        <v>10.344675177974409</v>
      </c>
      <c r="X579">
        <f t="array" ref="X579">INDEX(M$3:M$700,MATCH($B579&amp;$C579&amp;"baseline",$B$3:$B$700&amp;$C$3:$C$700&amp;$D$3:$D$700,0))</f>
        <v>2.2309134740884651</v>
      </c>
      <c r="Y579">
        <f t="array" ref="Y579">INDEX(N$3:N$700,MATCH($B579&amp;$C579&amp;"baseline",$B$3:$B$700&amp;$C$3:$C$700&amp;$D$3:$D$700,0))</f>
        <v>0</v>
      </c>
      <c r="Z579">
        <f t="array" ref="Z579">INDEX(O$3:O$700,MATCH($B579&amp;$C579&amp;"baseline",$B$3:$B$700&amp;$C$3:$C$700&amp;$D$3:$D$700,0))</f>
        <v>7.1509748165601223</v>
      </c>
      <c r="AA579">
        <f t="array" ref="AA579">INDEX(P$3:P$700,MATCH($B579&amp;$C579&amp;"baseline",$B$3:$B$700&amp;$C$3:$C$700&amp;$D$3:$D$700,0))</f>
        <v>7.5673880149084232</v>
      </c>
      <c r="AB579">
        <f t="array" ref="AB579">INDEX(Q$3:Q$700,MATCH($B579&amp;$C579&amp;"baseline",$B$3:$B$700&amp;$C$3:$C$700&amp;$D$3:$D$700,0))</f>
        <v>0</v>
      </c>
      <c r="AC579">
        <f t="shared" ref="AC579" si="74">SUM(R579:AB579)</f>
        <v>149.2886285138934</v>
      </c>
      <c r="AD579">
        <f t="shared" si="71"/>
        <v>3.3875168854278144</v>
      </c>
      <c r="AE579">
        <f t="shared" si="72"/>
        <v>4.0022437332194016E-2</v>
      </c>
      <c r="AF579">
        <f t="shared" ref="AF579" si="75">(AD579+AE579)/AC579*100</f>
        <v>2.2959145360766895</v>
      </c>
      <c r="AG579">
        <f>(S579+V579+Y579)*constants!$O$2+(R579+T579+U579+W579+X579+Z579+AA579+AB579)*constants!$N$2</f>
        <v>5.1330077671769105</v>
      </c>
      <c r="AH579">
        <f>((S579+V579+Y579)-(H579+K579+N579))*constants!$O$2</f>
        <v>5.4877773543930593E-2</v>
      </c>
      <c r="AI579">
        <f>((R579+T579+U579+W579+X579+Z579+AA579+AB579)-(G579+I579+J579+L579+M579+O579+P579+Q579))*constants!$N$2</f>
        <v>4.5225354185379242E-3</v>
      </c>
      <c r="AJ579">
        <f t="shared" ref="AJ579" si="76">(AH579+AI579)/AG579*100</f>
        <v>1.1572222692181495</v>
      </c>
      <c r="AK579">
        <f t="shared" si="73"/>
        <v>5.940030896246852E-2</v>
      </c>
      <c r="AL579">
        <f>COUNTIFS($B:$B,$B579,$AK:$AK,"&lt;"&amp;$AK579)+COUNTIFS($B$2:$B579,$B579,$AK$2:$AK579,$AK579)</f>
        <v>20</v>
      </c>
      <c r="AM579" s="191">
        <f>IF(AK579=0, "NA",IF(((sim_annual_output!F579/E579)/AK579)&lt;0,100,((sim_annual_output!F579/E579)/AK579)))</f>
        <v>5.429005120184744</v>
      </c>
      <c r="AN579">
        <f>(S579+V579)*constants!$F$2+(T579+U579+W579+X579+Y579+Z579+AA579+AB579)*constants!$G$2</f>
        <v>46100.160390443736</v>
      </c>
      <c r="AO579">
        <f>(AD579*constants!$F$2+AE579*constants!$G$2)</f>
        <v>641.18504297058757</v>
      </c>
      <c r="AP579">
        <f t="shared" ref="AP579" si="77">AO579/AN579*100</f>
        <v>1.3908520871513086</v>
      </c>
    </row>
    <row r="580" spans="1:42">
      <c r="A580">
        <f>sim_annual_output!B580</f>
        <v>27</v>
      </c>
      <c r="B580" t="str">
        <f>sim_annual_output!C580</f>
        <v>Vehicle Garage</v>
      </c>
      <c r="C580" t="str">
        <f>sim_annual_output!D580</f>
        <v>1959-pre</v>
      </c>
      <c r="D580" t="str">
        <f>sim_annual_output!E580</f>
        <v>fans_to_variable</v>
      </c>
      <c r="E580" s="45">
        <f t="array" ref="E580">IFERROR(INDEX(baseline!$J$3:$J$201,MATCH($B580&amp;$C580,baseline!$C$3:$C$201&amp;baseline!$D$3:$D$201,0)),"NA")</f>
        <v>2270</v>
      </c>
      <c r="F580">
        <f>sim_annual_output!G580</f>
        <v>3744.59714816727</v>
      </c>
      <c r="G580">
        <f>$E580/$F580^2*sim_annual_output!I580</f>
        <v>0</v>
      </c>
      <c r="H580">
        <f>$E580/$F580^2*sim_annual_output!J580</f>
        <v>117.97219747098471</v>
      </c>
      <c r="I580">
        <f>$E580/$F580^2*sim_annual_output!K580</f>
        <v>0</v>
      </c>
      <c r="J580">
        <f>$E580/$F580^2*sim_annual_output!L580</f>
        <v>0.74873431445786043</v>
      </c>
      <c r="K580">
        <f>$E580/$F580^2*sim_annual_output!M580</f>
        <v>0</v>
      </c>
      <c r="L580">
        <f>$E580/$F580^2*sim_annual_output!N580</f>
        <v>10.344675177050222</v>
      </c>
      <c r="M580">
        <f>$E580/$F580^2*sim_annual_output!O580</f>
        <v>2.2309134738891565</v>
      </c>
      <c r="N580">
        <f>$E580/$F580^2*sim_annual_output!P580</f>
        <v>0</v>
      </c>
      <c r="O580">
        <f>$E580/$F580^2*sim_annual_output!Q580</f>
        <v>7.0776753004517943</v>
      </c>
      <c r="P580">
        <f>$E580/$F580^2*sim_annual_output!R580</f>
        <v>7.6002154045959749</v>
      </c>
      <c r="Q580">
        <f>$E580/$F580^2*sim_annual_output!S580</f>
        <v>0</v>
      </c>
      <c r="R580">
        <f t="array" ref="R580">INDEX(G$3:G$700,MATCH($B580&amp;$C580&amp;"baseline",$B$3:$B$700&amp;$C$3:$C$700&amp;$D$3:$D$700,0))</f>
        <v>0</v>
      </c>
      <c r="S580">
        <f t="array" ref="S580">INDEX(H$3:H$700,MATCH($B580&amp;$C580&amp;"baseline",$B$3:$B$700&amp;$C$3:$C$700&amp;$D$3:$D$700,0))</f>
        <v>121.24594271583724</v>
      </c>
      <c r="T580">
        <f t="array" ref="T580">INDEX(I$3:I$700,MATCH($B580&amp;$C580&amp;"baseline",$B$3:$B$700&amp;$C$3:$C$700&amp;$D$3:$D$700,0))</f>
        <v>0</v>
      </c>
      <c r="U580">
        <f t="array" ref="U580">INDEX(J$3:J$700,MATCH($B580&amp;$C580&amp;"baseline",$B$3:$B$700&amp;$C$3:$C$700&amp;$D$3:$D$700,0))</f>
        <v>0.74873431452475192</v>
      </c>
      <c r="V580">
        <f t="array" ref="V580">INDEX(K$3:K$700,MATCH($B580&amp;$C580&amp;"baseline",$B$3:$B$700&amp;$C$3:$C$700&amp;$D$3:$D$700,0))</f>
        <v>0</v>
      </c>
      <c r="W580">
        <f t="array" ref="W580">INDEX(L$3:L$700,MATCH($B580&amp;$C580&amp;"baseline",$B$3:$B$700&amp;$C$3:$C$700&amp;$D$3:$D$700,0))</f>
        <v>10.344675177974409</v>
      </c>
      <c r="X580">
        <f t="array" ref="X580">INDEX(M$3:M$700,MATCH($B580&amp;$C580&amp;"baseline",$B$3:$B$700&amp;$C$3:$C$700&amp;$D$3:$D$700,0))</f>
        <v>2.2309134740884651</v>
      </c>
      <c r="Y580">
        <f t="array" ref="Y580">INDEX(N$3:N$700,MATCH($B580&amp;$C580&amp;"baseline",$B$3:$B$700&amp;$C$3:$C$700&amp;$D$3:$D$700,0))</f>
        <v>0</v>
      </c>
      <c r="Z580">
        <f t="array" ref="Z580">INDEX(O$3:O$700,MATCH($B580&amp;$C580&amp;"baseline",$B$3:$B$700&amp;$C$3:$C$700&amp;$D$3:$D$700,0))</f>
        <v>7.1509748165601223</v>
      </c>
      <c r="AA580">
        <f t="array" ref="AA580">INDEX(P$3:P$700,MATCH($B580&amp;$C580&amp;"baseline",$B$3:$B$700&amp;$C$3:$C$700&amp;$D$3:$D$700,0))</f>
        <v>7.5673880149084232</v>
      </c>
      <c r="AB580">
        <f t="array" ref="AB580">INDEX(Q$3:Q$700,MATCH($B580&amp;$C580&amp;"baseline",$B$3:$B$700&amp;$C$3:$C$700&amp;$D$3:$D$700,0))</f>
        <v>0</v>
      </c>
      <c r="AC580">
        <f t="shared" ref="AC580:AC611" si="78">SUM(R580:AB580)</f>
        <v>149.2886285138934</v>
      </c>
      <c r="AD580">
        <f t="shared" ref="AD580:AD611" si="79">(S580+V580+Y580)-(H580+K580+N580)</f>
        <v>3.2737452448525346</v>
      </c>
      <c r="AE580">
        <f t="shared" ref="AE580:AE611" si="80">(R580+T580+U580+W580+X580+Z580+AA580+AB580)-(G580+I580+J580+L580+M580+O580+P580+Q580)</f>
        <v>4.04721276111637E-2</v>
      </c>
      <c r="AF580">
        <f t="shared" ref="AF580:AF611" si="81">(AD580+AE580)/AC580*100</f>
        <v>2.220006577497136</v>
      </c>
      <c r="AG580">
        <f>(S580+V580+Y580)*constants!$O$2+(R580+T580+U580+W580+X580+Z580+AA580+AB580)*constants!$N$2</f>
        <v>5.1330077671769105</v>
      </c>
      <c r="AH580">
        <f>((S580+V580+Y580)-(H580+K580+N580))*constants!$O$2</f>
        <v>5.303467296661106E-2</v>
      </c>
      <c r="AI580">
        <f>((R580+T580+U580+W580+X580+Z580+AA580+AB580)-(G580+I580+J580+L580+M580+O580+P580+Q580))*constants!$N$2</f>
        <v>4.5733504200614981E-3</v>
      </c>
      <c r="AJ580">
        <f t="shared" ref="AJ580:AJ611" si="82">(AH580+AI580)/AG580*100</f>
        <v>1.1223054006473139</v>
      </c>
      <c r="AK580">
        <f t="shared" ref="AK580:AK611" si="83">AH580+AI580</f>
        <v>5.7608023386672556E-2</v>
      </c>
      <c r="AL580">
        <f>COUNTIFS($B:$B,$B580,$AK:$AK,"&lt;"&amp;$AK580)+COUNTIFS($B$2:$B580,$B580,$AK$2:$AK580,$AK580)</f>
        <v>19</v>
      </c>
      <c r="AM580" s="191">
        <f>IF(AK580=0, "NA",IF(((sim_annual_output!F580/E580)/AK580)&lt;0,100,((sim_annual_output!F580/E580)/AK580)))</f>
        <v>23.163761291475883</v>
      </c>
      <c r="AN580">
        <f>(S580+V580)*constants!$F$2+(T580+U580+W580+X580+Y580+Z580+AA580+AB580)*constants!$G$2</f>
        <v>46100.160390443736</v>
      </c>
      <c r="AO580">
        <f>(AD580*constants!$F$2+AE580*constants!$G$2)</f>
        <v>621.21114985031613</v>
      </c>
      <c r="AP580">
        <f t="shared" ref="AP580:AP611" si="84">AO580/AN580*100</f>
        <v>1.3475249209308373</v>
      </c>
    </row>
    <row r="581" spans="1:42">
      <c r="A581">
        <f>sim_annual_output!B581</f>
        <v>27</v>
      </c>
      <c r="B581" t="str">
        <f>sim_annual_output!C581</f>
        <v>Vehicle Garage</v>
      </c>
      <c r="C581" t="str">
        <f>sim_annual_output!D581</f>
        <v>1959-pre</v>
      </c>
      <c r="D581" t="str">
        <f>sim_annual_output!E581</f>
        <v>hrv_enabled</v>
      </c>
      <c r="E581" s="45">
        <f t="array" ref="E581">IFERROR(INDEX(baseline!$J$3:$J$201,MATCH($B581&amp;$C581,baseline!$C$3:$C$201&amp;baseline!$D$3:$D$201,0)),"NA")</f>
        <v>2270</v>
      </c>
      <c r="F581">
        <f>sim_annual_output!G581</f>
        <v>3744.59714816727</v>
      </c>
      <c r="G581">
        <f>$E581/$F581^2*sim_annual_output!I581</f>
        <v>0</v>
      </c>
      <c r="H581">
        <f>$E581/$F581^2*sim_annual_output!J581</f>
        <v>104.89745261040676</v>
      </c>
      <c r="I581">
        <f>$E581/$F581^2*sim_annual_output!K581</f>
        <v>0</v>
      </c>
      <c r="J581">
        <f>$E581/$F581^2*sim_annual_output!L581</f>
        <v>0.74873431445786043</v>
      </c>
      <c r="K581">
        <f>$E581/$F581^2*sim_annual_output!M581</f>
        <v>0</v>
      </c>
      <c r="L581">
        <f>$E581/$F581^2*sim_annual_output!N581</f>
        <v>10.344675177050222</v>
      </c>
      <c r="M581">
        <f>$E581/$F581^2*sim_annual_output!O581</f>
        <v>2.2309134738891565</v>
      </c>
      <c r="N581">
        <f>$E581/$F581^2*sim_annual_output!P581</f>
        <v>0</v>
      </c>
      <c r="O581">
        <f>$E581/$F581^2*sim_annual_output!Q581</f>
        <v>7.119946186673455</v>
      </c>
      <c r="P581">
        <f>$E581/$F581^2*sim_annual_output!R581</f>
        <v>7.601564475432836</v>
      </c>
      <c r="Q581">
        <f>$E581/$F581^2*sim_annual_output!S581</f>
        <v>2.1270350194508585</v>
      </c>
      <c r="R581">
        <f t="array" ref="R581">INDEX(G$3:G$700,MATCH($B581&amp;$C581&amp;"baseline",$B$3:$B$700&amp;$C$3:$C$700&amp;$D$3:$D$700,0))</f>
        <v>0</v>
      </c>
      <c r="S581">
        <f t="array" ref="S581">INDEX(H$3:H$700,MATCH($B581&amp;$C581&amp;"baseline",$B$3:$B$700&amp;$C$3:$C$700&amp;$D$3:$D$700,0))</f>
        <v>121.24594271583724</v>
      </c>
      <c r="T581">
        <f t="array" ref="T581">INDEX(I$3:I$700,MATCH($B581&amp;$C581&amp;"baseline",$B$3:$B$700&amp;$C$3:$C$700&amp;$D$3:$D$700,0))</f>
        <v>0</v>
      </c>
      <c r="U581">
        <f t="array" ref="U581">INDEX(J$3:J$700,MATCH($B581&amp;$C581&amp;"baseline",$B$3:$B$700&amp;$C$3:$C$700&amp;$D$3:$D$700,0))</f>
        <v>0.74873431452475192</v>
      </c>
      <c r="V581">
        <f t="array" ref="V581">INDEX(K$3:K$700,MATCH($B581&amp;$C581&amp;"baseline",$B$3:$B$700&amp;$C$3:$C$700&amp;$D$3:$D$700,0))</f>
        <v>0</v>
      </c>
      <c r="W581">
        <f t="array" ref="W581">INDEX(L$3:L$700,MATCH($B581&amp;$C581&amp;"baseline",$B$3:$B$700&amp;$C$3:$C$700&amp;$D$3:$D$700,0))</f>
        <v>10.344675177974409</v>
      </c>
      <c r="X581">
        <f t="array" ref="X581">INDEX(M$3:M$700,MATCH($B581&amp;$C581&amp;"baseline",$B$3:$B$700&amp;$C$3:$C$700&amp;$D$3:$D$700,0))</f>
        <v>2.2309134740884651</v>
      </c>
      <c r="Y581">
        <f t="array" ref="Y581">INDEX(N$3:N$700,MATCH($B581&amp;$C581&amp;"baseline",$B$3:$B$700&amp;$C$3:$C$700&amp;$D$3:$D$700,0))</f>
        <v>0</v>
      </c>
      <c r="Z581">
        <f t="array" ref="Z581">INDEX(O$3:O$700,MATCH($B581&amp;$C581&amp;"baseline",$B$3:$B$700&amp;$C$3:$C$700&amp;$D$3:$D$700,0))</f>
        <v>7.1509748165601223</v>
      </c>
      <c r="AA581">
        <f t="array" ref="AA581">INDEX(P$3:P$700,MATCH($B581&amp;$C581&amp;"baseline",$B$3:$B$700&amp;$C$3:$C$700&amp;$D$3:$D$700,0))</f>
        <v>7.5673880149084232</v>
      </c>
      <c r="AB581">
        <f t="array" ref="AB581">INDEX(Q$3:Q$700,MATCH($B581&amp;$C581&amp;"baseline",$B$3:$B$700&amp;$C$3:$C$700&amp;$D$3:$D$700,0))</f>
        <v>0</v>
      </c>
      <c r="AC581">
        <f t="shared" si="78"/>
        <v>149.2886285138934</v>
      </c>
      <c r="AD581">
        <f t="shared" si="79"/>
        <v>16.348490105430486</v>
      </c>
      <c r="AE581">
        <f t="shared" si="80"/>
        <v>-2.1301828488982189</v>
      </c>
      <c r="AF581">
        <f t="shared" si="81"/>
        <v>9.5240390363751342</v>
      </c>
      <c r="AG581">
        <f>(S581+V581+Y581)*constants!$O$2+(R581+T581+U581+W581+X581+Z581+AA581+AB581)*constants!$N$2</f>
        <v>5.1330077671769105</v>
      </c>
      <c r="AH581">
        <f>((S581+V581+Y581)-(H581+K581+N581))*constants!$O$2</f>
        <v>0.26484553970797386</v>
      </c>
      <c r="AI581">
        <f>((R581+T581+U581+W581+X581+Z581+AA581+AB581)-(G581+I581+J581+L581+M581+O581+P581+Q581))*constants!$N$2</f>
        <v>-0.24071066192549873</v>
      </c>
      <c r="AJ581">
        <f t="shared" si="82"/>
        <v>0.47018977716741345</v>
      </c>
      <c r="AK581">
        <f t="shared" si="83"/>
        <v>2.4134877782475139E-2</v>
      </c>
      <c r="AL581">
        <f>COUNTIFS($B:$B,$B581,$AK:$AK,"&lt;"&amp;$AK581)+COUNTIFS($B$2:$B581,$B581,$AK$2:$AK581,$AK581)</f>
        <v>12</v>
      </c>
      <c r="AM581" s="191">
        <f>IF(AK581=0, "NA",IF(((sim_annual_output!F581/E581)/AK581)&lt;0,100,((sim_annual_output!F581/E581)/AK581)))</f>
        <v>2904.1238427030667</v>
      </c>
      <c r="AN581">
        <f>(S581+V581)*constants!$F$2+(T581+U581+W581+X581+Y581+Z581+AA581+AB581)*constants!$G$2</f>
        <v>46100.160390443736</v>
      </c>
      <c r="AO581">
        <f>(AD581*constants!$F$2+AE581*constants!$G$2)</f>
        <v>1073.1206503306066</v>
      </c>
      <c r="AP581">
        <f t="shared" si="84"/>
        <v>2.3278024224684857</v>
      </c>
    </row>
    <row r="582" spans="1:42">
      <c r="A582">
        <f>sim_annual_output!B582</f>
        <v>27</v>
      </c>
      <c r="B582" t="str">
        <f>sim_annual_output!C582</f>
        <v>Vehicle Garage</v>
      </c>
      <c r="C582" t="str">
        <f>sim_annual_output!D582</f>
        <v>1959-pre</v>
      </c>
      <c r="D582" t="str">
        <f>sim_annual_output!E582</f>
        <v>infil_reduce</v>
      </c>
      <c r="E582" s="45">
        <f t="array" ref="E582">IFERROR(INDEX(baseline!$J$3:$J$201,MATCH($B582&amp;$C582,baseline!$C$3:$C$201&amp;baseline!$D$3:$D$201,0)),"NA")</f>
        <v>2270</v>
      </c>
      <c r="F582">
        <f>sim_annual_output!G582</f>
        <v>3744.59714816727</v>
      </c>
      <c r="G582">
        <f>$E582/$F582^2*sim_annual_output!I582</f>
        <v>0</v>
      </c>
      <c r="H582">
        <f>$E582/$F582^2*sim_annual_output!J582</f>
        <v>74.283437799798818</v>
      </c>
      <c r="I582">
        <f>$E582/$F582^2*sim_annual_output!K582</f>
        <v>0</v>
      </c>
      <c r="J582">
        <f>$E582/$F582^2*sim_annual_output!L582</f>
        <v>0.74873431445786043</v>
      </c>
      <c r="K582">
        <f>$E582/$F582^2*sim_annual_output!M582</f>
        <v>0</v>
      </c>
      <c r="L582">
        <f>$E582/$F582^2*sim_annual_output!N582</f>
        <v>10.344675177050222</v>
      </c>
      <c r="M582">
        <f>$E582/$F582^2*sim_annual_output!O582</f>
        <v>2.2309134738891565</v>
      </c>
      <c r="N582">
        <f>$E582/$F582^2*sim_annual_output!P582</f>
        <v>0</v>
      </c>
      <c r="O582">
        <f>$E582/$F582^2*sim_annual_output!Q582</f>
        <v>4.4739685853100619</v>
      </c>
      <c r="P582">
        <f>$E582/$F582^2*sim_annual_output!R582</f>
        <v>4.8885830225053457</v>
      </c>
      <c r="Q582">
        <f>$E582/$F582^2*sim_annual_output!S582</f>
        <v>0</v>
      </c>
      <c r="R582">
        <f t="array" ref="R582">INDEX(G$3:G$700,MATCH($B582&amp;$C582&amp;"baseline",$B$3:$B$700&amp;$C$3:$C$700&amp;$D$3:$D$700,0))</f>
        <v>0</v>
      </c>
      <c r="S582">
        <f t="array" ref="S582">INDEX(H$3:H$700,MATCH($B582&amp;$C582&amp;"baseline",$B$3:$B$700&amp;$C$3:$C$700&amp;$D$3:$D$700,0))</f>
        <v>121.24594271583724</v>
      </c>
      <c r="T582">
        <f t="array" ref="T582">INDEX(I$3:I$700,MATCH($B582&amp;$C582&amp;"baseline",$B$3:$B$700&amp;$C$3:$C$700&amp;$D$3:$D$700,0))</f>
        <v>0</v>
      </c>
      <c r="U582">
        <f t="array" ref="U582">INDEX(J$3:J$700,MATCH($B582&amp;$C582&amp;"baseline",$B$3:$B$700&amp;$C$3:$C$700&amp;$D$3:$D$700,0))</f>
        <v>0.74873431452475192</v>
      </c>
      <c r="V582">
        <f t="array" ref="V582">INDEX(K$3:K$700,MATCH($B582&amp;$C582&amp;"baseline",$B$3:$B$700&amp;$C$3:$C$700&amp;$D$3:$D$700,0))</f>
        <v>0</v>
      </c>
      <c r="W582">
        <f t="array" ref="W582">INDEX(L$3:L$700,MATCH($B582&amp;$C582&amp;"baseline",$B$3:$B$700&amp;$C$3:$C$700&amp;$D$3:$D$700,0))</f>
        <v>10.344675177974409</v>
      </c>
      <c r="X582">
        <f t="array" ref="X582">INDEX(M$3:M$700,MATCH($B582&amp;$C582&amp;"baseline",$B$3:$B$700&amp;$C$3:$C$700&amp;$D$3:$D$700,0))</f>
        <v>2.2309134740884651</v>
      </c>
      <c r="Y582">
        <f t="array" ref="Y582">INDEX(N$3:N$700,MATCH($B582&amp;$C582&amp;"baseline",$B$3:$B$700&amp;$C$3:$C$700&amp;$D$3:$D$700,0))</f>
        <v>0</v>
      </c>
      <c r="Z582">
        <f t="array" ref="Z582">INDEX(O$3:O$700,MATCH($B582&amp;$C582&amp;"baseline",$B$3:$B$700&amp;$C$3:$C$700&amp;$D$3:$D$700,0))</f>
        <v>7.1509748165601223</v>
      </c>
      <c r="AA582">
        <f t="array" ref="AA582">INDEX(P$3:P$700,MATCH($B582&amp;$C582&amp;"baseline",$B$3:$B$700&amp;$C$3:$C$700&amp;$D$3:$D$700,0))</f>
        <v>7.5673880149084232</v>
      </c>
      <c r="AB582">
        <f t="array" ref="AB582">INDEX(Q$3:Q$700,MATCH($B582&amp;$C582&amp;"baseline",$B$3:$B$700&amp;$C$3:$C$700&amp;$D$3:$D$700,0))</f>
        <v>0</v>
      </c>
      <c r="AC582">
        <f t="shared" si="78"/>
        <v>149.2886285138934</v>
      </c>
      <c r="AD582">
        <f t="shared" si="79"/>
        <v>46.962504916038426</v>
      </c>
      <c r="AE582">
        <f t="shared" si="80"/>
        <v>5.3558112248435243</v>
      </c>
      <c r="AF582">
        <f t="shared" si="81"/>
        <v>35.045077888174845</v>
      </c>
      <c r="AG582">
        <f>(S582+V582+Y582)*constants!$O$2+(R582+T582+U582+W582+X582+Z582+AA582+AB582)*constants!$N$2</f>
        <v>5.1330077671769105</v>
      </c>
      <c r="AH582">
        <f>((S582+V582+Y582)-(H582+K582+N582))*constants!$O$2</f>
        <v>0.7607925796398225</v>
      </c>
      <c r="AI582">
        <f>((R582+T582+U582+W582+X582+Z582+AA582+AB582)-(G582+I582+J582+L582+M582+O582+P582+Q582))*constants!$N$2</f>
        <v>0.60520666840731829</v>
      </c>
      <c r="AJ582">
        <f t="shared" si="82"/>
        <v>26.612062751629601</v>
      </c>
      <c r="AK582">
        <f t="shared" si="83"/>
        <v>1.3659992480471408</v>
      </c>
      <c r="AL582">
        <f>COUNTIFS($B:$B,$B582,$AK:$AK,"&lt;"&amp;$AK582)+COUNTIFS($B$2:$B582,$B582,$AK$2:$AK582,$AK582)</f>
        <v>40</v>
      </c>
      <c r="AM582" s="191">
        <f>IF(AK582=0, "NA",IF(((sim_annual_output!F582/E582)/AK582)&lt;0,100,((sim_annual_output!F582/E582)/AK582)))</f>
        <v>21.055513038599415</v>
      </c>
      <c r="AN582">
        <f>(S582+V582)*constants!$F$2+(T582+U582+W582+X582+Y582+Z582+AA582+AB582)*constants!$G$2</f>
        <v>46100.160390443736</v>
      </c>
      <c r="AO582">
        <f>(AD582*constants!$F$2+AE582*constants!$G$2)</f>
        <v>13065.844145584744</v>
      </c>
      <c r="AP582">
        <f t="shared" si="84"/>
        <v>28.342296501626073</v>
      </c>
    </row>
    <row r="583" spans="1:42">
      <c r="A583">
        <f>sim_annual_output!B583</f>
        <v>27</v>
      </c>
      <c r="B583" t="str">
        <f>sim_annual_output!C583</f>
        <v>Vehicle Garage</v>
      </c>
      <c r="C583" t="str">
        <f>sim_annual_output!D583</f>
        <v>1959-pre</v>
      </c>
      <c r="D583" t="str">
        <f>sim_annual_output!E583</f>
        <v>infil_reduce_plus_setback</v>
      </c>
      <c r="E583" s="45">
        <f t="array" ref="E583">IFERROR(INDEX(baseline!$J$3:$J$201,MATCH($B583&amp;$C583,baseline!$C$3:$C$201&amp;baseline!$D$3:$D$201,0)),"NA")</f>
        <v>2270</v>
      </c>
      <c r="F583">
        <f>sim_annual_output!G583</f>
        <v>3744.5971479999998</v>
      </c>
      <c r="G583">
        <f>$E583/$F583^2*sim_annual_output!I583</f>
        <v>0</v>
      </c>
      <c r="H583">
        <f>$E583/$F583^2*sim_annual_output!J583</f>
        <v>67.790359864805367</v>
      </c>
      <c r="I583">
        <f>$E583/$F583^2*sim_annual_output!K583</f>
        <v>0</v>
      </c>
      <c r="J583">
        <f>$E583/$F583^2*sim_annual_output!L583</f>
        <v>0.7491840048037457</v>
      </c>
      <c r="K583">
        <f>$E583/$F583^2*sim_annual_output!M583</f>
        <v>0</v>
      </c>
      <c r="L583">
        <f>$E583/$F583^2*sim_annual_output!N583</f>
        <v>10.344675177974409</v>
      </c>
      <c r="M583">
        <f>$E583/$F583^2*sim_annual_output!O583</f>
        <v>2.2309134740884651</v>
      </c>
      <c r="N583">
        <f>$E583/$F583^2*sim_annual_output!P583</f>
        <v>0</v>
      </c>
      <c r="O583">
        <f>$E583/$F583^2*sim_annual_output!Q583</f>
        <v>5.2829613976196903</v>
      </c>
      <c r="P583">
        <f>$E583/$F583^2*sim_annual_output!R583</f>
        <v>7.0151683523039812E-2</v>
      </c>
      <c r="Q583">
        <f>$E583/$F583^2*sim_annual_output!S583</f>
        <v>0</v>
      </c>
      <c r="R583">
        <f t="array" ref="R583">INDEX(G$3:G$700,MATCH($B583&amp;$C583&amp;"baseline",$B$3:$B$700&amp;$C$3:$C$700&amp;$D$3:$D$700,0))</f>
        <v>0</v>
      </c>
      <c r="S583">
        <f t="array" ref="S583">INDEX(H$3:H$700,MATCH($B583&amp;$C583&amp;"baseline",$B$3:$B$700&amp;$C$3:$C$700&amp;$D$3:$D$700,0))</f>
        <v>121.24594271583724</v>
      </c>
      <c r="T583">
        <f t="array" ref="T583">INDEX(I$3:I$700,MATCH($B583&amp;$C583&amp;"baseline",$B$3:$B$700&amp;$C$3:$C$700&amp;$D$3:$D$700,0))</f>
        <v>0</v>
      </c>
      <c r="U583">
        <f t="array" ref="U583">INDEX(J$3:J$700,MATCH($B583&amp;$C583&amp;"baseline",$B$3:$B$700&amp;$C$3:$C$700&amp;$D$3:$D$700,0))</f>
        <v>0.74873431452475192</v>
      </c>
      <c r="V583">
        <f t="array" ref="V583">INDEX(K$3:K$700,MATCH($B583&amp;$C583&amp;"baseline",$B$3:$B$700&amp;$C$3:$C$700&amp;$D$3:$D$700,0))</f>
        <v>0</v>
      </c>
      <c r="W583">
        <f t="array" ref="W583">INDEX(L$3:L$700,MATCH($B583&amp;$C583&amp;"baseline",$B$3:$B$700&amp;$C$3:$C$700&amp;$D$3:$D$700,0))</f>
        <v>10.344675177974409</v>
      </c>
      <c r="X583">
        <f t="array" ref="X583">INDEX(M$3:M$700,MATCH($B583&amp;$C583&amp;"baseline",$B$3:$B$700&amp;$C$3:$C$700&amp;$D$3:$D$700,0))</f>
        <v>2.2309134740884651</v>
      </c>
      <c r="Y583">
        <f t="array" ref="Y583">INDEX(N$3:N$700,MATCH($B583&amp;$C583&amp;"baseline",$B$3:$B$700&amp;$C$3:$C$700&amp;$D$3:$D$700,0))</f>
        <v>0</v>
      </c>
      <c r="Z583">
        <f t="array" ref="Z583">INDEX(O$3:O$700,MATCH($B583&amp;$C583&amp;"baseline",$B$3:$B$700&amp;$C$3:$C$700&amp;$D$3:$D$700,0))</f>
        <v>7.1509748165601223</v>
      </c>
      <c r="AA583">
        <f t="array" ref="AA583">INDEX(P$3:P$700,MATCH($B583&amp;$C583&amp;"baseline",$B$3:$B$700&amp;$C$3:$C$700&amp;$D$3:$D$700,0))</f>
        <v>7.5673880149084232</v>
      </c>
      <c r="AB583">
        <f t="array" ref="AB583">INDEX(Q$3:Q$700,MATCH($B583&amp;$C583&amp;"baseline",$B$3:$B$700&amp;$C$3:$C$700&amp;$D$3:$D$700,0))</f>
        <v>0</v>
      </c>
      <c r="AC583">
        <f t="shared" si="78"/>
        <v>149.2886285138934</v>
      </c>
      <c r="AD583">
        <f t="shared" si="79"/>
        <v>53.455582851031878</v>
      </c>
      <c r="AE583">
        <f t="shared" si="80"/>
        <v>9.3648000600468215</v>
      </c>
      <c r="AF583">
        <f t="shared" si="81"/>
        <v>42.079817824324358</v>
      </c>
      <c r="AG583">
        <f>(S583+V583+Y583)*constants!$O$2+(R583+T583+U583+W583+X583+Z583+AA583+AB583)*constants!$N$2</f>
        <v>5.1330077671769105</v>
      </c>
      <c r="AH583">
        <f>((S583+V583+Y583)-(H583+K583+N583))*constants!$O$2</f>
        <v>0.86598044218671633</v>
      </c>
      <c r="AI583">
        <f>((R583+T583+U583+W583+X583+Z583+AA583+AB583)-(G583+I583+J583+L583+M583+O583+P583+Q583))*constants!$N$2</f>
        <v>1.0582224067852908</v>
      </c>
      <c r="AJ583">
        <f t="shared" si="82"/>
        <v>37.486848573975458</v>
      </c>
      <c r="AK583">
        <f t="shared" si="83"/>
        <v>1.9242028489720071</v>
      </c>
      <c r="AL583">
        <f>COUNTIFS($B:$B,$B583,$AK:$AK,"&lt;"&amp;$AK583)+COUNTIFS($B$2:$B583,$B583,$AK$2:$AK583,$AK583)</f>
        <v>42</v>
      </c>
      <c r="AM583" s="191">
        <f>IF(AK583=0, "NA",IF(((sim_annual_output!F583/E583)/AK583)&lt;0,100,((sim_annual_output!F583/E583)/AK583)))</f>
        <v>16.038306961048221</v>
      </c>
      <c r="AN583">
        <f>(S583+V583)*constants!$F$2+(T583+U583+W583+X583+Y583+Z583+AA583+AB583)*constants!$G$2</f>
        <v>46100.160390443736</v>
      </c>
      <c r="AO583">
        <f>(AD583*constants!$F$2+AE583*constants!$G$2)</f>
        <v>17715.925382575442</v>
      </c>
      <c r="AP583">
        <f t="shared" si="84"/>
        <v>38.429205522347466</v>
      </c>
    </row>
    <row r="584" spans="1:42">
      <c r="A584">
        <f>sim_annual_output!B584</f>
        <v>27</v>
      </c>
      <c r="B584" t="str">
        <f>sim_annual_output!C584</f>
        <v>Vehicle Garage</v>
      </c>
      <c r="C584" t="str">
        <f>sim_annual_output!D584</f>
        <v>1959-pre</v>
      </c>
      <c r="D584" t="str">
        <f>sim_annual_output!E584</f>
        <v>lights_reduce_70p</v>
      </c>
      <c r="E584" s="45">
        <f t="array" ref="E584">IFERROR(INDEX(baseline!$J$3:$J$201,MATCH($B584&amp;$C584,baseline!$C$3:$C$201&amp;baseline!$D$3:$D$201,0)),"NA")</f>
        <v>2270</v>
      </c>
      <c r="F584">
        <f>sim_annual_output!G584</f>
        <v>3744.59714816727</v>
      </c>
      <c r="G584">
        <f>$E584/$F584^2*sim_annual_output!I584</f>
        <v>0</v>
      </c>
      <c r="H584">
        <f>$E584/$F584^2*sim_annual_output!J584</f>
        <v>122.51361959813784</v>
      </c>
      <c r="I584">
        <f>$E584/$F584^2*sim_annual_output!K584</f>
        <v>0</v>
      </c>
      <c r="J584">
        <f>$E584/$F584^2*sim_annual_output!L584</f>
        <v>0.74873431445786043</v>
      </c>
      <c r="K584">
        <f>$E584/$F584^2*sim_annual_output!M584</f>
        <v>0</v>
      </c>
      <c r="L584">
        <f>$E584/$F584^2*sim_annual_output!N584</f>
        <v>7.2413625619909459</v>
      </c>
      <c r="M584">
        <f>$E584/$F584^2*sim_annual_output!O584</f>
        <v>2.2309134738891565</v>
      </c>
      <c r="N584">
        <f>$E584/$F584^2*sim_annual_output!P584</f>
        <v>0</v>
      </c>
      <c r="O584">
        <f>$E584/$F584^2*sim_annual_output!Q584</f>
        <v>7.1703114979162672</v>
      </c>
      <c r="P584">
        <f>$E584/$F584^2*sim_annual_output!R584</f>
        <v>7.6191023963120292</v>
      </c>
      <c r="Q584">
        <f>$E584/$F584^2*sim_annual_output!S584</f>
        <v>0</v>
      </c>
      <c r="R584">
        <f t="array" ref="R584">INDEX(G$3:G$700,MATCH($B584&amp;$C584&amp;"baseline",$B$3:$B$700&amp;$C$3:$C$700&amp;$D$3:$D$700,0))</f>
        <v>0</v>
      </c>
      <c r="S584">
        <f t="array" ref="S584">INDEX(H$3:H$700,MATCH($B584&amp;$C584&amp;"baseline",$B$3:$B$700&amp;$C$3:$C$700&amp;$D$3:$D$700,0))</f>
        <v>121.24594271583724</v>
      </c>
      <c r="T584">
        <f t="array" ref="T584">INDEX(I$3:I$700,MATCH($B584&amp;$C584&amp;"baseline",$B$3:$B$700&amp;$C$3:$C$700&amp;$D$3:$D$700,0))</f>
        <v>0</v>
      </c>
      <c r="U584">
        <f t="array" ref="U584">INDEX(J$3:J$700,MATCH($B584&amp;$C584&amp;"baseline",$B$3:$B$700&amp;$C$3:$C$700&amp;$D$3:$D$700,0))</f>
        <v>0.74873431452475192</v>
      </c>
      <c r="V584">
        <f t="array" ref="V584">INDEX(K$3:K$700,MATCH($B584&amp;$C584&amp;"baseline",$B$3:$B$700&amp;$C$3:$C$700&amp;$D$3:$D$700,0))</f>
        <v>0</v>
      </c>
      <c r="W584">
        <f t="array" ref="W584">INDEX(L$3:L$700,MATCH($B584&amp;$C584&amp;"baseline",$B$3:$B$700&amp;$C$3:$C$700&amp;$D$3:$D$700,0))</f>
        <v>10.344675177974409</v>
      </c>
      <c r="X584">
        <f t="array" ref="X584">INDEX(M$3:M$700,MATCH($B584&amp;$C584&amp;"baseline",$B$3:$B$700&amp;$C$3:$C$700&amp;$D$3:$D$700,0))</f>
        <v>2.2309134740884651</v>
      </c>
      <c r="Y584">
        <f t="array" ref="Y584">INDEX(N$3:N$700,MATCH($B584&amp;$C584&amp;"baseline",$B$3:$B$700&amp;$C$3:$C$700&amp;$D$3:$D$700,0))</f>
        <v>0</v>
      </c>
      <c r="Z584">
        <f t="array" ref="Z584">INDEX(O$3:O$700,MATCH($B584&amp;$C584&amp;"baseline",$B$3:$B$700&amp;$C$3:$C$700&amp;$D$3:$D$700,0))</f>
        <v>7.1509748165601223</v>
      </c>
      <c r="AA584">
        <f t="array" ref="AA584">INDEX(P$3:P$700,MATCH($B584&amp;$C584&amp;"baseline",$B$3:$B$700&amp;$C$3:$C$700&amp;$D$3:$D$700,0))</f>
        <v>7.5673880149084232</v>
      </c>
      <c r="AB584">
        <f t="array" ref="AB584">INDEX(Q$3:Q$700,MATCH($B584&amp;$C584&amp;"baseline",$B$3:$B$700&amp;$C$3:$C$700&amp;$D$3:$D$700,0))</f>
        <v>0</v>
      </c>
      <c r="AC584">
        <f t="shared" si="78"/>
        <v>149.2886285138934</v>
      </c>
      <c r="AD584">
        <f t="shared" si="79"/>
        <v>-1.2676768823005915</v>
      </c>
      <c r="AE584">
        <f t="shared" si="80"/>
        <v>3.0322615534899136</v>
      </c>
      <c r="AF584">
        <f t="shared" si="81"/>
        <v>1.181995366127369</v>
      </c>
      <c r="AG584">
        <f>(S584+V584+Y584)*constants!$O$2+(R584+T584+U584+W584+X584+Z584+AA584+AB584)*constants!$N$2</f>
        <v>5.1330077671769105</v>
      </c>
      <c r="AH584">
        <f>((S584+V584+Y584)-(H584+K584+N584))*constants!$O$2</f>
        <v>-2.0536365493269582E-2</v>
      </c>
      <c r="AI584">
        <f>((R584+T584+U584+W584+X584+Z584+AA584+AB584)-(G584+I584+J584+L584+M584+O584+P584+Q584))*constants!$N$2</f>
        <v>0.34264555554436021</v>
      </c>
      <c r="AJ584">
        <f t="shared" si="82"/>
        <v>6.2752523405637985</v>
      </c>
      <c r="AK584">
        <f t="shared" si="83"/>
        <v>0.32210919005109062</v>
      </c>
      <c r="AL584">
        <f>COUNTIFS($B:$B,$B584,$AK:$AK,"&lt;"&amp;$AK584)+COUNTIFS($B$2:$B584,$B584,$AK$2:$AK584,$AK584)</f>
        <v>32</v>
      </c>
      <c r="AM584" s="191">
        <f>IF(AK584=0, "NA",IF(((sim_annual_output!F584/E584)/AK584)&lt;0,100,((sim_annual_output!F584/E584)/AK584)))</f>
        <v>34.735341408452271</v>
      </c>
      <c r="AN584">
        <f>(S584+V584)*constants!$F$2+(T584+U584+W584+X584+Y584+Z584+AA584+AB584)*constants!$G$2</f>
        <v>46100.160390443736</v>
      </c>
      <c r="AO584">
        <f>(AD584*constants!$F$2+AE584*constants!$G$2)</f>
        <v>2411.1533896044193</v>
      </c>
      <c r="AP584">
        <f t="shared" si="84"/>
        <v>5.2302494594015245</v>
      </c>
    </row>
    <row r="585" spans="1:42">
      <c r="A585">
        <f>sim_annual_output!B585</f>
        <v>27</v>
      </c>
      <c r="B585" t="str">
        <f>sim_annual_output!C585</f>
        <v>Vehicle Garage</v>
      </c>
      <c r="C585" t="str">
        <f>sim_annual_output!D585</f>
        <v>1959-pre</v>
      </c>
      <c r="D585" t="str">
        <f>sim_annual_output!E585</f>
        <v>load_reduce</v>
      </c>
      <c r="E585" s="45">
        <f t="array" ref="E585">IFERROR(INDEX(baseline!$J$3:$J$201,MATCH($B585&amp;$C585,baseline!$C$3:$C$201&amp;baseline!$D$3:$D$201,0)),"NA")</f>
        <v>2270</v>
      </c>
      <c r="F585">
        <f>sim_annual_output!G585</f>
        <v>3744.5971479999998</v>
      </c>
      <c r="G585">
        <f>$E585/$F585^2*sim_annual_output!I585</f>
        <v>0</v>
      </c>
      <c r="H585">
        <f>$E585/$F585^2*sim_annual_output!J585</f>
        <v>42.612201143939991</v>
      </c>
      <c r="I585">
        <f>$E585/$F585^2*sim_annual_output!K585</f>
        <v>0</v>
      </c>
      <c r="J585">
        <f>$E585/$F585^2*sim_annual_output!L585</f>
        <v>0.7491840048037457</v>
      </c>
      <c r="K585">
        <f>$E585/$F585^2*sim_annual_output!M585</f>
        <v>0</v>
      </c>
      <c r="L585">
        <f>$E585/$F585^2*sim_annual_output!N585</f>
        <v>10.344675177974409</v>
      </c>
      <c r="M585">
        <f>$E585/$F585^2*sim_annual_output!O585</f>
        <v>2.2309134740884651</v>
      </c>
      <c r="N585">
        <f>$E585/$F585^2*sim_annual_output!P585</f>
        <v>0</v>
      </c>
      <c r="O585">
        <f>$E585/$F585^2*sim_annual_output!Q585</f>
        <v>5.2829613976196903</v>
      </c>
      <c r="P585">
        <f>$E585/$F585^2*sim_annual_output!R585</f>
        <v>7.0151683523039812E-2</v>
      </c>
      <c r="Q585">
        <f>$E585/$F585^2*sim_annual_output!S585</f>
        <v>0</v>
      </c>
      <c r="R585">
        <f t="array" ref="R585">INDEX(G$3:G$700,MATCH($B585&amp;$C585&amp;"baseline",$B$3:$B$700&amp;$C$3:$C$700&amp;$D$3:$D$700,0))</f>
        <v>0</v>
      </c>
      <c r="S585">
        <f t="array" ref="S585">INDEX(H$3:H$700,MATCH($B585&amp;$C585&amp;"baseline",$B$3:$B$700&amp;$C$3:$C$700&amp;$D$3:$D$700,0))</f>
        <v>121.24594271583724</v>
      </c>
      <c r="T585">
        <f t="array" ref="T585">INDEX(I$3:I$700,MATCH($B585&amp;$C585&amp;"baseline",$B$3:$B$700&amp;$C$3:$C$700&amp;$D$3:$D$700,0))</f>
        <v>0</v>
      </c>
      <c r="U585">
        <f t="array" ref="U585">INDEX(J$3:J$700,MATCH($B585&amp;$C585&amp;"baseline",$B$3:$B$700&amp;$C$3:$C$700&amp;$D$3:$D$700,0))</f>
        <v>0.74873431452475192</v>
      </c>
      <c r="V585">
        <f t="array" ref="V585">INDEX(K$3:K$700,MATCH($B585&amp;$C585&amp;"baseline",$B$3:$B$700&amp;$C$3:$C$700&amp;$D$3:$D$700,0))</f>
        <v>0</v>
      </c>
      <c r="W585">
        <f t="array" ref="W585">INDEX(L$3:L$700,MATCH($B585&amp;$C585&amp;"baseline",$B$3:$B$700&amp;$C$3:$C$700&amp;$D$3:$D$700,0))</f>
        <v>10.344675177974409</v>
      </c>
      <c r="X585">
        <f t="array" ref="X585">INDEX(M$3:M$700,MATCH($B585&amp;$C585&amp;"baseline",$B$3:$B$700&amp;$C$3:$C$700&amp;$D$3:$D$700,0))</f>
        <v>2.2309134740884651</v>
      </c>
      <c r="Y585">
        <f t="array" ref="Y585">INDEX(N$3:N$700,MATCH($B585&amp;$C585&amp;"baseline",$B$3:$B$700&amp;$C$3:$C$700&amp;$D$3:$D$700,0))</f>
        <v>0</v>
      </c>
      <c r="Z585">
        <f t="array" ref="Z585">INDEX(O$3:O$700,MATCH($B585&amp;$C585&amp;"baseline",$B$3:$B$700&amp;$C$3:$C$700&amp;$D$3:$D$700,0))</f>
        <v>7.1509748165601223</v>
      </c>
      <c r="AA585">
        <f t="array" ref="AA585">INDEX(P$3:P$700,MATCH($B585&amp;$C585&amp;"baseline",$B$3:$B$700&amp;$C$3:$C$700&amp;$D$3:$D$700,0))</f>
        <v>7.5673880149084232</v>
      </c>
      <c r="AB585">
        <f t="array" ref="AB585">INDEX(Q$3:Q$700,MATCH($B585&amp;$C585&amp;"baseline",$B$3:$B$700&amp;$C$3:$C$700&amp;$D$3:$D$700,0))</f>
        <v>0</v>
      </c>
      <c r="AC585">
        <f t="shared" si="78"/>
        <v>149.2886285138934</v>
      </c>
      <c r="AD585">
        <f t="shared" si="79"/>
        <v>78.633741571897247</v>
      </c>
      <c r="AE585">
        <f t="shared" si="80"/>
        <v>9.3648000600468215</v>
      </c>
      <c r="AF585">
        <f t="shared" si="81"/>
        <v>58.945240845155581</v>
      </c>
      <c r="AG585">
        <f>(S585+V585+Y585)*constants!$O$2+(R585+T585+U585+W585+X585+Z585+AA585+AB585)*constants!$N$2</f>
        <v>5.1330077671769105</v>
      </c>
      <c r="AH585">
        <f>((S585+V585+Y585)-(H585+K585+N585))*constants!$O$2</f>
        <v>1.2738666134647354</v>
      </c>
      <c r="AI585">
        <f>((R585+T585+U585+W585+X585+Z585+AA585+AB585)-(G585+I585+J585+L585+M585+O585+P585+Q585))*constants!$N$2</f>
        <v>1.0582224067852908</v>
      </c>
      <c r="AJ585">
        <f t="shared" si="82"/>
        <v>45.433187051899708</v>
      </c>
      <c r="AK585">
        <f t="shared" si="83"/>
        <v>2.3320890202500264</v>
      </c>
      <c r="AL585">
        <f>COUNTIFS($B:$B,$B585,$AK:$AK,"&lt;"&amp;$AK585)+COUNTIFS($B$2:$B585,$B585,$AK$2:$AK585,$AK585)</f>
        <v>43</v>
      </c>
      <c r="AM585" s="191">
        <f>IF(AK585=0, "NA",IF(((sim_annual_output!F585/E585)/AK585)&lt;0,100,((sim_annual_output!F585/E585)/AK585)))</f>
        <v>13.408692397954898</v>
      </c>
      <c r="AN585">
        <f>(S585+V585)*constants!$F$2+(T585+U585+W585+X585+Y585+Z585+AA585+AB585)*constants!$G$2</f>
        <v>46100.160390443736</v>
      </c>
      <c r="AO585">
        <f>(AD585*constants!$F$2+AE585*constants!$G$2)</f>
        <v>22222.815793610342</v>
      </c>
      <c r="AP585">
        <f t="shared" si="84"/>
        <v>48.205506456799633</v>
      </c>
    </row>
    <row r="586" spans="1:42">
      <c r="A586">
        <f>sim_annual_output!B586</f>
        <v>27</v>
      </c>
      <c r="B586" t="str">
        <f>sim_annual_output!C586</f>
        <v>Vehicle Garage</v>
      </c>
      <c r="C586" t="str">
        <f>sim_annual_output!D586</f>
        <v>1959-pre</v>
      </c>
      <c r="D586" t="str">
        <f>sim_annual_output!E586</f>
        <v>occupancy_setback</v>
      </c>
      <c r="E586" s="45">
        <f t="array" ref="E586">IFERROR(INDEX(baseline!$J$3:$J$201,MATCH($B586&amp;$C586,baseline!$C$3:$C$201&amp;baseline!$D$3:$D$201,0)),"NA")</f>
        <v>2270</v>
      </c>
      <c r="F586">
        <f>sim_annual_output!G586</f>
        <v>3744.59714816727</v>
      </c>
      <c r="G586">
        <f>$E586/$F586^2*sim_annual_output!I586</f>
        <v>0</v>
      </c>
      <c r="H586">
        <f>$E586/$F586^2*sim_annual_output!J586</f>
        <v>99.896447018163002</v>
      </c>
      <c r="I586">
        <f>$E586/$F586^2*sim_annual_output!K586</f>
        <v>0</v>
      </c>
      <c r="J586">
        <f>$E586/$F586^2*sim_annual_output!L586</f>
        <v>0.74873431445786043</v>
      </c>
      <c r="K586">
        <f>$E586/$F586^2*sim_annual_output!M586</f>
        <v>0</v>
      </c>
      <c r="L586">
        <f>$E586/$F586^2*sim_annual_output!N586</f>
        <v>10.344675177050222</v>
      </c>
      <c r="M586">
        <f>$E586/$F586^2*sim_annual_output!O586</f>
        <v>2.2309134738891565</v>
      </c>
      <c r="N586">
        <f>$E586/$F586^2*sim_annual_output!P586</f>
        <v>0</v>
      </c>
      <c r="O586">
        <f>$E586/$F586^2*sim_annual_output!Q586</f>
        <v>8.3219683023166162</v>
      </c>
      <c r="P586">
        <f>$E586/$F586^2*sim_annual_output!R586</f>
        <v>8.6183141961470842</v>
      </c>
      <c r="Q586">
        <f>$E586/$F586^2*sim_annual_output!S586</f>
        <v>0</v>
      </c>
      <c r="R586">
        <f t="array" ref="R586">INDEX(G$3:G$700,MATCH($B586&amp;$C586&amp;"baseline",$B$3:$B$700&amp;$C$3:$C$700&amp;$D$3:$D$700,0))</f>
        <v>0</v>
      </c>
      <c r="S586">
        <f t="array" ref="S586">INDEX(H$3:H$700,MATCH($B586&amp;$C586&amp;"baseline",$B$3:$B$700&amp;$C$3:$C$700&amp;$D$3:$D$700,0))</f>
        <v>121.24594271583724</v>
      </c>
      <c r="T586">
        <f t="array" ref="T586">INDEX(I$3:I$700,MATCH($B586&amp;$C586&amp;"baseline",$B$3:$B$700&amp;$C$3:$C$700&amp;$D$3:$D$700,0))</f>
        <v>0</v>
      </c>
      <c r="U586">
        <f t="array" ref="U586">INDEX(J$3:J$700,MATCH($B586&amp;$C586&amp;"baseline",$B$3:$B$700&amp;$C$3:$C$700&amp;$D$3:$D$700,0))</f>
        <v>0.74873431452475192</v>
      </c>
      <c r="V586">
        <f t="array" ref="V586">INDEX(K$3:K$700,MATCH($B586&amp;$C586&amp;"baseline",$B$3:$B$700&amp;$C$3:$C$700&amp;$D$3:$D$700,0))</f>
        <v>0</v>
      </c>
      <c r="W586">
        <f t="array" ref="W586">INDEX(L$3:L$700,MATCH($B586&amp;$C586&amp;"baseline",$B$3:$B$700&amp;$C$3:$C$700&amp;$D$3:$D$700,0))</f>
        <v>10.344675177974409</v>
      </c>
      <c r="X586">
        <f t="array" ref="X586">INDEX(M$3:M$700,MATCH($B586&amp;$C586&amp;"baseline",$B$3:$B$700&amp;$C$3:$C$700&amp;$D$3:$D$700,0))</f>
        <v>2.2309134740884651</v>
      </c>
      <c r="Y586">
        <f t="array" ref="Y586">INDEX(N$3:N$700,MATCH($B586&amp;$C586&amp;"baseline",$B$3:$B$700&amp;$C$3:$C$700&amp;$D$3:$D$700,0))</f>
        <v>0</v>
      </c>
      <c r="Z586">
        <f t="array" ref="Z586">INDEX(O$3:O$700,MATCH($B586&amp;$C586&amp;"baseline",$B$3:$B$700&amp;$C$3:$C$700&amp;$D$3:$D$700,0))</f>
        <v>7.1509748165601223</v>
      </c>
      <c r="AA586">
        <f t="array" ref="AA586">INDEX(P$3:P$700,MATCH($B586&amp;$C586&amp;"baseline",$B$3:$B$700&amp;$C$3:$C$700&amp;$D$3:$D$700,0))</f>
        <v>7.5673880149084232</v>
      </c>
      <c r="AB586">
        <f t="array" ref="AB586">INDEX(Q$3:Q$700,MATCH($B586&amp;$C586&amp;"baseline",$B$3:$B$700&amp;$C$3:$C$700&amp;$D$3:$D$700,0))</f>
        <v>0</v>
      </c>
      <c r="AC586">
        <f t="shared" si="78"/>
        <v>149.2886285138934</v>
      </c>
      <c r="AD586">
        <f t="shared" si="79"/>
        <v>21.349495697674243</v>
      </c>
      <c r="AE586">
        <f t="shared" si="80"/>
        <v>-2.2219196658047657</v>
      </c>
      <c r="AF586">
        <f t="shared" si="81"/>
        <v>12.812480241982655</v>
      </c>
      <c r="AG586">
        <f>(S586+V586+Y586)*constants!$O$2+(R586+T586+U586+W586+X586+Z586+AA586+AB586)*constants!$N$2</f>
        <v>5.1330077671769105</v>
      </c>
      <c r="AH586">
        <f>((S586+V586+Y586)-(H586+K586+N586))*constants!$O$2</f>
        <v>0.3458618303023227</v>
      </c>
      <c r="AI586">
        <f>((R586+T586+U586+W586+X586+Z586+AA586+AB586)-(G586+I586+J586+L586+M586+O586+P586+Q586))*constants!$N$2</f>
        <v>-0.25107692223593853</v>
      </c>
      <c r="AJ586">
        <f t="shared" si="82"/>
        <v>1.8465763615727917</v>
      </c>
      <c r="AK586">
        <f t="shared" si="83"/>
        <v>9.4784908066384177E-2</v>
      </c>
      <c r="AL586">
        <f>COUNTIFS($B:$B,$B586,$AK:$AK,"&lt;"&amp;$AK586)+COUNTIFS($B$2:$B586,$B586,$AK$2:$AK586,$AK586)</f>
        <v>23</v>
      </c>
      <c r="AM586" s="191">
        <f>IF(AK586=0, "NA",IF(((sim_annual_output!F586/E586)/AK586)&lt;0,100,((sim_annual_output!F586/E586)/AK586)))</f>
        <v>22.14636287554162</v>
      </c>
      <c r="AN586">
        <f>(S586+V586)*constants!$F$2+(T586+U586+W586+X586+Y586+Z586+AA586+AB586)*constants!$G$2</f>
        <v>46100.160390443736</v>
      </c>
      <c r="AO586">
        <f>(AD586*constants!$F$2+AE586*constants!$G$2)</f>
        <v>1888.4896206335434</v>
      </c>
      <c r="AP586">
        <f t="shared" si="84"/>
        <v>4.0964925168134876</v>
      </c>
    </row>
    <row r="587" spans="1:42">
      <c r="A587">
        <f>sim_annual_output!B587</f>
        <v>27</v>
      </c>
      <c r="B587" t="str">
        <f>sim_annual_output!C587</f>
        <v>Vehicle Garage</v>
      </c>
      <c r="C587" t="str">
        <f>sim_annual_output!D587</f>
        <v>1959-pre</v>
      </c>
      <c r="D587" t="str">
        <f>sim_annual_output!E587</f>
        <v>payback_less_than_20</v>
      </c>
      <c r="E587" s="45">
        <f t="array" ref="E587">IFERROR(INDEX(baseline!$J$3:$J$201,MATCH($B587&amp;$C587,baseline!$C$3:$C$201&amp;baseline!$D$3:$D$201,0)),"NA")</f>
        <v>2270</v>
      </c>
      <c r="F587">
        <f>sim_annual_output!G587</f>
        <v>3744.5971479999998</v>
      </c>
      <c r="G587">
        <f>$E587/$F587^2*sim_annual_output!I587</f>
        <v>0</v>
      </c>
      <c r="H587">
        <f>$E587/$F587^2*sim_annual_output!J587</f>
        <v>32.732955407961974</v>
      </c>
      <c r="I587">
        <f>$E587/$F587^2*sim_annual_output!K587</f>
        <v>0</v>
      </c>
      <c r="J587">
        <f>$E587/$F587^2*sim_annual_output!L587</f>
        <v>0.74873431452475192</v>
      </c>
      <c r="K587">
        <f>$E587/$F587^2*sim_annual_output!M587</f>
        <v>0</v>
      </c>
      <c r="L587">
        <f>$E587/$F587^2*sim_annual_output!N587</f>
        <v>7.2413625626378852</v>
      </c>
      <c r="M587">
        <f>$E587/$F587^2*sim_annual_output!O587</f>
        <v>2.2309134740884651</v>
      </c>
      <c r="N587">
        <f>$E587/$F587^2*sim_annual_output!P587</f>
        <v>0</v>
      </c>
      <c r="O587">
        <f>$E587/$F587^2*sim_annual_output!Q587</f>
        <v>5.2092121918647001</v>
      </c>
      <c r="P587">
        <f>$E587/$F587^2*sim_annual_output!R587</f>
        <v>4.2518215878868038</v>
      </c>
      <c r="Q587">
        <f>$E587/$F587^2*sim_annual_output!S587</f>
        <v>0</v>
      </c>
      <c r="R587">
        <f t="array" ref="R587">INDEX(G$3:G$700,MATCH($B587&amp;$C587&amp;"baseline",$B$3:$B$700&amp;$C$3:$C$700&amp;$D$3:$D$700,0))</f>
        <v>0</v>
      </c>
      <c r="S587">
        <f t="array" ref="S587">INDEX(H$3:H$700,MATCH($B587&amp;$C587&amp;"baseline",$B$3:$B$700&amp;$C$3:$C$700&amp;$D$3:$D$700,0))</f>
        <v>121.24594271583724</v>
      </c>
      <c r="T587">
        <f t="array" ref="T587">INDEX(I$3:I$700,MATCH($B587&amp;$C587&amp;"baseline",$B$3:$B$700&amp;$C$3:$C$700&amp;$D$3:$D$700,0))</f>
        <v>0</v>
      </c>
      <c r="U587">
        <f t="array" ref="U587">INDEX(J$3:J$700,MATCH($B587&amp;$C587&amp;"baseline",$B$3:$B$700&amp;$C$3:$C$700&amp;$D$3:$D$700,0))</f>
        <v>0.74873431452475192</v>
      </c>
      <c r="V587">
        <f t="array" ref="V587">INDEX(K$3:K$700,MATCH($B587&amp;$C587&amp;"baseline",$B$3:$B$700&amp;$C$3:$C$700&amp;$D$3:$D$700,0))</f>
        <v>0</v>
      </c>
      <c r="W587">
        <f t="array" ref="W587">INDEX(L$3:L$700,MATCH($B587&amp;$C587&amp;"baseline",$B$3:$B$700&amp;$C$3:$C$700&amp;$D$3:$D$700,0))</f>
        <v>10.344675177974409</v>
      </c>
      <c r="X587">
        <f t="array" ref="X587">INDEX(M$3:M$700,MATCH($B587&amp;$C587&amp;"baseline",$B$3:$B$700&amp;$C$3:$C$700&amp;$D$3:$D$700,0))</f>
        <v>2.2309134740884651</v>
      </c>
      <c r="Y587">
        <f t="array" ref="Y587">INDEX(N$3:N$700,MATCH($B587&amp;$C587&amp;"baseline",$B$3:$B$700&amp;$C$3:$C$700&amp;$D$3:$D$700,0))</f>
        <v>0</v>
      </c>
      <c r="Z587">
        <f t="array" ref="Z587">INDEX(O$3:O$700,MATCH($B587&amp;$C587&amp;"baseline",$B$3:$B$700&amp;$C$3:$C$700&amp;$D$3:$D$700,0))</f>
        <v>7.1509748165601223</v>
      </c>
      <c r="AA587">
        <f t="array" ref="AA587">INDEX(P$3:P$700,MATCH($B587&amp;$C587&amp;"baseline",$B$3:$B$700&amp;$C$3:$C$700&amp;$D$3:$D$700,0))</f>
        <v>7.5673880149084232</v>
      </c>
      <c r="AB587">
        <f t="array" ref="AB587">INDEX(Q$3:Q$700,MATCH($B587&amp;$C587&amp;"baseline",$B$3:$B$700&amp;$C$3:$C$700&amp;$D$3:$D$700,0))</f>
        <v>0</v>
      </c>
      <c r="AC587">
        <f t="shared" si="78"/>
        <v>149.2886285138934</v>
      </c>
      <c r="AD587">
        <f t="shared" si="79"/>
        <v>88.512987307875278</v>
      </c>
      <c r="AE587">
        <f t="shared" si="80"/>
        <v>8.3606416670535673</v>
      </c>
      <c r="AF587">
        <f t="shared" si="81"/>
        <v>64.890159377352305</v>
      </c>
      <c r="AG587">
        <f>(S587+V587+Y587)*constants!$O$2+(R587+T587+U587+W587+X587+Z587+AA587+AB587)*constants!$N$2</f>
        <v>5.1330077671769105</v>
      </c>
      <c r="AH587">
        <f>((S587+V587+Y587)-(H587+K587+N587))*constants!$O$2</f>
        <v>1.4339103943875795</v>
      </c>
      <c r="AI587">
        <f>((R587+T587+U587+W587+X587+Z587+AA587+AB587)-(G587+I587+J587+L587+M587+O587+P587+Q587))*constants!$N$2</f>
        <v>0.94475250837705316</v>
      </c>
      <c r="AJ587">
        <f t="shared" si="82"/>
        <v>46.34052802286849</v>
      </c>
      <c r="AK587">
        <f t="shared" si="83"/>
        <v>2.3786629027646327</v>
      </c>
      <c r="AL587">
        <f>COUNTIFS($B:$B,$B587,$AK:$AK,"&lt;"&amp;$AK587)+COUNTIFS($B$2:$B587,$B587,$AK$2:$AK587,$AK587)</f>
        <v>44</v>
      </c>
      <c r="AM587" s="191">
        <f>IF(AK587=0, "NA",IF(((sim_annual_output!F587/E587)/AK587)&lt;0,100,((sim_annual_output!F587/E587)/AK587)))</f>
        <v>24.113952713115857</v>
      </c>
      <c r="AN587">
        <f>(S587+V587)*constants!$F$2+(T587+U587+W587+X587+Y587+Z587+AA587+AB587)*constants!$G$2</f>
        <v>46100.160390443736</v>
      </c>
      <c r="AO587">
        <f>(AD587*constants!$F$2+AE587*constants!$G$2)</f>
        <v>23117.58297844628</v>
      </c>
      <c r="AP587">
        <f t="shared" si="84"/>
        <v>50.146426352213744</v>
      </c>
    </row>
    <row r="588" spans="1:42">
      <c r="A588">
        <f>sim_annual_output!B588</f>
        <v>27</v>
      </c>
      <c r="B588" t="str">
        <f>sim_annual_output!C588</f>
        <v>Vehicle Garage</v>
      </c>
      <c r="C588" t="str">
        <f>sim_annual_output!D588</f>
        <v>1959-pre</v>
      </c>
      <c r="D588" t="str">
        <f>sim_annual_output!E588</f>
        <v>plug_loads_90_percent</v>
      </c>
      <c r="E588" s="45">
        <f t="array" ref="E588">IFERROR(INDEX(baseline!$J$3:$J$201,MATCH($B588&amp;$C588,baseline!$C$3:$C$201&amp;baseline!$D$3:$D$201,0)),"NA")</f>
        <v>2270</v>
      </c>
      <c r="F588">
        <f>sim_annual_output!G588</f>
        <v>3744.59714816727</v>
      </c>
      <c r="G588">
        <f>$E588/$F588^2*sim_annual_output!I588</f>
        <v>0</v>
      </c>
      <c r="H588">
        <f>$E588/$F588^2*sim_annual_output!J588</f>
        <v>117.95915645289504</v>
      </c>
      <c r="I588">
        <f>$E588/$F588^2*sim_annual_output!K588</f>
        <v>0</v>
      </c>
      <c r="J588">
        <f>$E588/$F588^2*sim_annual_output!L588</f>
        <v>0.74873431445786043</v>
      </c>
      <c r="K588">
        <f>$E588/$F588^2*sim_annual_output!M588</f>
        <v>0</v>
      </c>
      <c r="L588">
        <f>$E588/$F588^2*sim_annual_output!N588</f>
        <v>10.344675177050222</v>
      </c>
      <c r="M588">
        <f>$E588/$F588^2*sim_annual_output!O588</f>
        <v>2.2309134738891565</v>
      </c>
      <c r="N588">
        <f>$E588/$F588^2*sim_annual_output!P588</f>
        <v>0</v>
      </c>
      <c r="O588">
        <f>$E588/$F588^2*sim_annual_output!Q588</f>
        <v>7.1572704798266109</v>
      </c>
      <c r="P588">
        <f>$E588/$F588^2*sim_annual_output!R588</f>
        <v>7.6029135462696971</v>
      </c>
      <c r="Q588">
        <f>$E588/$F588^2*sim_annual_output!S588</f>
        <v>0</v>
      </c>
      <c r="R588">
        <f t="array" ref="R588">INDEX(G$3:G$700,MATCH($B588&amp;$C588&amp;"baseline",$B$3:$B$700&amp;$C$3:$C$700&amp;$D$3:$D$700,0))</f>
        <v>0</v>
      </c>
      <c r="S588">
        <f t="array" ref="S588">INDEX(H$3:H$700,MATCH($B588&amp;$C588&amp;"baseline",$B$3:$B$700&amp;$C$3:$C$700&amp;$D$3:$D$700,0))</f>
        <v>121.24594271583724</v>
      </c>
      <c r="T588">
        <f t="array" ref="T588">INDEX(I$3:I$700,MATCH($B588&amp;$C588&amp;"baseline",$B$3:$B$700&amp;$C$3:$C$700&amp;$D$3:$D$700,0))</f>
        <v>0</v>
      </c>
      <c r="U588">
        <f t="array" ref="U588">INDEX(J$3:J$700,MATCH($B588&amp;$C588&amp;"baseline",$B$3:$B$700&amp;$C$3:$C$700&amp;$D$3:$D$700,0))</f>
        <v>0.74873431452475192</v>
      </c>
      <c r="V588">
        <f t="array" ref="V588">INDEX(K$3:K$700,MATCH($B588&amp;$C588&amp;"baseline",$B$3:$B$700&amp;$C$3:$C$700&amp;$D$3:$D$700,0))</f>
        <v>0</v>
      </c>
      <c r="W588">
        <f t="array" ref="W588">INDEX(L$3:L$700,MATCH($B588&amp;$C588&amp;"baseline",$B$3:$B$700&amp;$C$3:$C$700&amp;$D$3:$D$700,0))</f>
        <v>10.344675177974409</v>
      </c>
      <c r="X588">
        <f t="array" ref="X588">INDEX(M$3:M$700,MATCH($B588&amp;$C588&amp;"baseline",$B$3:$B$700&amp;$C$3:$C$700&amp;$D$3:$D$700,0))</f>
        <v>2.2309134740884651</v>
      </c>
      <c r="Y588">
        <f t="array" ref="Y588">INDEX(N$3:N$700,MATCH($B588&amp;$C588&amp;"baseline",$B$3:$B$700&amp;$C$3:$C$700&amp;$D$3:$D$700,0))</f>
        <v>0</v>
      </c>
      <c r="Z588">
        <f t="array" ref="Z588">INDEX(O$3:O$700,MATCH($B588&amp;$C588&amp;"baseline",$B$3:$B$700&amp;$C$3:$C$700&amp;$D$3:$D$700,0))</f>
        <v>7.1509748165601223</v>
      </c>
      <c r="AA588">
        <f t="array" ref="AA588">INDEX(P$3:P$700,MATCH($B588&amp;$C588&amp;"baseline",$B$3:$B$700&amp;$C$3:$C$700&amp;$D$3:$D$700,0))</f>
        <v>7.5673880149084232</v>
      </c>
      <c r="AB588">
        <f t="array" ref="AB588">INDEX(Q$3:Q$700,MATCH($B588&amp;$C588&amp;"baseline",$B$3:$B$700&amp;$C$3:$C$700&amp;$D$3:$D$700,0))</f>
        <v>0</v>
      </c>
      <c r="AC588">
        <f t="shared" si="78"/>
        <v>149.2886285138934</v>
      </c>
      <c r="AD588">
        <f t="shared" si="79"/>
        <v>3.2867862629422007</v>
      </c>
      <c r="AE588">
        <f t="shared" si="80"/>
        <v>-4.1821193437375115E-2</v>
      </c>
      <c r="AF588">
        <f t="shared" si="81"/>
        <v>2.1736183805873974</v>
      </c>
      <c r="AG588">
        <f>(S588+V588+Y588)*constants!$O$2+(R588+T588+U588+W588+X588+Z588+AA588+AB588)*constants!$N$2</f>
        <v>5.1330077671769105</v>
      </c>
      <c r="AH588">
        <f>((S588+V588+Y588)-(H588+K588+N588))*constants!$O$2</f>
        <v>5.3245937459663648E-2</v>
      </c>
      <c r="AI588">
        <f>((R588+T588+U588+W588+X588+Z588+AA588+AB588)-(G588+I588+J588+L588+M588+O588+P588+Q588))*constants!$N$2</f>
        <v>-4.7257948584233881E-3</v>
      </c>
      <c r="AJ588">
        <f t="shared" si="82"/>
        <v>0.94525753324401707</v>
      </c>
      <c r="AK588">
        <f t="shared" si="83"/>
        <v>4.8520142601240261E-2</v>
      </c>
      <c r="AL588">
        <f>COUNTIFS($B:$B,$B588,$AK:$AK,"&lt;"&amp;$AK588)+COUNTIFS($B$2:$B588,$B588,$AK$2:$AK588,$AK588)</f>
        <v>14</v>
      </c>
      <c r="AM588" s="191">
        <f>IF(AK588=0, "NA",IF(((sim_annual_output!F588/E588)/AK588)&lt;0,100,((sim_annual_output!F588/E588)/AK588)))</f>
        <v>25.016541632543635</v>
      </c>
      <c r="AN588">
        <f>(S588+V588)*constants!$F$2+(T588+U588+W588+X588+Y588+Z588+AA588+AB588)*constants!$G$2</f>
        <v>46100.160390443736</v>
      </c>
      <c r="AO588">
        <f>(AD588*constants!$F$2+AE588*constants!$G$2)</f>
        <v>551.95030277613762</v>
      </c>
      <c r="AP588">
        <f t="shared" si="84"/>
        <v>1.1972849944586166</v>
      </c>
    </row>
    <row r="589" spans="1:42">
      <c r="A589">
        <f>sim_annual_output!B589</f>
        <v>27</v>
      </c>
      <c r="B589" t="str">
        <f>sim_annual_output!C589</f>
        <v>Vehicle Garage</v>
      </c>
      <c r="C589" t="str">
        <f>sim_annual_output!D589</f>
        <v>1959-pre</v>
      </c>
      <c r="D589" t="str">
        <f>sim_annual_output!E589</f>
        <v>pump_fan_eff_</v>
      </c>
      <c r="E589" s="45">
        <f t="array" ref="E589">IFERROR(INDEX(baseline!$J$3:$J$201,MATCH($B589&amp;$C589,baseline!$C$3:$C$201&amp;baseline!$D$3:$D$201,0)),"NA")</f>
        <v>2270</v>
      </c>
      <c r="F589">
        <f>sim_annual_output!G589</f>
        <v>3744.59714816727</v>
      </c>
      <c r="G589">
        <f>$E589/$F589^2*sim_annual_output!I589</f>
        <v>0</v>
      </c>
      <c r="H589">
        <f>$E589/$F589^2*sim_annual_output!J589</f>
        <v>117.85842583040943</v>
      </c>
      <c r="I589">
        <f>$E589/$F589^2*sim_annual_output!K589</f>
        <v>0</v>
      </c>
      <c r="J589">
        <f>$E589/$F589^2*sim_annual_output!L589</f>
        <v>0.74873431445786043</v>
      </c>
      <c r="K589">
        <f>$E589/$F589^2*sim_annual_output!M589</f>
        <v>0</v>
      </c>
      <c r="L589">
        <f>$E589/$F589^2*sim_annual_output!N589</f>
        <v>10.344675177050222</v>
      </c>
      <c r="M589">
        <f>$E589/$F589^2*sim_annual_output!O589</f>
        <v>2.2309134738891565</v>
      </c>
      <c r="N589">
        <f>$E589/$F589^2*sim_annual_output!P589</f>
        <v>0</v>
      </c>
      <c r="O589">
        <f>$E589/$F589^2*sim_annual_output!Q589</f>
        <v>7.1442294617369528</v>
      </c>
      <c r="P589">
        <f>$E589/$F589^2*sim_annual_output!R589</f>
        <v>5.9440061072096091</v>
      </c>
      <c r="Q589">
        <f>$E589/$F589^2*sim_annual_output!S589</f>
        <v>0</v>
      </c>
      <c r="R589">
        <f t="array" ref="R589">INDEX(G$3:G$700,MATCH($B589&amp;$C589&amp;"baseline",$B$3:$B$700&amp;$C$3:$C$700&amp;$D$3:$D$700,0))</f>
        <v>0</v>
      </c>
      <c r="S589">
        <f t="array" ref="S589">INDEX(H$3:H$700,MATCH($B589&amp;$C589&amp;"baseline",$B$3:$B$700&amp;$C$3:$C$700&amp;$D$3:$D$700,0))</f>
        <v>121.24594271583724</v>
      </c>
      <c r="T589">
        <f t="array" ref="T589">INDEX(I$3:I$700,MATCH($B589&amp;$C589&amp;"baseline",$B$3:$B$700&amp;$C$3:$C$700&amp;$D$3:$D$700,0))</f>
        <v>0</v>
      </c>
      <c r="U589">
        <f t="array" ref="U589">INDEX(J$3:J$700,MATCH($B589&amp;$C589&amp;"baseline",$B$3:$B$700&amp;$C$3:$C$700&amp;$D$3:$D$700,0))</f>
        <v>0.74873431452475192</v>
      </c>
      <c r="V589">
        <f t="array" ref="V589">INDEX(K$3:K$700,MATCH($B589&amp;$C589&amp;"baseline",$B$3:$B$700&amp;$C$3:$C$700&amp;$D$3:$D$700,0))</f>
        <v>0</v>
      </c>
      <c r="W589">
        <f t="array" ref="W589">INDEX(L$3:L$700,MATCH($B589&amp;$C589&amp;"baseline",$B$3:$B$700&amp;$C$3:$C$700&amp;$D$3:$D$700,0))</f>
        <v>10.344675177974409</v>
      </c>
      <c r="X589">
        <f t="array" ref="X589">INDEX(M$3:M$700,MATCH($B589&amp;$C589&amp;"baseline",$B$3:$B$700&amp;$C$3:$C$700&amp;$D$3:$D$700,0))</f>
        <v>2.2309134740884651</v>
      </c>
      <c r="Y589">
        <f t="array" ref="Y589">INDEX(N$3:N$700,MATCH($B589&amp;$C589&amp;"baseline",$B$3:$B$700&amp;$C$3:$C$700&amp;$D$3:$D$700,0))</f>
        <v>0</v>
      </c>
      <c r="Z589">
        <f t="array" ref="Z589">INDEX(O$3:O$700,MATCH($B589&amp;$C589&amp;"baseline",$B$3:$B$700&amp;$C$3:$C$700&amp;$D$3:$D$700,0))</f>
        <v>7.1509748165601223</v>
      </c>
      <c r="AA589">
        <f t="array" ref="AA589">INDEX(P$3:P$700,MATCH($B589&amp;$C589&amp;"baseline",$B$3:$B$700&amp;$C$3:$C$700&amp;$D$3:$D$700,0))</f>
        <v>7.5673880149084232</v>
      </c>
      <c r="AB589">
        <f t="array" ref="AB589">INDEX(Q$3:Q$700,MATCH($B589&amp;$C589&amp;"baseline",$B$3:$B$700&amp;$C$3:$C$700&amp;$D$3:$D$700,0))</f>
        <v>0</v>
      </c>
      <c r="AC589">
        <f t="shared" si="78"/>
        <v>149.2886285138934</v>
      </c>
      <c r="AD589">
        <f t="shared" si="79"/>
        <v>3.3875168854278144</v>
      </c>
      <c r="AE589">
        <f t="shared" si="80"/>
        <v>1.6301272637123709</v>
      </c>
      <c r="AF589">
        <f t="shared" si="81"/>
        <v>3.3610357326534239</v>
      </c>
      <c r="AG589">
        <f>(S589+V589+Y589)*constants!$O$2+(R589+T589+U589+W589+X589+Z589+AA589+AB589)*constants!$N$2</f>
        <v>5.1330077671769105</v>
      </c>
      <c r="AH589">
        <f>((S589+V589+Y589)-(H589+K589+N589))*constants!$O$2</f>
        <v>5.4877773543930593E-2</v>
      </c>
      <c r="AI589">
        <f>((R589+T589+U589+W589+X589+Z589+AA589+AB589)-(G589+I589+J589+L589+M589+O589+P589+Q589))*constants!$N$2</f>
        <v>0.18420438079949791</v>
      </c>
      <c r="AJ589">
        <f t="shared" si="82"/>
        <v>4.6577399682159584</v>
      </c>
      <c r="AK589">
        <f t="shared" si="83"/>
        <v>0.2390821543434285</v>
      </c>
      <c r="AL589">
        <f>COUNTIFS($B:$B,$B589,$AK:$AK,"&lt;"&amp;$AK589)+COUNTIFS($B$2:$B589,$B589,$AK$2:$AK589,$AK589)</f>
        <v>27</v>
      </c>
      <c r="AM589" s="191">
        <f>IF(AK589=0, "NA",IF(((sim_annual_output!F589/E589)/AK589)&lt;0,100,((sim_annual_output!F589/E589)/AK589)))</f>
        <v>5.9910838490382154</v>
      </c>
      <c r="AN589">
        <f>(S589+V589)*constants!$F$2+(T589+U589+W589+X589+Y589+Z589+AA589+AB589)*constants!$G$2</f>
        <v>46100.160390443736</v>
      </c>
      <c r="AO589">
        <f>(AD589*constants!$F$2+AE589*constants!$G$2)</f>
        <v>2024.5762419213415</v>
      </c>
      <c r="AP589">
        <f t="shared" si="84"/>
        <v>4.3916902344249182</v>
      </c>
    </row>
    <row r="590" spans="1:42">
      <c r="A590">
        <f>sim_annual_output!B590</f>
        <v>28</v>
      </c>
      <c r="B590" t="str">
        <f>sim_annual_output!C590</f>
        <v>Vehicle Garage</v>
      </c>
      <c r="C590" t="str">
        <f>sim_annual_output!D590</f>
        <v>1980-2004</v>
      </c>
      <c r="D590" t="str">
        <f>sim_annual_output!E590</f>
        <v>air_temp_reset_enabled</v>
      </c>
      <c r="E590" s="45">
        <f t="array" ref="E590">IFERROR(INDEX(baseline!$J$3:$J$201,MATCH($B590&amp;$C590,baseline!$C$3:$C$201&amp;baseline!$D$3:$D$201,0)),"NA")</f>
        <v>2270</v>
      </c>
      <c r="F590">
        <f>sim_annual_output!G590</f>
        <v>3744.59714816727</v>
      </c>
      <c r="G590">
        <f>$E590/$F590^2*sim_annual_output!I590</f>
        <v>0</v>
      </c>
      <c r="H590">
        <f>$E590/$F590^2*sim_annual_output!J590</f>
        <v>83.006080140663158</v>
      </c>
      <c r="I590">
        <f>$E590/$F590^2*sim_annual_output!K590</f>
        <v>0</v>
      </c>
      <c r="J590">
        <f>$E590/$F590^2*sim_annual_output!L590</f>
        <v>0.74873431445786043</v>
      </c>
      <c r="K590">
        <f>$E590/$F590^2*sim_annual_output!M590</f>
        <v>0</v>
      </c>
      <c r="L590">
        <f>$E590/$F590^2*sim_annual_output!N590</f>
        <v>10.344675177050222</v>
      </c>
      <c r="M590">
        <f>$E590/$F590^2*sim_annual_output!O590</f>
        <v>2.2309134738891565</v>
      </c>
      <c r="N590">
        <f>$E590/$F590^2*sim_annual_output!P590</f>
        <v>0</v>
      </c>
      <c r="O590">
        <f>$E590/$F590^2*sim_annual_output!Q590</f>
        <v>5.6530564967265837</v>
      </c>
      <c r="P590">
        <f>$E590/$F590^2*sim_annual_output!R590</f>
        <v>5.2937539638426019</v>
      </c>
      <c r="Q590">
        <f>$E590/$F590^2*sim_annual_output!S590</f>
        <v>0</v>
      </c>
      <c r="R590">
        <f t="array" ref="R590">INDEX(G$3:G$700,MATCH($B590&amp;$C590&amp;"baseline",$B$3:$B$700&amp;$C$3:$C$700&amp;$D$3:$D$700,0))</f>
        <v>0</v>
      </c>
      <c r="S590">
        <f t="array" ref="S590">INDEX(H$3:H$700,MATCH($B590&amp;$C590&amp;"baseline",$B$3:$B$700&amp;$C$3:$C$700&amp;$D$3:$D$700,0))</f>
        <v>82.926934655738179</v>
      </c>
      <c r="T590">
        <f t="array" ref="T590">INDEX(I$3:I$700,MATCH($B590&amp;$C590&amp;"baseline",$B$3:$B$700&amp;$C$3:$C$700&amp;$D$3:$D$700,0))</f>
        <v>0</v>
      </c>
      <c r="U590">
        <f t="array" ref="U590">INDEX(J$3:J$700,MATCH($B590&amp;$C590&amp;"baseline",$B$3:$B$700&amp;$C$3:$C$700&amp;$D$3:$D$700,0))</f>
        <v>0.74873431452475192</v>
      </c>
      <c r="V590">
        <f t="array" ref="V590">INDEX(K$3:K$700,MATCH($B590&amp;$C590&amp;"baseline",$B$3:$B$700&amp;$C$3:$C$700&amp;$D$3:$D$700,0))</f>
        <v>0</v>
      </c>
      <c r="W590">
        <f t="array" ref="W590">INDEX(L$3:L$700,MATCH($B590&amp;$C590&amp;"baseline",$B$3:$B$700&amp;$C$3:$C$700&amp;$D$3:$D$700,0))</f>
        <v>10.344675177974409</v>
      </c>
      <c r="X590">
        <f t="array" ref="X590">INDEX(M$3:M$700,MATCH($B590&amp;$C590&amp;"baseline",$B$3:$B$700&amp;$C$3:$C$700&amp;$D$3:$D$700,0))</f>
        <v>2.2309134740884651</v>
      </c>
      <c r="Y590">
        <f t="array" ref="Y590">INDEX(N$3:N$700,MATCH($B590&amp;$C590&amp;"baseline",$B$3:$B$700&amp;$C$3:$C$700&amp;$D$3:$D$700,0))</f>
        <v>0</v>
      </c>
      <c r="Z590">
        <f t="array" ref="Z590">INDEX(O$3:O$700,MATCH($B590&amp;$C590&amp;"baseline",$B$3:$B$700&amp;$C$3:$C$700&amp;$D$3:$D$700,0))</f>
        <v>4.8651991284344085</v>
      </c>
      <c r="AA590">
        <f t="array" ref="AA590">INDEX(P$3:P$700,MATCH($B590&amp;$C590&amp;"baseline",$B$3:$B$700&amp;$C$3:$C$700&amp;$D$3:$D$700,0))</f>
        <v>5.2519327683691159</v>
      </c>
      <c r="AB590">
        <f t="array" ref="AB590">INDEX(Q$3:Q$700,MATCH($B590&amp;$C590&amp;"baseline",$B$3:$B$700&amp;$C$3:$C$700&amp;$D$3:$D$700,0))</f>
        <v>0</v>
      </c>
      <c r="AC590">
        <f t="shared" si="78"/>
        <v>106.36838951912934</v>
      </c>
      <c r="AD590">
        <f t="shared" si="79"/>
        <v>-7.9145484924978859E-2</v>
      </c>
      <c r="AE590">
        <f t="shared" si="80"/>
        <v>-0.82967856257527473</v>
      </c>
      <c r="AF590">
        <f t="shared" si="81"/>
        <v>-0.85441177741702123</v>
      </c>
      <c r="AG590">
        <f>(S590+V590+Y590)*constants!$O$2+(R590+T590+U590+W590+X590+Z590+AA590+AB590)*constants!$N$2</f>
        <v>3.9923007409861588</v>
      </c>
      <c r="AH590">
        <f>((S590+V590+Y590)-(H590+K590+N590))*constants!$O$2</f>
        <v>-1.2821568557846576E-3</v>
      </c>
      <c r="AI590">
        <f>((R590+T590+U590+W590+X590+Z590+AA590+AB590)-(G590+I590+J590+L590+M590+O590+P590+Q590))*constants!$N$2</f>
        <v>-9.3753677571006042E-2</v>
      </c>
      <c r="AJ590">
        <f t="shared" si="82"/>
        <v>-2.3804778395355908</v>
      </c>
      <c r="AK590">
        <f t="shared" si="83"/>
        <v>-9.50358344267907E-2</v>
      </c>
      <c r="AL590">
        <f>COUNTIFS($B:$B,$B590,$AK:$AK,"&lt;"&amp;$AK590)+COUNTIFS($B$2:$B590,$B590,$AK$2:$AK590,$AK590)</f>
        <v>1</v>
      </c>
      <c r="AM590" s="191">
        <f>IF(AK590=0, "NA",IF(((sim_annual_output!F590/E590)/AK590)&lt;0,100,((sim_annual_output!F590/E590)/AK590)))</f>
        <v>100</v>
      </c>
      <c r="AN590">
        <f>(S590+V590)*constants!$F$2+(T590+U590+W590+X590+Y590+Z590+AA590+AB590)*constants!$G$2</f>
        <v>35237.987034527439</v>
      </c>
      <c r="AO590">
        <f>(AD590*constants!$F$2+AE590*constants!$G$2)</f>
        <v>-735.98739124206031</v>
      </c>
      <c r="AP590">
        <f t="shared" si="84"/>
        <v>-2.0886192804399228</v>
      </c>
    </row>
    <row r="591" spans="1:42">
      <c r="A591">
        <f>sim_annual_output!B591</f>
        <v>28</v>
      </c>
      <c r="B591" t="str">
        <f>sim_annual_output!C591</f>
        <v>Vehicle Garage</v>
      </c>
      <c r="C591" t="str">
        <f>sim_annual_output!D591</f>
        <v>1980-2004</v>
      </c>
      <c r="D591" t="str">
        <f>sim_annual_output!E591</f>
        <v>baseline</v>
      </c>
      <c r="E591" s="45">
        <f t="array" ref="E591">IFERROR(INDEX(baseline!$J$3:$J$201,MATCH($B591&amp;$C591,baseline!$C$3:$C$201&amp;baseline!$D$3:$D$201,0)),"NA")</f>
        <v>2270</v>
      </c>
      <c r="F591">
        <f>sim_annual_output!G591</f>
        <v>3744.5971479999998</v>
      </c>
      <c r="G591">
        <f>$E591/$F591^2*sim_annual_output!I591</f>
        <v>0</v>
      </c>
      <c r="H591">
        <f>$E591/$F591^2*sim_annual_output!J591</f>
        <v>82.926934655738179</v>
      </c>
      <c r="I591">
        <f>$E591/$F591^2*sim_annual_output!K591</f>
        <v>0</v>
      </c>
      <c r="J591">
        <f>$E591/$F591^2*sim_annual_output!L591</f>
        <v>0.74873431452475192</v>
      </c>
      <c r="K591">
        <f>$E591/$F591^2*sim_annual_output!M591</f>
        <v>0</v>
      </c>
      <c r="L591">
        <f>$E591/$F591^2*sim_annual_output!N591</f>
        <v>10.344675177974409</v>
      </c>
      <c r="M591">
        <f>$E591/$F591^2*sim_annual_output!O591</f>
        <v>2.2309134740884651</v>
      </c>
      <c r="N591">
        <f>$E591/$F591^2*sim_annual_output!P591</f>
        <v>0</v>
      </c>
      <c r="O591">
        <f>$E591/$F591^2*sim_annual_output!Q591</f>
        <v>4.8651991284344085</v>
      </c>
      <c r="P591">
        <f>$E591/$F591^2*sim_annual_output!R591</f>
        <v>5.2519327683691159</v>
      </c>
      <c r="Q591">
        <f>$E591/$F591^2*sim_annual_output!S591</f>
        <v>0</v>
      </c>
      <c r="R591">
        <f t="array" ref="R591">INDEX(G$3:G$700,MATCH($B591&amp;$C591&amp;"baseline",$B$3:$B$700&amp;$C$3:$C$700&amp;$D$3:$D$700,0))</f>
        <v>0</v>
      </c>
      <c r="S591">
        <f t="array" ref="S591">INDEX(H$3:H$700,MATCH($B591&amp;$C591&amp;"baseline",$B$3:$B$700&amp;$C$3:$C$700&amp;$D$3:$D$700,0))</f>
        <v>82.926934655738179</v>
      </c>
      <c r="T591">
        <f t="array" ref="T591">INDEX(I$3:I$700,MATCH($B591&amp;$C591&amp;"baseline",$B$3:$B$700&amp;$C$3:$C$700&amp;$D$3:$D$700,0))</f>
        <v>0</v>
      </c>
      <c r="U591">
        <f t="array" ref="U591">INDEX(J$3:J$700,MATCH($B591&amp;$C591&amp;"baseline",$B$3:$B$700&amp;$C$3:$C$700&amp;$D$3:$D$700,0))</f>
        <v>0.74873431452475192</v>
      </c>
      <c r="V591">
        <f t="array" ref="V591">INDEX(K$3:K$700,MATCH($B591&amp;$C591&amp;"baseline",$B$3:$B$700&amp;$C$3:$C$700&amp;$D$3:$D$700,0))</f>
        <v>0</v>
      </c>
      <c r="W591">
        <f t="array" ref="W591">INDEX(L$3:L$700,MATCH($B591&amp;$C591&amp;"baseline",$B$3:$B$700&amp;$C$3:$C$700&amp;$D$3:$D$700,0))</f>
        <v>10.344675177974409</v>
      </c>
      <c r="X591">
        <f t="array" ref="X591">INDEX(M$3:M$700,MATCH($B591&amp;$C591&amp;"baseline",$B$3:$B$700&amp;$C$3:$C$700&amp;$D$3:$D$700,0))</f>
        <v>2.2309134740884651</v>
      </c>
      <c r="Y591">
        <f t="array" ref="Y591">INDEX(N$3:N$700,MATCH($B591&amp;$C591&amp;"baseline",$B$3:$B$700&amp;$C$3:$C$700&amp;$D$3:$D$700,0))</f>
        <v>0</v>
      </c>
      <c r="Z591">
        <f t="array" ref="Z591">INDEX(O$3:O$700,MATCH($B591&amp;$C591&amp;"baseline",$B$3:$B$700&amp;$C$3:$C$700&amp;$D$3:$D$700,0))</f>
        <v>4.8651991284344085</v>
      </c>
      <c r="AA591">
        <f t="array" ref="AA591">INDEX(P$3:P$700,MATCH($B591&amp;$C591&amp;"baseline",$B$3:$B$700&amp;$C$3:$C$700&amp;$D$3:$D$700,0))</f>
        <v>5.2519327683691159</v>
      </c>
      <c r="AB591">
        <f t="array" ref="AB591">INDEX(Q$3:Q$700,MATCH($B591&amp;$C591&amp;"baseline",$B$3:$B$700&amp;$C$3:$C$700&amp;$D$3:$D$700,0))</f>
        <v>0</v>
      </c>
      <c r="AC591">
        <f t="shared" si="78"/>
        <v>106.36838951912934</v>
      </c>
      <c r="AD591">
        <f t="shared" si="79"/>
        <v>0</v>
      </c>
      <c r="AE591">
        <f t="shared" si="80"/>
        <v>0</v>
      </c>
      <c r="AF591">
        <f t="shared" si="81"/>
        <v>0</v>
      </c>
      <c r="AG591">
        <f>(S591+V591+Y591)*constants!$O$2+(R591+T591+U591+W591+X591+Z591+AA591+AB591)*constants!$N$2</f>
        <v>3.9923007409861588</v>
      </c>
      <c r="AH591">
        <f>((S591+V591+Y591)-(H591+K591+N591))*constants!$O$2</f>
        <v>0</v>
      </c>
      <c r="AI591">
        <f>((R591+T591+U591+W591+X591+Z591+AA591+AB591)-(G591+I591+J591+L591+M591+O591+P591+Q591))*constants!$N$2</f>
        <v>0</v>
      </c>
      <c r="AJ591">
        <f t="shared" si="82"/>
        <v>0</v>
      </c>
      <c r="AK591">
        <f t="shared" si="83"/>
        <v>0</v>
      </c>
      <c r="AL591">
        <f>COUNTIFS($B:$B,$B591,$AK:$AK,"&lt;"&amp;$AK591)+COUNTIFS($B$2:$B591,$B591,$AK$2:$AK591,$AK591)</f>
        <v>5</v>
      </c>
      <c r="AM591" s="191" t="str">
        <f>IF(AK591=0, "NA",IF(((sim_annual_output!F591/E591)/AK591)&lt;0,100,((sim_annual_output!F591/E591)/AK591)))</f>
        <v>NA</v>
      </c>
      <c r="AN591">
        <f>(S591+V591)*constants!$F$2+(T591+U591+W591+X591+Y591+Z591+AA591+AB591)*constants!$G$2</f>
        <v>35237.987034527439</v>
      </c>
      <c r="AO591">
        <f>(AD591*constants!$F$2+AE591*constants!$G$2)</f>
        <v>0</v>
      </c>
      <c r="AP591">
        <f t="shared" si="84"/>
        <v>0</v>
      </c>
    </row>
    <row r="592" spans="1:42">
      <c r="A592">
        <f>sim_annual_output!B592</f>
        <v>28</v>
      </c>
      <c r="B592" t="str">
        <f>sim_annual_output!C592</f>
        <v>Vehicle Garage</v>
      </c>
      <c r="C592" t="str">
        <f>sim_annual_output!D592</f>
        <v>1980-2004</v>
      </c>
      <c r="D592" t="str">
        <f>sim_annual_output!E592</f>
        <v>boiler_eff_upgrade</v>
      </c>
      <c r="E592" s="45">
        <f t="array" ref="E592">IFERROR(INDEX(baseline!$J$3:$J$201,MATCH($B592&amp;$C592,baseline!$C$3:$C$201&amp;baseline!$D$3:$D$201,0)),"NA")</f>
        <v>2270</v>
      </c>
      <c r="F592">
        <f>sim_annual_output!G592</f>
        <v>3744.59714816727</v>
      </c>
      <c r="G592">
        <f>$E592/$F592^2*sim_annual_output!I592</f>
        <v>0</v>
      </c>
      <c r="H592">
        <f>$E592/$F592^2*sim_annual_output!J592</f>
        <v>81.645767046828311</v>
      </c>
      <c r="I592">
        <f>$E592/$F592^2*sim_annual_output!K592</f>
        <v>0</v>
      </c>
      <c r="J592">
        <f>$E592/$F592^2*sim_annual_output!L592</f>
        <v>0.74873431445786043</v>
      </c>
      <c r="K592">
        <f>$E592/$F592^2*sim_annual_output!M592</f>
        <v>0</v>
      </c>
      <c r="L592">
        <f>$E592/$F592^2*sim_annual_output!N592</f>
        <v>10.344675177050222</v>
      </c>
      <c r="M592">
        <f>$E592/$F592^2*sim_annual_output!O592</f>
        <v>2.2309134738891565</v>
      </c>
      <c r="N592">
        <f>$E592/$F592^2*sim_annual_output!P592</f>
        <v>0</v>
      </c>
      <c r="O592">
        <f>$E592/$F592^2*sim_annual_output!Q592</f>
        <v>4.877790455810457</v>
      </c>
      <c r="P592">
        <f>$E592/$F592^2*sim_annual_output!R592</f>
        <v>5.2865589193793427</v>
      </c>
      <c r="Q592">
        <f>$E592/$F592^2*sim_annual_output!S592</f>
        <v>0</v>
      </c>
      <c r="R592">
        <f t="array" ref="R592">INDEX(G$3:G$700,MATCH($B592&amp;$C592&amp;"baseline",$B$3:$B$700&amp;$C$3:$C$700&amp;$D$3:$D$700,0))</f>
        <v>0</v>
      </c>
      <c r="S592">
        <f t="array" ref="S592">INDEX(H$3:H$700,MATCH($B592&amp;$C592&amp;"baseline",$B$3:$B$700&amp;$C$3:$C$700&amp;$D$3:$D$700,0))</f>
        <v>82.926934655738179</v>
      </c>
      <c r="T592">
        <f t="array" ref="T592">INDEX(I$3:I$700,MATCH($B592&amp;$C592&amp;"baseline",$B$3:$B$700&amp;$C$3:$C$700&amp;$D$3:$D$700,0))</f>
        <v>0</v>
      </c>
      <c r="U592">
        <f t="array" ref="U592">INDEX(J$3:J$700,MATCH($B592&amp;$C592&amp;"baseline",$B$3:$B$700&amp;$C$3:$C$700&amp;$D$3:$D$700,0))</f>
        <v>0.74873431452475192</v>
      </c>
      <c r="V592">
        <f t="array" ref="V592">INDEX(K$3:K$700,MATCH($B592&amp;$C592&amp;"baseline",$B$3:$B$700&amp;$C$3:$C$700&amp;$D$3:$D$700,0))</f>
        <v>0</v>
      </c>
      <c r="W592">
        <f t="array" ref="W592">INDEX(L$3:L$700,MATCH($B592&amp;$C592&amp;"baseline",$B$3:$B$700&amp;$C$3:$C$700&amp;$D$3:$D$700,0))</f>
        <v>10.344675177974409</v>
      </c>
      <c r="X592">
        <f t="array" ref="X592">INDEX(M$3:M$700,MATCH($B592&amp;$C592&amp;"baseline",$B$3:$B$700&amp;$C$3:$C$700&amp;$D$3:$D$700,0))</f>
        <v>2.2309134740884651</v>
      </c>
      <c r="Y592">
        <f t="array" ref="Y592">INDEX(N$3:N$700,MATCH($B592&amp;$C592&amp;"baseline",$B$3:$B$700&amp;$C$3:$C$700&amp;$D$3:$D$700,0))</f>
        <v>0</v>
      </c>
      <c r="Z592">
        <f t="array" ref="Z592">INDEX(O$3:O$700,MATCH($B592&amp;$C592&amp;"baseline",$B$3:$B$700&amp;$C$3:$C$700&amp;$D$3:$D$700,0))</f>
        <v>4.8651991284344085</v>
      </c>
      <c r="AA592">
        <f t="array" ref="AA592">INDEX(P$3:P$700,MATCH($B592&amp;$C592&amp;"baseline",$B$3:$B$700&amp;$C$3:$C$700&amp;$D$3:$D$700,0))</f>
        <v>5.2519327683691159</v>
      </c>
      <c r="AB592">
        <f t="array" ref="AB592">INDEX(Q$3:Q$700,MATCH($B592&amp;$C592&amp;"baseline",$B$3:$B$700&amp;$C$3:$C$700&amp;$D$3:$D$700,0))</f>
        <v>0</v>
      </c>
      <c r="AC592">
        <f t="shared" si="78"/>
        <v>106.36838951912934</v>
      </c>
      <c r="AD592">
        <f t="shared" si="79"/>
        <v>1.2811676089098682</v>
      </c>
      <c r="AE592">
        <f t="shared" si="80"/>
        <v>-4.7217477195889757E-2</v>
      </c>
      <c r="AF592">
        <f t="shared" si="81"/>
        <v>1.1600722143979292</v>
      </c>
      <c r="AG592">
        <f>(S592+V592+Y592)*constants!$O$2+(R592+T592+U592+W592+X592+Z592+AA592+AB592)*constants!$N$2</f>
        <v>3.9923007409861588</v>
      </c>
      <c r="AH592">
        <f>((S592+V592+Y592)-(H592+K592+N592))*constants!$O$2</f>
        <v>2.0754915264339865E-2</v>
      </c>
      <c r="AI592">
        <f>((R592+T592+U592+W592+X592+Z592+AA592+AB592)-(G592+I592+J592+L592+M592+O592+P592+Q592))*constants!$N$2</f>
        <v>-5.3355749231355429E-3</v>
      </c>
      <c r="AJ592">
        <f t="shared" si="82"/>
        <v>0.38622692381124352</v>
      </c>
      <c r="AK592">
        <f t="shared" si="83"/>
        <v>1.5419340341204322E-2</v>
      </c>
      <c r="AL592">
        <f>COUNTIFS($B:$B,$B592,$AK:$AK,"&lt;"&amp;$AK592)+COUNTIFS($B$2:$B592,$B592,$AK$2:$AK592,$AK592)</f>
        <v>7</v>
      </c>
      <c r="AM592" s="191">
        <f>IF(AK592=0, "NA",IF(((sim_annual_output!F592/E592)/AK592)&lt;0,100,((sim_annual_output!F592/E592)/AK592)))</f>
        <v>940.61458316136998</v>
      </c>
      <c r="AN592">
        <f>(S592+V592)*constants!$F$2+(T592+U592+W592+X592+Y592+Z592+AA592+AB592)*constants!$G$2</f>
        <v>35237.987034527439</v>
      </c>
      <c r="AO592">
        <f>(AD592*constants!$F$2+AE592*constants!$G$2)</f>
        <v>188.24979683444232</v>
      </c>
      <c r="AP592">
        <f t="shared" si="84"/>
        <v>0.53422403683271824</v>
      </c>
    </row>
    <row r="593" spans="1:42">
      <c r="A593">
        <f>sim_annual_output!B593</f>
        <v>28</v>
      </c>
      <c r="B593" t="str">
        <f>sim_annual_output!C593</f>
        <v>Vehicle Garage</v>
      </c>
      <c r="C593" t="str">
        <f>sim_annual_output!D593</f>
        <v>1980-2004</v>
      </c>
      <c r="D593" t="str">
        <f>sim_annual_output!E593</f>
        <v>boiler_reset</v>
      </c>
      <c r="E593" s="45">
        <f t="array" ref="E593">IFERROR(INDEX(baseline!$J$3:$J$201,MATCH($B593&amp;$C593,baseline!$C$3:$C$201&amp;baseline!$D$3:$D$201,0)),"NA")</f>
        <v>2270</v>
      </c>
      <c r="F593">
        <f>sim_annual_output!G593</f>
        <v>3744.59714816727</v>
      </c>
      <c r="G593">
        <f>$E593/$F593^2*sim_annual_output!I593</f>
        <v>0</v>
      </c>
      <c r="H593">
        <f>$E593/$F593^2*sim_annual_output!J593</f>
        <v>50.71921749234756</v>
      </c>
      <c r="I593">
        <f>$E593/$F593^2*sim_annual_output!K593</f>
        <v>0</v>
      </c>
      <c r="J593">
        <f>$E593/$F593^2*sim_annual_output!L593</f>
        <v>0.74873431445786043</v>
      </c>
      <c r="K593">
        <f>$E593/$F593^2*sim_annual_output!M593</f>
        <v>0</v>
      </c>
      <c r="L593">
        <f>$E593/$F593^2*sim_annual_output!N593</f>
        <v>10.344675177050222</v>
      </c>
      <c r="M593">
        <f>$E593/$F593^2*sim_annual_output!O593</f>
        <v>2.2309134738891565</v>
      </c>
      <c r="N593">
        <f>$E593/$F593^2*sim_annual_output!P593</f>
        <v>0</v>
      </c>
      <c r="O593">
        <f>$E593/$F593^2*sim_annual_output!Q593</f>
        <v>4.877790455810457</v>
      </c>
      <c r="P593">
        <f>$E593/$F593^2*sim_annual_output!R593</f>
        <v>5.2865589193793427</v>
      </c>
      <c r="Q593">
        <f>$E593/$F593^2*sim_annual_output!S593</f>
        <v>0</v>
      </c>
      <c r="R593">
        <f t="array" ref="R593">INDEX(G$3:G$700,MATCH($B593&amp;$C593&amp;"baseline",$B$3:$B$700&amp;$C$3:$C$700&amp;$D$3:$D$700,0))</f>
        <v>0</v>
      </c>
      <c r="S593">
        <f t="array" ref="S593">INDEX(H$3:H$700,MATCH($B593&amp;$C593&amp;"baseline",$B$3:$B$700&amp;$C$3:$C$700&amp;$D$3:$D$700,0))</f>
        <v>82.926934655738179</v>
      </c>
      <c r="T593">
        <f t="array" ref="T593">INDEX(I$3:I$700,MATCH($B593&amp;$C593&amp;"baseline",$B$3:$B$700&amp;$C$3:$C$700&amp;$D$3:$D$700,0))</f>
        <v>0</v>
      </c>
      <c r="U593">
        <f t="array" ref="U593">INDEX(J$3:J$700,MATCH($B593&amp;$C593&amp;"baseline",$B$3:$B$700&amp;$C$3:$C$700&amp;$D$3:$D$700,0))</f>
        <v>0.74873431452475192</v>
      </c>
      <c r="V593">
        <f t="array" ref="V593">INDEX(K$3:K$700,MATCH($B593&amp;$C593&amp;"baseline",$B$3:$B$700&amp;$C$3:$C$700&amp;$D$3:$D$700,0))</f>
        <v>0</v>
      </c>
      <c r="W593">
        <f t="array" ref="W593">INDEX(L$3:L$700,MATCH($B593&amp;$C593&amp;"baseline",$B$3:$B$700&amp;$C$3:$C$700&amp;$D$3:$D$700,0))</f>
        <v>10.344675177974409</v>
      </c>
      <c r="X593">
        <f t="array" ref="X593">INDEX(M$3:M$700,MATCH($B593&amp;$C593&amp;"baseline",$B$3:$B$700&amp;$C$3:$C$700&amp;$D$3:$D$700,0))</f>
        <v>2.2309134740884651</v>
      </c>
      <c r="Y593">
        <f t="array" ref="Y593">INDEX(N$3:N$700,MATCH($B593&amp;$C593&amp;"baseline",$B$3:$B$700&amp;$C$3:$C$700&amp;$D$3:$D$700,0))</f>
        <v>0</v>
      </c>
      <c r="Z593">
        <f t="array" ref="Z593">INDEX(O$3:O$700,MATCH($B593&amp;$C593&amp;"baseline",$B$3:$B$700&amp;$C$3:$C$700&amp;$D$3:$D$700,0))</f>
        <v>4.8651991284344085</v>
      </c>
      <c r="AA593">
        <f t="array" ref="AA593">INDEX(P$3:P$700,MATCH($B593&amp;$C593&amp;"baseline",$B$3:$B$700&amp;$C$3:$C$700&amp;$D$3:$D$700,0))</f>
        <v>5.2519327683691159</v>
      </c>
      <c r="AB593">
        <f t="array" ref="AB593">INDEX(Q$3:Q$700,MATCH($B593&amp;$C593&amp;"baseline",$B$3:$B$700&amp;$C$3:$C$700&amp;$D$3:$D$700,0))</f>
        <v>0</v>
      </c>
      <c r="AC593">
        <f t="shared" si="78"/>
        <v>106.36838951912934</v>
      </c>
      <c r="AD593">
        <f t="shared" si="79"/>
        <v>32.207717163390619</v>
      </c>
      <c r="AE593">
        <f t="shared" si="80"/>
        <v>-4.7217477195889757E-2</v>
      </c>
      <c r="AF593">
        <f t="shared" si="81"/>
        <v>30.235016090387422</v>
      </c>
      <c r="AG593">
        <f>(S593+V593+Y593)*constants!$O$2+(R593+T593+U593+W593+X593+Z593+AA593+AB593)*constants!$N$2</f>
        <v>3.9923007409861588</v>
      </c>
      <c r="AH593">
        <f>((S593+V593+Y593)-(H593+K593+N593))*constants!$O$2</f>
        <v>0.52176501804692799</v>
      </c>
      <c r="AI593">
        <f>((R593+T593+U593+W593+X593+Z593+AA593+AB593)-(G593+I593+J593+L593+M593+O593+P593+Q593))*constants!$N$2</f>
        <v>-5.3355749231355429E-3</v>
      </c>
      <c r="AJ593">
        <f t="shared" si="82"/>
        <v>12.935634778762347</v>
      </c>
      <c r="AK593">
        <f t="shared" si="83"/>
        <v>0.51642944312379246</v>
      </c>
      <c r="AL593">
        <f>COUNTIFS($B:$B,$B593,$AK:$AK,"&lt;"&amp;$AK593)+COUNTIFS($B$2:$B593,$B593,$AK$2:$AK593,$AK593)</f>
        <v>34</v>
      </c>
      <c r="AM593" s="191">
        <f>IF(AK593=0, "NA",IF(((sim_annual_output!F593/E593)/AK593)&lt;0,100,((sim_annual_output!F593/E593)/AK593)))</f>
        <v>0.79257365259466472</v>
      </c>
      <c r="AN593">
        <f>(S593+V593)*constants!$F$2+(T593+U593+W593+X593+Y593+Z593+AA593+AB593)*constants!$G$2</f>
        <v>35237.987034527439</v>
      </c>
      <c r="AO593">
        <f>(AD593*constants!$F$2+AE593*constants!$G$2)</f>
        <v>5724.1021670864966</v>
      </c>
      <c r="AP593">
        <f t="shared" si="84"/>
        <v>16.244123597292369</v>
      </c>
    </row>
    <row r="594" spans="1:42">
      <c r="A594">
        <f>sim_annual_output!B594</f>
        <v>28</v>
      </c>
      <c r="B594" t="str">
        <f>sim_annual_output!C594</f>
        <v>Vehicle Garage</v>
      </c>
      <c r="C594" t="str">
        <f>sim_annual_output!D594</f>
        <v>1980-2004</v>
      </c>
      <c r="D594" t="str">
        <f>sim_annual_output!E594</f>
        <v>dcv_enabled</v>
      </c>
      <c r="E594" s="45">
        <f t="array" ref="E594">IFERROR(INDEX(baseline!$J$3:$J$201,MATCH($B594&amp;$C594,baseline!$C$3:$C$201&amp;baseline!$D$3:$D$201,0)),"NA")</f>
        <v>2270</v>
      </c>
      <c r="F594">
        <f>sim_annual_output!G594</f>
        <v>3744.59714816727</v>
      </c>
      <c r="G594">
        <f>$E594/$F594^2*sim_annual_output!I594</f>
        <v>0</v>
      </c>
      <c r="H594">
        <f>$E594/$F594^2*sim_annual_output!J594</f>
        <v>66.253318488523135</v>
      </c>
      <c r="I594">
        <f>$E594/$F594^2*sim_annual_output!K594</f>
        <v>0</v>
      </c>
      <c r="J594">
        <f>$E594/$F594^2*sim_annual_output!L594</f>
        <v>0.74873431445786043</v>
      </c>
      <c r="K594">
        <f>$E594/$F594^2*sim_annual_output!M594</f>
        <v>0</v>
      </c>
      <c r="L594">
        <f>$E594/$F594^2*sim_annual_output!N594</f>
        <v>10.344675177050222</v>
      </c>
      <c r="M594">
        <f>$E594/$F594^2*sim_annual_output!O594</f>
        <v>2.2309134738891565</v>
      </c>
      <c r="N594">
        <f>$E594/$F594^2*sim_annual_output!P594</f>
        <v>0</v>
      </c>
      <c r="O594">
        <f>$E594/$F594^2*sim_annual_output!Q594</f>
        <v>4.8391170918204418</v>
      </c>
      <c r="P594">
        <f>$E594/$F594^2*sim_annual_output!R594</f>
        <v>5.2865589193793427</v>
      </c>
      <c r="Q594">
        <f>$E594/$F594^2*sim_annual_output!S594</f>
        <v>0</v>
      </c>
      <c r="R594">
        <f t="array" ref="R594">INDEX(G$3:G$700,MATCH($B594&amp;$C594&amp;"baseline",$B$3:$B$700&amp;$C$3:$C$700&amp;$D$3:$D$700,0))</f>
        <v>0</v>
      </c>
      <c r="S594">
        <f t="array" ref="S594">INDEX(H$3:H$700,MATCH($B594&amp;$C594&amp;"baseline",$B$3:$B$700&amp;$C$3:$C$700&amp;$D$3:$D$700,0))</f>
        <v>82.926934655738179</v>
      </c>
      <c r="T594">
        <f t="array" ref="T594">INDEX(I$3:I$700,MATCH($B594&amp;$C594&amp;"baseline",$B$3:$B$700&amp;$C$3:$C$700&amp;$D$3:$D$700,0))</f>
        <v>0</v>
      </c>
      <c r="U594">
        <f t="array" ref="U594">INDEX(J$3:J$700,MATCH($B594&amp;$C594&amp;"baseline",$B$3:$B$700&amp;$C$3:$C$700&amp;$D$3:$D$700,0))</f>
        <v>0.74873431452475192</v>
      </c>
      <c r="V594">
        <f t="array" ref="V594">INDEX(K$3:K$700,MATCH($B594&amp;$C594&amp;"baseline",$B$3:$B$700&amp;$C$3:$C$700&amp;$D$3:$D$700,0))</f>
        <v>0</v>
      </c>
      <c r="W594">
        <f t="array" ref="W594">INDEX(L$3:L$700,MATCH($B594&amp;$C594&amp;"baseline",$B$3:$B$700&amp;$C$3:$C$700&amp;$D$3:$D$700,0))</f>
        <v>10.344675177974409</v>
      </c>
      <c r="X594">
        <f t="array" ref="X594">INDEX(M$3:M$700,MATCH($B594&amp;$C594&amp;"baseline",$B$3:$B$700&amp;$C$3:$C$700&amp;$D$3:$D$700,0))</f>
        <v>2.2309134740884651</v>
      </c>
      <c r="Y594">
        <f t="array" ref="Y594">INDEX(N$3:N$700,MATCH($B594&amp;$C594&amp;"baseline",$B$3:$B$700&amp;$C$3:$C$700&amp;$D$3:$D$700,0))</f>
        <v>0</v>
      </c>
      <c r="Z594">
        <f t="array" ref="Z594">INDEX(O$3:O$700,MATCH($B594&amp;$C594&amp;"baseline",$B$3:$B$700&amp;$C$3:$C$700&amp;$D$3:$D$700,0))</f>
        <v>4.8651991284344085</v>
      </c>
      <c r="AA594">
        <f t="array" ref="AA594">INDEX(P$3:P$700,MATCH($B594&amp;$C594&amp;"baseline",$B$3:$B$700&amp;$C$3:$C$700&amp;$D$3:$D$700,0))</f>
        <v>5.2519327683691159</v>
      </c>
      <c r="AB594">
        <f t="array" ref="AB594">INDEX(Q$3:Q$700,MATCH($B594&amp;$C594&amp;"baseline",$B$3:$B$700&amp;$C$3:$C$700&amp;$D$3:$D$700,0))</f>
        <v>0</v>
      </c>
      <c r="AC594">
        <f t="shared" si="78"/>
        <v>106.36838951912934</v>
      </c>
      <c r="AD594">
        <f t="shared" si="79"/>
        <v>16.673616167215044</v>
      </c>
      <c r="AE594">
        <f t="shared" si="80"/>
        <v>-8.5441132058718949E-3</v>
      </c>
      <c r="AF594">
        <f t="shared" si="81"/>
        <v>15.667316323344464</v>
      </c>
      <c r="AG594">
        <f>(S594+V594+Y594)*constants!$O$2+(R594+T594+U594+W594+X594+Z594+AA594+AB594)*constants!$N$2</f>
        <v>3.9923007409861588</v>
      </c>
      <c r="AH594">
        <f>((S594+V594+Y594)-(H594+K594+N594))*constants!$O$2</f>
        <v>0.27011258190888371</v>
      </c>
      <c r="AI594">
        <f>((R594+T594+U594+W594+X594+Z594+AA594+AB594)-(G594+I594+J594+L594+M594+O594+P594+Q594))*constants!$N$2</f>
        <v>-9.6548479226352417E-4</v>
      </c>
      <c r="AJ594">
        <f t="shared" si="82"/>
        <v>6.7416538627332159</v>
      </c>
      <c r="AK594">
        <f t="shared" si="83"/>
        <v>0.26914709711662016</v>
      </c>
      <c r="AL594">
        <f>COUNTIFS($B:$B,$B594,$AK:$AK,"&lt;"&amp;$AK594)+COUNTIFS($B$2:$B594,$B594,$AK$2:$AK594,$AK594)</f>
        <v>29</v>
      </c>
      <c r="AM594" s="191">
        <f>IF(AK594=0, "NA",IF(((sim_annual_output!F594/E594)/AK594)&lt;0,100,((sim_annual_output!F594/E594)/AK594)))</f>
        <v>13.904503776135051</v>
      </c>
      <c r="AN594">
        <f>(S594+V594)*constants!$F$2+(T594+U594+W594+X594+Y594+Z594+AA594+AB594)*constants!$G$2</f>
        <v>35237.987034527439</v>
      </c>
      <c r="AO594">
        <f>(AD594*constants!$F$2+AE594*constants!$G$2)</f>
        <v>2977.1439154423842</v>
      </c>
      <c r="AP594">
        <f t="shared" si="84"/>
        <v>8.4486775947935744</v>
      </c>
    </row>
    <row r="595" spans="1:42">
      <c r="A595">
        <f>sim_annual_output!B595</f>
        <v>28</v>
      </c>
      <c r="B595" t="str">
        <f>sim_annual_output!C595</f>
        <v>Vehicle Garage</v>
      </c>
      <c r="C595" t="str">
        <f>sim_annual_output!D595</f>
        <v>1980-2004</v>
      </c>
      <c r="D595" t="str">
        <f>sim_annual_output!E595</f>
        <v>ecm_cold_deck_reset_control</v>
      </c>
      <c r="E595" s="45">
        <f t="array" ref="E595">IFERROR(INDEX(baseline!$J$3:$J$201,MATCH($B595&amp;$C595,baseline!$C$3:$C$201&amp;baseline!$D$3:$D$201,0)),"NA")</f>
        <v>2270</v>
      </c>
      <c r="F595">
        <f>sim_annual_output!G595</f>
        <v>3744.59714816727</v>
      </c>
      <c r="G595">
        <f>$E595/$F595^2*sim_annual_output!I595</f>
        <v>0</v>
      </c>
      <c r="H595">
        <f>$E595/$F595^2*sim_annual_output!J595</f>
        <v>81.645767046828311</v>
      </c>
      <c r="I595">
        <f>$E595/$F595^2*sim_annual_output!K595</f>
        <v>0</v>
      </c>
      <c r="J595">
        <f>$E595/$F595^2*sim_annual_output!L595</f>
        <v>0.74873431445786043</v>
      </c>
      <c r="K595">
        <f>$E595/$F595^2*sim_annual_output!M595</f>
        <v>0</v>
      </c>
      <c r="L595">
        <f>$E595/$F595^2*sim_annual_output!N595</f>
        <v>10.344675177050222</v>
      </c>
      <c r="M595">
        <f>$E595/$F595^2*sim_annual_output!O595</f>
        <v>2.2309134738891565</v>
      </c>
      <c r="N595">
        <f>$E595/$F595^2*sim_annual_output!P595</f>
        <v>0</v>
      </c>
      <c r="O595">
        <f>$E595/$F595^2*sim_annual_output!Q595</f>
        <v>4.877790455810457</v>
      </c>
      <c r="P595">
        <f>$E595/$F595^2*sim_annual_output!R595</f>
        <v>5.2865589193793427</v>
      </c>
      <c r="Q595">
        <f>$E595/$F595^2*sim_annual_output!S595</f>
        <v>0</v>
      </c>
      <c r="R595">
        <f t="array" ref="R595">INDEX(G$3:G$700,MATCH($B595&amp;$C595&amp;"baseline",$B$3:$B$700&amp;$C$3:$C$700&amp;$D$3:$D$700,0))</f>
        <v>0</v>
      </c>
      <c r="S595">
        <f t="array" ref="S595">INDEX(H$3:H$700,MATCH($B595&amp;$C595&amp;"baseline",$B$3:$B$700&amp;$C$3:$C$700&amp;$D$3:$D$700,0))</f>
        <v>82.926934655738179</v>
      </c>
      <c r="T595">
        <f t="array" ref="T595">INDEX(I$3:I$700,MATCH($B595&amp;$C595&amp;"baseline",$B$3:$B$700&amp;$C$3:$C$700&amp;$D$3:$D$700,0))</f>
        <v>0</v>
      </c>
      <c r="U595">
        <f t="array" ref="U595">INDEX(J$3:J$700,MATCH($B595&amp;$C595&amp;"baseline",$B$3:$B$700&amp;$C$3:$C$700&amp;$D$3:$D$700,0))</f>
        <v>0.74873431452475192</v>
      </c>
      <c r="V595">
        <f t="array" ref="V595">INDEX(K$3:K$700,MATCH($B595&amp;$C595&amp;"baseline",$B$3:$B$700&amp;$C$3:$C$700&amp;$D$3:$D$700,0))</f>
        <v>0</v>
      </c>
      <c r="W595">
        <f t="array" ref="W595">INDEX(L$3:L$700,MATCH($B595&amp;$C595&amp;"baseline",$B$3:$B$700&amp;$C$3:$C$700&amp;$D$3:$D$700,0))</f>
        <v>10.344675177974409</v>
      </c>
      <c r="X595">
        <f t="array" ref="X595">INDEX(M$3:M$700,MATCH($B595&amp;$C595&amp;"baseline",$B$3:$B$700&amp;$C$3:$C$700&amp;$D$3:$D$700,0))</f>
        <v>2.2309134740884651</v>
      </c>
      <c r="Y595">
        <f t="array" ref="Y595">INDEX(N$3:N$700,MATCH($B595&amp;$C595&amp;"baseline",$B$3:$B$700&amp;$C$3:$C$700&amp;$D$3:$D$700,0))</f>
        <v>0</v>
      </c>
      <c r="Z595">
        <f t="array" ref="Z595">INDEX(O$3:O$700,MATCH($B595&amp;$C595&amp;"baseline",$B$3:$B$700&amp;$C$3:$C$700&amp;$D$3:$D$700,0))</f>
        <v>4.8651991284344085</v>
      </c>
      <c r="AA595">
        <f t="array" ref="AA595">INDEX(P$3:P$700,MATCH($B595&amp;$C595&amp;"baseline",$B$3:$B$700&amp;$C$3:$C$700&amp;$D$3:$D$700,0))</f>
        <v>5.2519327683691159</v>
      </c>
      <c r="AB595">
        <f t="array" ref="AB595">INDEX(Q$3:Q$700,MATCH($B595&amp;$C595&amp;"baseline",$B$3:$B$700&amp;$C$3:$C$700&amp;$D$3:$D$700,0))</f>
        <v>0</v>
      </c>
      <c r="AC595">
        <f t="shared" si="78"/>
        <v>106.36838951912934</v>
      </c>
      <c r="AD595">
        <f t="shared" si="79"/>
        <v>1.2811676089098682</v>
      </c>
      <c r="AE595">
        <f t="shared" si="80"/>
        <v>-4.7217477195889757E-2</v>
      </c>
      <c r="AF595">
        <f t="shared" si="81"/>
        <v>1.1600722143979292</v>
      </c>
      <c r="AG595">
        <f>(S595+V595+Y595)*constants!$O$2+(R595+T595+U595+W595+X595+Z595+AA595+AB595)*constants!$N$2</f>
        <v>3.9923007409861588</v>
      </c>
      <c r="AH595">
        <f>((S595+V595+Y595)-(H595+K595+N595))*constants!$O$2</f>
        <v>2.0754915264339865E-2</v>
      </c>
      <c r="AI595">
        <f>((R595+T595+U595+W595+X595+Z595+AA595+AB595)-(G595+I595+J595+L595+M595+O595+P595+Q595))*constants!$N$2</f>
        <v>-5.3355749231355429E-3</v>
      </c>
      <c r="AJ595">
        <f t="shared" si="82"/>
        <v>0.38622692381124352</v>
      </c>
      <c r="AK595">
        <f t="shared" si="83"/>
        <v>1.5419340341204322E-2</v>
      </c>
      <c r="AL595">
        <f>COUNTIFS($B:$B,$B595,$AK:$AK,"&lt;"&amp;$AK595)+COUNTIFS($B$2:$B595,$B595,$AK$2:$AK595,$AK595)</f>
        <v>8</v>
      </c>
      <c r="AM595" s="191">
        <f>IF(AK595=0, "NA",IF(((sim_annual_output!F595/E595)/AK595)&lt;0,100,((sim_annual_output!F595/E595)/AK595)))</f>
        <v>258.37709766611033</v>
      </c>
      <c r="AN595">
        <f>(S595+V595)*constants!$F$2+(T595+U595+W595+X595+Y595+Z595+AA595+AB595)*constants!$G$2</f>
        <v>35237.987034527439</v>
      </c>
      <c r="AO595">
        <f>(AD595*constants!$F$2+AE595*constants!$G$2)</f>
        <v>188.24979683444232</v>
      </c>
      <c r="AP595">
        <f t="shared" si="84"/>
        <v>0.53422403683271824</v>
      </c>
    </row>
    <row r="596" spans="1:42">
      <c r="A596">
        <f>sim_annual_output!B596</f>
        <v>28</v>
      </c>
      <c r="B596" t="str">
        <f>sim_annual_output!C596</f>
        <v>Vehicle Garage</v>
      </c>
      <c r="C596" t="str">
        <f>sim_annual_output!D596</f>
        <v>1980-2004</v>
      </c>
      <c r="D596" t="str">
        <f>sim_annual_output!E596</f>
        <v>economizers_enabled</v>
      </c>
      <c r="E596" s="45">
        <f t="array" ref="E596">IFERROR(INDEX(baseline!$J$3:$J$201,MATCH($B596&amp;$C596,baseline!$C$3:$C$201&amp;baseline!$D$3:$D$201,0)),"NA")</f>
        <v>2270</v>
      </c>
      <c r="F596">
        <f>sim_annual_output!G596</f>
        <v>3744.59714816727</v>
      </c>
      <c r="G596">
        <f>$E596/$F596^2*sim_annual_output!I596</f>
        <v>0</v>
      </c>
      <c r="H596">
        <f>$E596/$F596^2*sim_annual_output!J596</f>
        <v>81.867914044631419</v>
      </c>
      <c r="I596">
        <f>$E596/$F596^2*sim_annual_output!K596</f>
        <v>0</v>
      </c>
      <c r="J596">
        <f>$E596/$F596^2*sim_annual_output!L596</f>
        <v>0.74873431445786043</v>
      </c>
      <c r="K596">
        <f>$E596/$F596^2*sim_annual_output!M596</f>
        <v>0</v>
      </c>
      <c r="L596">
        <f>$E596/$F596^2*sim_annual_output!N596</f>
        <v>10.344675177050222</v>
      </c>
      <c r="M596">
        <f>$E596/$F596^2*sim_annual_output!O596</f>
        <v>2.2309134738891565</v>
      </c>
      <c r="N596">
        <f>$E596/$F596^2*sim_annual_output!P596</f>
        <v>0</v>
      </c>
      <c r="O596">
        <f>$E596/$F596^2*sim_annual_output!Q596</f>
        <v>4.8782401460894107</v>
      </c>
      <c r="P596">
        <f>$E596/$F596^2*sim_annual_output!R596</f>
        <v>5.1300667023034663</v>
      </c>
      <c r="Q596">
        <f>$E596/$F596^2*sim_annual_output!S596</f>
        <v>0</v>
      </c>
      <c r="R596">
        <f t="array" ref="R596">INDEX(G$3:G$700,MATCH($B596&amp;$C596&amp;"baseline",$B$3:$B$700&amp;$C$3:$C$700&amp;$D$3:$D$700,0))</f>
        <v>0</v>
      </c>
      <c r="S596">
        <f t="array" ref="S596">INDEX(H$3:H$700,MATCH($B596&amp;$C596&amp;"baseline",$B$3:$B$700&amp;$C$3:$C$700&amp;$D$3:$D$700,0))</f>
        <v>82.926934655738179</v>
      </c>
      <c r="T596">
        <f t="array" ref="T596">INDEX(I$3:I$700,MATCH($B596&amp;$C596&amp;"baseline",$B$3:$B$700&amp;$C$3:$C$700&amp;$D$3:$D$700,0))</f>
        <v>0</v>
      </c>
      <c r="U596">
        <f t="array" ref="U596">INDEX(J$3:J$700,MATCH($B596&amp;$C596&amp;"baseline",$B$3:$B$700&amp;$C$3:$C$700&amp;$D$3:$D$700,0))</f>
        <v>0.74873431452475192</v>
      </c>
      <c r="V596">
        <f t="array" ref="V596">INDEX(K$3:K$700,MATCH($B596&amp;$C596&amp;"baseline",$B$3:$B$700&amp;$C$3:$C$700&amp;$D$3:$D$700,0))</f>
        <v>0</v>
      </c>
      <c r="W596">
        <f t="array" ref="W596">INDEX(L$3:L$700,MATCH($B596&amp;$C596&amp;"baseline",$B$3:$B$700&amp;$C$3:$C$700&amp;$D$3:$D$700,0))</f>
        <v>10.344675177974409</v>
      </c>
      <c r="X596">
        <f t="array" ref="X596">INDEX(M$3:M$700,MATCH($B596&amp;$C596&amp;"baseline",$B$3:$B$700&amp;$C$3:$C$700&amp;$D$3:$D$700,0))</f>
        <v>2.2309134740884651</v>
      </c>
      <c r="Y596">
        <f t="array" ref="Y596">INDEX(N$3:N$700,MATCH($B596&amp;$C596&amp;"baseline",$B$3:$B$700&amp;$C$3:$C$700&amp;$D$3:$D$700,0))</f>
        <v>0</v>
      </c>
      <c r="Z596">
        <f t="array" ref="Z596">INDEX(O$3:O$700,MATCH($B596&amp;$C596&amp;"baseline",$B$3:$B$700&amp;$C$3:$C$700&amp;$D$3:$D$700,0))</f>
        <v>4.8651991284344085</v>
      </c>
      <c r="AA596">
        <f t="array" ref="AA596">INDEX(P$3:P$700,MATCH($B596&amp;$C596&amp;"baseline",$B$3:$B$700&amp;$C$3:$C$700&amp;$D$3:$D$700,0))</f>
        <v>5.2519327683691159</v>
      </c>
      <c r="AB596">
        <f t="array" ref="AB596">INDEX(Q$3:Q$700,MATCH($B596&amp;$C596&amp;"baseline",$B$3:$B$700&amp;$C$3:$C$700&amp;$D$3:$D$700,0))</f>
        <v>0</v>
      </c>
      <c r="AC596">
        <f t="shared" si="78"/>
        <v>106.36838951912934</v>
      </c>
      <c r="AD596">
        <f t="shared" si="79"/>
        <v>1.0590206111067602</v>
      </c>
      <c r="AE596">
        <f t="shared" si="80"/>
        <v>0.1088250496010339</v>
      </c>
      <c r="AF596">
        <f t="shared" si="81"/>
        <v>1.0979254889421526</v>
      </c>
      <c r="AG596">
        <f>(S596+V596+Y596)*constants!$O$2+(R596+T596+U596+W596+X596+Z596+AA596+AB596)*constants!$N$2</f>
        <v>3.9923007409861588</v>
      </c>
      <c r="AH596">
        <f>((S596+V596+Y596)-(H596+K596+N596))*constants!$O$2</f>
        <v>1.7156133899929513E-2</v>
      </c>
      <c r="AI596">
        <f>((R596+T596+U596+W596+X596+Z596+AA596+AB596)-(G596+I596+J596+L596+M596+O596+P596+Q596))*constants!$N$2</f>
        <v>1.2297230604916831E-2</v>
      </c>
      <c r="AJ596">
        <f t="shared" si="82"/>
        <v>0.73775415269869971</v>
      </c>
      <c r="AK596">
        <f t="shared" si="83"/>
        <v>2.9453364504846345E-2</v>
      </c>
      <c r="AL596">
        <f>COUNTIFS($B:$B,$B596,$AK:$AK,"&lt;"&amp;$AK596)+COUNTIFS($B$2:$B596,$B596,$AK$2:$AK596,$AK596)</f>
        <v>13</v>
      </c>
      <c r="AM596" s="191">
        <f>IF(AK596=0, "NA",IF(((sim_annual_output!F596/E596)/AK596)&lt;0,100,((sim_annual_output!F596/E596)/AK596)))</f>
        <v>52.610310802963909</v>
      </c>
      <c r="AN596">
        <f>(S596+V596)*constants!$F$2+(T596+U596+W596+X596+Y596+Z596+AA596+AB596)*constants!$G$2</f>
        <v>35237.987034527439</v>
      </c>
      <c r="AO596">
        <f>(AD596*constants!$F$2+AE596*constants!$G$2)</f>
        <v>284.24248254100957</v>
      </c>
      <c r="AP596">
        <f t="shared" si="84"/>
        <v>0.80663654896773362</v>
      </c>
    </row>
    <row r="597" spans="1:42">
      <c r="A597">
        <f>sim_annual_output!B597</f>
        <v>28</v>
      </c>
      <c r="B597" t="str">
        <f>sim_annual_output!C597</f>
        <v>Vehicle Garage</v>
      </c>
      <c r="C597" t="str">
        <f>sim_annual_output!D597</f>
        <v>1980-2004</v>
      </c>
      <c r="D597" t="str">
        <f>sim_annual_output!E597</f>
        <v>elec_reduce</v>
      </c>
      <c r="E597" s="45">
        <f t="array" ref="E597">IFERROR(INDEX(baseline!$J$3:$J$201,MATCH($B597&amp;$C597,baseline!$C$3:$C$201&amp;baseline!$D$3:$D$201,0)),"NA")</f>
        <v>2270</v>
      </c>
      <c r="F597">
        <f>sim_annual_output!G597</f>
        <v>3744.59714816727</v>
      </c>
      <c r="G597">
        <f>$E597/$F597^2*sim_annual_output!I597</f>
        <v>0</v>
      </c>
      <c r="H597">
        <f>$E597/$F597^2*sim_annual_output!J597</f>
        <v>70.689063400122137</v>
      </c>
      <c r="I597">
        <f>$E597/$F597^2*sim_annual_output!K597</f>
        <v>0</v>
      </c>
      <c r="J597">
        <f>$E597/$F597^2*sim_annual_output!L597</f>
        <v>0.74873431445786043</v>
      </c>
      <c r="K597">
        <f>$E597/$F597^2*sim_annual_output!M597</f>
        <v>0</v>
      </c>
      <c r="L597">
        <f>$E597/$F597^2*sim_annual_output!N597</f>
        <v>7.2413625619909459</v>
      </c>
      <c r="M597">
        <f>$E597/$F597^2*sim_annual_output!O597</f>
        <v>2.2309134738891565</v>
      </c>
      <c r="N597">
        <f>$E597/$F597^2*sim_annual_output!P597</f>
        <v>0</v>
      </c>
      <c r="O597">
        <f>$E597/$F597^2*sim_annual_output!Q597</f>
        <v>4.8224785514991559</v>
      </c>
      <c r="P597">
        <f>$E597/$F597^2*sim_annual_output!R597</f>
        <v>4.1551381775319101</v>
      </c>
      <c r="Q597">
        <f>$E597/$F597^2*sim_annual_output!S597</f>
        <v>0</v>
      </c>
      <c r="R597">
        <f t="array" ref="R597">INDEX(G$3:G$700,MATCH($B597&amp;$C597&amp;"baseline",$B$3:$B$700&amp;$C$3:$C$700&amp;$D$3:$D$700,0))</f>
        <v>0</v>
      </c>
      <c r="S597">
        <f t="array" ref="S597">INDEX(H$3:H$700,MATCH($B597&amp;$C597&amp;"baseline",$B$3:$B$700&amp;$C$3:$C$700&amp;$D$3:$D$700,0))</f>
        <v>82.926934655738179</v>
      </c>
      <c r="T597">
        <f t="array" ref="T597">INDEX(I$3:I$700,MATCH($B597&amp;$C597&amp;"baseline",$B$3:$B$700&amp;$C$3:$C$700&amp;$D$3:$D$700,0))</f>
        <v>0</v>
      </c>
      <c r="U597">
        <f t="array" ref="U597">INDEX(J$3:J$700,MATCH($B597&amp;$C597&amp;"baseline",$B$3:$B$700&amp;$C$3:$C$700&amp;$D$3:$D$700,0))</f>
        <v>0.74873431452475192</v>
      </c>
      <c r="V597">
        <f t="array" ref="V597">INDEX(K$3:K$700,MATCH($B597&amp;$C597&amp;"baseline",$B$3:$B$700&amp;$C$3:$C$700&amp;$D$3:$D$700,0))</f>
        <v>0</v>
      </c>
      <c r="W597">
        <f t="array" ref="W597">INDEX(L$3:L$700,MATCH($B597&amp;$C597&amp;"baseline",$B$3:$B$700&amp;$C$3:$C$700&amp;$D$3:$D$700,0))</f>
        <v>10.344675177974409</v>
      </c>
      <c r="X597">
        <f t="array" ref="X597">INDEX(M$3:M$700,MATCH($B597&amp;$C597&amp;"baseline",$B$3:$B$700&amp;$C$3:$C$700&amp;$D$3:$D$700,0))</f>
        <v>2.2309134740884651</v>
      </c>
      <c r="Y597">
        <f t="array" ref="Y597">INDEX(N$3:N$700,MATCH($B597&amp;$C597&amp;"baseline",$B$3:$B$700&amp;$C$3:$C$700&amp;$D$3:$D$700,0))</f>
        <v>0</v>
      </c>
      <c r="Z597">
        <f t="array" ref="Z597">INDEX(O$3:O$700,MATCH($B597&amp;$C597&amp;"baseline",$B$3:$B$700&amp;$C$3:$C$700&amp;$D$3:$D$700,0))</f>
        <v>4.8651991284344085</v>
      </c>
      <c r="AA597">
        <f t="array" ref="AA597">INDEX(P$3:P$700,MATCH($B597&amp;$C597&amp;"baseline",$B$3:$B$700&amp;$C$3:$C$700&amp;$D$3:$D$700,0))</f>
        <v>5.2519327683691159</v>
      </c>
      <c r="AB597">
        <f t="array" ref="AB597">INDEX(Q$3:Q$700,MATCH($B597&amp;$C597&amp;"baseline",$B$3:$B$700&amp;$C$3:$C$700&amp;$D$3:$D$700,0))</f>
        <v>0</v>
      </c>
      <c r="AC597">
        <f t="shared" si="78"/>
        <v>106.36838951912934</v>
      </c>
      <c r="AD597">
        <f t="shared" si="79"/>
        <v>12.237871255616042</v>
      </c>
      <c r="AE597">
        <f t="shared" si="80"/>
        <v>4.242827784022122</v>
      </c>
      <c r="AF597">
        <f t="shared" si="81"/>
        <v>15.493981919012009</v>
      </c>
      <c r="AG597">
        <f>(S597+V597+Y597)*constants!$O$2+(R597+T597+U597+W597+X597+Z597+AA597+AB597)*constants!$N$2</f>
        <v>3.9923007409861588</v>
      </c>
      <c r="AH597">
        <f>((S597+V597+Y597)-(H597+K597+N597))*constants!$O$2</f>
        <v>0.19825351434097988</v>
      </c>
      <c r="AI597">
        <f>((R597+T597+U597+W597+X597+Z597+AA597+AB597)-(G597+I597+J597+L597+M597+O597+P597+Q597))*constants!$N$2</f>
        <v>0.47943953959449981</v>
      </c>
      <c r="AJ597">
        <f t="shared" si="82"/>
        <v>16.975000078979001</v>
      </c>
      <c r="AK597">
        <f t="shared" si="83"/>
        <v>0.67769305393547974</v>
      </c>
      <c r="AL597">
        <f>COUNTIFS($B:$B,$B597,$AK:$AK,"&lt;"&amp;$AK597)+COUNTIFS($B$2:$B597,$B597,$AK$2:$AK597,$AK597)</f>
        <v>35</v>
      </c>
      <c r="AM597" s="191">
        <f>IF(AK597=0, "NA",IF(((sim_annual_output!F597/E597)/AK597)&lt;0,100,((sim_annual_output!F597/E597)/AK597)))</f>
        <v>28.161313977498246</v>
      </c>
      <c r="AN597">
        <f>(S597+V597)*constants!$F$2+(T597+U597+W597+X597+Y597+Z597+AA597+AB597)*constants!$G$2</f>
        <v>35237.987034527439</v>
      </c>
      <c r="AO597">
        <f>(AD597*constants!$F$2+AE597*constants!$G$2)</f>
        <v>5881.8391268545183</v>
      </c>
      <c r="AP597">
        <f t="shared" si="84"/>
        <v>16.691756884669044</v>
      </c>
    </row>
    <row r="598" spans="1:42">
      <c r="A598">
        <f>sim_annual_output!B598</f>
        <v>28</v>
      </c>
      <c r="B598" t="str">
        <f>sim_annual_output!C598</f>
        <v>Vehicle Garage</v>
      </c>
      <c r="C598" t="str">
        <f>sim_annual_output!D598</f>
        <v>1980-2004</v>
      </c>
      <c r="D598" t="str">
        <f>sim_annual_output!E598</f>
        <v>envelope_ecm_roof</v>
      </c>
      <c r="E598" s="45">
        <f t="array" ref="E598">IFERROR(INDEX(baseline!$J$3:$J$201,MATCH($B598&amp;$C598,baseline!$C$3:$C$201&amp;baseline!$D$3:$D$201,0)),"NA")</f>
        <v>2270</v>
      </c>
      <c r="F598">
        <f>sim_annual_output!G598</f>
        <v>3744.59714816727</v>
      </c>
      <c r="G598">
        <f>$E598/$F598^2*sim_annual_output!I598</f>
        <v>0</v>
      </c>
      <c r="H598">
        <f>$E598/$F598^2*sim_annual_output!J598</f>
        <v>79.476910831434751</v>
      </c>
      <c r="I598">
        <f>$E598/$F598^2*sim_annual_output!K598</f>
        <v>0</v>
      </c>
      <c r="J598">
        <f>$E598/$F598^2*sim_annual_output!L598</f>
        <v>0.74873431445786043</v>
      </c>
      <c r="K598">
        <f>$E598/$F598^2*sim_annual_output!M598</f>
        <v>0</v>
      </c>
      <c r="L598">
        <f>$E598/$F598^2*sim_annual_output!N598</f>
        <v>10.344675177050222</v>
      </c>
      <c r="M598">
        <f>$E598/$F598^2*sim_annual_output!O598</f>
        <v>2.2309134738891565</v>
      </c>
      <c r="N598">
        <f>$E598/$F598^2*sim_annual_output!P598</f>
        <v>0</v>
      </c>
      <c r="O598">
        <f>$E598/$F598^2*sim_annual_output!Q598</f>
        <v>4.7257951415241166</v>
      </c>
      <c r="P598">
        <f>$E598/$F598^2*sim_annual_output!R598</f>
        <v>5.1269188703507904</v>
      </c>
      <c r="Q598">
        <f>$E598/$F598^2*sim_annual_output!S598</f>
        <v>0</v>
      </c>
      <c r="R598">
        <f t="array" ref="R598">INDEX(G$3:G$700,MATCH($B598&amp;$C598&amp;"baseline",$B$3:$B$700&amp;$C$3:$C$700&amp;$D$3:$D$700,0))</f>
        <v>0</v>
      </c>
      <c r="S598">
        <f t="array" ref="S598">INDEX(H$3:H$700,MATCH($B598&amp;$C598&amp;"baseline",$B$3:$B$700&amp;$C$3:$C$700&amp;$D$3:$D$700,0))</f>
        <v>82.926934655738179</v>
      </c>
      <c r="T598">
        <f t="array" ref="T598">INDEX(I$3:I$700,MATCH($B598&amp;$C598&amp;"baseline",$B$3:$B$700&amp;$C$3:$C$700&amp;$D$3:$D$700,0))</f>
        <v>0</v>
      </c>
      <c r="U598">
        <f t="array" ref="U598">INDEX(J$3:J$700,MATCH($B598&amp;$C598&amp;"baseline",$B$3:$B$700&amp;$C$3:$C$700&amp;$D$3:$D$700,0))</f>
        <v>0.74873431452475192</v>
      </c>
      <c r="V598">
        <f t="array" ref="V598">INDEX(K$3:K$700,MATCH($B598&amp;$C598&amp;"baseline",$B$3:$B$700&amp;$C$3:$C$700&amp;$D$3:$D$700,0))</f>
        <v>0</v>
      </c>
      <c r="W598">
        <f t="array" ref="W598">INDEX(L$3:L$700,MATCH($B598&amp;$C598&amp;"baseline",$B$3:$B$700&amp;$C$3:$C$700&amp;$D$3:$D$700,0))</f>
        <v>10.344675177974409</v>
      </c>
      <c r="X598">
        <f t="array" ref="X598">INDEX(M$3:M$700,MATCH($B598&amp;$C598&amp;"baseline",$B$3:$B$700&amp;$C$3:$C$700&amp;$D$3:$D$700,0))</f>
        <v>2.2309134740884651</v>
      </c>
      <c r="Y598">
        <f t="array" ref="Y598">INDEX(N$3:N$700,MATCH($B598&amp;$C598&amp;"baseline",$B$3:$B$700&amp;$C$3:$C$700&amp;$D$3:$D$700,0))</f>
        <v>0</v>
      </c>
      <c r="Z598">
        <f t="array" ref="Z598">INDEX(O$3:O$700,MATCH($B598&amp;$C598&amp;"baseline",$B$3:$B$700&amp;$C$3:$C$700&amp;$D$3:$D$700,0))</f>
        <v>4.8651991284344085</v>
      </c>
      <c r="AA598">
        <f t="array" ref="AA598">INDEX(P$3:P$700,MATCH($B598&amp;$C598&amp;"baseline",$B$3:$B$700&amp;$C$3:$C$700&amp;$D$3:$D$700,0))</f>
        <v>5.2519327683691159</v>
      </c>
      <c r="AB598">
        <f t="array" ref="AB598">INDEX(Q$3:Q$700,MATCH($B598&amp;$C598&amp;"baseline",$B$3:$B$700&amp;$C$3:$C$700&amp;$D$3:$D$700,0))</f>
        <v>0</v>
      </c>
      <c r="AC598">
        <f t="shared" si="78"/>
        <v>106.36838951912934</v>
      </c>
      <c r="AD598">
        <f t="shared" si="79"/>
        <v>3.4500238243034289</v>
      </c>
      <c r="AE598">
        <f t="shared" si="80"/>
        <v>0.26441788611900563</v>
      </c>
      <c r="AF598">
        <f t="shared" si="81"/>
        <v>3.4920541029291674</v>
      </c>
      <c r="AG598">
        <f>(S598+V598+Y598)*constants!$O$2+(R598+T598+U598+W598+X598+Z598+AA598+AB598)*constants!$N$2</f>
        <v>3.9923007409861588</v>
      </c>
      <c r="AH598">
        <f>((S598+V598+Y598)-(H598+K598+N598))*constants!$O$2</f>
        <v>5.5890385953715545E-2</v>
      </c>
      <c r="AI598">
        <f>((R598+T598+U598+W598+X598+Z598+AA598+AB598)-(G598+I598+J598+L598+M598+O598+P598+Q598))*constants!$N$2</f>
        <v>2.9879221131447638E-2</v>
      </c>
      <c r="AJ598">
        <f t="shared" si="82"/>
        <v>2.1483754017984324</v>
      </c>
      <c r="AK598">
        <f t="shared" si="83"/>
        <v>8.576960708516318E-2</v>
      </c>
      <c r="AL598">
        <f>COUNTIFS($B:$B,$B598,$AK:$AK,"&lt;"&amp;$AK598)+COUNTIFS($B$2:$B598,$B598,$AK$2:$AK598,$AK598)</f>
        <v>22</v>
      </c>
      <c r="AM598" s="191">
        <f>IF(AK598=0, "NA",IF(((sim_annual_output!F598/E598)/AK598)&lt;0,100,((sim_annual_output!F598/E598)/AK598)))</f>
        <v>1780.1920194463064</v>
      </c>
      <c r="AN598">
        <f>(S598+V598)*constants!$F$2+(T598+U598+W598+X598+Y598+Z598+AA598+AB598)*constants!$G$2</f>
        <v>35237.987034527439</v>
      </c>
      <c r="AO598">
        <f>(AD598*constants!$F$2+AE598*constants!$G$2)</f>
        <v>847.59782547384862</v>
      </c>
      <c r="AP598">
        <f t="shared" si="84"/>
        <v>2.4053525663748672</v>
      </c>
    </row>
    <row r="599" spans="1:42">
      <c r="A599">
        <f>sim_annual_output!B599</f>
        <v>28</v>
      </c>
      <c r="B599" t="str">
        <f>sim_annual_output!C599</f>
        <v>Vehicle Garage</v>
      </c>
      <c r="C599" t="str">
        <f>sim_annual_output!D599</f>
        <v>1980-2004</v>
      </c>
      <c r="D599" t="str">
        <f>sim_annual_output!E599</f>
        <v>envelope_ecm_wall</v>
      </c>
      <c r="E599" s="45">
        <f t="array" ref="E599">IFERROR(INDEX(baseline!$J$3:$J$201,MATCH($B599&amp;$C599,baseline!$C$3:$C$201&amp;baseline!$D$3:$D$201,0)),"NA")</f>
        <v>2270</v>
      </c>
      <c r="F599">
        <f>sim_annual_output!G599</f>
        <v>3744.59714816727</v>
      </c>
      <c r="G599">
        <f>$E599/$F599^2*sim_annual_output!I599</f>
        <v>0</v>
      </c>
      <c r="H599">
        <f>$E599/$F599^2*sim_annual_output!J599</f>
        <v>77.671404361435776</v>
      </c>
      <c r="I599">
        <f>$E599/$F599^2*sim_annual_output!K599</f>
        <v>0</v>
      </c>
      <c r="J599">
        <f>$E599/$F599^2*sim_annual_output!L599</f>
        <v>0.74873431445786043</v>
      </c>
      <c r="K599">
        <f>$E599/$F599^2*sim_annual_output!M599</f>
        <v>0</v>
      </c>
      <c r="L599">
        <f>$E599/$F599^2*sim_annual_output!N599</f>
        <v>10.344675177050222</v>
      </c>
      <c r="M599">
        <f>$E599/$F599^2*sim_annual_output!O599</f>
        <v>2.2309134738891565</v>
      </c>
      <c r="N599">
        <f>$E599/$F599^2*sim_annual_output!P599</f>
        <v>0</v>
      </c>
      <c r="O599">
        <f>$E599/$F599^2*sim_annual_output!Q599</f>
        <v>4.6151713329015145</v>
      </c>
      <c r="P599">
        <f>$E599/$F599^2*sim_annual_output!R599</f>
        <v>4.9906627158278285</v>
      </c>
      <c r="Q599">
        <f>$E599/$F599^2*sim_annual_output!S599</f>
        <v>0</v>
      </c>
      <c r="R599">
        <f t="array" ref="R599">INDEX(G$3:G$700,MATCH($B599&amp;$C599&amp;"baseline",$B$3:$B$700&amp;$C$3:$C$700&amp;$D$3:$D$700,0))</f>
        <v>0</v>
      </c>
      <c r="S599">
        <f t="array" ref="S599">INDEX(H$3:H$700,MATCH($B599&amp;$C599&amp;"baseline",$B$3:$B$700&amp;$C$3:$C$700&amp;$D$3:$D$700,0))</f>
        <v>82.926934655738179</v>
      </c>
      <c r="T599">
        <f t="array" ref="T599">INDEX(I$3:I$700,MATCH($B599&amp;$C599&amp;"baseline",$B$3:$B$700&amp;$C$3:$C$700&amp;$D$3:$D$700,0))</f>
        <v>0</v>
      </c>
      <c r="U599">
        <f t="array" ref="U599">INDEX(J$3:J$700,MATCH($B599&amp;$C599&amp;"baseline",$B$3:$B$700&amp;$C$3:$C$700&amp;$D$3:$D$700,0))</f>
        <v>0.74873431452475192</v>
      </c>
      <c r="V599">
        <f t="array" ref="V599">INDEX(K$3:K$700,MATCH($B599&amp;$C599&amp;"baseline",$B$3:$B$700&amp;$C$3:$C$700&amp;$D$3:$D$700,0))</f>
        <v>0</v>
      </c>
      <c r="W599">
        <f t="array" ref="W599">INDEX(L$3:L$700,MATCH($B599&amp;$C599&amp;"baseline",$B$3:$B$700&amp;$C$3:$C$700&amp;$D$3:$D$700,0))</f>
        <v>10.344675177974409</v>
      </c>
      <c r="X599">
        <f t="array" ref="X599">INDEX(M$3:M$700,MATCH($B599&amp;$C599&amp;"baseline",$B$3:$B$700&amp;$C$3:$C$700&amp;$D$3:$D$700,0))</f>
        <v>2.2309134740884651</v>
      </c>
      <c r="Y599">
        <f t="array" ref="Y599">INDEX(N$3:N$700,MATCH($B599&amp;$C599&amp;"baseline",$B$3:$B$700&amp;$C$3:$C$700&amp;$D$3:$D$700,0))</f>
        <v>0</v>
      </c>
      <c r="Z599">
        <f t="array" ref="Z599">INDEX(O$3:O$700,MATCH($B599&amp;$C599&amp;"baseline",$B$3:$B$700&amp;$C$3:$C$700&amp;$D$3:$D$700,0))</f>
        <v>4.8651991284344085</v>
      </c>
      <c r="AA599">
        <f t="array" ref="AA599">INDEX(P$3:P$700,MATCH($B599&amp;$C599&amp;"baseline",$B$3:$B$700&amp;$C$3:$C$700&amp;$D$3:$D$700,0))</f>
        <v>5.2519327683691159</v>
      </c>
      <c r="AB599">
        <f t="array" ref="AB599">INDEX(Q$3:Q$700,MATCH($B599&amp;$C599&amp;"baseline",$B$3:$B$700&amp;$C$3:$C$700&amp;$D$3:$D$700,0))</f>
        <v>0</v>
      </c>
      <c r="AC599">
        <f t="shared" si="78"/>
        <v>106.36838951912934</v>
      </c>
      <c r="AD599">
        <f t="shared" si="79"/>
        <v>5.2555302943024031</v>
      </c>
      <c r="AE599">
        <f t="shared" si="80"/>
        <v>0.51129784926456878</v>
      </c>
      <c r="AF599">
        <f t="shared" si="81"/>
        <v>5.4215619599372271</v>
      </c>
      <c r="AG599">
        <f>(S599+V599+Y599)*constants!$O$2+(R599+T599+U599+W599+X599+Z599+AA599+AB599)*constants!$N$2</f>
        <v>3.9923007409861588</v>
      </c>
      <c r="AH599">
        <f>((S599+V599+Y599)-(H599+K599+N599))*constants!$O$2</f>
        <v>8.5139590767698933E-2</v>
      </c>
      <c r="AI599">
        <f>((R599+T599+U599+W599+X599+Z599+AA599+AB599)-(G599+I599+J599+L599+M599+O599+P599+Q599))*constants!$N$2</f>
        <v>5.7776656966896274E-2</v>
      </c>
      <c r="AJ599">
        <f t="shared" si="82"/>
        <v>3.5797966387495328</v>
      </c>
      <c r="AK599">
        <f t="shared" si="83"/>
        <v>0.14291624773459521</v>
      </c>
      <c r="AL599">
        <f>COUNTIFS($B:$B,$B599,$AK:$AK,"&lt;"&amp;$AK599)+COUNTIFS($B$2:$B599,$B599,$AK$2:$AK599,$AK599)</f>
        <v>25</v>
      </c>
      <c r="AM599" s="191">
        <f>IF(AK599=0, "NA",IF(((sim_annual_output!F599/E599)/AK599)&lt;0,100,((sim_annual_output!F599/E599)/AK599)))</f>
        <v>1138.0103997236702</v>
      </c>
      <c r="AN599">
        <f>(S599+V599)*constants!$F$2+(T599+U599+W599+X599+Y599+Z599+AA599+AB599)*constants!$G$2</f>
        <v>35237.987034527439</v>
      </c>
      <c r="AO599">
        <f>(AD599*constants!$F$2+AE599*constants!$G$2)</f>
        <v>1385.5690515403048</v>
      </c>
      <c r="AP599">
        <f t="shared" si="84"/>
        <v>3.9320323552610272</v>
      </c>
    </row>
    <row r="600" spans="1:42">
      <c r="A600">
        <f>sim_annual_output!B600</f>
        <v>28</v>
      </c>
      <c r="B600" t="str">
        <f>sim_annual_output!C600</f>
        <v>Vehicle Garage</v>
      </c>
      <c r="C600" t="str">
        <f>sim_annual_output!D600</f>
        <v>1980-2004</v>
      </c>
      <c r="D600" t="str">
        <f>sim_annual_output!E600</f>
        <v>envelope_ecm_windows</v>
      </c>
      <c r="E600" s="45">
        <f t="array" ref="E600">IFERROR(INDEX(baseline!$J$3:$J$201,MATCH($B600&amp;$C600,baseline!$C$3:$C$201&amp;baseline!$D$3:$D$201,0)),"NA")</f>
        <v>2270</v>
      </c>
      <c r="F600">
        <f>sim_annual_output!G600</f>
        <v>3744.59714816727</v>
      </c>
      <c r="G600">
        <f>$E600/$F600^2*sim_annual_output!I600</f>
        <v>0</v>
      </c>
      <c r="H600">
        <f>$E600/$F600^2*sim_annual_output!J600</f>
        <v>81.553580539642809</v>
      </c>
      <c r="I600">
        <f>$E600/$F600^2*sim_annual_output!K600</f>
        <v>0</v>
      </c>
      <c r="J600">
        <f>$E600/$F600^2*sim_annual_output!L600</f>
        <v>0.74873431445786043</v>
      </c>
      <c r="K600">
        <f>$E600/$F600^2*sim_annual_output!M600</f>
        <v>0</v>
      </c>
      <c r="L600">
        <f>$E600/$F600^2*sim_annual_output!N600</f>
        <v>10.344675177050222</v>
      </c>
      <c r="M600">
        <f>$E600/$F600^2*sim_annual_output!O600</f>
        <v>2.2309134738891565</v>
      </c>
      <c r="N600">
        <f>$E600/$F600^2*sim_annual_output!P600</f>
        <v>0</v>
      </c>
      <c r="O600">
        <f>$E600/$F600^2*sim_annual_output!Q600</f>
        <v>4.8737432432998746</v>
      </c>
      <c r="P600">
        <f>$E600/$F600^2*sim_annual_output!R600</f>
        <v>5.281612326310853</v>
      </c>
      <c r="Q600">
        <f>$E600/$F600^2*sim_annual_output!S600</f>
        <v>0</v>
      </c>
      <c r="R600">
        <f t="array" ref="R600">INDEX(G$3:G$700,MATCH($B600&amp;$C600&amp;"baseline",$B$3:$B$700&amp;$C$3:$C$700&amp;$D$3:$D$700,0))</f>
        <v>0</v>
      </c>
      <c r="S600">
        <f t="array" ref="S600">INDEX(H$3:H$700,MATCH($B600&amp;$C600&amp;"baseline",$B$3:$B$700&amp;$C$3:$C$700&amp;$D$3:$D$700,0))</f>
        <v>82.926934655738179</v>
      </c>
      <c r="T600">
        <f t="array" ref="T600">INDEX(I$3:I$700,MATCH($B600&amp;$C600&amp;"baseline",$B$3:$B$700&amp;$C$3:$C$700&amp;$D$3:$D$700,0))</f>
        <v>0</v>
      </c>
      <c r="U600">
        <f t="array" ref="U600">INDEX(J$3:J$700,MATCH($B600&amp;$C600&amp;"baseline",$B$3:$B$700&amp;$C$3:$C$700&amp;$D$3:$D$700,0))</f>
        <v>0.74873431452475192</v>
      </c>
      <c r="V600">
        <f t="array" ref="V600">INDEX(K$3:K$700,MATCH($B600&amp;$C600&amp;"baseline",$B$3:$B$700&amp;$C$3:$C$700&amp;$D$3:$D$700,0))</f>
        <v>0</v>
      </c>
      <c r="W600">
        <f t="array" ref="W600">INDEX(L$3:L$700,MATCH($B600&amp;$C600&amp;"baseline",$B$3:$B$700&amp;$C$3:$C$700&amp;$D$3:$D$700,0))</f>
        <v>10.344675177974409</v>
      </c>
      <c r="X600">
        <f t="array" ref="X600">INDEX(M$3:M$700,MATCH($B600&amp;$C600&amp;"baseline",$B$3:$B$700&amp;$C$3:$C$700&amp;$D$3:$D$700,0))</f>
        <v>2.2309134740884651</v>
      </c>
      <c r="Y600">
        <f t="array" ref="Y600">INDEX(N$3:N$700,MATCH($B600&amp;$C600&amp;"baseline",$B$3:$B$700&amp;$C$3:$C$700&amp;$D$3:$D$700,0))</f>
        <v>0</v>
      </c>
      <c r="Z600">
        <f t="array" ref="Z600">INDEX(O$3:O$700,MATCH($B600&amp;$C600&amp;"baseline",$B$3:$B$700&amp;$C$3:$C$700&amp;$D$3:$D$700,0))</f>
        <v>4.8651991284344085</v>
      </c>
      <c r="AA600">
        <f t="array" ref="AA600">INDEX(P$3:P$700,MATCH($B600&amp;$C600&amp;"baseline",$B$3:$B$700&amp;$C$3:$C$700&amp;$D$3:$D$700,0))</f>
        <v>5.2519327683691159</v>
      </c>
      <c r="AB600">
        <f t="array" ref="AB600">INDEX(Q$3:Q$700,MATCH($B600&amp;$C600&amp;"baseline",$B$3:$B$700&amp;$C$3:$C$700&amp;$D$3:$D$700,0))</f>
        <v>0</v>
      </c>
      <c r="AC600">
        <f t="shared" si="78"/>
        <v>106.36838951912934</v>
      </c>
      <c r="AD600">
        <f t="shared" si="79"/>
        <v>1.3733541160953706</v>
      </c>
      <c r="AE600">
        <f t="shared" si="80"/>
        <v>-3.8223671616815835E-2</v>
      </c>
      <c r="AF600">
        <f t="shared" si="81"/>
        <v>1.2551947533608605</v>
      </c>
      <c r="AG600">
        <f>(S600+V600+Y600)*constants!$O$2+(R600+T600+U600+W600+X600+Z600+AA600+AB600)*constants!$N$2</f>
        <v>3.9923007409861588</v>
      </c>
      <c r="AH600">
        <f>((S600+V600+Y600)-(H600+K600+N600))*constants!$O$2</f>
        <v>2.2248336680745003E-2</v>
      </c>
      <c r="AI600">
        <f>((R600+T600+U600+W600+X600+Z600+AA600+AB600)-(G600+I600+J600+L600+M600+O600+P600+Q600))*constants!$N$2</f>
        <v>-4.3192748927001895E-3</v>
      </c>
      <c r="AJ600">
        <f t="shared" si="82"/>
        <v>0.44909096160967227</v>
      </c>
      <c r="AK600">
        <f t="shared" si="83"/>
        <v>1.7929061788044813E-2</v>
      </c>
      <c r="AL600">
        <f>COUNTIFS($B:$B,$B600,$AK:$AK,"&lt;"&amp;$AK600)+COUNTIFS($B$2:$B600,$B600,$AK$2:$AK600,$AK600)</f>
        <v>9</v>
      </c>
      <c r="AM600" s="191">
        <f>IF(AK600=0, "NA",IF(((sim_annual_output!F600/E600)/AK600)&lt;0,100,((sim_annual_output!F600/E600)/AK600)))</f>
        <v>106.48868933130626</v>
      </c>
      <c r="AN600">
        <f>(S600+V600)*constants!$F$2+(T600+U600+W600+X600+Y600+Z600+AA600+AB600)*constants!$G$2</f>
        <v>35237.987034527439</v>
      </c>
      <c r="AO600">
        <f>(AD600*constants!$F$2+AE600*constants!$G$2)</f>
        <v>212.57579247444158</v>
      </c>
      <c r="AP600">
        <f t="shared" si="84"/>
        <v>0.6032574796799608</v>
      </c>
    </row>
    <row r="601" spans="1:42">
      <c r="A601">
        <f>sim_annual_output!B601</f>
        <v>28</v>
      </c>
      <c r="B601" t="str">
        <f>sim_annual_output!C601</f>
        <v>Vehicle Garage</v>
      </c>
      <c r="C601" t="str">
        <f>sim_annual_output!D601</f>
        <v>1980-2004</v>
      </c>
      <c r="D601" t="str">
        <f>sim_annual_output!E601</f>
        <v>exhaust_fans_occ_control</v>
      </c>
      <c r="E601" s="45">
        <f t="array" ref="E601">IFERROR(INDEX(baseline!$J$3:$J$201,MATCH($B601&amp;$C601,baseline!$C$3:$C$201&amp;baseline!$D$3:$D$201,0)),"NA")</f>
        <v>2270</v>
      </c>
      <c r="F601">
        <f>sim_annual_output!G601</f>
        <v>3744.59714816727</v>
      </c>
      <c r="G601">
        <f>$E601/$F601^2*sim_annual_output!I601</f>
        <v>0</v>
      </c>
      <c r="H601">
        <f>$E601/$F601^2*sim_annual_output!J601</f>
        <v>81.645767046828311</v>
      </c>
      <c r="I601">
        <f>$E601/$F601^2*sim_annual_output!K601</f>
        <v>0</v>
      </c>
      <c r="J601">
        <f>$E601/$F601^2*sim_annual_output!L601</f>
        <v>0.74873431445786043</v>
      </c>
      <c r="K601">
        <f>$E601/$F601^2*sim_annual_output!M601</f>
        <v>0</v>
      </c>
      <c r="L601">
        <f>$E601/$F601^2*sim_annual_output!N601</f>
        <v>10.344675177050222</v>
      </c>
      <c r="M601">
        <f>$E601/$F601^2*sim_annual_output!O601</f>
        <v>2.2309134738891565</v>
      </c>
      <c r="N601">
        <f>$E601/$F601^2*sim_annual_output!P601</f>
        <v>0</v>
      </c>
      <c r="O601">
        <f>$E601/$F601^2*sim_annual_output!Q601</f>
        <v>4.8116859848042681</v>
      </c>
      <c r="P601">
        <f>$E601/$F601^2*sim_annual_output!R601</f>
        <v>5.2865589193793427</v>
      </c>
      <c r="Q601">
        <f>$E601/$F601^2*sim_annual_output!S601</f>
        <v>0</v>
      </c>
      <c r="R601">
        <f t="array" ref="R601">INDEX(G$3:G$700,MATCH($B601&amp;$C601&amp;"baseline",$B$3:$B$700&amp;$C$3:$C$700&amp;$D$3:$D$700,0))</f>
        <v>0</v>
      </c>
      <c r="S601">
        <f t="array" ref="S601">INDEX(H$3:H$700,MATCH($B601&amp;$C601&amp;"baseline",$B$3:$B$700&amp;$C$3:$C$700&amp;$D$3:$D$700,0))</f>
        <v>82.926934655738179</v>
      </c>
      <c r="T601">
        <f t="array" ref="T601">INDEX(I$3:I$700,MATCH($B601&amp;$C601&amp;"baseline",$B$3:$B$700&amp;$C$3:$C$700&amp;$D$3:$D$700,0))</f>
        <v>0</v>
      </c>
      <c r="U601">
        <f t="array" ref="U601">INDEX(J$3:J$700,MATCH($B601&amp;$C601&amp;"baseline",$B$3:$B$700&amp;$C$3:$C$700&amp;$D$3:$D$700,0))</f>
        <v>0.74873431452475192</v>
      </c>
      <c r="V601">
        <f t="array" ref="V601">INDEX(K$3:K$700,MATCH($B601&amp;$C601&amp;"baseline",$B$3:$B$700&amp;$C$3:$C$700&amp;$D$3:$D$700,0))</f>
        <v>0</v>
      </c>
      <c r="W601">
        <f t="array" ref="W601">INDEX(L$3:L$700,MATCH($B601&amp;$C601&amp;"baseline",$B$3:$B$700&amp;$C$3:$C$700&amp;$D$3:$D$700,0))</f>
        <v>10.344675177974409</v>
      </c>
      <c r="X601">
        <f t="array" ref="X601">INDEX(M$3:M$700,MATCH($B601&amp;$C601&amp;"baseline",$B$3:$B$700&amp;$C$3:$C$700&amp;$D$3:$D$700,0))</f>
        <v>2.2309134740884651</v>
      </c>
      <c r="Y601">
        <f t="array" ref="Y601">INDEX(N$3:N$700,MATCH($B601&amp;$C601&amp;"baseline",$B$3:$B$700&amp;$C$3:$C$700&amp;$D$3:$D$700,0))</f>
        <v>0</v>
      </c>
      <c r="Z601">
        <f t="array" ref="Z601">INDEX(O$3:O$700,MATCH($B601&amp;$C601&amp;"baseline",$B$3:$B$700&amp;$C$3:$C$700&amp;$D$3:$D$700,0))</f>
        <v>4.8651991284344085</v>
      </c>
      <c r="AA601">
        <f t="array" ref="AA601">INDEX(P$3:P$700,MATCH($B601&amp;$C601&amp;"baseline",$B$3:$B$700&amp;$C$3:$C$700&amp;$D$3:$D$700,0))</f>
        <v>5.2519327683691159</v>
      </c>
      <c r="AB601">
        <f t="array" ref="AB601">INDEX(Q$3:Q$700,MATCH($B601&amp;$C601&amp;"baseline",$B$3:$B$700&amp;$C$3:$C$700&amp;$D$3:$D$700,0))</f>
        <v>0</v>
      </c>
      <c r="AC601">
        <f t="shared" si="78"/>
        <v>106.36838951912934</v>
      </c>
      <c r="AD601">
        <f t="shared" si="79"/>
        <v>1.2811676089098682</v>
      </c>
      <c r="AE601">
        <f t="shared" si="80"/>
        <v>1.8886993810301789E-2</v>
      </c>
      <c r="AF601">
        <f t="shared" si="81"/>
        <v>1.2222189398537124</v>
      </c>
      <c r="AG601">
        <f>(S601+V601+Y601)*constants!$O$2+(R601+T601+U601+W601+X601+Z601+AA601+AB601)*constants!$N$2</f>
        <v>3.9923007409861588</v>
      </c>
      <c r="AH601">
        <f>((S601+V601+Y601)-(H601+K601+N601))*constants!$O$2</f>
        <v>2.0754915264339865E-2</v>
      </c>
      <c r="AI601">
        <f>((R601+T601+U601+W601+X601+Z601+AA601+AB601)-(G601+I601+J601+L601+M601+O601+P601+Q601))*constants!$N$2</f>
        <v>2.1342303005641022E-3</v>
      </c>
      <c r="AJ601">
        <f t="shared" si="82"/>
        <v>0.57333219739477848</v>
      </c>
      <c r="AK601">
        <f t="shared" si="83"/>
        <v>2.2889145564903967E-2</v>
      </c>
      <c r="AL601">
        <f>COUNTIFS($B:$B,$B601,$AK:$AK,"&lt;"&amp;$AK601)+COUNTIFS($B$2:$B601,$B601,$AK$2:$AK601,$AK601)</f>
        <v>11</v>
      </c>
      <c r="AM601" s="191">
        <f>IF(AK601=0, "NA",IF(((sim_annual_output!F601/E601)/AK601)&lt;0,100,((sim_annual_output!F601/E601)/AK601)))</f>
        <v>14.088974207594033</v>
      </c>
      <c r="AN601">
        <f>(S601+V601)*constants!$F$2+(T601+U601+W601+X601+Y601+Z601+AA601+AB601)*constants!$G$2</f>
        <v>35237.987034527439</v>
      </c>
      <c r="AO601">
        <f>(AD601*constants!$F$2+AE601*constants!$G$2)</f>
        <v>245.76068660982898</v>
      </c>
      <c r="AP601">
        <f t="shared" si="84"/>
        <v>0.69743111707551253</v>
      </c>
    </row>
    <row r="602" spans="1:42">
      <c r="A602">
        <f>sim_annual_output!B602</f>
        <v>28</v>
      </c>
      <c r="B602" t="str">
        <f>sim_annual_output!C602</f>
        <v>Vehicle Garage</v>
      </c>
      <c r="C602" t="str">
        <f>sim_annual_output!D602</f>
        <v>1980-2004</v>
      </c>
      <c r="D602" t="str">
        <f>sim_annual_output!E602</f>
        <v>fans_to_variable</v>
      </c>
      <c r="E602" s="45">
        <f t="array" ref="E602">IFERROR(INDEX(baseline!$J$3:$J$201,MATCH($B602&amp;$C602,baseline!$C$3:$C$201&amp;baseline!$D$3:$D$201,0)),"NA")</f>
        <v>2270</v>
      </c>
      <c r="F602">
        <f>sim_annual_output!G602</f>
        <v>3744.59714816727</v>
      </c>
      <c r="G602">
        <f>$E602/$F602^2*sim_annual_output!I602</f>
        <v>0</v>
      </c>
      <c r="H602">
        <f>$E602/$F602^2*sim_annual_output!J602</f>
        <v>81.721315013692518</v>
      </c>
      <c r="I602">
        <f>$E602/$F602^2*sim_annual_output!K602</f>
        <v>0</v>
      </c>
      <c r="J602">
        <f>$E602/$F602^2*sim_annual_output!L602</f>
        <v>0.74873431445786043</v>
      </c>
      <c r="K602">
        <f>$E602/$F602^2*sim_annual_output!M602</f>
        <v>0</v>
      </c>
      <c r="L602">
        <f>$E602/$F602^2*sim_annual_output!N602</f>
        <v>10.344675177050222</v>
      </c>
      <c r="M602">
        <f>$E602/$F602^2*sim_annual_output!O602</f>
        <v>2.2309134738891565</v>
      </c>
      <c r="N602">
        <f>$E602/$F602^2*sim_annual_output!P602</f>
        <v>0</v>
      </c>
      <c r="O602">
        <f>$E602/$F602^2*sim_annual_output!Q602</f>
        <v>4.8319220473571827</v>
      </c>
      <c r="P602">
        <f>$E602/$F602^2*sim_annual_output!R602</f>
        <v>5.2865589193793427</v>
      </c>
      <c r="Q602">
        <f>$E602/$F602^2*sim_annual_output!S602</f>
        <v>0</v>
      </c>
      <c r="R602">
        <f t="array" ref="R602">INDEX(G$3:G$700,MATCH($B602&amp;$C602&amp;"baseline",$B$3:$B$700&amp;$C$3:$C$700&amp;$D$3:$D$700,0))</f>
        <v>0</v>
      </c>
      <c r="S602">
        <f t="array" ref="S602">INDEX(H$3:H$700,MATCH($B602&amp;$C602&amp;"baseline",$B$3:$B$700&amp;$C$3:$C$700&amp;$D$3:$D$700,0))</f>
        <v>82.926934655738179</v>
      </c>
      <c r="T602">
        <f t="array" ref="T602">INDEX(I$3:I$700,MATCH($B602&amp;$C602&amp;"baseline",$B$3:$B$700&amp;$C$3:$C$700&amp;$D$3:$D$700,0))</f>
        <v>0</v>
      </c>
      <c r="U602">
        <f t="array" ref="U602">INDEX(J$3:J$700,MATCH($B602&amp;$C602&amp;"baseline",$B$3:$B$700&amp;$C$3:$C$700&amp;$D$3:$D$700,0))</f>
        <v>0.74873431452475192</v>
      </c>
      <c r="V602">
        <f t="array" ref="V602">INDEX(K$3:K$700,MATCH($B602&amp;$C602&amp;"baseline",$B$3:$B$700&amp;$C$3:$C$700&amp;$D$3:$D$700,0))</f>
        <v>0</v>
      </c>
      <c r="W602">
        <f t="array" ref="W602">INDEX(L$3:L$700,MATCH($B602&amp;$C602&amp;"baseline",$B$3:$B$700&amp;$C$3:$C$700&amp;$D$3:$D$700,0))</f>
        <v>10.344675177974409</v>
      </c>
      <c r="X602">
        <f t="array" ref="X602">INDEX(M$3:M$700,MATCH($B602&amp;$C602&amp;"baseline",$B$3:$B$700&amp;$C$3:$C$700&amp;$D$3:$D$700,0))</f>
        <v>2.2309134740884651</v>
      </c>
      <c r="Y602">
        <f t="array" ref="Y602">INDEX(N$3:N$700,MATCH($B602&amp;$C602&amp;"baseline",$B$3:$B$700&amp;$C$3:$C$700&amp;$D$3:$D$700,0))</f>
        <v>0</v>
      </c>
      <c r="Z602">
        <f t="array" ref="Z602">INDEX(O$3:O$700,MATCH($B602&amp;$C602&amp;"baseline",$B$3:$B$700&amp;$C$3:$C$700&amp;$D$3:$D$700,0))</f>
        <v>4.8651991284344085</v>
      </c>
      <c r="AA602">
        <f t="array" ref="AA602">INDEX(P$3:P$700,MATCH($B602&amp;$C602&amp;"baseline",$B$3:$B$700&amp;$C$3:$C$700&amp;$D$3:$D$700,0))</f>
        <v>5.2519327683691159</v>
      </c>
      <c r="AB602">
        <f t="array" ref="AB602">INDEX(Q$3:Q$700,MATCH($B602&amp;$C602&amp;"baseline",$B$3:$B$700&amp;$C$3:$C$700&amp;$D$3:$D$700,0))</f>
        <v>0</v>
      </c>
      <c r="AC602">
        <f t="shared" si="78"/>
        <v>106.36838951912934</v>
      </c>
      <c r="AD602">
        <f t="shared" si="79"/>
        <v>1.2056196420456615</v>
      </c>
      <c r="AE602">
        <f t="shared" si="80"/>
        <v>-1.3490687426127579E-3</v>
      </c>
      <c r="AF602">
        <f t="shared" si="81"/>
        <v>1.1321696029688144</v>
      </c>
      <c r="AG602">
        <f>(S602+V602+Y602)*constants!$O$2+(R602+T602+U602+W602+X602+Z602+AA602+AB602)*constants!$N$2</f>
        <v>3.9923007409861588</v>
      </c>
      <c r="AH602">
        <f>((S602+V602+Y602)-(H602+K602+N602))*constants!$O$2</f>
        <v>1.9531038201139717E-2</v>
      </c>
      <c r="AI602">
        <f>((R602+T602+U602+W602+X602+Z602+AA602+AB602)-(G602+I602+J602+L602+M602+O602+P602+Q602))*constants!$N$2</f>
        <v>-1.5244476791524166E-4</v>
      </c>
      <c r="AJ602">
        <f t="shared" si="82"/>
        <v>0.4853991392551672</v>
      </c>
      <c r="AK602">
        <f t="shared" si="83"/>
        <v>1.9378593433224477E-2</v>
      </c>
      <c r="AL602">
        <f>COUNTIFS($B:$B,$B602,$AK:$AK,"&lt;"&amp;$AK602)+COUNTIFS($B$2:$B602,$B602,$AK$2:$AK602,$AK602)</f>
        <v>10</v>
      </c>
      <c r="AM602" s="191">
        <f>IF(AK602=0, "NA",IF(((sim_annual_output!F602/E602)/AK602)&lt;0,100,((sim_annual_output!F602/E602)/AK602)))</f>
        <v>68.860441641486275</v>
      </c>
      <c r="AN602">
        <f>(S602+V602)*constants!$F$2+(T602+U602+W602+X602+Y602+Z602+AA602+AB602)*constants!$G$2</f>
        <v>35237.987034527439</v>
      </c>
      <c r="AO602">
        <f>(AD602*constants!$F$2+AE602*constants!$G$2)</f>
        <v>214.63222612010031</v>
      </c>
      <c r="AP602">
        <f t="shared" si="84"/>
        <v>0.60909332281039774</v>
      </c>
    </row>
    <row r="603" spans="1:42">
      <c r="A603">
        <f>sim_annual_output!B603</f>
        <v>28</v>
      </c>
      <c r="B603" t="str">
        <f>sim_annual_output!C603</f>
        <v>Vehicle Garage</v>
      </c>
      <c r="C603" t="str">
        <f>sim_annual_output!D603</f>
        <v>1980-2004</v>
      </c>
      <c r="D603" t="str">
        <f>sim_annual_output!E603</f>
        <v>hrv_enabled</v>
      </c>
      <c r="E603" s="45">
        <f t="array" ref="E603">IFERROR(INDEX(baseline!$J$3:$J$201,MATCH($B603&amp;$C603,baseline!$C$3:$C$201&amp;baseline!$D$3:$D$201,0)),"NA")</f>
        <v>2270</v>
      </c>
      <c r="F603">
        <f>sim_annual_output!G603</f>
        <v>3744.59714816727</v>
      </c>
      <c r="G603">
        <f>$E603/$F603^2*sim_annual_output!I603</f>
        <v>0</v>
      </c>
      <c r="H603">
        <f>$E603/$F603^2*sim_annual_output!J603</f>
        <v>68.881308478728386</v>
      </c>
      <c r="I603">
        <f>$E603/$F603^2*sim_annual_output!K603</f>
        <v>0</v>
      </c>
      <c r="J603">
        <f>$E603/$F603^2*sim_annual_output!L603</f>
        <v>0.74873431445786043</v>
      </c>
      <c r="K603">
        <f>$E603/$F603^2*sim_annual_output!M603</f>
        <v>0</v>
      </c>
      <c r="L603">
        <f>$E603/$F603^2*sim_annual_output!N603</f>
        <v>10.344675177050222</v>
      </c>
      <c r="M603">
        <f>$E603/$F603^2*sim_annual_output!O603</f>
        <v>2.2309134738891565</v>
      </c>
      <c r="N603">
        <f>$E603/$F603^2*sim_annual_output!P603</f>
        <v>0</v>
      </c>
      <c r="O603">
        <f>$E603/$F603^2*sim_annual_output!Q603</f>
        <v>4.8440636848889316</v>
      </c>
      <c r="P603">
        <f>$E603/$F603^2*sim_annual_output!R603</f>
        <v>5.2937539638426019</v>
      </c>
      <c r="Q603">
        <f>$E603/$F603^2*sim_annual_output!S603</f>
        <v>2.1270350194508585</v>
      </c>
      <c r="R603">
        <f t="array" ref="R603">INDEX(G$3:G$700,MATCH($B603&amp;$C603&amp;"baseline",$B$3:$B$700&amp;$C$3:$C$700&amp;$D$3:$D$700,0))</f>
        <v>0</v>
      </c>
      <c r="S603">
        <f t="array" ref="S603">INDEX(H$3:H$700,MATCH($B603&amp;$C603&amp;"baseline",$B$3:$B$700&amp;$C$3:$C$700&amp;$D$3:$D$700,0))</f>
        <v>82.926934655738179</v>
      </c>
      <c r="T603">
        <f t="array" ref="T603">INDEX(I$3:I$700,MATCH($B603&amp;$C603&amp;"baseline",$B$3:$B$700&amp;$C$3:$C$700&amp;$D$3:$D$700,0))</f>
        <v>0</v>
      </c>
      <c r="U603">
        <f t="array" ref="U603">INDEX(J$3:J$700,MATCH($B603&amp;$C603&amp;"baseline",$B$3:$B$700&amp;$C$3:$C$700&amp;$D$3:$D$700,0))</f>
        <v>0.74873431452475192</v>
      </c>
      <c r="V603">
        <f t="array" ref="V603">INDEX(K$3:K$700,MATCH($B603&amp;$C603&amp;"baseline",$B$3:$B$700&amp;$C$3:$C$700&amp;$D$3:$D$700,0))</f>
        <v>0</v>
      </c>
      <c r="W603">
        <f t="array" ref="W603">INDEX(L$3:L$700,MATCH($B603&amp;$C603&amp;"baseline",$B$3:$B$700&amp;$C$3:$C$700&amp;$D$3:$D$700,0))</f>
        <v>10.344675177974409</v>
      </c>
      <c r="X603">
        <f t="array" ref="X603">INDEX(M$3:M$700,MATCH($B603&amp;$C603&amp;"baseline",$B$3:$B$700&amp;$C$3:$C$700&amp;$D$3:$D$700,0))</f>
        <v>2.2309134740884651</v>
      </c>
      <c r="Y603">
        <f t="array" ref="Y603">INDEX(N$3:N$700,MATCH($B603&amp;$C603&amp;"baseline",$B$3:$B$700&amp;$C$3:$C$700&amp;$D$3:$D$700,0))</f>
        <v>0</v>
      </c>
      <c r="Z603">
        <f t="array" ref="Z603">INDEX(O$3:O$700,MATCH($B603&amp;$C603&amp;"baseline",$B$3:$B$700&amp;$C$3:$C$700&amp;$D$3:$D$700,0))</f>
        <v>4.8651991284344085</v>
      </c>
      <c r="AA603">
        <f t="array" ref="AA603">INDEX(P$3:P$700,MATCH($B603&amp;$C603&amp;"baseline",$B$3:$B$700&amp;$C$3:$C$700&amp;$D$3:$D$700,0))</f>
        <v>5.2519327683691159</v>
      </c>
      <c r="AB603">
        <f t="array" ref="AB603">INDEX(Q$3:Q$700,MATCH($B603&amp;$C603&amp;"baseline",$B$3:$B$700&amp;$C$3:$C$700&amp;$D$3:$D$700,0))</f>
        <v>0</v>
      </c>
      <c r="AC603">
        <f t="shared" si="78"/>
        <v>106.36838951912934</v>
      </c>
      <c r="AD603">
        <f t="shared" si="79"/>
        <v>14.045626177009794</v>
      </c>
      <c r="AE603">
        <f t="shared" si="80"/>
        <v>-2.1477207701884815</v>
      </c>
      <c r="AF603">
        <f t="shared" si="81"/>
        <v>11.185565054250999</v>
      </c>
      <c r="AG603">
        <f>(S603+V603+Y603)*constants!$O$2+(R603+T603+U603+W603+X603+Z603+AA603+AB603)*constants!$N$2</f>
        <v>3.9923007409861588</v>
      </c>
      <c r="AH603">
        <f>((S603+V603+Y603)-(H603+K603+N603))*constants!$O$2</f>
        <v>0.22753914406755865</v>
      </c>
      <c r="AI603">
        <f>((R603+T603+U603+W603+X603+Z603+AA603+AB603)-(G603+I603+J603+L603+M603+O603+P603+Q603))*constants!$N$2</f>
        <v>-0.24269244703129841</v>
      </c>
      <c r="AJ603">
        <f t="shared" si="82"/>
        <v>-0.37956316286925484</v>
      </c>
      <c r="AK603">
        <f t="shared" si="83"/>
        <v>-1.5153302963739762E-2</v>
      </c>
      <c r="AL603">
        <f>COUNTIFS($B:$B,$B603,$AK:$AK,"&lt;"&amp;$AK603)+COUNTIFS($B$2:$B603,$B603,$AK$2:$AK603,$AK603)</f>
        <v>3</v>
      </c>
      <c r="AM603" s="191">
        <f>IF(AK603=0, "NA",IF(((sim_annual_output!F603/E603)/AK603)&lt;0,100,((sim_annual_output!F603/E603)/AK603)))</f>
        <v>100</v>
      </c>
      <c r="AN603">
        <f>(S603+V603)*constants!$F$2+(T603+U603+W603+X603+Y603+Z603+AA603+AB603)*constants!$G$2</f>
        <v>35237.987034527439</v>
      </c>
      <c r="AO603">
        <f>(AD603*constants!$F$2+AE603*constants!$G$2)</f>
        <v>645.65001562077418</v>
      </c>
      <c r="AP603">
        <f t="shared" si="84"/>
        <v>1.8322556705300541</v>
      </c>
    </row>
    <row r="604" spans="1:42">
      <c r="A604">
        <f>sim_annual_output!B604</f>
        <v>28</v>
      </c>
      <c r="B604" t="str">
        <f>sim_annual_output!C604</f>
        <v>Vehicle Garage</v>
      </c>
      <c r="C604" t="str">
        <f>sim_annual_output!D604</f>
        <v>1980-2004</v>
      </c>
      <c r="D604" t="str">
        <f>sim_annual_output!E604</f>
        <v>infil_reduce</v>
      </c>
      <c r="E604" s="45">
        <f t="array" ref="E604">IFERROR(INDEX(baseline!$J$3:$J$201,MATCH($B604&amp;$C604,baseline!$C$3:$C$201&amp;baseline!$D$3:$D$201,0)),"NA")</f>
        <v>2270</v>
      </c>
      <c r="F604">
        <f>sim_annual_output!G604</f>
        <v>3744.59714816727</v>
      </c>
      <c r="G604">
        <f>$E604/$F604^2*sim_annual_output!I604</f>
        <v>0</v>
      </c>
      <c r="H604">
        <f>$E604/$F604^2*sim_annual_output!J604</f>
        <v>67.560568129441464</v>
      </c>
      <c r="I604">
        <f>$E604/$F604^2*sim_annual_output!K604</f>
        <v>0</v>
      </c>
      <c r="J604">
        <f>$E604/$F604^2*sim_annual_output!L604</f>
        <v>0.74873431445786043</v>
      </c>
      <c r="K604">
        <f>$E604/$F604^2*sim_annual_output!M604</f>
        <v>0</v>
      </c>
      <c r="L604">
        <f>$E604/$F604^2*sim_annual_output!N604</f>
        <v>10.344675177050222</v>
      </c>
      <c r="M604">
        <f>$E604/$F604^2*sim_annual_output!O604</f>
        <v>2.2309134738891565</v>
      </c>
      <c r="N604">
        <f>$E604/$F604^2*sim_annual_output!P604</f>
        <v>0</v>
      </c>
      <c r="O604">
        <f>$E604/$F604^2*sim_annual_output!Q604</f>
        <v>4.0211304744037157</v>
      </c>
      <c r="P604">
        <f>$E604/$F604^2*sim_annual_output!R604</f>
        <v>4.4033672115143352</v>
      </c>
      <c r="Q604">
        <f>$E604/$F604^2*sim_annual_output!S604</f>
        <v>0</v>
      </c>
      <c r="R604">
        <f t="array" ref="R604">INDEX(G$3:G$700,MATCH($B604&amp;$C604&amp;"baseline",$B$3:$B$700&amp;$C$3:$C$700&amp;$D$3:$D$700,0))</f>
        <v>0</v>
      </c>
      <c r="S604">
        <f t="array" ref="S604">INDEX(H$3:H$700,MATCH($B604&amp;$C604&amp;"baseline",$B$3:$B$700&amp;$C$3:$C$700&amp;$D$3:$D$700,0))</f>
        <v>82.926934655738179</v>
      </c>
      <c r="T604">
        <f t="array" ref="T604">INDEX(I$3:I$700,MATCH($B604&amp;$C604&amp;"baseline",$B$3:$B$700&amp;$C$3:$C$700&amp;$D$3:$D$700,0))</f>
        <v>0</v>
      </c>
      <c r="U604">
        <f t="array" ref="U604">INDEX(J$3:J$700,MATCH($B604&amp;$C604&amp;"baseline",$B$3:$B$700&amp;$C$3:$C$700&amp;$D$3:$D$700,0))</f>
        <v>0.74873431452475192</v>
      </c>
      <c r="V604">
        <f t="array" ref="V604">INDEX(K$3:K$700,MATCH($B604&amp;$C604&amp;"baseline",$B$3:$B$700&amp;$C$3:$C$700&amp;$D$3:$D$700,0))</f>
        <v>0</v>
      </c>
      <c r="W604">
        <f t="array" ref="W604">INDEX(L$3:L$700,MATCH($B604&amp;$C604&amp;"baseline",$B$3:$B$700&amp;$C$3:$C$700&amp;$D$3:$D$700,0))</f>
        <v>10.344675177974409</v>
      </c>
      <c r="X604">
        <f t="array" ref="X604">INDEX(M$3:M$700,MATCH($B604&amp;$C604&amp;"baseline",$B$3:$B$700&amp;$C$3:$C$700&amp;$D$3:$D$700,0))</f>
        <v>2.2309134740884651</v>
      </c>
      <c r="Y604">
        <f t="array" ref="Y604">INDEX(N$3:N$700,MATCH($B604&amp;$C604&amp;"baseline",$B$3:$B$700&amp;$C$3:$C$700&amp;$D$3:$D$700,0))</f>
        <v>0</v>
      </c>
      <c r="Z604">
        <f t="array" ref="Z604">INDEX(O$3:O$700,MATCH($B604&amp;$C604&amp;"baseline",$B$3:$B$700&amp;$C$3:$C$700&amp;$D$3:$D$700,0))</f>
        <v>4.8651991284344085</v>
      </c>
      <c r="AA604">
        <f t="array" ref="AA604">INDEX(P$3:P$700,MATCH($B604&amp;$C604&amp;"baseline",$B$3:$B$700&amp;$C$3:$C$700&amp;$D$3:$D$700,0))</f>
        <v>5.2519327683691159</v>
      </c>
      <c r="AB604">
        <f t="array" ref="AB604">INDEX(Q$3:Q$700,MATCH($B604&amp;$C604&amp;"baseline",$B$3:$B$700&amp;$C$3:$C$700&amp;$D$3:$D$700,0))</f>
        <v>0</v>
      </c>
      <c r="AC604">
        <f t="shared" si="78"/>
        <v>106.36838951912934</v>
      </c>
      <c r="AD604">
        <f t="shared" si="79"/>
        <v>15.366366526296716</v>
      </c>
      <c r="AE604">
        <f t="shared" si="80"/>
        <v>1.6926342120758591</v>
      </c>
      <c r="AF604">
        <f t="shared" si="81"/>
        <v>16.037660075040129</v>
      </c>
      <c r="AG604">
        <f>(S604+V604+Y604)*constants!$O$2+(R604+T604+U604+W604+X604+Z604+AA604+AB604)*constants!$N$2</f>
        <v>3.9923007409861588</v>
      </c>
      <c r="AH604">
        <f>((S604+V604+Y604)-(H604+K604+N604))*constants!$O$2</f>
        <v>0.24893513772600678</v>
      </c>
      <c r="AI604">
        <f>((R604+T604+U604+W604+X604+Z604+AA604+AB604)-(G604+I604+J604+L604+M604+O604+P604+Q604))*constants!$N$2</f>
        <v>0.19126766596457209</v>
      </c>
      <c r="AJ604">
        <f t="shared" si="82"/>
        <v>11.026293664986824</v>
      </c>
      <c r="AK604">
        <f t="shared" si="83"/>
        <v>0.44020280369057885</v>
      </c>
      <c r="AL604">
        <f>COUNTIFS($B:$B,$B604,$AK:$AK,"&lt;"&amp;$AK604)+COUNTIFS($B$2:$B604,$B604,$AK$2:$AK604,$AK604)</f>
        <v>33</v>
      </c>
      <c r="AM604" s="191">
        <f>IF(AK604=0, "NA",IF(((sim_annual_output!F604/E604)/AK604)&lt;0,100,((sim_annual_output!F604/E604)/AK604)))</f>
        <v>60.374755319727306</v>
      </c>
      <c r="AN604">
        <f>(S604+V604)*constants!$F$2+(T604+U604+W604+X604+Y604+Z604+AA604+AB604)*constants!$G$2</f>
        <v>35237.987034527439</v>
      </c>
      <c r="AO604">
        <f>(AD604*constants!$F$2+AE604*constants!$G$2)</f>
        <v>4223.1713727131091</v>
      </c>
      <c r="AP604">
        <f t="shared" si="84"/>
        <v>11.984712317917294</v>
      </c>
    </row>
    <row r="605" spans="1:42">
      <c r="A605">
        <f>sim_annual_output!B605</f>
        <v>28</v>
      </c>
      <c r="B605" t="str">
        <f>sim_annual_output!C605</f>
        <v>Vehicle Garage</v>
      </c>
      <c r="C605" t="str">
        <f>sim_annual_output!D605</f>
        <v>1980-2004</v>
      </c>
      <c r="D605" t="str">
        <f>sim_annual_output!E605</f>
        <v>infil_reduce_plus_setback</v>
      </c>
      <c r="E605" s="45">
        <f t="array" ref="E605">IFERROR(INDEX(baseline!$J$3:$J$201,MATCH($B605&amp;$C605,baseline!$C$3:$C$201&amp;baseline!$D$3:$D$201,0)),"NA")</f>
        <v>2270</v>
      </c>
      <c r="F605">
        <f>sim_annual_output!G605</f>
        <v>3744.5971479999998</v>
      </c>
      <c r="G605">
        <f>$E605/$F605^2*sim_annual_output!I605</f>
        <v>0</v>
      </c>
      <c r="H605">
        <f>$E605/$F605^2*sim_annual_output!J605</f>
        <v>61.211840776642184</v>
      </c>
      <c r="I605">
        <f>$E605/$F605^2*sim_annual_output!K605</f>
        <v>0</v>
      </c>
      <c r="J605">
        <f>$E605/$F605^2*sim_annual_output!L605</f>
        <v>0.7491840048037457</v>
      </c>
      <c r="K605">
        <f>$E605/$F605^2*sim_annual_output!M605</f>
        <v>0</v>
      </c>
      <c r="L605">
        <f>$E605/$F605^2*sim_annual_output!N605</f>
        <v>10.344675177974409</v>
      </c>
      <c r="M605">
        <f>$E605/$F605^2*sim_annual_output!O605</f>
        <v>2.2309134740884651</v>
      </c>
      <c r="N605">
        <f>$E605/$F605^2*sim_annual_output!P605</f>
        <v>0</v>
      </c>
      <c r="O605">
        <f>$E605/$F605^2*sim_annual_output!Q605</f>
        <v>4.766716957334757</v>
      </c>
      <c r="P605">
        <f>$E605/$F605^2*sim_annual_output!R605</f>
        <v>6.430570989611982E-2</v>
      </c>
      <c r="Q605">
        <f>$E605/$F605^2*sim_annual_output!S605</f>
        <v>0</v>
      </c>
      <c r="R605">
        <f t="array" ref="R605">INDEX(G$3:G$700,MATCH($B605&amp;$C605&amp;"baseline",$B$3:$B$700&amp;$C$3:$C$700&amp;$D$3:$D$700,0))</f>
        <v>0</v>
      </c>
      <c r="S605">
        <f t="array" ref="S605">INDEX(H$3:H$700,MATCH($B605&amp;$C605&amp;"baseline",$B$3:$B$700&amp;$C$3:$C$700&amp;$D$3:$D$700,0))</f>
        <v>82.926934655738179</v>
      </c>
      <c r="T605">
        <f t="array" ref="T605">INDEX(I$3:I$700,MATCH($B605&amp;$C605&amp;"baseline",$B$3:$B$700&amp;$C$3:$C$700&amp;$D$3:$D$700,0))</f>
        <v>0</v>
      </c>
      <c r="U605">
        <f t="array" ref="U605">INDEX(J$3:J$700,MATCH($B605&amp;$C605&amp;"baseline",$B$3:$B$700&amp;$C$3:$C$700&amp;$D$3:$D$700,0))</f>
        <v>0.74873431452475192</v>
      </c>
      <c r="V605">
        <f t="array" ref="V605">INDEX(K$3:K$700,MATCH($B605&amp;$C605&amp;"baseline",$B$3:$B$700&amp;$C$3:$C$700&amp;$D$3:$D$700,0))</f>
        <v>0</v>
      </c>
      <c r="W605">
        <f t="array" ref="W605">INDEX(L$3:L$700,MATCH($B605&amp;$C605&amp;"baseline",$B$3:$B$700&amp;$C$3:$C$700&amp;$D$3:$D$700,0))</f>
        <v>10.344675177974409</v>
      </c>
      <c r="X605">
        <f t="array" ref="X605">INDEX(M$3:M$700,MATCH($B605&amp;$C605&amp;"baseline",$B$3:$B$700&amp;$C$3:$C$700&amp;$D$3:$D$700,0))</f>
        <v>2.2309134740884651</v>
      </c>
      <c r="Y605">
        <f t="array" ref="Y605">INDEX(N$3:N$700,MATCH($B605&amp;$C605&amp;"baseline",$B$3:$B$700&amp;$C$3:$C$700&amp;$D$3:$D$700,0))</f>
        <v>0</v>
      </c>
      <c r="Z605">
        <f t="array" ref="Z605">INDEX(O$3:O$700,MATCH($B605&amp;$C605&amp;"baseline",$B$3:$B$700&amp;$C$3:$C$700&amp;$D$3:$D$700,0))</f>
        <v>4.8651991284344085</v>
      </c>
      <c r="AA605">
        <f t="array" ref="AA605">INDEX(P$3:P$700,MATCH($B605&amp;$C605&amp;"baseline",$B$3:$B$700&amp;$C$3:$C$700&amp;$D$3:$D$700,0))</f>
        <v>5.2519327683691159</v>
      </c>
      <c r="AB605">
        <f t="array" ref="AB605">INDEX(Q$3:Q$700,MATCH($B605&amp;$C605&amp;"baseline",$B$3:$B$700&amp;$C$3:$C$700&amp;$D$3:$D$700,0))</f>
        <v>0</v>
      </c>
      <c r="AC605">
        <f t="shared" si="78"/>
        <v>106.36838951912934</v>
      </c>
      <c r="AD605">
        <f t="shared" si="79"/>
        <v>21.715093879095996</v>
      </c>
      <c r="AE605">
        <f t="shared" si="80"/>
        <v>5.2856595392936505</v>
      </c>
      <c r="AF605">
        <f t="shared" si="81"/>
        <v>25.384189363451647</v>
      </c>
      <c r="AG605">
        <f>(S605+V605+Y605)*constants!$O$2+(R605+T605+U605+W605+X605+Z605+AA605+AB605)*constants!$N$2</f>
        <v>3.9923007409861588</v>
      </c>
      <c r="AH605">
        <f>((S605+V605+Y605)-(H605+K605+N605))*constants!$O$2</f>
        <v>0.35178452084135509</v>
      </c>
      <c r="AI605">
        <f>((R605+T605+U605+W605+X605+Z605+AA605+AB605)-(G605+I605+J605+L605+M605+O605+P605+Q605))*constants!$N$2</f>
        <v>0.59727952794018258</v>
      </c>
      <c r="AJ605">
        <f t="shared" si="82"/>
        <v>23.772358606108028</v>
      </c>
      <c r="AK605">
        <f t="shared" si="83"/>
        <v>0.94906404878153761</v>
      </c>
      <c r="AL605">
        <f>COUNTIFS($B:$B,$B605,$AK:$AK,"&lt;"&amp;$AK605)+COUNTIFS($B$2:$B605,$B605,$AK$2:$AK605,$AK605)</f>
        <v>38</v>
      </c>
      <c r="AM605" s="191">
        <f>IF(AK605=0, "NA",IF(((sim_annual_output!F605/E605)/AK605)&lt;0,100,((sim_annual_output!F605/E605)/AK605)))</f>
        <v>30.215323791746073</v>
      </c>
      <c r="AN605">
        <f>(S605+V605)*constants!$F$2+(T605+U605+W605+X605+Y605+Z605+AA605+AB605)*constants!$G$2</f>
        <v>35237.987034527439</v>
      </c>
      <c r="AO605">
        <f>(AD605*constants!$F$2+AE605*constants!$G$2)</f>
        <v>8485.5256035436578</v>
      </c>
      <c r="AP605">
        <f t="shared" si="84"/>
        <v>24.080619574634714</v>
      </c>
    </row>
    <row r="606" spans="1:42">
      <c r="A606">
        <f>sim_annual_output!B606</f>
        <v>28</v>
      </c>
      <c r="B606" t="str">
        <f>sim_annual_output!C606</f>
        <v>Vehicle Garage</v>
      </c>
      <c r="C606" t="str">
        <f>sim_annual_output!D606</f>
        <v>1980-2004</v>
      </c>
      <c r="D606" t="str">
        <f>sim_annual_output!E606</f>
        <v>lights_reduce_70p</v>
      </c>
      <c r="E606" s="45">
        <f t="array" ref="E606">IFERROR(INDEX(baseline!$J$3:$J$201,MATCH($B606&amp;$C606,baseline!$C$3:$C$201&amp;baseline!$D$3:$D$201,0)),"NA")</f>
        <v>2270</v>
      </c>
      <c r="F606">
        <f>sim_annual_output!G606</f>
        <v>3744.59714816727</v>
      </c>
      <c r="G606">
        <f>$E606/$F606^2*sim_annual_output!I606</f>
        <v>0</v>
      </c>
      <c r="H606">
        <f>$E606/$F606^2*sim_annual_output!J606</f>
        <v>86.121084702975239</v>
      </c>
      <c r="I606">
        <f>$E606/$F606^2*sim_annual_output!K606</f>
        <v>0</v>
      </c>
      <c r="J606">
        <f>$E606/$F606^2*sim_annual_output!L606</f>
        <v>0.74873431445786043</v>
      </c>
      <c r="K606">
        <f>$E606/$F606^2*sim_annual_output!M606</f>
        <v>0</v>
      </c>
      <c r="L606">
        <f>$E606/$F606^2*sim_annual_output!N606</f>
        <v>7.2413625619909459</v>
      </c>
      <c r="M606">
        <f>$E606/$F606^2*sim_annual_output!O606</f>
        <v>2.2309134738891565</v>
      </c>
      <c r="N606">
        <f>$E606/$F606^2*sim_annual_output!P606</f>
        <v>0</v>
      </c>
      <c r="O606">
        <f>$E606/$F606^2*sim_annual_output!Q606</f>
        <v>4.9119669170109361</v>
      </c>
      <c r="P606">
        <f>$E606/$F606^2*sim_annual_output!R606</f>
        <v>5.3099428138849341</v>
      </c>
      <c r="Q606">
        <f>$E606/$F606^2*sim_annual_output!S606</f>
        <v>0</v>
      </c>
      <c r="R606">
        <f t="array" ref="R606">INDEX(G$3:G$700,MATCH($B606&amp;$C606&amp;"baseline",$B$3:$B$700&amp;$C$3:$C$700&amp;$D$3:$D$700,0))</f>
        <v>0</v>
      </c>
      <c r="S606">
        <f t="array" ref="S606">INDEX(H$3:H$700,MATCH($B606&amp;$C606&amp;"baseline",$B$3:$B$700&amp;$C$3:$C$700&amp;$D$3:$D$700,0))</f>
        <v>82.926934655738179</v>
      </c>
      <c r="T606">
        <f t="array" ref="T606">INDEX(I$3:I$700,MATCH($B606&amp;$C606&amp;"baseline",$B$3:$B$700&amp;$C$3:$C$700&amp;$D$3:$D$700,0))</f>
        <v>0</v>
      </c>
      <c r="U606">
        <f t="array" ref="U606">INDEX(J$3:J$700,MATCH($B606&amp;$C606&amp;"baseline",$B$3:$B$700&amp;$C$3:$C$700&amp;$D$3:$D$700,0))</f>
        <v>0.74873431452475192</v>
      </c>
      <c r="V606">
        <f t="array" ref="V606">INDEX(K$3:K$700,MATCH($B606&amp;$C606&amp;"baseline",$B$3:$B$700&amp;$C$3:$C$700&amp;$D$3:$D$700,0))</f>
        <v>0</v>
      </c>
      <c r="W606">
        <f t="array" ref="W606">INDEX(L$3:L$700,MATCH($B606&amp;$C606&amp;"baseline",$B$3:$B$700&amp;$C$3:$C$700&amp;$D$3:$D$700,0))</f>
        <v>10.344675177974409</v>
      </c>
      <c r="X606">
        <f t="array" ref="X606">INDEX(M$3:M$700,MATCH($B606&amp;$C606&amp;"baseline",$B$3:$B$700&amp;$C$3:$C$700&amp;$D$3:$D$700,0))</f>
        <v>2.2309134740884651</v>
      </c>
      <c r="Y606">
        <f t="array" ref="Y606">INDEX(N$3:N$700,MATCH($B606&amp;$C606&amp;"baseline",$B$3:$B$700&amp;$C$3:$C$700&amp;$D$3:$D$700,0))</f>
        <v>0</v>
      </c>
      <c r="Z606">
        <f t="array" ref="Z606">INDEX(O$3:O$700,MATCH($B606&amp;$C606&amp;"baseline",$B$3:$B$700&amp;$C$3:$C$700&amp;$D$3:$D$700,0))</f>
        <v>4.8651991284344085</v>
      </c>
      <c r="AA606">
        <f t="array" ref="AA606">INDEX(P$3:P$700,MATCH($B606&amp;$C606&amp;"baseline",$B$3:$B$700&amp;$C$3:$C$700&amp;$D$3:$D$700,0))</f>
        <v>5.2519327683691159</v>
      </c>
      <c r="AB606">
        <f t="array" ref="AB606">INDEX(Q$3:Q$700,MATCH($B606&amp;$C606&amp;"baseline",$B$3:$B$700&amp;$C$3:$C$700&amp;$D$3:$D$700,0))</f>
        <v>0</v>
      </c>
      <c r="AC606">
        <f t="shared" si="78"/>
        <v>106.36838951912934</v>
      </c>
      <c r="AD606">
        <f t="shared" si="79"/>
        <v>-3.1941500472370592</v>
      </c>
      <c r="AE606">
        <f t="shared" si="80"/>
        <v>2.9985347821573178</v>
      </c>
      <c r="AF606">
        <f t="shared" si="81"/>
        <v>-0.18390356943832625</v>
      </c>
      <c r="AG606">
        <f>(S606+V606+Y606)*constants!$O$2+(R606+T606+U606+W606+X606+Z606+AA606+AB606)*constants!$N$2</f>
        <v>3.9923007409861588</v>
      </c>
      <c r="AH606">
        <f>((S606+V606+Y606)-(H606+K606+N606))*constants!$O$2</f>
        <v>-5.1745230765240353E-2</v>
      </c>
      <c r="AI606">
        <f>((R606+T606+U606+W606+X606+Z606+AA606+AB606)-(G606+I606+J606+L606+M606+O606+P606+Q606))*constants!$N$2</f>
        <v>0.33883443038377692</v>
      </c>
      <c r="AJ606">
        <f t="shared" si="82"/>
        <v>7.1910714709238359</v>
      </c>
      <c r="AK606">
        <f t="shared" si="83"/>
        <v>0.28708919961853657</v>
      </c>
      <c r="AL606">
        <f>COUNTIFS($B:$B,$B606,$AK:$AK,"&lt;"&amp;$AK606)+COUNTIFS($B$2:$B606,$B606,$AK$2:$AK606,$AK606)</f>
        <v>30</v>
      </c>
      <c r="AM606" s="191">
        <f>IF(AK606=0, "NA",IF(((sim_annual_output!F606/E606)/AK606)&lt;0,100,((sim_annual_output!F606/E606)/AK606)))</f>
        <v>38.97246117963072</v>
      </c>
      <c r="AN606">
        <f>(S606+V606)*constants!$F$2+(T606+U606+W606+X606+Y606+Z606+AA606+AB606)*constants!$G$2</f>
        <v>35237.987034527439</v>
      </c>
      <c r="AO606">
        <f>(AD606*constants!$F$2+AE606*constants!$G$2)</f>
        <v>2036.9724020214328</v>
      </c>
      <c r="AP606">
        <f t="shared" si="84"/>
        <v>5.780615107286164</v>
      </c>
    </row>
    <row r="607" spans="1:42">
      <c r="A607">
        <f>sim_annual_output!B607</f>
        <v>28</v>
      </c>
      <c r="B607" t="str">
        <f>sim_annual_output!C607</f>
        <v>Vehicle Garage</v>
      </c>
      <c r="C607" t="str">
        <f>sim_annual_output!D607</f>
        <v>1980-2004</v>
      </c>
      <c r="D607" t="str">
        <f>sim_annual_output!E607</f>
        <v>load_reduce</v>
      </c>
      <c r="E607" s="45">
        <f t="array" ref="E607">IFERROR(INDEX(baseline!$J$3:$J$201,MATCH($B607&amp;$C607,baseline!$C$3:$C$201&amp;baseline!$D$3:$D$201,0)),"NA")</f>
        <v>2270</v>
      </c>
      <c r="F607">
        <f>sim_annual_output!G607</f>
        <v>3744.5971479999998</v>
      </c>
      <c r="G607">
        <f>$E607/$F607^2*sim_annual_output!I607</f>
        <v>0</v>
      </c>
      <c r="H607">
        <f>$E607/$F607^2*sim_annual_output!J607</f>
        <v>38.595567581680271</v>
      </c>
      <c r="I607">
        <f>$E607/$F607^2*sim_annual_output!K607</f>
        <v>0</v>
      </c>
      <c r="J607">
        <f>$E607/$F607^2*sim_annual_output!L607</f>
        <v>0.7491840048037457</v>
      </c>
      <c r="K607">
        <f>$E607/$F607^2*sim_annual_output!M607</f>
        <v>0</v>
      </c>
      <c r="L607">
        <f>$E607/$F607^2*sim_annual_output!N607</f>
        <v>10.344675177974409</v>
      </c>
      <c r="M607">
        <f>$E607/$F607^2*sim_annual_output!O607</f>
        <v>2.2309134740884651</v>
      </c>
      <c r="N607">
        <f>$E607/$F607^2*sim_annual_output!P607</f>
        <v>0</v>
      </c>
      <c r="O607">
        <f>$E607/$F607^2*sim_annual_output!Q607</f>
        <v>4.766716957334757</v>
      </c>
      <c r="P607">
        <f>$E607/$F607^2*sim_annual_output!R607</f>
        <v>6.430570989611982E-2</v>
      </c>
      <c r="Q607">
        <f>$E607/$F607^2*sim_annual_output!S607</f>
        <v>0</v>
      </c>
      <c r="R607">
        <f t="array" ref="R607">INDEX(G$3:G$700,MATCH($B607&amp;$C607&amp;"baseline",$B$3:$B$700&amp;$C$3:$C$700&amp;$D$3:$D$700,0))</f>
        <v>0</v>
      </c>
      <c r="S607">
        <f t="array" ref="S607">INDEX(H$3:H$700,MATCH($B607&amp;$C607&amp;"baseline",$B$3:$B$700&amp;$C$3:$C$700&amp;$D$3:$D$700,0))</f>
        <v>82.926934655738179</v>
      </c>
      <c r="T607">
        <f t="array" ref="T607">INDEX(I$3:I$700,MATCH($B607&amp;$C607&amp;"baseline",$B$3:$B$700&amp;$C$3:$C$700&amp;$D$3:$D$700,0))</f>
        <v>0</v>
      </c>
      <c r="U607">
        <f t="array" ref="U607">INDEX(J$3:J$700,MATCH($B607&amp;$C607&amp;"baseline",$B$3:$B$700&amp;$C$3:$C$700&amp;$D$3:$D$700,0))</f>
        <v>0.74873431452475192</v>
      </c>
      <c r="V607">
        <f t="array" ref="V607">INDEX(K$3:K$700,MATCH($B607&amp;$C607&amp;"baseline",$B$3:$B$700&amp;$C$3:$C$700&amp;$D$3:$D$700,0))</f>
        <v>0</v>
      </c>
      <c r="W607">
        <f t="array" ref="W607">INDEX(L$3:L$700,MATCH($B607&amp;$C607&amp;"baseline",$B$3:$B$700&amp;$C$3:$C$700&amp;$D$3:$D$700,0))</f>
        <v>10.344675177974409</v>
      </c>
      <c r="X607">
        <f t="array" ref="X607">INDEX(M$3:M$700,MATCH($B607&amp;$C607&amp;"baseline",$B$3:$B$700&amp;$C$3:$C$700&amp;$D$3:$D$700,0))</f>
        <v>2.2309134740884651</v>
      </c>
      <c r="Y607">
        <f t="array" ref="Y607">INDEX(N$3:N$700,MATCH($B607&amp;$C607&amp;"baseline",$B$3:$B$700&amp;$C$3:$C$700&amp;$D$3:$D$700,0))</f>
        <v>0</v>
      </c>
      <c r="Z607">
        <f t="array" ref="Z607">INDEX(O$3:O$700,MATCH($B607&amp;$C607&amp;"baseline",$B$3:$B$700&amp;$C$3:$C$700&amp;$D$3:$D$700,0))</f>
        <v>4.8651991284344085</v>
      </c>
      <c r="AA607">
        <f t="array" ref="AA607">INDEX(P$3:P$700,MATCH($B607&amp;$C607&amp;"baseline",$B$3:$B$700&amp;$C$3:$C$700&amp;$D$3:$D$700,0))</f>
        <v>5.2519327683691159</v>
      </c>
      <c r="AB607">
        <f t="array" ref="AB607">INDEX(Q$3:Q$700,MATCH($B607&amp;$C607&amp;"baseline",$B$3:$B$700&amp;$C$3:$C$700&amp;$D$3:$D$700,0))</f>
        <v>0</v>
      </c>
      <c r="AC607">
        <f t="shared" si="78"/>
        <v>106.36838951912934</v>
      </c>
      <c r="AD607">
        <f t="shared" si="79"/>
        <v>44.331367074057908</v>
      </c>
      <c r="AE607">
        <f t="shared" si="80"/>
        <v>5.2856595392936505</v>
      </c>
      <c r="AF607">
        <f t="shared" si="81"/>
        <v>46.646402035097474</v>
      </c>
      <c r="AG607">
        <f>(S607+V607+Y607)*constants!$O$2+(R607+T607+U607+W607+X607+Z607+AA607+AB607)*constants!$N$2</f>
        <v>3.9923007409861588</v>
      </c>
      <c r="AH607">
        <f>((S607+V607+Y607)-(H607+K607+N607))*constants!$O$2</f>
        <v>0.71816814659973804</v>
      </c>
      <c r="AI607">
        <f>((R607+T607+U607+W607+X607+Z607+AA607+AB607)-(G607+I607+J607+L607+M607+O607+P607+Q607))*constants!$N$2</f>
        <v>0.59727952794018258</v>
      </c>
      <c r="AJ607">
        <f t="shared" si="82"/>
        <v>32.949613766196009</v>
      </c>
      <c r="AK607">
        <f t="shared" si="83"/>
        <v>1.3154476745399206</v>
      </c>
      <c r="AL607">
        <f>COUNTIFS($B:$B,$B607,$AK:$AK,"&lt;"&amp;$AK607)+COUNTIFS($B$2:$B607,$B607,$AK$2:$AK607,$AK607)</f>
        <v>39</v>
      </c>
      <c r="AM607" s="191">
        <f>IF(AK607=0, "NA",IF(((sim_annual_output!F607/E607)/AK607)&lt;0,100,((sim_annual_output!F607/E607)/AK607)))</f>
        <v>22.110785598499824</v>
      </c>
      <c r="AN607">
        <f>(S607+V607)*constants!$F$2+(T607+U607+W607+X607+Y607+Z607+AA607+AB607)*constants!$G$2</f>
        <v>35237.987034527439</v>
      </c>
      <c r="AO607">
        <f>(AD607*constants!$F$2+AE607*constants!$G$2)</f>
        <v>12533.838505441841</v>
      </c>
      <c r="AP607">
        <f t="shared" si="84"/>
        <v>35.569110384088447</v>
      </c>
    </row>
    <row r="608" spans="1:42">
      <c r="A608">
        <f>sim_annual_output!B608</f>
        <v>28</v>
      </c>
      <c r="B608" t="str">
        <f>sim_annual_output!C608</f>
        <v>Vehicle Garage</v>
      </c>
      <c r="C608" t="str">
        <f>sim_annual_output!D608</f>
        <v>1980-2004</v>
      </c>
      <c r="D608" t="str">
        <f>sim_annual_output!E608</f>
        <v>occupancy_setback</v>
      </c>
      <c r="E608" s="45">
        <f t="array" ref="E608">IFERROR(INDEX(baseline!$J$3:$J$201,MATCH($B608&amp;$C608,baseline!$C$3:$C$201&amp;baseline!$D$3:$D$201,0)),"NA")</f>
        <v>2270</v>
      </c>
      <c r="F608">
        <f>sim_annual_output!G608</f>
        <v>3744.59714816727</v>
      </c>
      <c r="G608">
        <f>$E608/$F608^2*sim_annual_output!I608</f>
        <v>0</v>
      </c>
      <c r="H608">
        <f>$E608/$F608^2*sim_annual_output!J608</f>
        <v>68.37810505657923</v>
      </c>
      <c r="I608">
        <f>$E608/$F608^2*sim_annual_output!K608</f>
        <v>0</v>
      </c>
      <c r="J608">
        <f>$E608/$F608^2*sim_annual_output!L608</f>
        <v>0.74873431445786043</v>
      </c>
      <c r="K608">
        <f>$E608/$F608^2*sim_annual_output!M608</f>
        <v>0</v>
      </c>
      <c r="L608">
        <f>$E608/$F608^2*sim_annual_output!N608</f>
        <v>10.344675177050222</v>
      </c>
      <c r="M608">
        <f>$E608/$F608^2*sim_annual_output!O608</f>
        <v>2.2309134738891565</v>
      </c>
      <c r="N608">
        <f>$E608/$F608^2*sim_annual_output!P608</f>
        <v>0</v>
      </c>
      <c r="O608">
        <f>$E608/$F608^2*sim_annual_output!Q608</f>
        <v>5.7366988886119668</v>
      </c>
      <c r="P608">
        <f>$E608/$F608^2*sim_annual_output!R608</f>
        <v>6.0213528351896395</v>
      </c>
      <c r="Q608">
        <f>$E608/$F608^2*sim_annual_output!S608</f>
        <v>0</v>
      </c>
      <c r="R608">
        <f t="array" ref="R608">INDEX(G$3:G$700,MATCH($B608&amp;$C608&amp;"baseline",$B$3:$B$700&amp;$C$3:$C$700&amp;$D$3:$D$700,0))</f>
        <v>0</v>
      </c>
      <c r="S608">
        <f t="array" ref="S608">INDEX(H$3:H$700,MATCH($B608&amp;$C608&amp;"baseline",$B$3:$B$700&amp;$C$3:$C$700&amp;$D$3:$D$700,0))</f>
        <v>82.926934655738179</v>
      </c>
      <c r="T608">
        <f t="array" ref="T608">INDEX(I$3:I$700,MATCH($B608&amp;$C608&amp;"baseline",$B$3:$B$700&amp;$C$3:$C$700&amp;$D$3:$D$700,0))</f>
        <v>0</v>
      </c>
      <c r="U608">
        <f t="array" ref="U608">INDEX(J$3:J$700,MATCH($B608&amp;$C608&amp;"baseline",$B$3:$B$700&amp;$C$3:$C$700&amp;$D$3:$D$700,0))</f>
        <v>0.74873431452475192</v>
      </c>
      <c r="V608">
        <f t="array" ref="V608">INDEX(K$3:K$700,MATCH($B608&amp;$C608&amp;"baseline",$B$3:$B$700&amp;$C$3:$C$700&amp;$D$3:$D$700,0))</f>
        <v>0</v>
      </c>
      <c r="W608">
        <f t="array" ref="W608">INDEX(L$3:L$700,MATCH($B608&amp;$C608&amp;"baseline",$B$3:$B$700&amp;$C$3:$C$700&amp;$D$3:$D$700,0))</f>
        <v>10.344675177974409</v>
      </c>
      <c r="X608">
        <f t="array" ref="X608">INDEX(M$3:M$700,MATCH($B608&amp;$C608&amp;"baseline",$B$3:$B$700&amp;$C$3:$C$700&amp;$D$3:$D$700,0))</f>
        <v>2.2309134740884651</v>
      </c>
      <c r="Y608">
        <f t="array" ref="Y608">INDEX(N$3:N$700,MATCH($B608&amp;$C608&amp;"baseline",$B$3:$B$700&amp;$C$3:$C$700&amp;$D$3:$D$700,0))</f>
        <v>0</v>
      </c>
      <c r="Z608">
        <f t="array" ref="Z608">INDEX(O$3:O$700,MATCH($B608&amp;$C608&amp;"baseline",$B$3:$B$700&amp;$C$3:$C$700&amp;$D$3:$D$700,0))</f>
        <v>4.8651991284344085</v>
      </c>
      <c r="AA608">
        <f t="array" ref="AA608">INDEX(P$3:P$700,MATCH($B608&amp;$C608&amp;"baseline",$B$3:$B$700&amp;$C$3:$C$700&amp;$D$3:$D$700,0))</f>
        <v>5.2519327683691159</v>
      </c>
      <c r="AB608">
        <f t="array" ref="AB608">INDEX(Q$3:Q$700,MATCH($B608&amp;$C608&amp;"baseline",$B$3:$B$700&amp;$C$3:$C$700&amp;$D$3:$D$700,0))</f>
        <v>0</v>
      </c>
      <c r="AC608">
        <f t="shared" si="78"/>
        <v>106.36838951912934</v>
      </c>
      <c r="AD608">
        <f t="shared" si="79"/>
        <v>14.54882959915895</v>
      </c>
      <c r="AE608">
        <f t="shared" si="80"/>
        <v>-1.6409198258076927</v>
      </c>
      <c r="AF608">
        <f t="shared" si="81"/>
        <v>12.135099376520966</v>
      </c>
      <c r="AG608">
        <f>(S608+V608+Y608)*constants!$O$2+(R608+T608+U608+W608+X608+Z608+AA608+AB608)*constants!$N$2</f>
        <v>3.9923007409861588</v>
      </c>
      <c r="AH608">
        <f>((S608+V608+Y608)-(H608+K608+N608))*constants!$O$2</f>
        <v>0.23569103950637496</v>
      </c>
      <c r="AI608">
        <f>((R608+T608+U608+W608+X608+Z608+AA608+AB608)-(G608+I608+J608+L608+M608+O608+P608+Q608))*constants!$N$2</f>
        <v>-0.18542394031626927</v>
      </c>
      <c r="AJ608">
        <f t="shared" si="82"/>
        <v>1.2591010159642673</v>
      </c>
      <c r="AK608">
        <f t="shared" si="83"/>
        <v>5.0267099190105691E-2</v>
      </c>
      <c r="AL608">
        <f>COUNTIFS($B:$B,$B608,$AK:$AK,"&lt;"&amp;$AK608)+COUNTIFS($B$2:$B608,$B608,$AK$2:$AK608,$AK608)</f>
        <v>15</v>
      </c>
      <c r="AM608" s="191">
        <f>IF(AK608=0, "NA",IF(((sim_annual_output!F608/E608)/AK608)&lt;0,100,((sim_annual_output!F608/E608)/AK608)))</f>
        <v>41.759739531104266</v>
      </c>
      <c r="AN608">
        <f>(S608+V608)*constants!$F$2+(T608+U608+W608+X608+Y608+Z608+AA608+AB608)*constants!$G$2</f>
        <v>35237.987034527439</v>
      </c>
      <c r="AO608">
        <f>(AD608*constants!$F$2+AE608*constants!$G$2)</f>
        <v>1176.6402497967592</v>
      </c>
      <c r="AP608">
        <f t="shared" si="84"/>
        <v>3.3391244756513618</v>
      </c>
    </row>
    <row r="609" spans="1:42">
      <c r="A609">
        <f>sim_annual_output!B609</f>
        <v>28</v>
      </c>
      <c r="B609" t="str">
        <f>sim_annual_output!C609</f>
        <v>Vehicle Garage</v>
      </c>
      <c r="C609" t="str">
        <f>sim_annual_output!D609</f>
        <v>1980-2004</v>
      </c>
      <c r="D609" t="str">
        <f>sim_annual_output!E609</f>
        <v>payback_less_than_20</v>
      </c>
      <c r="E609" s="45">
        <f t="array" ref="E609">IFERROR(INDEX(baseline!$J$3:$J$201,MATCH($B609&amp;$C609,baseline!$C$3:$C$201&amp;baseline!$D$3:$D$201,0)),"NA")</f>
        <v>2270</v>
      </c>
      <c r="F609">
        <f>sim_annual_output!G609</f>
        <v>3744.5971479999998</v>
      </c>
      <c r="G609">
        <f>$E609/$F609^2*sim_annual_output!I609</f>
        <v>0</v>
      </c>
      <c r="H609">
        <f>$E609/$F609^2*sim_annual_output!J609</f>
        <v>29.140829465834674</v>
      </c>
      <c r="I609">
        <f>$E609/$F609^2*sim_annual_output!K609</f>
        <v>0</v>
      </c>
      <c r="J609">
        <f>$E609/$F609^2*sim_annual_output!L609</f>
        <v>0.74873431452475192</v>
      </c>
      <c r="K609">
        <f>$E609/$F609^2*sim_annual_output!M609</f>
        <v>0</v>
      </c>
      <c r="L609">
        <f>$E609/$F609^2*sim_annual_output!N609</f>
        <v>7.2413625626378852</v>
      </c>
      <c r="M609">
        <f>$E609/$F609^2*sim_annual_output!O609</f>
        <v>2.2309134740884651</v>
      </c>
      <c r="N609">
        <f>$E609/$F609^2*sim_annual_output!P609</f>
        <v>0</v>
      </c>
      <c r="O609">
        <f>$E609/$F609^2*sim_annual_output!Q609</f>
        <v>4.6875714682318401</v>
      </c>
      <c r="P609">
        <f>$E609/$F609^2*sim_annual_output!R609</f>
        <v>3.8381065312124667</v>
      </c>
      <c r="Q609">
        <f>$E609/$F609^2*sim_annual_output!S609</f>
        <v>0</v>
      </c>
      <c r="R609">
        <f t="array" ref="R609">INDEX(G$3:G$700,MATCH($B609&amp;$C609&amp;"baseline",$B$3:$B$700&amp;$C$3:$C$700&amp;$D$3:$D$700,0))</f>
        <v>0</v>
      </c>
      <c r="S609">
        <f t="array" ref="S609">INDEX(H$3:H$700,MATCH($B609&amp;$C609&amp;"baseline",$B$3:$B$700&amp;$C$3:$C$700&amp;$D$3:$D$700,0))</f>
        <v>82.926934655738179</v>
      </c>
      <c r="T609">
        <f t="array" ref="T609">INDEX(I$3:I$700,MATCH($B609&amp;$C609&amp;"baseline",$B$3:$B$700&amp;$C$3:$C$700&amp;$D$3:$D$700,0))</f>
        <v>0</v>
      </c>
      <c r="U609">
        <f t="array" ref="U609">INDEX(J$3:J$700,MATCH($B609&amp;$C609&amp;"baseline",$B$3:$B$700&amp;$C$3:$C$700&amp;$D$3:$D$700,0))</f>
        <v>0.74873431452475192</v>
      </c>
      <c r="V609">
        <f t="array" ref="V609">INDEX(K$3:K$700,MATCH($B609&amp;$C609&amp;"baseline",$B$3:$B$700&amp;$C$3:$C$700&amp;$D$3:$D$700,0))</f>
        <v>0</v>
      </c>
      <c r="W609">
        <f t="array" ref="W609">INDEX(L$3:L$700,MATCH($B609&amp;$C609&amp;"baseline",$B$3:$B$700&amp;$C$3:$C$700&amp;$D$3:$D$700,0))</f>
        <v>10.344675177974409</v>
      </c>
      <c r="X609">
        <f t="array" ref="X609">INDEX(M$3:M$700,MATCH($B609&amp;$C609&amp;"baseline",$B$3:$B$700&amp;$C$3:$C$700&amp;$D$3:$D$700,0))</f>
        <v>2.2309134740884651</v>
      </c>
      <c r="Y609">
        <f t="array" ref="Y609">INDEX(N$3:N$700,MATCH($B609&amp;$C609&amp;"baseline",$B$3:$B$700&amp;$C$3:$C$700&amp;$D$3:$D$700,0))</f>
        <v>0</v>
      </c>
      <c r="Z609">
        <f t="array" ref="Z609">INDEX(O$3:O$700,MATCH($B609&amp;$C609&amp;"baseline",$B$3:$B$700&amp;$C$3:$C$700&amp;$D$3:$D$700,0))</f>
        <v>4.8651991284344085</v>
      </c>
      <c r="AA609">
        <f t="array" ref="AA609">INDEX(P$3:P$700,MATCH($B609&amp;$C609&amp;"baseline",$B$3:$B$700&amp;$C$3:$C$700&amp;$D$3:$D$700,0))</f>
        <v>5.2519327683691159</v>
      </c>
      <c r="AB609">
        <f t="array" ref="AB609">INDEX(Q$3:Q$700,MATCH($B609&amp;$C609&amp;"baseline",$B$3:$B$700&amp;$C$3:$C$700&amp;$D$3:$D$700,0))</f>
        <v>0</v>
      </c>
      <c r="AC609">
        <f t="shared" si="78"/>
        <v>106.36838951912934</v>
      </c>
      <c r="AD609">
        <f t="shared" si="79"/>
        <v>53.786105189903509</v>
      </c>
      <c r="AE609">
        <f t="shared" si="80"/>
        <v>4.6947665126957396</v>
      </c>
      <c r="AF609">
        <f t="shared" si="81"/>
        <v>54.979559215834527</v>
      </c>
      <c r="AG609">
        <f>(S609+V609+Y609)*constants!$O$2+(R609+T609+U609+W609+X609+Z609+AA609+AB609)*constants!$N$2</f>
        <v>3.9923007409861588</v>
      </c>
      <c r="AH609">
        <f>((S609+V609+Y609)-(H609+K609+N609))*constants!$O$2</f>
        <v>0.87133490407643677</v>
      </c>
      <c r="AI609">
        <f>((R609+T609+U609+W609+X609+Z609+AA609+AB609)-(G609+I609+J609+L609+M609+O609+P609+Q609))*constants!$N$2</f>
        <v>0.53050861593461862</v>
      </c>
      <c r="AJ609">
        <f t="shared" si="82"/>
        <v>35.113675320581656</v>
      </c>
      <c r="AK609">
        <f t="shared" si="83"/>
        <v>1.4018435200110555</v>
      </c>
      <c r="AL609">
        <f>COUNTIFS($B:$B,$B609,$AK:$AK,"&lt;"&amp;$AK609)+COUNTIFS($B$2:$B609,$B609,$AK$2:$AK609,$AK609)</f>
        <v>41</v>
      </c>
      <c r="AM609" s="191">
        <f>IF(AK609=0, "NA",IF(((sim_annual_output!F609/E609)/AK609)&lt;0,100,((sim_annual_output!F609/E609)/AK609)))</f>
        <v>39.358377419454925</v>
      </c>
      <c r="AN609">
        <f>(S609+V609)*constants!$F$2+(T609+U609+W609+X609+Y609+Z609+AA609+AB609)*constants!$G$2</f>
        <v>35237.987034527439</v>
      </c>
      <c r="AO609">
        <f>(AD609*constants!$F$2+AE609*constants!$G$2)</f>
        <v>13712.159695038021</v>
      </c>
      <c r="AP609">
        <f t="shared" si="84"/>
        <v>38.913005108953463</v>
      </c>
    </row>
    <row r="610" spans="1:42">
      <c r="A610">
        <f>sim_annual_output!B610</f>
        <v>28</v>
      </c>
      <c r="B610" t="str">
        <f>sim_annual_output!C610</f>
        <v>Vehicle Garage</v>
      </c>
      <c r="C610" t="str">
        <f>sim_annual_output!D610</f>
        <v>1980-2004</v>
      </c>
      <c r="D610" t="str">
        <f>sim_annual_output!E610</f>
        <v>plug_loads_90_percent</v>
      </c>
      <c r="E610" s="45">
        <f t="array" ref="E610">IFERROR(INDEX(baseline!$J$3:$J$201,MATCH($B610&amp;$C610,baseline!$C$3:$C$201&amp;baseline!$D$3:$D$201,0)),"NA")</f>
        <v>2270</v>
      </c>
      <c r="F610">
        <f>sim_annual_output!G610</f>
        <v>3744.59714816727</v>
      </c>
      <c r="G610">
        <f>$E610/$F610^2*sim_annual_output!I610</f>
        <v>0</v>
      </c>
      <c r="H610">
        <f>$E610/$F610^2*sim_annual_output!J610</f>
        <v>81.760438067961488</v>
      </c>
      <c r="I610">
        <f>$E610/$F610^2*sim_annual_output!K610</f>
        <v>0</v>
      </c>
      <c r="J610">
        <f>$E610/$F610^2*sim_annual_output!L610</f>
        <v>0.74873431445786043</v>
      </c>
      <c r="K610">
        <f>$E610/$F610^2*sim_annual_output!M610</f>
        <v>0</v>
      </c>
      <c r="L610">
        <f>$E610/$F610^2*sim_annual_output!N610</f>
        <v>10.344675177050222</v>
      </c>
      <c r="M610">
        <f>$E610/$F610^2*sim_annual_output!O610</f>
        <v>2.2309134738891565</v>
      </c>
      <c r="N610">
        <f>$E610/$F610^2*sim_annual_output!P610</f>
        <v>0</v>
      </c>
      <c r="O610">
        <f>$E610/$F610^2*sim_annual_output!Q610</f>
        <v>4.8768910752525496</v>
      </c>
      <c r="P610">
        <f>$E610/$F610^2*sim_annual_output!R610</f>
        <v>5.2901564416109723</v>
      </c>
      <c r="Q610">
        <f>$E610/$F610^2*sim_annual_output!S610</f>
        <v>0</v>
      </c>
      <c r="R610">
        <f t="array" ref="R610">INDEX(G$3:G$700,MATCH($B610&amp;$C610&amp;"baseline",$B$3:$B$700&amp;$C$3:$C$700&amp;$D$3:$D$700,0))</f>
        <v>0</v>
      </c>
      <c r="S610">
        <f t="array" ref="S610">INDEX(H$3:H$700,MATCH($B610&amp;$C610&amp;"baseline",$B$3:$B$700&amp;$C$3:$C$700&amp;$D$3:$D$700,0))</f>
        <v>82.926934655738179</v>
      </c>
      <c r="T610">
        <f t="array" ref="T610">INDEX(I$3:I$700,MATCH($B610&amp;$C610&amp;"baseline",$B$3:$B$700&amp;$C$3:$C$700&amp;$D$3:$D$700,0))</f>
        <v>0</v>
      </c>
      <c r="U610">
        <f t="array" ref="U610">INDEX(J$3:J$700,MATCH($B610&amp;$C610&amp;"baseline",$B$3:$B$700&amp;$C$3:$C$700&amp;$D$3:$D$700,0))</f>
        <v>0.74873431452475192</v>
      </c>
      <c r="V610">
        <f t="array" ref="V610">INDEX(K$3:K$700,MATCH($B610&amp;$C610&amp;"baseline",$B$3:$B$700&amp;$C$3:$C$700&amp;$D$3:$D$700,0))</f>
        <v>0</v>
      </c>
      <c r="W610">
        <f t="array" ref="W610">INDEX(L$3:L$700,MATCH($B610&amp;$C610&amp;"baseline",$B$3:$B$700&amp;$C$3:$C$700&amp;$D$3:$D$700,0))</f>
        <v>10.344675177974409</v>
      </c>
      <c r="X610">
        <f t="array" ref="X610">INDEX(M$3:M$700,MATCH($B610&amp;$C610&amp;"baseline",$B$3:$B$700&amp;$C$3:$C$700&amp;$D$3:$D$700,0))</f>
        <v>2.2309134740884651</v>
      </c>
      <c r="Y610">
        <f t="array" ref="Y610">INDEX(N$3:N$700,MATCH($B610&amp;$C610&amp;"baseline",$B$3:$B$700&amp;$C$3:$C$700&amp;$D$3:$D$700,0))</f>
        <v>0</v>
      </c>
      <c r="Z610">
        <f t="array" ref="Z610">INDEX(O$3:O$700,MATCH($B610&amp;$C610&amp;"baseline",$B$3:$B$700&amp;$C$3:$C$700&amp;$D$3:$D$700,0))</f>
        <v>4.8651991284344085</v>
      </c>
      <c r="AA610">
        <f t="array" ref="AA610">INDEX(P$3:P$700,MATCH($B610&amp;$C610&amp;"baseline",$B$3:$B$700&amp;$C$3:$C$700&amp;$D$3:$D$700,0))</f>
        <v>5.2519327683691159</v>
      </c>
      <c r="AB610">
        <f t="array" ref="AB610">INDEX(Q$3:Q$700,MATCH($B610&amp;$C610&amp;"baseline",$B$3:$B$700&amp;$C$3:$C$700&amp;$D$3:$D$700,0))</f>
        <v>0</v>
      </c>
      <c r="AC610">
        <f t="shared" si="78"/>
        <v>106.36838951912934</v>
      </c>
      <c r="AD610">
        <f t="shared" si="79"/>
        <v>1.1664965877766917</v>
      </c>
      <c r="AE610">
        <f t="shared" si="80"/>
        <v>-4.991561886960838E-2</v>
      </c>
      <c r="AF610">
        <f t="shared" si="81"/>
        <v>1.0497300692009415</v>
      </c>
      <c r="AG610">
        <f>(S610+V610+Y610)*constants!$O$2+(R610+T610+U610+W610+X610+Z610+AA610+AB610)*constants!$N$2</f>
        <v>3.9923007409861588</v>
      </c>
      <c r="AH610">
        <f>((S610+V610+Y610)-(H610+K610+N610))*constants!$O$2</f>
        <v>1.8897244721982405E-2</v>
      </c>
      <c r="AI610">
        <f>((R610+T610+U610+W610+X610+Z610+AA610+AB610)-(G610+I610+J610+L610+M610+O610+P610+Q610))*constants!$N$2</f>
        <v>-5.6404649322657468E-3</v>
      </c>
      <c r="AJ610">
        <f t="shared" si="82"/>
        <v>0.33205864612398994</v>
      </c>
      <c r="AK610">
        <f t="shared" si="83"/>
        <v>1.3256779789716658E-2</v>
      </c>
      <c r="AL610">
        <f>COUNTIFS($B:$B,$B610,$AK:$AK,"&lt;"&amp;$AK610)+COUNTIFS($B$2:$B610,$B610,$AK$2:$AK610,$AK610)</f>
        <v>6</v>
      </c>
      <c r="AM610" s="191">
        <f>IF(AK610=0, "NA",IF(((sim_annual_output!F610/E610)/AK610)&lt;0,100,((sim_annual_output!F610/E610)/AK610)))</f>
        <v>91.561162413094905</v>
      </c>
      <c r="AN610">
        <f>(S610+V610)*constants!$F$2+(T610+U610+W610+X610+Y610+Z610+AA610+AB610)*constants!$G$2</f>
        <v>35237.987034527439</v>
      </c>
      <c r="AO610">
        <f>(AD610*constants!$F$2+AE610*constants!$G$2)</f>
        <v>165.37630079546852</v>
      </c>
      <c r="AP610">
        <f t="shared" si="84"/>
        <v>0.46931256496980639</v>
      </c>
    </row>
    <row r="611" spans="1:42">
      <c r="A611">
        <f>sim_annual_output!B611</f>
        <v>28</v>
      </c>
      <c r="B611" t="str">
        <f>sim_annual_output!C611</f>
        <v>Vehicle Garage</v>
      </c>
      <c r="C611" t="str">
        <f>sim_annual_output!D611</f>
        <v>1980-2004</v>
      </c>
      <c r="D611" t="str">
        <f>sim_annual_output!E611</f>
        <v>pump_fan_eff_</v>
      </c>
      <c r="E611" s="45">
        <f t="array" ref="E611">IFERROR(INDEX(baseline!$J$3:$J$201,MATCH($B611&amp;$C611,baseline!$C$3:$C$201&amp;baseline!$D$3:$D$201,0)),"NA")</f>
        <v>2270</v>
      </c>
      <c r="F611">
        <f>sim_annual_output!G611</f>
        <v>3744.59714816727</v>
      </c>
      <c r="G611">
        <f>$E611/$F611^2*sim_annual_output!I611</f>
        <v>0</v>
      </c>
      <c r="H611">
        <f>$E611/$F611^2*sim_annual_output!J611</f>
        <v>81.645767046828311</v>
      </c>
      <c r="I611">
        <f>$E611/$F611^2*sim_annual_output!K611</f>
        <v>0</v>
      </c>
      <c r="J611">
        <f>$E611/$F611^2*sim_annual_output!L611</f>
        <v>0.74873431445786043</v>
      </c>
      <c r="K611">
        <f>$E611/$F611^2*sim_annual_output!M611</f>
        <v>0</v>
      </c>
      <c r="L611">
        <f>$E611/$F611^2*sim_annual_output!N611</f>
        <v>10.344675177050222</v>
      </c>
      <c r="M611">
        <f>$E611/$F611^2*sim_annual_output!O611</f>
        <v>2.2309134738891565</v>
      </c>
      <c r="N611">
        <f>$E611/$F611^2*sim_annual_output!P611</f>
        <v>0</v>
      </c>
      <c r="O611">
        <f>$E611/$F611^2*sim_annual_output!Q611</f>
        <v>4.877790455810457</v>
      </c>
      <c r="P611">
        <f>$E611/$F611^2*sim_annual_output!R611</f>
        <v>4.1344524247000409</v>
      </c>
      <c r="Q611">
        <f>$E611/$F611^2*sim_annual_output!S611</f>
        <v>0</v>
      </c>
      <c r="R611">
        <f t="array" ref="R611">INDEX(G$3:G$700,MATCH($B611&amp;$C611&amp;"baseline",$B$3:$B$700&amp;$C$3:$C$700&amp;$D$3:$D$700,0))</f>
        <v>0</v>
      </c>
      <c r="S611">
        <f t="array" ref="S611">INDEX(H$3:H$700,MATCH($B611&amp;$C611&amp;"baseline",$B$3:$B$700&amp;$C$3:$C$700&amp;$D$3:$D$700,0))</f>
        <v>82.926934655738179</v>
      </c>
      <c r="T611">
        <f t="array" ref="T611">INDEX(I$3:I$700,MATCH($B611&amp;$C611&amp;"baseline",$B$3:$B$700&amp;$C$3:$C$700&amp;$D$3:$D$700,0))</f>
        <v>0</v>
      </c>
      <c r="U611">
        <f t="array" ref="U611">INDEX(J$3:J$700,MATCH($B611&amp;$C611&amp;"baseline",$B$3:$B$700&amp;$C$3:$C$700&amp;$D$3:$D$700,0))</f>
        <v>0.74873431452475192</v>
      </c>
      <c r="V611">
        <f t="array" ref="V611">INDEX(K$3:K$700,MATCH($B611&amp;$C611&amp;"baseline",$B$3:$B$700&amp;$C$3:$C$700&amp;$D$3:$D$700,0))</f>
        <v>0</v>
      </c>
      <c r="W611">
        <f t="array" ref="W611">INDEX(L$3:L$700,MATCH($B611&amp;$C611&amp;"baseline",$B$3:$B$700&amp;$C$3:$C$700&amp;$D$3:$D$700,0))</f>
        <v>10.344675177974409</v>
      </c>
      <c r="X611">
        <f t="array" ref="X611">INDEX(M$3:M$700,MATCH($B611&amp;$C611&amp;"baseline",$B$3:$B$700&amp;$C$3:$C$700&amp;$D$3:$D$700,0))</f>
        <v>2.2309134740884651</v>
      </c>
      <c r="Y611">
        <f t="array" ref="Y611">INDEX(N$3:N$700,MATCH($B611&amp;$C611&amp;"baseline",$B$3:$B$700&amp;$C$3:$C$700&amp;$D$3:$D$700,0))</f>
        <v>0</v>
      </c>
      <c r="Z611">
        <f t="array" ref="Z611">INDEX(O$3:O$700,MATCH($B611&amp;$C611&amp;"baseline",$B$3:$B$700&amp;$C$3:$C$700&amp;$D$3:$D$700,0))</f>
        <v>4.8651991284344085</v>
      </c>
      <c r="AA611">
        <f t="array" ref="AA611">INDEX(P$3:P$700,MATCH($B611&amp;$C611&amp;"baseline",$B$3:$B$700&amp;$C$3:$C$700&amp;$D$3:$D$700,0))</f>
        <v>5.2519327683691159</v>
      </c>
      <c r="AB611">
        <f t="array" ref="AB611">INDEX(Q$3:Q$700,MATCH($B611&amp;$C611&amp;"baseline",$B$3:$B$700&amp;$C$3:$C$700&amp;$D$3:$D$700,0))</f>
        <v>0</v>
      </c>
      <c r="AC611">
        <f t="shared" si="78"/>
        <v>106.36838951912934</v>
      </c>
      <c r="AD611">
        <f t="shared" si="79"/>
        <v>1.2811676089098682</v>
      </c>
      <c r="AE611">
        <f t="shared" si="80"/>
        <v>1.1048890174834121</v>
      </c>
      <c r="AF611">
        <f t="shared" si="81"/>
        <v>2.2432008580558334</v>
      </c>
      <c r="AG611">
        <f>(S611+V611+Y611)*constants!$O$2+(R611+T611+U611+W611+X611+Z611+AA611+AB611)*constants!$N$2</f>
        <v>3.9923007409861588</v>
      </c>
      <c r="AH611">
        <f>((S611+V611+Y611)-(H611+K611+N611))*constants!$O$2</f>
        <v>2.0754915264339865E-2</v>
      </c>
      <c r="AI611">
        <f>((R611+T611+U611+W611+X611+Z611+AA611+AB611)-(G611+I611+J611+L611+M611+O611+P611+Q611))*constants!$N$2</f>
        <v>0.12485245897562557</v>
      </c>
      <c r="AJ611">
        <f t="shared" si="82"/>
        <v>3.6472045491241771</v>
      </c>
      <c r="AK611">
        <f t="shared" si="83"/>
        <v>0.14560737423996542</v>
      </c>
      <c r="AL611">
        <f>COUNTIFS($B:$B,$B611,$AK:$AK,"&lt;"&amp;$AK611)+COUNTIFS($B$2:$B611,$B611,$AK$2:$AK611,$AK611)</f>
        <v>26</v>
      </c>
      <c r="AM611" s="191">
        <f>IF(AK611=0, "NA",IF(((sim_annual_output!F611/E611)/AK611)&lt;0,100,((sim_annual_output!F611/E611)/AK611)))</f>
        <v>9.8371476098428996</v>
      </c>
      <c r="AN611">
        <f>(S611+V611)*constants!$F$2+(T611+U611+W611+X611+Y611+Z611+AA611+AB611)*constants!$G$2</f>
        <v>35237.987034527439</v>
      </c>
      <c r="AO611">
        <f>(AD611*constants!$F$2+AE611*constants!$G$2)</f>
        <v>1190.5824472054351</v>
      </c>
      <c r="AP611">
        <f t="shared" si="84"/>
        <v>3.3786902924927573</v>
      </c>
    </row>
    <row r="612" spans="1:42">
      <c r="E612" s="45"/>
    </row>
    <row r="613" spans="1:42">
      <c r="E613" s="45"/>
    </row>
    <row r="614" spans="1:42">
      <c r="E614" s="45"/>
    </row>
    <row r="615" spans="1:42">
      <c r="E615" s="45"/>
    </row>
    <row r="616" spans="1:42">
      <c r="E616" s="45"/>
    </row>
    <row r="617" spans="1:42">
      <c r="E617" s="45"/>
    </row>
    <row r="618" spans="1:42">
      <c r="E618" s="45"/>
    </row>
    <row r="619" spans="1:42">
      <c r="E619" s="45"/>
    </row>
    <row r="620" spans="1:42">
      <c r="E620" s="45"/>
    </row>
    <row r="621" spans="1:42">
      <c r="E621" s="45"/>
    </row>
    <row r="622" spans="1:42">
      <c r="E622" s="45"/>
    </row>
    <row r="623" spans="1:42">
      <c r="E623" s="45"/>
    </row>
    <row r="624" spans="1:42">
      <c r="E624" s="45"/>
    </row>
    <row r="625" spans="5:5">
      <c r="E625" s="45"/>
    </row>
    <row r="626" spans="5:5">
      <c r="E626" s="45"/>
    </row>
    <row r="627" spans="5:5">
      <c r="E627" s="45"/>
    </row>
    <row r="628" spans="5:5">
      <c r="E628" s="45"/>
    </row>
    <row r="629" spans="5:5">
      <c r="E629" s="45"/>
    </row>
    <row r="630" spans="5:5">
      <c r="E630" s="45"/>
    </row>
    <row r="631" spans="5:5">
      <c r="E631" s="45"/>
    </row>
    <row r="632" spans="5:5">
      <c r="E632" s="45"/>
    </row>
    <row r="633" spans="5:5">
      <c r="E633" s="45"/>
    </row>
    <row r="634" spans="5:5">
      <c r="E634" s="45"/>
    </row>
  </sheetData>
  <pageMargins left="0.7" right="0.7" top="0.75" bottom="0.75" header="0.3" footer="0.3"/>
  <pageSetup orientation="portrait" horizontalDpi="90" verticalDpi="90" r:id="rId1"/>
  <legacyDrawing r:id="rId2"/>
</worksheet>
</file>

<file path=xl/worksheets/sheet38.xml><?xml version="1.0" encoding="utf-8"?>
<worksheet xmlns="http://schemas.openxmlformats.org/spreadsheetml/2006/main" xmlns:r="http://schemas.openxmlformats.org/officeDocument/2006/relationships">
  <sheetPr>
    <tabColor rgb="FF7030A0"/>
  </sheetPr>
  <dimension ref="A1:AA608"/>
  <sheetViews>
    <sheetView topLeftCell="K1" workbookViewId="0">
      <selection activeCell="T27" sqref="T27:T28"/>
    </sheetView>
  </sheetViews>
  <sheetFormatPr defaultColWidth="9.109375" defaultRowHeight="14.4"/>
  <cols>
    <col min="1" max="1" width="11.33203125" style="45" bestFit="1" customWidth="1"/>
    <col min="2" max="2" width="5.33203125" style="45" bestFit="1" customWidth="1"/>
    <col min="3" max="3" width="23.44140625" style="45" bestFit="1" customWidth="1"/>
    <col min="4" max="4" width="9.6640625" style="45" bestFit="1" customWidth="1"/>
    <col min="5" max="5" width="13.44140625" style="45" bestFit="1" customWidth="1"/>
    <col min="6" max="6" width="6" style="45" bestFit="1" customWidth="1"/>
    <col min="7" max="7" width="8.88671875" style="45" bestFit="1" customWidth="1"/>
    <col min="8" max="8" width="8.6640625" style="45" bestFit="1" customWidth="1"/>
    <col min="9" max="9" width="9.109375" style="45"/>
    <col min="10" max="10" width="8.88671875" style="45" bestFit="1" customWidth="1"/>
    <col min="11" max="11" width="8.6640625" style="45" bestFit="1" customWidth="1"/>
    <col min="12" max="12" width="9.109375" style="45"/>
    <col min="13" max="13" width="20.6640625" style="45" customWidth="1"/>
    <col min="14" max="14" width="10.6640625" style="45" customWidth="1"/>
    <col min="15" max="15" width="8" style="45" customWidth="1"/>
    <col min="16" max="17" width="9.109375" style="45"/>
    <col min="18" max="18" width="8.88671875"/>
    <col min="19" max="19" width="9.109375" style="45" customWidth="1"/>
    <col min="20" max="20" width="11.44140625" style="45" customWidth="1"/>
    <col min="21" max="21" width="9.109375" style="45"/>
    <col min="22" max="22" width="12.5546875" style="45" bestFit="1" customWidth="1"/>
    <col min="23" max="23" width="9.6640625" style="45" bestFit="1" customWidth="1"/>
    <col min="24" max="26" width="9.109375" style="45" customWidth="1"/>
    <col min="27" max="16384" width="9.109375" style="45"/>
  </cols>
  <sheetData>
    <row r="1" spans="1:27" ht="45">
      <c r="A1" s="45" t="s">
        <v>938</v>
      </c>
      <c r="B1" s="162" t="s">
        <v>7</v>
      </c>
      <c r="C1" s="162" t="s">
        <v>939</v>
      </c>
      <c r="D1" s="162" t="s">
        <v>940</v>
      </c>
      <c r="E1" s="162" t="s">
        <v>941</v>
      </c>
      <c r="F1" s="162" t="s">
        <v>942</v>
      </c>
      <c r="G1" s="162" t="s">
        <v>943</v>
      </c>
      <c r="H1" s="162" t="s">
        <v>944</v>
      </c>
      <c r="I1" s="162" t="s">
        <v>945</v>
      </c>
      <c r="J1" s="162" t="s">
        <v>946</v>
      </c>
      <c r="K1" s="162" t="s">
        <v>947</v>
      </c>
      <c r="L1" s="162" t="s">
        <v>948</v>
      </c>
      <c r="M1" s="45" t="s">
        <v>991</v>
      </c>
      <c r="N1" s="207" t="s">
        <v>1097</v>
      </c>
      <c r="O1" s="45" t="s">
        <v>1092</v>
      </c>
      <c r="P1" s="205" t="s">
        <v>1093</v>
      </c>
      <c r="Q1" s="205" t="s">
        <v>1094</v>
      </c>
      <c r="R1" s="206" t="s">
        <v>1095</v>
      </c>
      <c r="S1" s="206" t="s">
        <v>1096</v>
      </c>
      <c r="T1" s="205"/>
      <c r="U1" s="205"/>
      <c r="V1" s="206"/>
      <c r="W1" s="206"/>
      <c r="X1" s="163"/>
      <c r="Y1" s="163"/>
      <c r="Z1" s="163"/>
      <c r="AA1" s="163"/>
    </row>
    <row r="2" spans="1:27" ht="15.6">
      <c r="A2" s="45">
        <f t="array" ref="A2">IFERROR(INDEX(baseline!$A$3:$A$201,MATCH($C2&amp;$D2,baseline!$C$3:$C$201&amp;baseline!$D$3:$D$201,0)),"NA")</f>
        <v>5</v>
      </c>
      <c r="B2" s="45" t="s">
        <v>949</v>
      </c>
      <c r="C2" s="117" t="s">
        <v>761</v>
      </c>
      <c r="D2" s="100" t="s">
        <v>881</v>
      </c>
      <c r="E2" s="45">
        <v>2015</v>
      </c>
      <c r="F2" s="174">
        <f>SUM(G2:I2)</f>
        <v>62176</v>
      </c>
      <c r="G2" s="174">
        <v>62176</v>
      </c>
      <c r="H2" s="174">
        <v>0</v>
      </c>
      <c r="I2" s="174">
        <v>0</v>
      </c>
      <c r="J2" s="174">
        <v>0</v>
      </c>
      <c r="K2" s="174">
        <v>0</v>
      </c>
      <c r="L2" s="174">
        <v>0</v>
      </c>
      <c r="M2" s="45">
        <f>F2/SUMIFS($F$2:$F$294,$E$2:$E$294,E2)</f>
        <v>0.26866355265375258</v>
      </c>
      <c r="N2" s="208">
        <v>21679</v>
      </c>
      <c r="O2" s="45">
        <v>2015</v>
      </c>
      <c r="P2" s="45">
        <f>SUM(F2:F31)</f>
        <v>231427</v>
      </c>
      <c r="Q2" s="45">
        <f>SUM(G2:G31)</f>
        <v>139442</v>
      </c>
      <c r="R2" s="45">
        <f>SUM(H2:H31)</f>
        <v>90255</v>
      </c>
      <c r="S2" s="45">
        <f>SUM(I2:I31)</f>
        <v>1730</v>
      </c>
      <c r="T2" s="165"/>
      <c r="U2" s="166"/>
      <c r="V2" s="167"/>
      <c r="W2" s="167"/>
      <c r="X2" s="167"/>
      <c r="Y2" s="167"/>
      <c r="Z2" s="167"/>
      <c r="AA2" s="167"/>
    </row>
    <row r="3" spans="1:27" ht="15.6">
      <c r="A3" s="45">
        <f t="array" ref="A3">IFERROR(INDEX(baseline!$A$3:$A$201,MATCH($C3&amp;$D3,baseline!$C$3:$C$201&amp;baseline!$D$3:$D$201,0)),"NA")</f>
        <v>6</v>
      </c>
      <c r="B3" s="45" t="s">
        <v>949</v>
      </c>
      <c r="C3" s="117" t="s">
        <v>761</v>
      </c>
      <c r="D3" s="45" t="s">
        <v>13</v>
      </c>
      <c r="E3" s="45">
        <v>2015</v>
      </c>
      <c r="F3" s="174">
        <f t="shared" ref="F3:F32" si="0">SUM(G3:I3)</f>
        <v>6231</v>
      </c>
      <c r="G3" s="174">
        <v>0</v>
      </c>
      <c r="H3" s="174">
        <v>6231</v>
      </c>
      <c r="I3" s="174">
        <v>0</v>
      </c>
      <c r="J3" s="174">
        <v>0</v>
      </c>
      <c r="K3" s="174">
        <v>0</v>
      </c>
      <c r="L3" s="174">
        <v>0</v>
      </c>
      <c r="M3" s="45">
        <f t="shared" ref="M3:M66" si="1">F3/SUMIFS($F$2:$F$294,$E$2:$E$294,E3)</f>
        <v>2.692425689310236E-2</v>
      </c>
      <c r="N3" s="208">
        <v>6231</v>
      </c>
      <c r="O3" s="45">
        <v>2018</v>
      </c>
      <c r="P3" s="45">
        <f>SUM(F32:F63)</f>
        <v>231983</v>
      </c>
      <c r="Q3" s="45">
        <f t="shared" ref="Q3:S3" si="2">SUM(G32:G63)</f>
        <v>139499</v>
      </c>
      <c r="R3" s="45">
        <f t="shared" si="2"/>
        <v>91267</v>
      </c>
      <c r="S3" s="45">
        <f t="shared" si="2"/>
        <v>1217</v>
      </c>
      <c r="T3" s="165"/>
      <c r="U3" s="166"/>
      <c r="V3" s="167"/>
      <c r="W3" s="167"/>
      <c r="X3" s="167"/>
      <c r="Y3" s="167"/>
      <c r="Z3" s="167"/>
      <c r="AA3" s="167"/>
    </row>
    <row r="4" spans="1:27" ht="15.6">
      <c r="A4" s="45">
        <f t="array" ref="A4">IFERROR(INDEX(baseline!$A$3:$A$201,MATCH($C4&amp;$D4,baseline!$C$3:$C$201&amp;baseline!$D$3:$D$201,0)),"NA")</f>
        <v>7</v>
      </c>
      <c r="B4" s="45" t="s">
        <v>949</v>
      </c>
      <c r="C4" s="117" t="s">
        <v>761</v>
      </c>
      <c r="D4" s="45" t="s">
        <v>14</v>
      </c>
      <c r="E4" s="45">
        <v>2015</v>
      </c>
      <c r="F4" s="174">
        <f t="shared" si="0"/>
        <v>7269</v>
      </c>
      <c r="G4" s="174">
        <v>0</v>
      </c>
      <c r="H4" s="174">
        <v>7269</v>
      </c>
      <c r="I4" s="174">
        <v>0</v>
      </c>
      <c r="J4" s="174">
        <v>0</v>
      </c>
      <c r="K4" s="174">
        <v>0</v>
      </c>
      <c r="L4" s="174">
        <v>0</v>
      </c>
      <c r="M4" s="45">
        <f t="shared" si="1"/>
        <v>3.1409472533455475E-2</v>
      </c>
      <c r="N4" s="208">
        <v>7269</v>
      </c>
      <c r="O4" s="45">
        <v>2020</v>
      </c>
      <c r="P4" s="45">
        <f>SUM(F64:F96)</f>
        <v>224290</v>
      </c>
      <c r="Q4" s="45">
        <f t="shared" ref="Q4:S4" si="3">SUM(G64:G96)</f>
        <v>138091</v>
      </c>
      <c r="R4" s="45">
        <f t="shared" si="3"/>
        <v>84982</v>
      </c>
      <c r="S4" s="45">
        <f t="shared" si="3"/>
        <v>1217</v>
      </c>
      <c r="T4" s="165"/>
      <c r="U4" s="166"/>
      <c r="V4" s="167"/>
      <c r="W4" s="167"/>
      <c r="X4" s="167"/>
      <c r="Y4" s="167"/>
      <c r="Z4" s="167"/>
      <c r="AA4" s="167"/>
    </row>
    <row r="5" spans="1:27" ht="15.6">
      <c r="A5" s="45">
        <f t="array" ref="A5">IFERROR(INDEX(baseline!$A$3:$A$201,MATCH($C5&amp;$D5,baseline!$C$3:$C$201&amp;baseline!$D$3:$D$201,0)),"NA")</f>
        <v>24</v>
      </c>
      <c r="B5" s="45" t="s">
        <v>950</v>
      </c>
      <c r="C5" s="117" t="s">
        <v>547</v>
      </c>
      <c r="D5" s="45" t="s">
        <v>881</v>
      </c>
      <c r="E5" s="45">
        <v>2015</v>
      </c>
      <c r="F5" s="174">
        <f t="shared" si="0"/>
        <v>6832</v>
      </c>
      <c r="G5" s="174">
        <v>3118</v>
      </c>
      <c r="H5" s="174">
        <v>3714</v>
      </c>
      <c r="I5" s="174">
        <v>0</v>
      </c>
      <c r="J5" s="174">
        <v>0</v>
      </c>
      <c r="K5" s="174">
        <v>0</v>
      </c>
      <c r="L5" s="174">
        <v>0</v>
      </c>
      <c r="M5" s="45">
        <f t="shared" si="1"/>
        <v>2.9521188106832824E-2</v>
      </c>
      <c r="N5" s="208">
        <v>6832</v>
      </c>
      <c r="O5" s="45">
        <v>2023</v>
      </c>
      <c r="P5" s="45">
        <f>SUM(F97:F129)</f>
        <v>202852</v>
      </c>
      <c r="Q5" s="45">
        <f t="shared" ref="Q5:S5" si="4">SUM(G97:G129)</f>
        <v>108609</v>
      </c>
      <c r="R5" s="45">
        <f t="shared" si="4"/>
        <v>93026</v>
      </c>
      <c r="S5" s="45">
        <f t="shared" si="4"/>
        <v>1217</v>
      </c>
      <c r="T5" s="165"/>
      <c r="U5" s="166"/>
      <c r="V5" s="167"/>
      <c r="W5" s="167"/>
      <c r="X5" s="167"/>
      <c r="Y5" s="167"/>
      <c r="Z5" s="167"/>
      <c r="AA5" s="167"/>
    </row>
    <row r="6" spans="1:27" ht="15.6">
      <c r="A6" s="45">
        <f t="array" ref="A6">IFERROR(INDEX(baseline!$A$3:$A$201,MATCH($C6&amp;$D6,baseline!$C$3:$C$201&amp;baseline!$D$3:$D$201,0)),"NA")</f>
        <v>25</v>
      </c>
      <c r="B6" s="45" t="s">
        <v>950</v>
      </c>
      <c r="C6" s="117" t="s">
        <v>547</v>
      </c>
      <c r="D6" s="45" t="s">
        <v>14</v>
      </c>
      <c r="E6" s="45">
        <v>2015</v>
      </c>
      <c r="F6" s="174">
        <f t="shared" si="0"/>
        <v>4831</v>
      </c>
      <c r="G6" s="174">
        <v>4831</v>
      </c>
      <c r="H6" s="174">
        <v>0</v>
      </c>
      <c r="I6" s="174">
        <v>0</v>
      </c>
      <c r="J6" s="174">
        <v>0</v>
      </c>
      <c r="K6" s="174">
        <v>0</v>
      </c>
      <c r="L6" s="174">
        <v>0</v>
      </c>
      <c r="M6" s="45">
        <f t="shared" si="1"/>
        <v>2.0874833100718585E-2</v>
      </c>
      <c r="N6" s="208">
        <v>4831</v>
      </c>
      <c r="O6" s="45">
        <v>2025</v>
      </c>
      <c r="P6" s="45">
        <f>SUM(F130:F162)</f>
        <v>197069</v>
      </c>
      <c r="Q6" s="45">
        <f t="shared" ref="Q6:S6" si="5">SUM(G130:G162)</f>
        <v>102443</v>
      </c>
      <c r="R6" s="45">
        <f t="shared" si="5"/>
        <v>93409</v>
      </c>
      <c r="S6" s="45">
        <f t="shared" si="5"/>
        <v>1217</v>
      </c>
      <c r="T6" s="165"/>
      <c r="U6" s="166"/>
      <c r="V6" s="167"/>
      <c r="W6" s="167"/>
      <c r="X6" s="167"/>
      <c r="Y6" s="167"/>
      <c r="Z6" s="167"/>
      <c r="AA6" s="167"/>
    </row>
    <row r="7" spans="1:27" ht="15.6">
      <c r="A7" s="45">
        <f t="array" ref="A7">IFERROR(INDEX(baseline!$A$3:$A$201,MATCH($C7&amp;$D7,baseline!$C$3:$C$201&amp;baseline!$D$3:$D$201,0)),"NA")</f>
        <v>26</v>
      </c>
      <c r="B7" s="45" t="s">
        <v>950</v>
      </c>
      <c r="C7" s="117" t="s">
        <v>547</v>
      </c>
      <c r="D7" s="45" t="s">
        <v>546</v>
      </c>
      <c r="E7" s="45">
        <v>2015</v>
      </c>
      <c r="F7" s="174">
        <f t="shared" si="0"/>
        <v>1869</v>
      </c>
      <c r="G7" s="174">
        <v>0</v>
      </c>
      <c r="H7" s="174">
        <v>1869</v>
      </c>
      <c r="I7" s="174">
        <v>0</v>
      </c>
      <c r="J7" s="174">
        <v>0</v>
      </c>
      <c r="K7" s="174">
        <v>0</v>
      </c>
      <c r="L7" s="174">
        <v>0</v>
      </c>
      <c r="M7" s="45">
        <f t="shared" si="1"/>
        <v>8.0759807628323407E-3</v>
      </c>
      <c r="N7" s="208">
        <v>1869</v>
      </c>
      <c r="O7" s="45">
        <v>2028</v>
      </c>
      <c r="P7" s="45">
        <f>SUM(F163:F195)</f>
        <v>197069</v>
      </c>
      <c r="Q7" s="45">
        <f t="shared" ref="Q7:S7" si="6">SUM(G163:G195)</f>
        <v>102443</v>
      </c>
      <c r="R7" s="45">
        <f t="shared" si="6"/>
        <v>93409</v>
      </c>
      <c r="S7" s="45">
        <f t="shared" si="6"/>
        <v>1217</v>
      </c>
      <c r="T7" s="165"/>
      <c r="U7" s="166"/>
      <c r="V7" s="167"/>
      <c r="W7" s="167"/>
      <c r="X7" s="167"/>
      <c r="Y7" s="167"/>
      <c r="Z7" s="167"/>
      <c r="AA7" s="167"/>
    </row>
    <row r="8" spans="1:27" ht="15.6">
      <c r="A8" s="45">
        <f t="array" ref="A8">IFERROR(INDEX(baseline!$A$3:$A$201,MATCH($C8&amp;$D8,baseline!$C$3:$C$201&amp;baseline!$D$3:$D$201,0)),"NA")</f>
        <v>20</v>
      </c>
      <c r="B8" s="45" t="s">
        <v>951</v>
      </c>
      <c r="C8" s="117" t="s">
        <v>2</v>
      </c>
      <c r="D8" s="45" t="s">
        <v>881</v>
      </c>
      <c r="E8" s="45">
        <v>2015</v>
      </c>
      <c r="F8" s="174">
        <f t="shared" si="0"/>
        <v>330</v>
      </c>
      <c r="G8" s="174">
        <v>249</v>
      </c>
      <c r="H8" s="174">
        <v>81</v>
      </c>
      <c r="I8" s="174">
        <v>0</v>
      </c>
      <c r="J8" s="174">
        <v>0</v>
      </c>
      <c r="K8" s="174">
        <v>0</v>
      </c>
      <c r="L8" s="174">
        <v>0</v>
      </c>
      <c r="M8" s="45">
        <f t="shared" si="1"/>
        <v>1.4259356082047471E-3</v>
      </c>
      <c r="N8" s="208">
        <v>330</v>
      </c>
      <c r="O8" s="45">
        <v>2030</v>
      </c>
      <c r="P8" s="45">
        <f>SUM(F196:F228)</f>
        <v>197069</v>
      </c>
      <c r="Q8" s="45">
        <f t="shared" ref="Q8:S8" si="7">SUM(G196:G228)</f>
        <v>102443</v>
      </c>
      <c r="R8" s="45">
        <f t="shared" si="7"/>
        <v>93409</v>
      </c>
      <c r="S8" s="45">
        <f t="shared" si="7"/>
        <v>1217</v>
      </c>
      <c r="T8" s="165"/>
      <c r="U8" s="166"/>
      <c r="V8" s="167"/>
      <c r="W8" s="167"/>
      <c r="X8" s="167"/>
      <c r="Y8" s="167"/>
      <c r="Z8" s="167"/>
      <c r="AA8" s="167"/>
    </row>
    <row r="9" spans="1:27" ht="15.6">
      <c r="A9" s="45">
        <f t="array" ref="A9">IFERROR(INDEX(baseline!$A$3:$A$201,MATCH($C9&amp;$D9,baseline!$C$3:$C$201&amp;baseline!$D$3:$D$201,0)),"NA")</f>
        <v>21</v>
      </c>
      <c r="B9" s="45" t="s">
        <v>951</v>
      </c>
      <c r="C9" s="117" t="s">
        <v>2</v>
      </c>
      <c r="D9" s="45" t="s">
        <v>13</v>
      </c>
      <c r="E9" s="45">
        <v>2015</v>
      </c>
      <c r="F9" s="174">
        <f t="shared" si="0"/>
        <v>832</v>
      </c>
      <c r="G9" s="174">
        <v>326</v>
      </c>
      <c r="H9" s="174">
        <v>506</v>
      </c>
      <c r="I9" s="174">
        <v>0</v>
      </c>
      <c r="J9" s="174">
        <v>0</v>
      </c>
      <c r="K9" s="174">
        <v>0</v>
      </c>
      <c r="L9" s="174">
        <v>0</v>
      </c>
      <c r="M9" s="45">
        <f t="shared" si="1"/>
        <v>3.5950861394737866E-3</v>
      </c>
      <c r="N9" s="208">
        <v>832</v>
      </c>
      <c r="O9" s="45">
        <v>2033</v>
      </c>
      <c r="P9" s="45">
        <f>SUM(F229:F261)</f>
        <v>197069</v>
      </c>
      <c r="Q9" s="45">
        <f t="shared" ref="Q9:S9" si="8">SUM(G229:G261)</f>
        <v>102443</v>
      </c>
      <c r="R9" s="45">
        <f t="shared" si="8"/>
        <v>93409</v>
      </c>
      <c r="S9" s="45">
        <f t="shared" si="8"/>
        <v>1217</v>
      </c>
      <c r="T9" s="165"/>
      <c r="U9" s="166"/>
      <c r="V9" s="168"/>
      <c r="W9" s="168"/>
      <c r="X9" s="168"/>
      <c r="Y9" s="168"/>
      <c r="Z9" s="168"/>
      <c r="AA9" s="168"/>
    </row>
    <row r="10" spans="1:27" ht="15.6">
      <c r="A10" s="45">
        <f t="array" ref="A10">IFERROR(INDEX(baseline!$A$3:$A$201,MATCH($C10&amp;$D10,baseline!$C$3:$C$201&amp;baseline!$D$3:$D$201,0)),"NA")</f>
        <v>22</v>
      </c>
      <c r="B10" s="45" t="s">
        <v>951</v>
      </c>
      <c r="C10" s="117" t="s">
        <v>2</v>
      </c>
      <c r="D10" s="45" t="s">
        <v>14</v>
      </c>
      <c r="E10" s="45">
        <v>2015</v>
      </c>
      <c r="F10" s="174">
        <f t="shared" si="0"/>
        <v>10124</v>
      </c>
      <c r="G10" s="174">
        <v>1376</v>
      </c>
      <c r="H10" s="174">
        <v>8006</v>
      </c>
      <c r="I10" s="174">
        <v>742</v>
      </c>
      <c r="J10" s="174">
        <v>0</v>
      </c>
      <c r="K10" s="174">
        <v>0</v>
      </c>
      <c r="L10" s="174">
        <v>0</v>
      </c>
      <c r="M10" s="45">
        <f t="shared" si="1"/>
        <v>4.3745976052923817E-2</v>
      </c>
      <c r="N10" s="208">
        <v>8824</v>
      </c>
      <c r="O10" s="45">
        <v>2035</v>
      </c>
      <c r="P10" s="45">
        <f>SUM(F262:F294)</f>
        <v>197069</v>
      </c>
      <c r="Q10" s="45">
        <f t="shared" ref="Q10:S10" si="9">SUM(G262:G294)</f>
        <v>102443</v>
      </c>
      <c r="R10" s="45">
        <f t="shared" si="9"/>
        <v>93409</v>
      </c>
      <c r="S10" s="45">
        <f t="shared" si="9"/>
        <v>1217</v>
      </c>
      <c r="T10" s="165"/>
      <c r="U10" s="166"/>
      <c r="V10" s="167"/>
      <c r="W10" s="167"/>
      <c r="X10" s="167"/>
      <c r="Y10" s="167"/>
      <c r="Z10" s="167"/>
      <c r="AA10" s="167"/>
    </row>
    <row r="11" spans="1:27" ht="15.6">
      <c r="A11" s="45">
        <f t="array" ref="A11">IFERROR(INDEX(baseline!$A$3:$A$201,MATCH($C11&amp;$D11,baseline!$C$3:$C$201&amp;baseline!$D$3:$D$201,0)),"NA")</f>
        <v>23</v>
      </c>
      <c r="B11" s="45" t="s">
        <v>951</v>
      </c>
      <c r="C11" s="117" t="s">
        <v>2</v>
      </c>
      <c r="D11" s="45" t="s">
        <v>546</v>
      </c>
      <c r="E11" s="45">
        <v>2015</v>
      </c>
      <c r="F11" s="174">
        <f t="shared" si="0"/>
        <v>501</v>
      </c>
      <c r="G11" s="174">
        <v>0</v>
      </c>
      <c r="H11" s="174">
        <v>428</v>
      </c>
      <c r="I11" s="174">
        <v>73</v>
      </c>
      <c r="J11" s="174">
        <v>0</v>
      </c>
      <c r="K11" s="174">
        <v>0</v>
      </c>
      <c r="L11" s="174">
        <v>0</v>
      </c>
      <c r="M11" s="45">
        <f t="shared" si="1"/>
        <v>2.1648295142744798E-3</v>
      </c>
      <c r="N11" s="208">
        <v>501</v>
      </c>
      <c r="R11" s="164"/>
      <c r="S11" s="165"/>
      <c r="T11" s="165"/>
      <c r="U11" s="166"/>
      <c r="V11" s="167"/>
      <c r="W11" s="167"/>
      <c r="X11" s="167"/>
      <c r="Y11" s="167"/>
      <c r="Z11" s="167"/>
      <c r="AA11" s="167"/>
    </row>
    <row r="12" spans="1:27" ht="15.6">
      <c r="A12" s="45">
        <f t="array" ref="A12">IFERROR(INDEX(baseline!$A$3:$A$201,MATCH($C12&amp;$D12,baseline!$C$3:$C$201&amp;baseline!$D$3:$D$201,0)),"NA")</f>
        <v>1</v>
      </c>
      <c r="B12" s="45" t="s">
        <v>952</v>
      </c>
      <c r="C12" s="117" t="s">
        <v>0</v>
      </c>
      <c r="D12" s="45" t="s">
        <v>881</v>
      </c>
      <c r="E12" s="45">
        <v>2015</v>
      </c>
      <c r="F12" s="174">
        <f t="shared" si="0"/>
        <v>20067</v>
      </c>
      <c r="G12" s="174">
        <v>20067</v>
      </c>
      <c r="H12" s="174">
        <v>0</v>
      </c>
      <c r="I12" s="174">
        <v>0</v>
      </c>
      <c r="J12" s="174">
        <v>0</v>
      </c>
      <c r="K12" s="174">
        <v>0</v>
      </c>
      <c r="L12" s="174">
        <v>0</v>
      </c>
      <c r="M12" s="45">
        <f t="shared" si="1"/>
        <v>8.6709848029832295E-2</v>
      </c>
      <c r="N12" s="208">
        <v>20067</v>
      </c>
      <c r="R12" s="164"/>
      <c r="S12" s="165"/>
      <c r="T12" s="165"/>
      <c r="U12" s="166"/>
      <c r="V12" s="167"/>
      <c r="W12" s="167"/>
      <c r="X12" s="167"/>
      <c r="Y12" s="167"/>
      <c r="Z12" s="167"/>
      <c r="AA12" s="167"/>
    </row>
    <row r="13" spans="1:27" ht="15.6">
      <c r="A13" s="45" t="str">
        <f t="array" ref="A13">IFERROR(INDEX(baseline!$A$3:$A$201,MATCH($C13&amp;$D13,baseline!$C$3:$C$201&amp;baseline!$D$3:$D$201,0)),"NA")</f>
        <v>NA</v>
      </c>
      <c r="B13" s="45" t="s">
        <v>953</v>
      </c>
      <c r="C13" s="117" t="s">
        <v>712</v>
      </c>
      <c r="D13" s="45" t="s">
        <v>881</v>
      </c>
      <c r="E13" s="45">
        <v>2015</v>
      </c>
      <c r="F13" s="174">
        <f t="shared" si="0"/>
        <v>294</v>
      </c>
      <c r="G13" s="174">
        <v>0</v>
      </c>
      <c r="H13" s="174">
        <v>294</v>
      </c>
      <c r="I13" s="174">
        <v>0</v>
      </c>
      <c r="J13" s="174">
        <v>0</v>
      </c>
      <c r="K13" s="174">
        <v>0</v>
      </c>
      <c r="L13" s="174">
        <v>0</v>
      </c>
      <c r="M13" s="45">
        <f t="shared" si="1"/>
        <v>1.2703789964005929E-3</v>
      </c>
      <c r="N13" s="208">
        <v>294</v>
      </c>
      <c r="R13" s="164"/>
      <c r="S13" s="165"/>
      <c r="T13" s="165"/>
      <c r="U13" s="166"/>
      <c r="V13" s="167"/>
      <c r="W13" s="167"/>
      <c r="X13" s="167"/>
      <c r="Y13" s="167"/>
      <c r="Z13" s="167"/>
      <c r="AA13" s="167"/>
    </row>
    <row r="14" spans="1:27" ht="15.6">
      <c r="A14" s="45" t="str">
        <f t="array" ref="A14">IFERROR(INDEX(baseline!$A$3:$A$201,MATCH($C14&amp;$D14,baseline!$C$3:$C$201&amp;baseline!$D$3:$D$201,0)),"NA")</f>
        <v>NA</v>
      </c>
      <c r="B14" s="45" t="s">
        <v>953</v>
      </c>
      <c r="C14" s="117" t="s">
        <v>712</v>
      </c>
      <c r="D14" s="45" t="s">
        <v>13</v>
      </c>
      <c r="E14" s="45">
        <v>2015</v>
      </c>
      <c r="F14" s="174">
        <f t="shared" si="0"/>
        <v>101</v>
      </c>
      <c r="G14" s="174">
        <v>0</v>
      </c>
      <c r="H14" s="174">
        <v>101</v>
      </c>
      <c r="I14" s="174">
        <v>0</v>
      </c>
      <c r="J14" s="174">
        <v>0</v>
      </c>
      <c r="K14" s="174">
        <v>0</v>
      </c>
      <c r="L14" s="174">
        <v>0</v>
      </c>
      <c r="M14" s="45">
        <f t="shared" si="1"/>
        <v>4.3642271645054381E-4</v>
      </c>
      <c r="N14" s="208">
        <v>101</v>
      </c>
      <c r="R14" s="164"/>
      <c r="S14" s="165"/>
      <c r="T14" s="165"/>
      <c r="U14" s="166"/>
      <c r="V14" s="167"/>
      <c r="W14" s="167"/>
      <c r="X14" s="167"/>
      <c r="Y14" s="167"/>
      <c r="Z14" s="167"/>
      <c r="AA14" s="167"/>
    </row>
    <row r="15" spans="1:27" ht="15.6">
      <c r="A15" s="45">
        <f t="array" ref="A15">IFERROR(INDEX(baseline!$A$3:$A$201,MATCH($C15&amp;$D15,baseline!$C$3:$C$201&amp;baseline!$D$3:$D$201,0)),"NA")</f>
        <v>19</v>
      </c>
      <c r="B15" s="45" t="s">
        <v>953</v>
      </c>
      <c r="C15" s="117" t="s">
        <v>712</v>
      </c>
      <c r="D15" s="45" t="s">
        <v>14</v>
      </c>
      <c r="E15" s="45">
        <v>2015</v>
      </c>
      <c r="F15" s="174">
        <f t="shared" si="0"/>
        <v>15831</v>
      </c>
      <c r="G15" s="174">
        <v>0</v>
      </c>
      <c r="H15" s="174">
        <v>15831</v>
      </c>
      <c r="I15" s="174">
        <v>0</v>
      </c>
      <c r="J15" s="174">
        <v>0</v>
      </c>
      <c r="K15" s="174">
        <v>0</v>
      </c>
      <c r="L15" s="174">
        <v>0</v>
      </c>
      <c r="M15" s="45">
        <f t="shared" si="1"/>
        <v>6.8406020040876828E-2</v>
      </c>
      <c r="N15" s="208">
        <v>15831</v>
      </c>
      <c r="R15" s="164"/>
      <c r="S15" s="165"/>
      <c r="T15" s="165"/>
      <c r="U15" s="166"/>
      <c r="V15" s="167"/>
      <c r="W15" s="167"/>
      <c r="X15" s="167"/>
      <c r="Y15" s="167"/>
      <c r="Z15" s="167"/>
      <c r="AA15" s="167"/>
    </row>
    <row r="16" spans="1:27" ht="15.6">
      <c r="A16" s="45">
        <f t="array" ref="A16">IFERROR(INDEX(baseline!$A$3:$A$201,MATCH($C16&amp;$D16,baseline!$C$3:$C$201&amp;baseline!$D$3:$D$201,0)),"NA")</f>
        <v>13</v>
      </c>
      <c r="B16" s="45" t="s">
        <v>954</v>
      </c>
      <c r="C16" s="117" t="s">
        <v>762</v>
      </c>
      <c r="D16" s="45" t="s">
        <v>881</v>
      </c>
      <c r="E16" s="45">
        <v>2015</v>
      </c>
      <c r="F16" s="174">
        <f t="shared" si="0"/>
        <v>16513</v>
      </c>
      <c r="G16" s="174">
        <v>10502</v>
      </c>
      <c r="H16" s="174">
        <v>6011</v>
      </c>
      <c r="I16" s="174">
        <v>0</v>
      </c>
      <c r="J16" s="174">
        <v>0</v>
      </c>
      <c r="K16" s="174">
        <v>0</v>
      </c>
      <c r="L16" s="174">
        <v>0</v>
      </c>
      <c r="M16" s="45">
        <f t="shared" si="1"/>
        <v>7.135295363116663E-2</v>
      </c>
      <c r="N16" s="208">
        <v>11035</v>
      </c>
      <c r="R16" s="164"/>
      <c r="S16" s="165"/>
      <c r="T16" s="165"/>
      <c r="U16" s="166"/>
      <c r="V16" s="167"/>
      <c r="W16" s="167"/>
      <c r="X16" s="167"/>
      <c r="Y16" s="167"/>
      <c r="Z16" s="167"/>
      <c r="AA16" s="167"/>
    </row>
    <row r="17" spans="1:27" ht="15.6">
      <c r="A17" s="45">
        <f t="array" ref="A17">IFERROR(INDEX(baseline!$A$3:$A$201,MATCH($C17&amp;$D17,baseline!$C$3:$C$201&amp;baseline!$D$3:$D$201,0)),"NA")</f>
        <v>14</v>
      </c>
      <c r="B17" s="45" t="s">
        <v>954</v>
      </c>
      <c r="C17" s="117" t="s">
        <v>762</v>
      </c>
      <c r="D17" s="45" t="s">
        <v>13</v>
      </c>
      <c r="E17" s="45">
        <v>2015</v>
      </c>
      <c r="F17" s="174">
        <f t="shared" si="0"/>
        <v>3480</v>
      </c>
      <c r="G17" s="174">
        <v>0</v>
      </c>
      <c r="H17" s="174">
        <v>3480</v>
      </c>
      <c r="I17" s="174">
        <v>0</v>
      </c>
      <c r="J17" s="174">
        <v>0</v>
      </c>
      <c r="K17" s="174">
        <v>0</v>
      </c>
      <c r="L17" s="174">
        <v>0</v>
      </c>
      <c r="M17" s="45">
        <f t="shared" si="1"/>
        <v>1.5037139141068242E-2</v>
      </c>
      <c r="N17" s="208">
        <v>2220</v>
      </c>
      <c r="R17" s="164"/>
      <c r="S17" s="165"/>
      <c r="T17" s="165"/>
      <c r="U17" s="166"/>
      <c r="V17" s="168"/>
      <c r="W17" s="168"/>
      <c r="X17" s="168"/>
      <c r="Y17" s="168"/>
      <c r="Z17" s="168"/>
      <c r="AA17" s="168"/>
    </row>
    <row r="18" spans="1:27" ht="15.6">
      <c r="A18" s="45">
        <f t="array" ref="A18">IFERROR(INDEX(baseline!$A$3:$A$201,MATCH($C18&amp;$D18,baseline!$C$3:$C$201&amp;baseline!$D$3:$D$201,0)),"NA")</f>
        <v>15</v>
      </c>
      <c r="B18" s="45" t="s">
        <v>954</v>
      </c>
      <c r="C18" s="117" t="s">
        <v>762</v>
      </c>
      <c r="D18" s="45" t="s">
        <v>14</v>
      </c>
      <c r="E18" s="45">
        <v>2015</v>
      </c>
      <c r="F18" s="174">
        <f t="shared" si="0"/>
        <v>17682</v>
      </c>
      <c r="G18" s="174">
        <v>11024</v>
      </c>
      <c r="H18" s="174">
        <v>6658</v>
      </c>
      <c r="I18" s="174">
        <v>0</v>
      </c>
      <c r="J18" s="174">
        <v>0</v>
      </c>
      <c r="K18" s="174">
        <v>0</v>
      </c>
      <c r="L18" s="174">
        <v>0</v>
      </c>
      <c r="M18" s="45">
        <f t="shared" si="1"/>
        <v>7.6404222497807081E-2</v>
      </c>
      <c r="N18" s="208">
        <v>17682</v>
      </c>
      <c r="R18" s="164"/>
      <c r="S18" s="165"/>
      <c r="T18" s="165"/>
      <c r="U18" s="166"/>
      <c r="V18" s="167"/>
      <c r="W18" s="167"/>
      <c r="X18" s="167"/>
      <c r="Y18" s="167"/>
      <c r="Z18" s="167"/>
      <c r="AA18" s="167"/>
    </row>
    <row r="19" spans="1:27" ht="15.6">
      <c r="A19" s="45">
        <f t="array" ref="A19">IFERROR(INDEX(baseline!$A$3:$A$201,MATCH($C19&amp;$D19,baseline!$C$3:$C$201&amp;baseline!$D$3:$D$201,0)),"NA")</f>
        <v>16</v>
      </c>
      <c r="B19" s="45" t="s">
        <v>955</v>
      </c>
      <c r="C19" s="117" t="s">
        <v>763</v>
      </c>
      <c r="D19" s="45" t="s">
        <v>13</v>
      </c>
      <c r="E19" s="45">
        <v>2015</v>
      </c>
      <c r="F19" s="174">
        <f t="shared" si="0"/>
        <v>1148</v>
      </c>
      <c r="G19" s="174">
        <v>0</v>
      </c>
      <c r="H19" s="174">
        <v>1136</v>
      </c>
      <c r="I19" s="174">
        <v>12</v>
      </c>
      <c r="J19" s="174">
        <v>0</v>
      </c>
      <c r="K19" s="174">
        <v>0</v>
      </c>
      <c r="L19" s="174">
        <v>0</v>
      </c>
      <c r="M19" s="45">
        <f t="shared" si="1"/>
        <v>4.9605275097546961E-3</v>
      </c>
      <c r="N19" s="208">
        <v>815</v>
      </c>
      <c r="R19" s="164"/>
      <c r="S19" s="165"/>
      <c r="T19" s="165"/>
      <c r="U19" s="166"/>
      <c r="V19" s="167"/>
      <c r="W19" s="167"/>
      <c r="X19" s="167"/>
      <c r="Y19" s="167"/>
      <c r="Z19" s="167"/>
      <c r="AA19" s="167"/>
    </row>
    <row r="20" spans="1:27" ht="15.6">
      <c r="A20" s="45">
        <f t="array" ref="A20">IFERROR(INDEX(baseline!$A$3:$A$201,MATCH($C20&amp;$D20,baseline!$C$3:$C$201&amp;baseline!$D$3:$D$201,0)),"NA")</f>
        <v>17</v>
      </c>
      <c r="B20" s="45" t="s">
        <v>955</v>
      </c>
      <c r="C20" s="117" t="s">
        <v>763</v>
      </c>
      <c r="D20" s="45" t="s">
        <v>14</v>
      </c>
      <c r="E20" s="45">
        <v>2015</v>
      </c>
      <c r="F20" s="174">
        <f t="shared" si="0"/>
        <v>4356</v>
      </c>
      <c r="G20" s="174">
        <v>0</v>
      </c>
      <c r="H20" s="174">
        <v>3453</v>
      </c>
      <c r="I20" s="174">
        <v>903</v>
      </c>
      <c r="J20" s="174">
        <v>0</v>
      </c>
      <c r="K20" s="174">
        <v>0</v>
      </c>
      <c r="L20" s="174">
        <v>0</v>
      </c>
      <c r="M20" s="45">
        <f t="shared" si="1"/>
        <v>1.882235002830266E-2</v>
      </c>
      <c r="N20" s="208">
        <v>3259</v>
      </c>
      <c r="R20" s="164"/>
      <c r="S20" s="165"/>
      <c r="T20" s="165"/>
      <c r="U20" s="166"/>
      <c r="V20" s="167"/>
      <c r="W20" s="167"/>
      <c r="X20" s="167"/>
      <c r="Y20" s="167"/>
      <c r="Z20" s="167"/>
      <c r="AA20" s="167"/>
    </row>
    <row r="21" spans="1:27" ht="15.6">
      <c r="A21" s="45">
        <f t="array" ref="A21">IFERROR(INDEX(baseline!$A$3:$A$201,MATCH($C21&amp;$D21,baseline!$C$3:$C$201&amp;baseline!$D$3:$D$201,0)),"NA")</f>
        <v>18</v>
      </c>
      <c r="B21" s="45" t="s">
        <v>955</v>
      </c>
      <c r="C21" s="117" t="s">
        <v>763</v>
      </c>
      <c r="D21" s="45" t="s">
        <v>546</v>
      </c>
      <c r="E21" s="45">
        <v>2015</v>
      </c>
      <c r="F21" s="174">
        <f t="shared" si="0"/>
        <v>501</v>
      </c>
      <c r="G21" s="174">
        <v>0</v>
      </c>
      <c r="H21" s="174">
        <v>501</v>
      </c>
      <c r="I21" s="174">
        <v>0</v>
      </c>
      <c r="J21" s="174">
        <v>0</v>
      </c>
      <c r="K21" s="174">
        <v>0</v>
      </c>
      <c r="L21" s="174">
        <v>0</v>
      </c>
      <c r="M21" s="45">
        <f t="shared" si="1"/>
        <v>2.1648295142744798E-3</v>
      </c>
      <c r="N21" s="208">
        <v>501</v>
      </c>
      <c r="R21" s="164"/>
      <c r="S21" s="165"/>
      <c r="T21" s="165"/>
      <c r="U21" s="166"/>
      <c r="V21" s="167"/>
      <c r="W21" s="167"/>
      <c r="X21" s="167"/>
      <c r="Y21" s="167"/>
      <c r="Z21" s="167"/>
      <c r="AA21" s="167"/>
    </row>
    <row r="22" spans="1:27" ht="15.6">
      <c r="A22" s="45">
        <f t="array" ref="A22">IFERROR(INDEX(baseline!$A$3:$A$201,MATCH($C22&amp;$D22,baseline!$C$3:$C$201&amp;baseline!$D$3:$D$201,0)),"NA")</f>
        <v>3</v>
      </c>
      <c r="B22" s="45" t="s">
        <v>956</v>
      </c>
      <c r="C22" s="117" t="s">
        <v>545</v>
      </c>
      <c r="D22" s="45" t="s">
        <v>881</v>
      </c>
      <c r="E22" s="45">
        <v>2015</v>
      </c>
      <c r="F22" s="174">
        <f t="shared" si="0"/>
        <v>10012</v>
      </c>
      <c r="G22" s="174">
        <v>10012</v>
      </c>
      <c r="H22" s="174">
        <v>0</v>
      </c>
      <c r="I22" s="174">
        <v>0</v>
      </c>
      <c r="J22" s="174">
        <v>0</v>
      </c>
      <c r="K22" s="174">
        <v>0</v>
      </c>
      <c r="L22" s="174">
        <v>0</v>
      </c>
      <c r="M22" s="45">
        <f t="shared" si="1"/>
        <v>4.3262022149533112E-2</v>
      </c>
      <c r="N22" s="208">
        <v>0</v>
      </c>
      <c r="R22" s="164"/>
      <c r="S22" s="165"/>
      <c r="T22" s="165"/>
      <c r="U22" s="166"/>
      <c r="V22" s="167"/>
      <c r="W22" s="167"/>
      <c r="X22" s="167"/>
      <c r="Y22" s="167"/>
      <c r="Z22" s="167"/>
      <c r="AA22" s="167"/>
    </row>
    <row r="23" spans="1:27" ht="15.6">
      <c r="A23" s="45">
        <f t="array" ref="A23">IFERROR(INDEX(baseline!$A$3:$A$201,MATCH($C23&amp;$D23,baseline!$C$3:$C$201&amp;baseline!$D$3:$D$201,0)),"NA")</f>
        <v>4</v>
      </c>
      <c r="B23" s="45" t="s">
        <v>956</v>
      </c>
      <c r="C23" s="117" t="s">
        <v>545</v>
      </c>
      <c r="D23" s="45" t="s">
        <v>546</v>
      </c>
      <c r="E23" s="45">
        <v>2015</v>
      </c>
      <c r="F23" s="174">
        <f t="shared" ref="F23" si="10">SUM(G23:I23)</f>
        <v>0</v>
      </c>
      <c r="G23" s="174">
        <v>0</v>
      </c>
      <c r="H23" s="174">
        <v>0</v>
      </c>
      <c r="I23" s="174">
        <v>0</v>
      </c>
      <c r="J23" s="174">
        <v>0</v>
      </c>
      <c r="K23" s="174">
        <v>0</v>
      </c>
      <c r="L23" s="174">
        <v>0</v>
      </c>
      <c r="M23" s="45">
        <f t="shared" si="1"/>
        <v>0</v>
      </c>
      <c r="N23" s="208">
        <v>4000</v>
      </c>
      <c r="R23" s="164"/>
      <c r="S23" s="165"/>
      <c r="T23" s="165"/>
      <c r="U23" s="166"/>
      <c r="V23" s="167"/>
      <c r="W23" s="167"/>
      <c r="X23" s="167"/>
      <c r="Y23" s="167"/>
      <c r="Z23" s="167"/>
      <c r="AA23" s="167"/>
    </row>
    <row r="24" spans="1:27" ht="15.6">
      <c r="A24" s="45">
        <f t="array" ref="A24">IFERROR(INDEX(baseline!$A$3:$A$201,MATCH($C24&amp;$D24,baseline!$C$3:$C$201&amp;baseline!$D$3:$D$201,0)),"NA")</f>
        <v>27</v>
      </c>
      <c r="B24" s="45" t="s">
        <v>957</v>
      </c>
      <c r="C24" s="117" t="s">
        <v>1</v>
      </c>
      <c r="D24" s="45" t="s">
        <v>881</v>
      </c>
      <c r="E24" s="45">
        <v>2015</v>
      </c>
      <c r="F24" s="174">
        <f t="shared" si="0"/>
        <v>5221</v>
      </c>
      <c r="G24" s="174">
        <v>3443</v>
      </c>
      <c r="H24" s="174">
        <v>1778</v>
      </c>
      <c r="I24" s="174">
        <v>0</v>
      </c>
      <c r="J24" s="174">
        <v>0</v>
      </c>
      <c r="K24" s="174">
        <v>0</v>
      </c>
      <c r="L24" s="174">
        <v>0</v>
      </c>
      <c r="M24" s="45">
        <f t="shared" si="1"/>
        <v>2.2560029728596921E-2</v>
      </c>
      <c r="N24" s="208">
        <v>1778</v>
      </c>
      <c r="R24" s="164"/>
      <c r="S24" s="165"/>
      <c r="T24" s="165"/>
      <c r="U24" s="166"/>
      <c r="V24" s="167"/>
      <c r="W24" s="167"/>
      <c r="X24" s="167"/>
      <c r="Y24" s="167"/>
      <c r="Z24" s="167"/>
      <c r="AA24" s="167"/>
    </row>
    <row r="25" spans="1:27" ht="15.6">
      <c r="A25" s="45">
        <f t="array" ref="A25">IFERROR(INDEX(baseline!$A$3:$A$201,MATCH($C25&amp;$D25,baseline!$C$3:$C$201&amp;baseline!$D$3:$D$201,0)),"NA")</f>
        <v>28</v>
      </c>
      <c r="B25" s="45" t="s">
        <v>957</v>
      </c>
      <c r="C25" s="117" t="s">
        <v>1</v>
      </c>
      <c r="D25" s="45" t="s">
        <v>14</v>
      </c>
      <c r="E25" s="45">
        <v>2015</v>
      </c>
      <c r="F25" s="174">
        <f t="shared" si="0"/>
        <v>11811</v>
      </c>
      <c r="G25" s="174">
        <v>0</v>
      </c>
      <c r="H25" s="174">
        <v>11811</v>
      </c>
      <c r="I25" s="174">
        <v>0</v>
      </c>
      <c r="J25" s="174">
        <v>0</v>
      </c>
      <c r="K25" s="174">
        <v>0</v>
      </c>
      <c r="L25" s="174">
        <v>0</v>
      </c>
      <c r="M25" s="45">
        <f t="shared" si="1"/>
        <v>5.1035531722746268E-2</v>
      </c>
      <c r="N25" s="208">
        <v>11711</v>
      </c>
      <c r="R25" s="164"/>
      <c r="S25" s="165"/>
      <c r="T25" s="165"/>
      <c r="U25" s="166"/>
      <c r="V25" s="167"/>
      <c r="W25" s="167"/>
      <c r="X25" s="167"/>
      <c r="Y25" s="167"/>
      <c r="Z25" s="167"/>
      <c r="AA25" s="167"/>
    </row>
    <row r="26" spans="1:27" ht="15.6">
      <c r="A26" s="45">
        <f t="array" ref="A26">IFERROR(INDEX(baseline!$A$3:$A$201,MATCH($C26&amp;$D26,baseline!$C$3:$C$201&amp;baseline!$D$3:$D$201,0)),"NA")</f>
        <v>8</v>
      </c>
      <c r="B26" s="45" t="s">
        <v>958</v>
      </c>
      <c r="C26" s="117" t="s">
        <v>697</v>
      </c>
      <c r="D26" s="45" t="s">
        <v>881</v>
      </c>
      <c r="E26" s="45">
        <v>2015</v>
      </c>
      <c r="F26" s="174">
        <f t="shared" si="0"/>
        <v>3983</v>
      </c>
      <c r="G26" s="174">
        <v>1504</v>
      </c>
      <c r="H26" s="174">
        <v>2479</v>
      </c>
      <c r="I26" s="174">
        <v>0</v>
      </c>
      <c r="J26" s="174">
        <v>0</v>
      </c>
      <c r="K26" s="174">
        <v>0</v>
      </c>
      <c r="L26" s="174">
        <v>0</v>
      </c>
      <c r="M26" s="45">
        <f t="shared" si="1"/>
        <v>1.7210610689331843E-2</v>
      </c>
      <c r="N26" s="208">
        <v>1504</v>
      </c>
      <c r="R26" s="164"/>
      <c r="S26" s="165"/>
      <c r="T26" s="165"/>
      <c r="U26" s="166"/>
      <c r="V26" s="168"/>
      <c r="W26" s="168"/>
      <c r="X26" s="168"/>
      <c r="Y26" s="168"/>
      <c r="Z26" s="168"/>
      <c r="AA26" s="168"/>
    </row>
    <row r="27" spans="1:27" ht="15.6">
      <c r="A27" s="45">
        <f t="array" ref="A27">IFERROR(INDEX(baseline!$A$3:$A$201,MATCH($C27&amp;$D27,baseline!$C$3:$C$201&amp;baseline!$D$3:$D$201,0)),"NA")</f>
        <v>9</v>
      </c>
      <c r="B27" s="45" t="s">
        <v>958</v>
      </c>
      <c r="C27" s="117" t="s">
        <v>697</v>
      </c>
      <c r="D27" s="45" t="s">
        <v>14</v>
      </c>
      <c r="E27" s="45">
        <v>2015</v>
      </c>
      <c r="F27" s="174">
        <f t="shared" si="0"/>
        <v>10986</v>
      </c>
      <c r="G27" s="174">
        <v>7670</v>
      </c>
      <c r="H27" s="174">
        <v>3316</v>
      </c>
      <c r="I27" s="174">
        <v>0</v>
      </c>
      <c r="J27" s="174">
        <v>0</v>
      </c>
      <c r="K27" s="174">
        <v>0</v>
      </c>
      <c r="L27" s="174">
        <v>0</v>
      </c>
      <c r="M27" s="45">
        <f t="shared" si="1"/>
        <v>4.7470692702234397E-2</v>
      </c>
      <c r="N27" s="208">
        <v>10986</v>
      </c>
      <c r="R27" s="164"/>
      <c r="S27" s="165"/>
      <c r="T27" s="165"/>
      <c r="U27" s="166"/>
      <c r="V27" s="167"/>
      <c r="W27" s="167"/>
      <c r="X27" s="167"/>
      <c r="Y27" s="167"/>
      <c r="Z27" s="167"/>
      <c r="AA27" s="167"/>
    </row>
    <row r="28" spans="1:27" ht="15.6">
      <c r="A28" s="45">
        <f t="array" ref="A28">IFERROR(INDEX(baseline!$A$3:$A$201,MATCH($C28&amp;$D28,baseline!$C$3:$C$201&amp;baseline!$D$3:$D$201,0)),"NA")</f>
        <v>10</v>
      </c>
      <c r="B28" s="45" t="s">
        <v>959</v>
      </c>
      <c r="C28" s="117" t="s">
        <v>713</v>
      </c>
      <c r="D28" s="45" t="s">
        <v>881</v>
      </c>
      <c r="E28" s="45">
        <v>2015</v>
      </c>
      <c r="F28" s="174">
        <f t="shared" si="0"/>
        <v>1564</v>
      </c>
      <c r="G28" s="174">
        <v>805</v>
      </c>
      <c r="H28" s="174">
        <v>759</v>
      </c>
      <c r="I28" s="174">
        <v>0</v>
      </c>
      <c r="J28" s="174">
        <v>0</v>
      </c>
      <c r="K28" s="174">
        <v>0</v>
      </c>
      <c r="L28" s="174">
        <v>0</v>
      </c>
      <c r="M28" s="45">
        <f t="shared" si="1"/>
        <v>6.758070579491589E-3</v>
      </c>
      <c r="N28" s="208">
        <v>1127</v>
      </c>
      <c r="R28" s="164"/>
      <c r="S28" s="165"/>
      <c r="T28" s="165"/>
      <c r="U28" s="166"/>
      <c r="V28" s="167"/>
      <c r="W28" s="167"/>
      <c r="X28" s="167"/>
      <c r="Y28" s="167"/>
      <c r="Z28" s="167"/>
      <c r="AA28" s="167"/>
    </row>
    <row r="29" spans="1:27" ht="15.6">
      <c r="A29" s="45">
        <f t="array" ref="A29">IFERROR(INDEX(baseline!$A$3:$A$201,MATCH($C29&amp;$D29,baseline!$C$3:$C$201&amp;baseline!$D$3:$D$201,0)),"NA")</f>
        <v>11</v>
      </c>
      <c r="B29" s="45" t="s">
        <v>959</v>
      </c>
      <c r="C29" s="117" t="s">
        <v>713</v>
      </c>
      <c r="D29" s="45" t="s">
        <v>13</v>
      </c>
      <c r="E29" s="45">
        <v>2015</v>
      </c>
      <c r="F29" s="174">
        <f t="shared" si="0"/>
        <v>724</v>
      </c>
      <c r="G29" s="174">
        <v>0</v>
      </c>
      <c r="H29" s="174">
        <v>724</v>
      </c>
      <c r="I29" s="174">
        <v>0</v>
      </c>
      <c r="J29" s="174">
        <v>0</v>
      </c>
      <c r="K29" s="174">
        <v>0</v>
      </c>
      <c r="L29" s="174">
        <v>0</v>
      </c>
      <c r="M29" s="45">
        <f t="shared" si="1"/>
        <v>3.128416304061324E-3</v>
      </c>
      <c r="N29" s="208">
        <v>724</v>
      </c>
      <c r="R29" s="164"/>
      <c r="S29" s="165"/>
      <c r="T29" s="165"/>
      <c r="U29" s="166"/>
      <c r="V29" s="167"/>
      <c r="W29" s="167"/>
      <c r="X29" s="167"/>
      <c r="Y29" s="167"/>
      <c r="Z29" s="167"/>
      <c r="AA29" s="167"/>
    </row>
    <row r="30" spans="1:27" ht="15.6">
      <c r="A30" s="45">
        <f t="array" ref="A30">IFERROR(INDEX(baseline!$A$3:$A$201,MATCH($C30&amp;$D30,baseline!$C$3:$C$201&amp;baseline!$D$3:$D$201,0)),"NA")</f>
        <v>12</v>
      </c>
      <c r="B30" s="45" t="s">
        <v>959</v>
      </c>
      <c r="C30" s="117" t="s">
        <v>713</v>
      </c>
      <c r="D30" s="45" t="s">
        <v>14</v>
      </c>
      <c r="E30" s="45">
        <v>2015</v>
      </c>
      <c r="F30" s="174">
        <f t="shared" si="0"/>
        <v>4869</v>
      </c>
      <c r="G30" s="174">
        <v>1050</v>
      </c>
      <c r="H30" s="174">
        <v>3819</v>
      </c>
      <c r="I30" s="174">
        <v>0</v>
      </c>
      <c r="J30" s="174">
        <v>0</v>
      </c>
      <c r="K30" s="174">
        <v>0</v>
      </c>
      <c r="L30" s="174">
        <v>0</v>
      </c>
      <c r="M30" s="45">
        <f t="shared" si="1"/>
        <v>2.1039031746511859E-2</v>
      </c>
      <c r="N30" s="208">
        <v>4736</v>
      </c>
      <c r="R30" s="164"/>
      <c r="S30" s="165"/>
      <c r="T30" s="165"/>
      <c r="U30" s="166"/>
      <c r="V30" s="167"/>
      <c r="W30" s="167"/>
      <c r="X30" s="167"/>
      <c r="Y30" s="167"/>
      <c r="Z30" s="167"/>
      <c r="AA30" s="167"/>
    </row>
    <row r="31" spans="1:27" ht="15.6">
      <c r="A31" s="45">
        <f t="array" ref="A31">IFERROR(INDEX(baseline!$A$3:$A$201,MATCH($C31&amp;$D31,baseline!$C$3:$C$201&amp;baseline!$D$3:$D$201,0)),"NA")</f>
        <v>2</v>
      </c>
      <c r="B31" s="45" t="s">
        <v>960</v>
      </c>
      <c r="C31" s="117" t="s">
        <v>78</v>
      </c>
      <c r="D31" s="45" t="s">
        <v>881</v>
      </c>
      <c r="E31" s="45">
        <v>2015</v>
      </c>
      <c r="F31" s="174">
        <f t="shared" si="0"/>
        <v>1289</v>
      </c>
      <c r="G31" s="174">
        <v>1289</v>
      </c>
      <c r="H31" s="174">
        <v>0</v>
      </c>
      <c r="I31" s="174">
        <v>0</v>
      </c>
      <c r="J31" s="174">
        <v>0</v>
      </c>
      <c r="K31" s="174">
        <v>0</v>
      </c>
      <c r="L31" s="174">
        <v>0</v>
      </c>
      <c r="M31" s="45">
        <f t="shared" si="1"/>
        <v>5.5697909059876328E-3</v>
      </c>
      <c r="N31" s="208">
        <v>0</v>
      </c>
      <c r="R31" s="164"/>
      <c r="S31" s="165"/>
      <c r="T31" s="165"/>
      <c r="U31" s="166"/>
      <c r="V31" s="167"/>
      <c r="W31" s="167"/>
      <c r="X31" s="167"/>
      <c r="Y31" s="167"/>
      <c r="Z31" s="167"/>
      <c r="AA31" s="167"/>
    </row>
    <row r="32" spans="1:27" ht="15.6">
      <c r="A32" s="45">
        <f t="array" ref="A32">IFERROR(INDEX(baseline!$A$3:$A$201,MATCH($C32&amp;$D32,baseline!$C$3:$C$201&amp;baseline!$D$3:$D$201,0)),"NA")</f>
        <v>5</v>
      </c>
      <c r="B32" s="45" t="s">
        <v>949</v>
      </c>
      <c r="C32" s="117" t="s">
        <v>761</v>
      </c>
      <c r="D32" s="45" t="s">
        <v>881</v>
      </c>
      <c r="E32" s="45">
        <v>2018</v>
      </c>
      <c r="F32" s="174">
        <f t="shared" si="0"/>
        <v>56669</v>
      </c>
      <c r="G32" s="174">
        <v>56669</v>
      </c>
      <c r="H32" s="174">
        <v>0</v>
      </c>
      <c r="I32" s="174">
        <v>0</v>
      </c>
      <c r="J32" s="174">
        <v>0</v>
      </c>
      <c r="K32" s="174">
        <v>0</v>
      </c>
      <c r="L32" s="174">
        <v>0</v>
      </c>
      <c r="M32" s="45">
        <f t="shared" si="1"/>
        <v>0.24428083092295555</v>
      </c>
      <c r="Q32" s="164"/>
      <c r="R32" s="165"/>
      <c r="S32" s="165"/>
      <c r="T32" s="166"/>
      <c r="U32" s="167"/>
      <c r="V32" s="167"/>
      <c r="W32" s="167"/>
      <c r="X32" s="167"/>
      <c r="Y32" s="167"/>
      <c r="Z32" s="167"/>
    </row>
    <row r="33" spans="1:27" ht="15.6">
      <c r="A33" s="45">
        <f t="array" ref="A33">IFERROR(INDEX(baseline!$A$3:$A$201,MATCH($C33&amp;$D33,baseline!$C$3:$C$201&amp;baseline!$D$3:$D$201,0)),"NA")</f>
        <v>6</v>
      </c>
      <c r="B33" s="45" t="s">
        <v>949</v>
      </c>
      <c r="C33" s="117" t="s">
        <v>761</v>
      </c>
      <c r="D33" s="45" t="s">
        <v>13</v>
      </c>
      <c r="E33" s="45">
        <v>2018</v>
      </c>
      <c r="F33" s="174">
        <f t="shared" ref="F33:F63" si="11">SUM(G33:I33)</f>
        <v>6231</v>
      </c>
      <c r="G33" s="174">
        <v>0</v>
      </c>
      <c r="H33" s="174">
        <v>6231</v>
      </c>
      <c r="I33" s="174">
        <v>0</v>
      </c>
      <c r="J33" s="174">
        <v>0</v>
      </c>
      <c r="K33" s="174">
        <v>0</v>
      </c>
      <c r="L33" s="174">
        <v>0</v>
      </c>
      <c r="M33" s="45">
        <f t="shared" si="1"/>
        <v>2.6859726790325153E-2</v>
      </c>
      <c r="R33" s="164"/>
      <c r="S33" s="165"/>
      <c r="T33" s="165"/>
      <c r="U33" s="166"/>
      <c r="V33" s="167"/>
      <c r="W33" s="167"/>
      <c r="X33" s="167"/>
      <c r="Y33" s="167"/>
      <c r="Z33" s="167"/>
      <c r="AA33" s="167"/>
    </row>
    <row r="34" spans="1:27" ht="15.6">
      <c r="A34" s="45">
        <f t="array" ref="A34">IFERROR(INDEX(baseline!$A$3:$A$201,MATCH($C34&amp;$D34,baseline!$C$3:$C$201&amp;baseline!$D$3:$D$201,0)),"NA")</f>
        <v>7</v>
      </c>
      <c r="B34" s="45" t="s">
        <v>949</v>
      </c>
      <c r="C34" s="117" t="s">
        <v>761</v>
      </c>
      <c r="D34" s="45" t="s">
        <v>14</v>
      </c>
      <c r="E34" s="45">
        <v>2018</v>
      </c>
      <c r="F34" s="174">
        <f t="shared" si="11"/>
        <v>6551</v>
      </c>
      <c r="G34" s="174">
        <v>0</v>
      </c>
      <c r="H34" s="174">
        <v>6551</v>
      </c>
      <c r="I34" s="174">
        <v>0</v>
      </c>
      <c r="J34" s="174">
        <v>0</v>
      </c>
      <c r="K34" s="174">
        <v>0</v>
      </c>
      <c r="L34" s="174">
        <v>0</v>
      </c>
      <c r="M34" s="45">
        <f t="shared" si="1"/>
        <v>2.8239138212713864E-2</v>
      </c>
      <c r="R34" s="164"/>
      <c r="S34" s="165"/>
      <c r="T34" s="165"/>
      <c r="U34" s="166"/>
      <c r="V34" s="168"/>
      <c r="W34" s="168"/>
      <c r="X34" s="168"/>
      <c r="Y34" s="168"/>
      <c r="Z34" s="168"/>
      <c r="AA34" s="168"/>
    </row>
    <row r="35" spans="1:27" ht="15.6">
      <c r="A35" s="45">
        <f t="array" ref="A35">IFERROR(INDEX(baseline!$A$3:$A$201,MATCH($C35&amp;$D35,baseline!$C$3:$C$201&amp;baseline!$D$3:$D$201,0)),"NA")</f>
        <v>29</v>
      </c>
      <c r="B35" s="45" t="s">
        <v>949</v>
      </c>
      <c r="C35" s="117" t="s">
        <v>761</v>
      </c>
      <c r="D35" s="45" t="s">
        <v>546</v>
      </c>
      <c r="E35" s="45">
        <v>2018</v>
      </c>
      <c r="F35" s="174">
        <f t="shared" si="11"/>
        <v>6000</v>
      </c>
      <c r="G35" s="174">
        <v>6000</v>
      </c>
      <c r="H35" s="174">
        <v>0</v>
      </c>
      <c r="I35" s="174">
        <v>0</v>
      </c>
      <c r="J35" s="174">
        <v>0</v>
      </c>
      <c r="K35" s="174">
        <v>0</v>
      </c>
      <c r="L35" s="174"/>
      <c r="M35" s="45">
        <f t="shared" si="1"/>
        <v>2.5863964169788305E-2</v>
      </c>
      <c r="R35" s="164"/>
      <c r="S35" s="165"/>
      <c r="T35" s="165"/>
      <c r="U35" s="166"/>
      <c r="V35" s="168"/>
      <c r="W35" s="168"/>
      <c r="X35" s="168"/>
      <c r="Y35" s="168"/>
      <c r="Z35" s="168"/>
      <c r="AA35" s="168"/>
    </row>
    <row r="36" spans="1:27" ht="15.6">
      <c r="A36" s="45">
        <f t="array" ref="A36">IFERROR(INDEX(baseline!$A$3:$A$201,MATCH($C36&amp;$D36,baseline!$C$3:$C$201&amp;baseline!$D$3:$D$201,0)),"NA")</f>
        <v>24</v>
      </c>
      <c r="B36" s="45" t="s">
        <v>950</v>
      </c>
      <c r="C36" s="117" t="s">
        <v>547</v>
      </c>
      <c r="D36" s="45" t="s">
        <v>881</v>
      </c>
      <c r="E36" s="45">
        <v>2018</v>
      </c>
      <c r="F36" s="174">
        <f t="shared" si="11"/>
        <v>6832</v>
      </c>
      <c r="G36" s="174">
        <v>3118</v>
      </c>
      <c r="H36" s="174">
        <v>3714</v>
      </c>
      <c r="I36" s="174">
        <v>0</v>
      </c>
      <c r="J36" s="174">
        <v>0</v>
      </c>
      <c r="K36" s="174">
        <v>0</v>
      </c>
      <c r="L36" s="174">
        <v>0</v>
      </c>
      <c r="M36" s="45">
        <f t="shared" si="1"/>
        <v>2.9450433867998949E-2</v>
      </c>
      <c r="R36" s="164"/>
      <c r="S36" s="165"/>
      <c r="T36" s="165"/>
      <c r="U36" s="166"/>
      <c r="V36" s="167"/>
      <c r="W36" s="167"/>
      <c r="X36" s="167"/>
      <c r="Y36" s="167"/>
      <c r="Z36" s="167"/>
      <c r="AA36" s="167"/>
    </row>
    <row r="37" spans="1:27" ht="15.6">
      <c r="A37" s="45">
        <f t="array" ref="A37">IFERROR(INDEX(baseline!$A$3:$A$201,MATCH($C37&amp;$D37,baseline!$C$3:$C$201&amp;baseline!$D$3:$D$201,0)),"NA")</f>
        <v>25</v>
      </c>
      <c r="B37" s="45" t="s">
        <v>950</v>
      </c>
      <c r="C37" s="117" t="s">
        <v>547</v>
      </c>
      <c r="D37" s="45" t="s">
        <v>14</v>
      </c>
      <c r="E37" s="45">
        <v>2018</v>
      </c>
      <c r="F37" s="174">
        <f t="shared" si="11"/>
        <v>4831</v>
      </c>
      <c r="G37" s="174">
        <v>4831</v>
      </c>
      <c r="H37" s="174">
        <v>0</v>
      </c>
      <c r="I37" s="174">
        <v>0</v>
      </c>
      <c r="J37" s="174">
        <v>0</v>
      </c>
      <c r="K37" s="174">
        <v>0</v>
      </c>
      <c r="L37" s="174">
        <v>0</v>
      </c>
      <c r="M37" s="45">
        <f t="shared" si="1"/>
        <v>2.082480181737455E-2</v>
      </c>
      <c r="R37" s="164"/>
      <c r="S37" s="165"/>
      <c r="T37" s="165"/>
      <c r="U37" s="166"/>
      <c r="V37" s="167"/>
      <c r="W37" s="167"/>
      <c r="X37" s="167"/>
      <c r="Y37" s="167"/>
      <c r="Z37" s="167"/>
      <c r="AA37" s="167"/>
    </row>
    <row r="38" spans="1:27" ht="15.6">
      <c r="A38" s="45">
        <f t="array" ref="A38">IFERROR(INDEX(baseline!$A$3:$A$201,MATCH($C38&amp;$D38,baseline!$C$3:$C$201&amp;baseline!$D$3:$D$201,0)),"NA")</f>
        <v>26</v>
      </c>
      <c r="B38" s="45" t="s">
        <v>950</v>
      </c>
      <c r="C38" s="117" t="s">
        <v>547</v>
      </c>
      <c r="D38" s="45" t="s">
        <v>546</v>
      </c>
      <c r="E38" s="45">
        <v>2018</v>
      </c>
      <c r="F38" s="174">
        <f t="shared" si="11"/>
        <v>1869</v>
      </c>
      <c r="G38" s="174">
        <v>0</v>
      </c>
      <c r="H38" s="174">
        <v>1869</v>
      </c>
      <c r="I38" s="174">
        <v>0</v>
      </c>
      <c r="J38" s="174">
        <v>0</v>
      </c>
      <c r="K38" s="174">
        <v>0</v>
      </c>
      <c r="L38" s="174">
        <v>0</v>
      </c>
      <c r="M38" s="45">
        <f t="shared" si="1"/>
        <v>8.0566248388890573E-3</v>
      </c>
      <c r="R38" s="164"/>
      <c r="S38" s="165"/>
      <c r="T38" s="165"/>
      <c r="U38" s="166"/>
      <c r="V38" s="167"/>
      <c r="W38" s="167"/>
      <c r="X38" s="167"/>
      <c r="Y38" s="167"/>
      <c r="Z38" s="167"/>
      <c r="AA38" s="167"/>
    </row>
    <row r="39" spans="1:27" ht="15.6">
      <c r="A39" s="45">
        <f t="array" ref="A39">IFERROR(INDEX(baseline!$A$3:$A$201,MATCH($C39&amp;$D39,baseline!$C$3:$C$201&amp;baseline!$D$3:$D$201,0)),"NA")</f>
        <v>20</v>
      </c>
      <c r="B39" s="45" t="s">
        <v>951</v>
      </c>
      <c r="C39" s="117" t="s">
        <v>2</v>
      </c>
      <c r="D39" s="45" t="s">
        <v>881</v>
      </c>
      <c r="E39" s="45">
        <v>2018</v>
      </c>
      <c r="F39" s="174">
        <f t="shared" si="11"/>
        <v>330</v>
      </c>
      <c r="G39" s="174">
        <v>249</v>
      </c>
      <c r="H39" s="174">
        <v>81</v>
      </c>
      <c r="I39" s="174">
        <v>0</v>
      </c>
      <c r="J39" s="174">
        <v>0</v>
      </c>
      <c r="K39" s="174">
        <v>0</v>
      </c>
      <c r="L39" s="174">
        <v>0</v>
      </c>
      <c r="M39" s="45">
        <f t="shared" si="1"/>
        <v>1.4225180293383566E-3</v>
      </c>
      <c r="R39" s="164"/>
      <c r="S39" s="165"/>
      <c r="T39" s="165"/>
      <c r="U39" s="166"/>
      <c r="V39" s="168"/>
      <c r="W39" s="168"/>
      <c r="X39" s="168"/>
      <c r="Y39" s="168"/>
      <c r="Z39" s="168"/>
      <c r="AA39" s="168"/>
    </row>
    <row r="40" spans="1:27" ht="15.6">
      <c r="A40" s="45">
        <f t="array" ref="A40">IFERROR(INDEX(baseline!$A$3:$A$201,MATCH($C40&amp;$D40,baseline!$C$3:$C$201&amp;baseline!$D$3:$D$201,0)),"NA")</f>
        <v>21</v>
      </c>
      <c r="B40" s="45" t="s">
        <v>951</v>
      </c>
      <c r="C40" s="117" t="s">
        <v>2</v>
      </c>
      <c r="D40" s="45" t="s">
        <v>13</v>
      </c>
      <c r="E40" s="45">
        <v>2018</v>
      </c>
      <c r="F40" s="174">
        <f t="shared" si="11"/>
        <v>832</v>
      </c>
      <c r="G40" s="174">
        <v>326</v>
      </c>
      <c r="H40" s="174">
        <v>506</v>
      </c>
      <c r="I40" s="174">
        <v>0</v>
      </c>
      <c r="J40" s="174">
        <v>0</v>
      </c>
      <c r="K40" s="174">
        <v>0</v>
      </c>
      <c r="L40" s="174">
        <v>0</v>
      </c>
      <c r="M40" s="45">
        <f t="shared" si="1"/>
        <v>3.5864696982106448E-3</v>
      </c>
      <c r="R40" s="164"/>
      <c r="S40" s="165"/>
      <c r="T40" s="165"/>
      <c r="U40" s="166"/>
      <c r="V40" s="167"/>
      <c r="W40" s="167"/>
      <c r="X40" s="167"/>
      <c r="Y40" s="167"/>
      <c r="Z40" s="167"/>
      <c r="AA40" s="167"/>
    </row>
    <row r="41" spans="1:27" ht="15.6">
      <c r="A41" s="45">
        <f t="array" ref="A41">IFERROR(INDEX(baseline!$A$3:$A$201,MATCH($C41&amp;$D41,baseline!$C$3:$C$201&amp;baseline!$D$3:$D$201,0)),"NA")</f>
        <v>22</v>
      </c>
      <c r="B41" s="45" t="s">
        <v>951</v>
      </c>
      <c r="C41" s="117" t="s">
        <v>2</v>
      </c>
      <c r="D41" s="45" t="s">
        <v>14</v>
      </c>
      <c r="E41" s="45">
        <v>2018</v>
      </c>
      <c r="F41" s="174">
        <f t="shared" si="11"/>
        <v>10125</v>
      </c>
      <c r="G41" s="174">
        <v>1377</v>
      </c>
      <c r="H41" s="174">
        <v>8006</v>
      </c>
      <c r="I41" s="174">
        <v>742</v>
      </c>
      <c r="J41" s="174">
        <v>0</v>
      </c>
      <c r="K41" s="174">
        <v>0</v>
      </c>
      <c r="L41" s="174">
        <v>0</v>
      </c>
      <c r="M41" s="45">
        <f t="shared" si="1"/>
        <v>4.3645439536517762E-2</v>
      </c>
      <c r="R41" s="164"/>
      <c r="S41" s="165"/>
      <c r="T41" s="165"/>
      <c r="U41" s="166"/>
      <c r="V41" s="167"/>
      <c r="W41" s="167"/>
      <c r="X41" s="167"/>
      <c r="Y41" s="167"/>
      <c r="Z41" s="167"/>
      <c r="AA41" s="167"/>
    </row>
    <row r="42" spans="1:27" ht="15.6">
      <c r="A42" s="45">
        <f t="array" ref="A42">IFERROR(INDEX(baseline!$A$3:$A$201,MATCH($C42&amp;$D42,baseline!$C$3:$C$201&amp;baseline!$D$3:$D$201,0)),"NA")</f>
        <v>23</v>
      </c>
      <c r="B42" s="45" t="s">
        <v>951</v>
      </c>
      <c r="C42" s="117" t="s">
        <v>2</v>
      </c>
      <c r="D42" s="45" t="s">
        <v>546</v>
      </c>
      <c r="E42" s="45">
        <v>2018</v>
      </c>
      <c r="F42" s="174">
        <f t="shared" si="11"/>
        <v>501</v>
      </c>
      <c r="G42" s="174">
        <v>0</v>
      </c>
      <c r="H42" s="174">
        <v>428</v>
      </c>
      <c r="I42" s="174">
        <v>73</v>
      </c>
      <c r="J42" s="174">
        <v>0</v>
      </c>
      <c r="K42" s="174">
        <v>0</v>
      </c>
      <c r="L42" s="174">
        <v>0</v>
      </c>
      <c r="M42" s="45">
        <f t="shared" si="1"/>
        <v>2.1596410081773233E-3</v>
      </c>
      <c r="R42" s="164"/>
      <c r="S42" s="165"/>
      <c r="T42" s="165"/>
      <c r="U42" s="166"/>
      <c r="V42" s="167"/>
      <c r="W42" s="167"/>
      <c r="X42" s="167"/>
      <c r="Y42" s="167"/>
      <c r="Z42" s="167"/>
      <c r="AA42" s="167"/>
    </row>
    <row r="43" spans="1:27" ht="15.6">
      <c r="A43" s="45">
        <f t="array" ref="A43">IFERROR(INDEX(baseline!$A$3:$A$201,MATCH($C43&amp;$D43,baseline!$C$3:$C$201&amp;baseline!$D$3:$D$201,0)),"NA")</f>
        <v>1</v>
      </c>
      <c r="B43" s="45" t="s">
        <v>952</v>
      </c>
      <c r="C43" s="117" t="s">
        <v>0</v>
      </c>
      <c r="D43" s="45" t="s">
        <v>881</v>
      </c>
      <c r="E43" s="45">
        <v>2018</v>
      </c>
      <c r="F43" s="174">
        <f t="shared" si="11"/>
        <v>20067</v>
      </c>
      <c r="G43" s="174">
        <v>20067</v>
      </c>
      <c r="H43" s="174">
        <v>0</v>
      </c>
      <c r="I43" s="174">
        <v>0</v>
      </c>
      <c r="J43" s="174">
        <v>0</v>
      </c>
      <c r="K43" s="174">
        <v>0</v>
      </c>
      <c r="L43" s="174">
        <v>0</v>
      </c>
      <c r="M43" s="45">
        <f t="shared" si="1"/>
        <v>8.6502028165856976E-2</v>
      </c>
      <c r="R43" s="164"/>
      <c r="S43" s="165"/>
      <c r="T43" s="165"/>
      <c r="U43" s="166"/>
      <c r="V43" s="168"/>
      <c r="W43" s="168"/>
      <c r="X43" s="168"/>
      <c r="Y43" s="168"/>
      <c r="Z43" s="168"/>
      <c r="AA43" s="168"/>
    </row>
    <row r="44" spans="1:27" ht="15.6">
      <c r="B44" s="45" t="s">
        <v>952</v>
      </c>
      <c r="C44" s="117" t="s">
        <v>0</v>
      </c>
      <c r="D44" s="45" t="s">
        <v>546</v>
      </c>
      <c r="E44" s="45">
        <v>2018</v>
      </c>
      <c r="F44" s="174">
        <f t="shared" si="11"/>
        <v>5000</v>
      </c>
      <c r="G44" s="174">
        <v>0</v>
      </c>
      <c r="H44" s="174">
        <v>5000</v>
      </c>
      <c r="I44" s="174">
        <v>0</v>
      </c>
      <c r="J44" s="174">
        <v>0</v>
      </c>
      <c r="K44" s="174">
        <v>0</v>
      </c>
      <c r="L44" s="174">
        <v>0</v>
      </c>
      <c r="M44" s="45">
        <f t="shared" si="1"/>
        <v>2.1553303474823586E-2</v>
      </c>
      <c r="R44" s="164"/>
      <c r="S44" s="165"/>
      <c r="T44" s="165"/>
      <c r="U44" s="166"/>
      <c r="V44" s="168"/>
      <c r="W44" s="168"/>
      <c r="X44" s="168"/>
      <c r="Y44" s="168"/>
      <c r="Z44" s="168"/>
      <c r="AA44" s="168"/>
    </row>
    <row r="45" spans="1:27" ht="15.6">
      <c r="A45" s="45" t="str">
        <f t="array" ref="A45">IFERROR(INDEX(baseline!$A$3:$A$201,MATCH($C45&amp;$D45,baseline!$C$3:$C$201&amp;baseline!$D$3:$D$201,0)),"NA")</f>
        <v>NA</v>
      </c>
      <c r="B45" s="45" t="s">
        <v>953</v>
      </c>
      <c r="C45" s="117" t="s">
        <v>712</v>
      </c>
      <c r="D45" s="45" t="s">
        <v>881</v>
      </c>
      <c r="E45" s="45">
        <v>2018</v>
      </c>
      <c r="F45" s="174">
        <f t="shared" si="11"/>
        <v>294</v>
      </c>
      <c r="G45" s="174">
        <v>0</v>
      </c>
      <c r="H45" s="174">
        <v>294</v>
      </c>
      <c r="I45" s="174">
        <v>0</v>
      </c>
      <c r="J45" s="174">
        <v>0</v>
      </c>
      <c r="K45" s="174">
        <v>0</v>
      </c>
      <c r="L45" s="174">
        <v>0</v>
      </c>
      <c r="M45" s="45">
        <f t="shared" si="1"/>
        <v>1.2673342443196268E-3</v>
      </c>
      <c r="R45" s="164"/>
      <c r="S45" s="165"/>
      <c r="T45" s="165"/>
      <c r="U45" s="166"/>
      <c r="V45" s="167"/>
      <c r="W45" s="167"/>
      <c r="X45" s="167"/>
      <c r="Y45" s="167"/>
      <c r="Z45" s="167"/>
      <c r="AA45" s="167"/>
    </row>
    <row r="46" spans="1:27" ht="15.6">
      <c r="A46" s="45" t="str">
        <f t="array" ref="A46">IFERROR(INDEX(baseline!$A$3:$A$201,MATCH($C46&amp;$D46,baseline!$C$3:$C$201&amp;baseline!$D$3:$D$201,0)),"NA")</f>
        <v>NA</v>
      </c>
      <c r="B46" s="45" t="s">
        <v>953</v>
      </c>
      <c r="C46" s="117" t="s">
        <v>712</v>
      </c>
      <c r="D46" s="45" t="s">
        <v>13</v>
      </c>
      <c r="E46" s="45">
        <v>2018</v>
      </c>
      <c r="F46" s="174">
        <f t="shared" si="11"/>
        <v>101</v>
      </c>
      <c r="G46" s="174">
        <v>0</v>
      </c>
      <c r="H46" s="174">
        <v>101</v>
      </c>
      <c r="I46" s="174">
        <v>0</v>
      </c>
      <c r="J46" s="174">
        <v>0</v>
      </c>
      <c r="K46" s="174">
        <v>0</v>
      </c>
      <c r="L46" s="174">
        <v>0</v>
      </c>
      <c r="M46" s="45">
        <f t="shared" si="1"/>
        <v>4.3537673019143646E-4</v>
      </c>
      <c r="R46" s="164"/>
      <c r="S46" s="165"/>
      <c r="T46" s="165"/>
      <c r="U46" s="166"/>
      <c r="V46" s="167"/>
      <c r="W46" s="167"/>
      <c r="X46" s="167"/>
      <c r="Y46" s="167"/>
      <c r="Z46" s="167"/>
      <c r="AA46" s="167"/>
    </row>
    <row r="47" spans="1:27" ht="15.6">
      <c r="A47" s="45">
        <f t="array" ref="A47">IFERROR(INDEX(baseline!$A$3:$A$201,MATCH($C47&amp;$D47,baseline!$C$3:$C$201&amp;baseline!$D$3:$D$201,0)),"NA")</f>
        <v>19</v>
      </c>
      <c r="B47" s="45" t="s">
        <v>953</v>
      </c>
      <c r="C47" s="117" t="s">
        <v>712</v>
      </c>
      <c r="D47" s="45" t="s">
        <v>14</v>
      </c>
      <c r="E47" s="45">
        <v>2018</v>
      </c>
      <c r="F47" s="174">
        <f t="shared" si="11"/>
        <v>15724</v>
      </c>
      <c r="G47" s="174">
        <v>0</v>
      </c>
      <c r="H47" s="174">
        <v>15724</v>
      </c>
      <c r="I47" s="174">
        <v>0</v>
      </c>
      <c r="J47" s="174">
        <v>0</v>
      </c>
      <c r="K47" s="174">
        <v>0</v>
      </c>
      <c r="L47" s="174">
        <v>0</v>
      </c>
      <c r="M47" s="45">
        <f t="shared" si="1"/>
        <v>6.7780828767625215E-2</v>
      </c>
      <c r="R47" s="164"/>
      <c r="S47" s="165"/>
      <c r="T47" s="165"/>
      <c r="U47" s="166"/>
      <c r="V47" s="167"/>
      <c r="W47" s="167"/>
      <c r="X47" s="167"/>
      <c r="Y47" s="167"/>
      <c r="Z47" s="167"/>
      <c r="AA47" s="167"/>
    </row>
    <row r="48" spans="1:27" ht="15.6">
      <c r="A48" s="45" t="str">
        <f t="array" ref="A48">IFERROR(INDEX(baseline!$A$3:$A$201,MATCH($C48&amp;$D48,baseline!$C$3:$C$201&amp;baseline!$D$3:$D$201,0)),"NA")</f>
        <v>NA</v>
      </c>
      <c r="B48" s="45" t="s">
        <v>954</v>
      </c>
      <c r="C48" s="117" t="s">
        <v>762</v>
      </c>
      <c r="D48" s="45" t="s">
        <v>12</v>
      </c>
      <c r="E48" s="45">
        <v>2018</v>
      </c>
      <c r="F48" s="174">
        <f t="shared" si="11"/>
        <v>16513</v>
      </c>
      <c r="G48" s="174">
        <v>10502</v>
      </c>
      <c r="H48" s="174">
        <v>6011</v>
      </c>
      <c r="I48" s="174">
        <v>0</v>
      </c>
      <c r="J48" s="174">
        <v>0</v>
      </c>
      <c r="K48" s="174">
        <v>0</v>
      </c>
      <c r="L48" s="174">
        <v>0</v>
      </c>
      <c r="M48" s="45">
        <f t="shared" si="1"/>
        <v>7.1181940055952381E-2</v>
      </c>
      <c r="R48" s="164"/>
      <c r="S48" s="165"/>
      <c r="T48" s="165"/>
      <c r="U48" s="166"/>
      <c r="V48" s="168"/>
      <c r="W48" s="168"/>
      <c r="X48" s="168"/>
      <c r="Y48" s="168"/>
      <c r="Z48" s="168"/>
      <c r="AA48" s="168"/>
    </row>
    <row r="49" spans="1:27" ht="15.6">
      <c r="A49" s="45">
        <f t="array" ref="A49">IFERROR(INDEX(baseline!$A$3:$A$201,MATCH($C49&amp;$D49,baseline!$C$3:$C$201&amp;baseline!$D$3:$D$201,0)),"NA")</f>
        <v>14</v>
      </c>
      <c r="B49" s="45" t="s">
        <v>954</v>
      </c>
      <c r="C49" s="117" t="s">
        <v>762</v>
      </c>
      <c r="D49" s="45" t="s">
        <v>13</v>
      </c>
      <c r="E49" s="45">
        <v>2018</v>
      </c>
      <c r="F49" s="174">
        <f t="shared" si="11"/>
        <v>3480</v>
      </c>
      <c r="G49" s="174">
        <v>0</v>
      </c>
      <c r="H49" s="174">
        <v>3480</v>
      </c>
      <c r="I49" s="174">
        <v>0</v>
      </c>
      <c r="J49" s="174">
        <v>0</v>
      </c>
      <c r="K49" s="174">
        <v>0</v>
      </c>
      <c r="L49" s="174">
        <v>0</v>
      </c>
      <c r="M49" s="45">
        <f t="shared" si="1"/>
        <v>1.5001099218477216E-2</v>
      </c>
      <c r="R49" s="164"/>
      <c r="S49" s="165"/>
      <c r="T49" s="165"/>
      <c r="U49" s="166"/>
      <c r="V49" s="167"/>
      <c r="W49" s="167"/>
      <c r="X49" s="167"/>
      <c r="Y49" s="167"/>
      <c r="Z49" s="167"/>
      <c r="AA49" s="167"/>
    </row>
    <row r="50" spans="1:27" ht="15.6">
      <c r="A50" s="45">
        <f t="array" ref="A50">IFERROR(INDEX(baseline!$A$3:$A$201,MATCH($C50&amp;$D50,baseline!$C$3:$C$201&amp;baseline!$D$3:$D$201,0)),"NA")</f>
        <v>15</v>
      </c>
      <c r="B50" s="45" t="s">
        <v>954</v>
      </c>
      <c r="C50" s="117" t="s">
        <v>762</v>
      </c>
      <c r="D50" s="45" t="s">
        <v>14</v>
      </c>
      <c r="E50" s="45">
        <v>2018</v>
      </c>
      <c r="F50" s="174">
        <f t="shared" si="11"/>
        <v>17682</v>
      </c>
      <c r="G50" s="174">
        <v>11024</v>
      </c>
      <c r="H50" s="174">
        <v>6658</v>
      </c>
      <c r="I50" s="174">
        <v>0</v>
      </c>
      <c r="J50" s="174">
        <v>0</v>
      </c>
      <c r="K50" s="174">
        <v>0</v>
      </c>
      <c r="L50" s="174">
        <v>0</v>
      </c>
      <c r="M50" s="45">
        <f t="shared" si="1"/>
        <v>7.6221102408366131E-2</v>
      </c>
      <c r="R50" s="164"/>
      <c r="S50" s="165"/>
      <c r="T50" s="165"/>
      <c r="U50" s="166"/>
      <c r="V50" s="167"/>
      <c r="W50" s="167"/>
      <c r="X50" s="167"/>
      <c r="Y50" s="167"/>
      <c r="Z50" s="167"/>
      <c r="AA50" s="167"/>
    </row>
    <row r="51" spans="1:27" ht="15.6">
      <c r="A51" s="45">
        <f t="array" ref="A51">IFERROR(INDEX(baseline!$A$3:$A$201,MATCH($C51&amp;$D51,baseline!$C$3:$C$201&amp;baseline!$D$3:$D$201,0)),"NA")</f>
        <v>16</v>
      </c>
      <c r="B51" s="45" t="s">
        <v>955</v>
      </c>
      <c r="C51" s="117" t="s">
        <v>763</v>
      </c>
      <c r="D51" s="45" t="s">
        <v>13</v>
      </c>
      <c r="E51" s="45">
        <v>2018</v>
      </c>
      <c r="F51" s="174">
        <f t="shared" si="11"/>
        <v>1148</v>
      </c>
      <c r="G51" s="174">
        <v>0</v>
      </c>
      <c r="H51" s="174">
        <v>1136</v>
      </c>
      <c r="I51" s="174">
        <v>12</v>
      </c>
      <c r="J51" s="174">
        <v>0</v>
      </c>
      <c r="K51" s="174">
        <v>0</v>
      </c>
      <c r="L51" s="174">
        <v>0</v>
      </c>
      <c r="M51" s="45">
        <f t="shared" si="1"/>
        <v>4.9486384778194958E-3</v>
      </c>
      <c r="R51" s="164"/>
      <c r="S51" s="165"/>
      <c r="T51" s="165"/>
      <c r="U51" s="166"/>
      <c r="V51" s="167"/>
      <c r="W51" s="167"/>
      <c r="X51" s="167"/>
      <c r="Y51" s="167"/>
      <c r="Z51" s="167"/>
      <c r="AA51" s="167"/>
    </row>
    <row r="52" spans="1:27" ht="15.6">
      <c r="A52" s="45">
        <f t="array" ref="A52">IFERROR(INDEX(baseline!$A$3:$A$201,MATCH($C52&amp;$D52,baseline!$C$3:$C$201&amp;baseline!$D$3:$D$201,0)),"NA")</f>
        <v>17</v>
      </c>
      <c r="B52" s="45" t="s">
        <v>955</v>
      </c>
      <c r="C52" s="117" t="s">
        <v>763</v>
      </c>
      <c r="D52" s="45" t="s">
        <v>14</v>
      </c>
      <c r="E52" s="45">
        <v>2018</v>
      </c>
      <c r="F52" s="174">
        <f t="shared" si="11"/>
        <v>3259</v>
      </c>
      <c r="G52" s="174">
        <v>0</v>
      </c>
      <c r="H52" s="174">
        <v>2869</v>
      </c>
      <c r="I52" s="174">
        <v>390</v>
      </c>
      <c r="J52" s="174">
        <v>0</v>
      </c>
      <c r="K52" s="174">
        <v>0</v>
      </c>
      <c r="L52" s="174">
        <v>0</v>
      </c>
      <c r="M52" s="45">
        <f t="shared" si="1"/>
        <v>1.4048443204890014E-2</v>
      </c>
      <c r="R52" s="164"/>
      <c r="S52" s="165"/>
      <c r="T52" s="165"/>
      <c r="U52" s="166"/>
      <c r="V52" s="167"/>
      <c r="W52" s="167"/>
      <c r="X52" s="167"/>
      <c r="Y52" s="167"/>
      <c r="Z52" s="167"/>
      <c r="AA52" s="167"/>
    </row>
    <row r="53" spans="1:27" ht="15.6">
      <c r="A53" s="45">
        <f t="array" ref="A53">IFERROR(INDEX(baseline!$A$3:$A$201,MATCH($C53&amp;$D53,baseline!$C$3:$C$201&amp;baseline!$D$3:$D$201,0)),"NA")</f>
        <v>18</v>
      </c>
      <c r="B53" s="45" t="s">
        <v>955</v>
      </c>
      <c r="C53" s="117" t="s">
        <v>763</v>
      </c>
      <c r="D53" s="45" t="s">
        <v>546</v>
      </c>
      <c r="E53" s="45">
        <v>2018</v>
      </c>
      <c r="F53" s="174">
        <f t="shared" si="11"/>
        <v>501</v>
      </c>
      <c r="G53" s="174">
        <v>0</v>
      </c>
      <c r="H53" s="174">
        <v>501</v>
      </c>
      <c r="I53" s="174">
        <v>0</v>
      </c>
      <c r="J53" s="174">
        <v>0</v>
      </c>
      <c r="K53" s="174">
        <v>0</v>
      </c>
      <c r="L53" s="174">
        <v>0</v>
      </c>
      <c r="M53" s="45">
        <f t="shared" si="1"/>
        <v>2.1596410081773233E-3</v>
      </c>
      <c r="R53" s="164"/>
      <c r="S53" s="165"/>
      <c r="T53" s="165"/>
      <c r="U53" s="166"/>
      <c r="V53" s="167"/>
      <c r="W53" s="167"/>
      <c r="X53" s="167"/>
      <c r="Y53" s="167"/>
      <c r="Z53" s="167"/>
      <c r="AA53" s="167"/>
    </row>
    <row r="54" spans="1:27" ht="15.6">
      <c r="A54" s="45">
        <f t="array" ref="A54">IFERROR(INDEX(baseline!$A$3:$A$201,MATCH($C54&amp;$D54,baseline!$C$3:$C$201&amp;baseline!$D$3:$D$201,0)),"NA")</f>
        <v>3</v>
      </c>
      <c r="B54" s="45" t="s">
        <v>956</v>
      </c>
      <c r="C54" s="117" t="s">
        <v>545</v>
      </c>
      <c r="D54" s="45" t="s">
        <v>881</v>
      </c>
      <c r="E54" s="45">
        <v>2018</v>
      </c>
      <c r="F54" s="174">
        <f t="shared" si="11"/>
        <v>10012</v>
      </c>
      <c r="G54" s="174">
        <v>10012</v>
      </c>
      <c r="H54" s="174">
        <v>0</v>
      </c>
      <c r="I54" s="174">
        <v>0</v>
      </c>
      <c r="J54" s="174">
        <v>0</v>
      </c>
      <c r="K54" s="174">
        <v>0</v>
      </c>
      <c r="L54" s="174">
        <v>0</v>
      </c>
      <c r="M54" s="45">
        <f t="shared" si="1"/>
        <v>4.3158334877986752E-2</v>
      </c>
      <c r="R54" s="164"/>
      <c r="S54" s="165"/>
      <c r="T54" s="165"/>
      <c r="U54" s="166"/>
      <c r="V54" s="167"/>
      <c r="W54" s="167"/>
      <c r="X54" s="167"/>
      <c r="Y54" s="167"/>
      <c r="Z54" s="167"/>
      <c r="AA54" s="167"/>
    </row>
    <row r="55" spans="1:27" ht="15.6">
      <c r="B55" s="45" t="s">
        <v>956</v>
      </c>
      <c r="C55" s="117" t="s">
        <v>545</v>
      </c>
      <c r="D55" s="45" t="s">
        <v>546</v>
      </c>
      <c r="E55" s="45">
        <v>2018</v>
      </c>
      <c r="F55" s="174">
        <f t="shared" si="11"/>
        <v>0</v>
      </c>
      <c r="G55" s="174">
        <v>0</v>
      </c>
      <c r="H55" s="174">
        <v>0</v>
      </c>
      <c r="I55" s="174">
        <v>0</v>
      </c>
      <c r="J55" s="174">
        <v>0</v>
      </c>
      <c r="K55" s="174">
        <v>0</v>
      </c>
      <c r="L55" s="174">
        <v>0</v>
      </c>
      <c r="M55" s="45">
        <f t="shared" si="1"/>
        <v>0</v>
      </c>
      <c r="R55" s="164"/>
      <c r="S55" s="165"/>
      <c r="T55" s="165"/>
      <c r="U55" s="166"/>
      <c r="V55" s="167"/>
      <c r="W55" s="167"/>
      <c r="X55" s="167"/>
      <c r="Y55" s="167"/>
      <c r="Z55" s="167"/>
      <c r="AA55" s="167"/>
    </row>
    <row r="56" spans="1:27" ht="15" customHeight="1">
      <c r="A56" s="45">
        <f t="array" ref="A56">IFERROR(INDEX(baseline!$A$3:$A$201,MATCH($C56&amp;$D56,baseline!$C$3:$C$201&amp;baseline!$D$3:$D$201,0)),"NA")</f>
        <v>27</v>
      </c>
      <c r="B56" s="45" t="s">
        <v>957</v>
      </c>
      <c r="C56" s="117" t="s">
        <v>1</v>
      </c>
      <c r="D56" s="45" t="s">
        <v>881</v>
      </c>
      <c r="E56" s="45">
        <v>2018</v>
      </c>
      <c r="F56" s="174">
        <f t="shared" si="11"/>
        <v>5221</v>
      </c>
      <c r="G56" s="174">
        <v>3443</v>
      </c>
      <c r="H56" s="174">
        <v>1778</v>
      </c>
      <c r="I56" s="174">
        <v>0</v>
      </c>
      <c r="J56" s="174">
        <v>0</v>
      </c>
      <c r="K56" s="174">
        <v>0</v>
      </c>
      <c r="L56" s="174">
        <v>0</v>
      </c>
      <c r="M56" s="45">
        <f t="shared" si="1"/>
        <v>2.250595948841079E-2</v>
      </c>
      <c r="R56" s="164"/>
      <c r="S56" s="165"/>
      <c r="T56" s="165"/>
      <c r="U56" s="166"/>
      <c r="V56" s="167"/>
      <c r="W56" s="167"/>
      <c r="X56" s="167"/>
      <c r="Y56" s="167"/>
      <c r="Z56" s="167"/>
      <c r="AA56" s="167"/>
    </row>
    <row r="57" spans="1:27" ht="15.6">
      <c r="A57" s="45">
        <f t="array" ref="A57">IFERROR(INDEX(baseline!$A$3:$A$201,MATCH($C57&amp;$D57,baseline!$C$3:$C$201&amp;baseline!$D$3:$D$201,0)),"NA")</f>
        <v>28</v>
      </c>
      <c r="B57" s="45" t="s">
        <v>957</v>
      </c>
      <c r="C57" s="117" t="s">
        <v>1</v>
      </c>
      <c r="D57" s="45" t="s">
        <v>14</v>
      </c>
      <c r="E57" s="45">
        <v>2018</v>
      </c>
      <c r="F57" s="174">
        <f t="shared" si="11"/>
        <v>11711</v>
      </c>
      <c r="G57" s="174">
        <v>0</v>
      </c>
      <c r="H57" s="174">
        <v>11711</v>
      </c>
      <c r="I57" s="174">
        <v>0</v>
      </c>
      <c r="J57" s="174">
        <v>0</v>
      </c>
      <c r="K57" s="174">
        <v>0</v>
      </c>
      <c r="L57" s="174">
        <v>0</v>
      </c>
      <c r="M57" s="45">
        <f t="shared" si="1"/>
        <v>5.0482147398731803E-2</v>
      </c>
      <c r="R57" s="164"/>
      <c r="S57" s="165"/>
      <c r="T57" s="165"/>
      <c r="U57" s="166"/>
      <c r="V57" s="167"/>
      <c r="W57" s="167"/>
      <c r="X57" s="167"/>
      <c r="Y57" s="167"/>
      <c r="Z57" s="167"/>
      <c r="AA57" s="167"/>
    </row>
    <row r="58" spans="1:27" ht="15.6">
      <c r="A58" s="45">
        <f t="array" ref="A58">IFERROR(INDEX(baseline!$A$3:$A$201,MATCH($C58&amp;$D58,baseline!$C$3:$C$201&amp;baseline!$D$3:$D$201,0)),"NA")</f>
        <v>8</v>
      </c>
      <c r="B58" s="45" t="s">
        <v>958</v>
      </c>
      <c r="C58" s="117" t="s">
        <v>697</v>
      </c>
      <c r="D58" s="45" t="s">
        <v>881</v>
      </c>
      <c r="E58" s="45">
        <v>2018</v>
      </c>
      <c r="F58" s="174">
        <f t="shared" si="11"/>
        <v>1504</v>
      </c>
      <c r="G58" s="174">
        <v>1504</v>
      </c>
      <c r="H58" s="174">
        <v>0</v>
      </c>
      <c r="I58" s="174">
        <v>0</v>
      </c>
      <c r="J58" s="174">
        <v>0</v>
      </c>
      <c r="K58" s="174">
        <v>0</v>
      </c>
      <c r="L58" s="174">
        <v>0</v>
      </c>
      <c r="M58" s="45">
        <f t="shared" si="1"/>
        <v>6.4832336852269348E-3</v>
      </c>
      <c r="R58" s="164"/>
      <c r="S58" s="165"/>
      <c r="T58" s="165"/>
      <c r="U58" s="166"/>
      <c r="V58" s="167"/>
      <c r="W58" s="167"/>
      <c r="X58" s="167"/>
      <c r="Y58" s="167"/>
      <c r="Z58" s="167"/>
      <c r="AA58" s="167"/>
    </row>
    <row r="59" spans="1:27" ht="15.6">
      <c r="A59" s="45">
        <f t="array" ref="A59">IFERROR(INDEX(baseline!$A$3:$A$201,MATCH($C59&amp;$D59,baseline!$C$3:$C$201&amp;baseline!$D$3:$D$201,0)),"NA")</f>
        <v>9</v>
      </c>
      <c r="B59" s="45" t="s">
        <v>958</v>
      </c>
      <c r="C59" s="117" t="s">
        <v>697</v>
      </c>
      <c r="D59" s="45" t="s">
        <v>14</v>
      </c>
      <c r="E59" s="45">
        <v>2018</v>
      </c>
      <c r="F59" s="174">
        <f t="shared" si="11"/>
        <v>10986</v>
      </c>
      <c r="G59" s="174">
        <v>7670</v>
      </c>
      <c r="H59" s="174">
        <v>3316</v>
      </c>
      <c r="I59" s="174">
        <v>0</v>
      </c>
      <c r="J59" s="174">
        <v>0</v>
      </c>
      <c r="K59" s="174">
        <v>0</v>
      </c>
      <c r="L59" s="174">
        <v>0</v>
      </c>
      <c r="M59" s="45">
        <f t="shared" si="1"/>
        <v>4.7356918394882382E-2</v>
      </c>
      <c r="R59" s="164"/>
      <c r="S59" s="165"/>
      <c r="T59" s="165"/>
      <c r="U59" s="166"/>
      <c r="V59" s="167"/>
      <c r="W59" s="167"/>
      <c r="X59" s="167"/>
      <c r="Y59" s="167"/>
      <c r="Z59" s="167"/>
      <c r="AA59" s="167"/>
    </row>
    <row r="60" spans="1:27" ht="15.6">
      <c r="A60" s="45">
        <f t="array" ref="A60">IFERROR(INDEX(baseline!$A$3:$A$201,MATCH($C60&amp;$D60,baseline!$C$3:$C$201&amp;baseline!$D$3:$D$201,0)),"NA")</f>
        <v>10</v>
      </c>
      <c r="B60" s="45" t="s">
        <v>959</v>
      </c>
      <c r="C60" s="117" t="s">
        <v>713</v>
      </c>
      <c r="D60" s="45" t="s">
        <v>881</v>
      </c>
      <c r="E60" s="45">
        <v>2018</v>
      </c>
      <c r="F60" s="174">
        <f t="shared" si="11"/>
        <v>1127</v>
      </c>
      <c r="G60" s="174">
        <v>368</v>
      </c>
      <c r="H60" s="174">
        <v>759</v>
      </c>
      <c r="I60" s="174">
        <v>0</v>
      </c>
      <c r="J60" s="174">
        <v>0</v>
      </c>
      <c r="K60" s="174">
        <v>0</v>
      </c>
      <c r="L60" s="174">
        <v>0</v>
      </c>
      <c r="M60" s="45">
        <f t="shared" si="1"/>
        <v>4.8581146032252364E-3</v>
      </c>
      <c r="R60" s="164"/>
      <c r="S60" s="165"/>
      <c r="T60" s="165"/>
      <c r="U60" s="166"/>
      <c r="V60" s="167"/>
      <c r="W60" s="167"/>
      <c r="X60" s="167"/>
      <c r="Y60" s="167"/>
      <c r="Z60" s="167"/>
      <c r="AA60" s="167"/>
    </row>
    <row r="61" spans="1:27" ht="15.6">
      <c r="A61" s="45">
        <f t="array" ref="A61">IFERROR(INDEX(baseline!$A$3:$A$201,MATCH($C61&amp;$D61,baseline!$C$3:$C$201&amp;baseline!$D$3:$D$201,0)),"NA")</f>
        <v>11</v>
      </c>
      <c r="B61" s="45" t="s">
        <v>959</v>
      </c>
      <c r="C61" s="117" t="s">
        <v>713</v>
      </c>
      <c r="D61" s="45" t="s">
        <v>13</v>
      </c>
      <c r="E61" s="45">
        <v>2018</v>
      </c>
      <c r="F61" s="174">
        <f t="shared" si="11"/>
        <v>724</v>
      </c>
      <c r="G61" s="174">
        <v>0</v>
      </c>
      <c r="H61" s="174">
        <v>724</v>
      </c>
      <c r="I61" s="174">
        <v>0</v>
      </c>
      <c r="J61" s="174">
        <v>0</v>
      </c>
      <c r="K61" s="174">
        <v>0</v>
      </c>
      <c r="L61" s="174">
        <v>0</v>
      </c>
      <c r="M61" s="45">
        <f t="shared" si="1"/>
        <v>3.1209183431544552E-3</v>
      </c>
      <c r="R61" s="164"/>
      <c r="S61" s="165"/>
      <c r="T61" s="165"/>
      <c r="U61" s="166"/>
      <c r="V61" s="168"/>
      <c r="W61" s="168"/>
      <c r="X61" s="168"/>
      <c r="Y61" s="168"/>
      <c r="Z61" s="168"/>
      <c r="AA61" s="168"/>
    </row>
    <row r="62" spans="1:27" ht="15.6">
      <c r="A62" s="45">
        <f t="array" ref="A62">IFERROR(INDEX(baseline!$A$3:$A$201,MATCH($C62&amp;$D62,baseline!$C$3:$C$201&amp;baseline!$D$3:$D$201,0)),"NA")</f>
        <v>12</v>
      </c>
      <c r="B62" s="45" t="s">
        <v>959</v>
      </c>
      <c r="C62" s="117" t="s">
        <v>713</v>
      </c>
      <c r="D62" s="45" t="s">
        <v>14</v>
      </c>
      <c r="E62" s="45">
        <v>2018</v>
      </c>
      <c r="F62" s="174">
        <f t="shared" si="11"/>
        <v>4869</v>
      </c>
      <c r="G62" s="174">
        <v>1050</v>
      </c>
      <c r="H62" s="174">
        <v>3819</v>
      </c>
      <c r="I62" s="174">
        <v>0</v>
      </c>
      <c r="J62" s="174">
        <v>0</v>
      </c>
      <c r="K62" s="174">
        <v>0</v>
      </c>
      <c r="L62" s="174">
        <v>0</v>
      </c>
      <c r="M62" s="45">
        <f t="shared" si="1"/>
        <v>2.098860692378321E-2</v>
      </c>
      <c r="R62" s="164"/>
      <c r="S62" s="165"/>
      <c r="T62" s="165"/>
      <c r="U62" s="166"/>
      <c r="V62" s="167"/>
      <c r="W62" s="167"/>
      <c r="X62" s="167"/>
      <c r="Y62" s="167"/>
      <c r="Z62" s="167"/>
      <c r="AA62" s="167"/>
    </row>
    <row r="63" spans="1:27" ht="15.6">
      <c r="A63" s="45">
        <f t="array" ref="A63">IFERROR(INDEX(baseline!$A$3:$A$201,MATCH($C63&amp;$D63,baseline!$C$3:$C$201&amp;baseline!$D$3:$D$201,0)),"NA")</f>
        <v>2</v>
      </c>
      <c r="B63" s="45" t="s">
        <v>960</v>
      </c>
      <c r="C63" s="117" t="s">
        <v>78</v>
      </c>
      <c r="D63" s="45" t="s">
        <v>881</v>
      </c>
      <c r="E63" s="45">
        <v>2018</v>
      </c>
      <c r="F63" s="174">
        <f t="shared" si="11"/>
        <v>1289</v>
      </c>
      <c r="G63" s="174">
        <v>1289</v>
      </c>
      <c r="H63" s="174">
        <v>0</v>
      </c>
      <c r="I63" s="174">
        <v>0</v>
      </c>
      <c r="J63" s="174">
        <v>0</v>
      </c>
      <c r="K63" s="174">
        <v>0</v>
      </c>
      <c r="L63" s="174">
        <v>0</v>
      </c>
      <c r="M63" s="45">
        <f t="shared" si="1"/>
        <v>5.5564416358095201E-3</v>
      </c>
      <c r="R63" s="164"/>
      <c r="S63" s="165"/>
      <c r="T63" s="165"/>
      <c r="U63" s="166"/>
      <c r="V63" s="167"/>
      <c r="W63" s="167"/>
      <c r="X63" s="167"/>
      <c r="Y63" s="167"/>
      <c r="Z63" s="167"/>
      <c r="AA63" s="167"/>
    </row>
    <row r="64" spans="1:27" ht="15.6">
      <c r="A64" s="45">
        <f t="array" ref="A64">IFERROR(INDEX(baseline!$A$3:$A$201,MATCH($C64&amp;$D64,baseline!$C$3:$C$201&amp;baseline!$D$3:$D$201,0)),"NA")</f>
        <v>5</v>
      </c>
      <c r="B64" s="45" t="s">
        <v>949</v>
      </c>
      <c r="C64" s="117" t="s">
        <v>761</v>
      </c>
      <c r="D64" s="45" t="s">
        <v>881</v>
      </c>
      <c r="E64" s="45">
        <v>2020</v>
      </c>
      <c r="F64" s="174">
        <f>SUM(G64:I64)</f>
        <v>50266</v>
      </c>
      <c r="G64" s="174">
        <v>50266</v>
      </c>
      <c r="H64" s="174">
        <v>0</v>
      </c>
      <c r="I64" s="174">
        <v>0</v>
      </c>
      <c r="J64" s="174">
        <v>0</v>
      </c>
      <c r="K64" s="174">
        <v>0</v>
      </c>
      <c r="L64" s="174">
        <v>0</v>
      </c>
      <c r="M64" s="45">
        <f t="shared" si="1"/>
        <v>0.22411164117883098</v>
      </c>
      <c r="R64" s="164"/>
      <c r="S64" s="165"/>
      <c r="T64" s="165"/>
      <c r="U64" s="166"/>
      <c r="V64" s="167"/>
      <c r="W64" s="167"/>
      <c r="X64" s="167"/>
      <c r="Y64" s="167"/>
      <c r="Z64" s="167"/>
      <c r="AA64" s="167"/>
    </row>
    <row r="65" spans="1:27" ht="15.6">
      <c r="A65" s="45">
        <f t="array" ref="A65">IFERROR(INDEX(baseline!$A$3:$A$201,MATCH($C65&amp;$D65,baseline!$C$3:$C$201&amp;baseline!$D$3:$D$201,0)),"NA")</f>
        <v>6</v>
      </c>
      <c r="B65" s="45" t="s">
        <v>949</v>
      </c>
      <c r="C65" s="117" t="s">
        <v>761</v>
      </c>
      <c r="D65" s="45" t="s">
        <v>13</v>
      </c>
      <c r="E65" s="45">
        <v>2020</v>
      </c>
      <c r="F65" s="174">
        <f t="shared" ref="F65:F95" si="12">SUM(G65:I65)</f>
        <v>6231</v>
      </c>
      <c r="G65" s="174">
        <v>0</v>
      </c>
      <c r="H65" s="174">
        <v>6231</v>
      </c>
      <c r="I65" s="174">
        <v>0</v>
      </c>
      <c r="J65" s="174">
        <v>0</v>
      </c>
      <c r="K65" s="174">
        <v>0</v>
      </c>
      <c r="L65" s="174">
        <v>0</v>
      </c>
      <c r="M65" s="45">
        <f t="shared" si="1"/>
        <v>2.7780997815328369E-2</v>
      </c>
      <c r="R65" s="164"/>
      <c r="S65" s="165"/>
      <c r="T65" s="165"/>
      <c r="U65" s="166"/>
      <c r="V65" s="167"/>
      <c r="W65" s="167"/>
      <c r="X65" s="167"/>
      <c r="Y65" s="167"/>
      <c r="Z65" s="167"/>
      <c r="AA65" s="167"/>
    </row>
    <row r="66" spans="1:27" ht="15.6">
      <c r="A66" s="45">
        <f t="array" ref="A66">IFERROR(INDEX(baseline!$A$3:$A$201,MATCH($C66&amp;$D66,baseline!$C$3:$C$201&amp;baseline!$D$3:$D$201,0)),"NA")</f>
        <v>7</v>
      </c>
      <c r="B66" s="45" t="s">
        <v>949</v>
      </c>
      <c r="C66" s="117" t="s">
        <v>761</v>
      </c>
      <c r="D66" s="45" t="s">
        <v>14</v>
      </c>
      <c r="E66" s="45">
        <v>2020</v>
      </c>
      <c r="F66" s="174">
        <f t="shared" si="12"/>
        <v>6551</v>
      </c>
      <c r="G66" s="174">
        <v>0</v>
      </c>
      <c r="H66" s="174">
        <v>6551</v>
      </c>
      <c r="I66" s="174">
        <v>0</v>
      </c>
      <c r="J66" s="174">
        <v>0</v>
      </c>
      <c r="K66" s="174">
        <v>0</v>
      </c>
      <c r="L66" s="174">
        <v>0</v>
      </c>
      <c r="M66" s="45">
        <f t="shared" si="1"/>
        <v>2.920772214543671E-2</v>
      </c>
      <c r="R66" s="164"/>
      <c r="S66" s="165"/>
      <c r="T66" s="165"/>
      <c r="U66" s="166"/>
      <c r="V66" s="167"/>
      <c r="W66" s="167"/>
      <c r="X66" s="167"/>
      <c r="Y66" s="167"/>
      <c r="Z66" s="167"/>
      <c r="AA66" s="167"/>
    </row>
    <row r="67" spans="1:27" ht="15.6">
      <c r="A67" s="45">
        <f t="array" ref="A67">IFERROR(INDEX(baseline!$A$3:$A$201,MATCH($C67&amp;$D67,baseline!$C$3:$C$201&amp;baseline!$D$3:$D$201,0)),"NA")</f>
        <v>29</v>
      </c>
      <c r="B67" s="45" t="s">
        <v>949</v>
      </c>
      <c r="C67" s="117" t="s">
        <v>761</v>
      </c>
      <c r="D67" s="45" t="s">
        <v>546</v>
      </c>
      <c r="E67" s="45">
        <v>2020</v>
      </c>
      <c r="F67" s="174">
        <f t="shared" si="12"/>
        <v>12000</v>
      </c>
      <c r="G67" s="174">
        <v>12000</v>
      </c>
      <c r="H67" s="174">
        <v>0</v>
      </c>
      <c r="I67" s="174">
        <v>0</v>
      </c>
      <c r="J67" s="174">
        <v>0</v>
      </c>
      <c r="K67" s="174">
        <v>0</v>
      </c>
      <c r="L67" s="174">
        <v>0</v>
      </c>
      <c r="M67" s="45">
        <f t="shared" ref="M67:M130" si="13">F67/SUMIFS($F$2:$F$294,$E$2:$E$294,E67)</f>
        <v>5.3502162379062822E-2</v>
      </c>
      <c r="R67" s="164"/>
      <c r="S67" s="165"/>
      <c r="T67" s="165"/>
      <c r="U67" s="166"/>
      <c r="V67" s="167"/>
      <c r="W67" s="167"/>
      <c r="X67" s="167"/>
      <c r="Y67" s="167"/>
      <c r="Z67" s="167"/>
      <c r="AA67" s="167"/>
    </row>
    <row r="68" spans="1:27" ht="15.6">
      <c r="A68" s="45">
        <f t="array" ref="A68">IFERROR(INDEX(baseline!$A$3:$A$201,MATCH($C68&amp;$D68,baseline!$C$3:$C$201&amp;baseline!$D$3:$D$201,0)),"NA")</f>
        <v>24</v>
      </c>
      <c r="B68" s="45" t="s">
        <v>950</v>
      </c>
      <c r="C68" s="117" t="s">
        <v>547</v>
      </c>
      <c r="D68" s="45" t="s">
        <v>881</v>
      </c>
      <c r="E68" s="45">
        <v>2020</v>
      </c>
      <c r="F68" s="174">
        <f t="shared" si="12"/>
        <v>6832</v>
      </c>
      <c r="G68" s="174">
        <v>3118</v>
      </c>
      <c r="H68" s="174">
        <v>3714</v>
      </c>
      <c r="I68" s="174">
        <v>0</v>
      </c>
      <c r="J68" s="174">
        <v>0</v>
      </c>
      <c r="K68" s="174">
        <v>0</v>
      </c>
      <c r="L68" s="174">
        <v>0</v>
      </c>
      <c r="M68" s="45">
        <f t="shared" si="13"/>
        <v>3.0460564447813098E-2</v>
      </c>
      <c r="R68" s="164"/>
      <c r="S68" s="165"/>
      <c r="T68" s="165"/>
      <c r="U68" s="166"/>
      <c r="V68" s="167"/>
      <c r="W68" s="167"/>
      <c r="X68" s="167"/>
      <c r="Y68" s="167"/>
      <c r="Z68" s="167"/>
      <c r="AA68" s="167"/>
    </row>
    <row r="69" spans="1:27" ht="15.6">
      <c r="A69" s="45">
        <f t="array" ref="A69">IFERROR(INDEX(baseline!$A$3:$A$201,MATCH($C69&amp;$D69,baseline!$C$3:$C$201&amp;baseline!$D$3:$D$201,0)),"NA")</f>
        <v>25</v>
      </c>
      <c r="B69" s="45" t="s">
        <v>950</v>
      </c>
      <c r="C69" s="117" t="s">
        <v>547</v>
      </c>
      <c r="D69" s="45" t="s">
        <v>14</v>
      </c>
      <c r="E69" s="45">
        <v>2020</v>
      </c>
      <c r="F69" s="174">
        <f t="shared" si="12"/>
        <v>4831</v>
      </c>
      <c r="G69" s="174">
        <v>4831</v>
      </c>
      <c r="H69" s="174">
        <v>0</v>
      </c>
      <c r="I69" s="174">
        <v>0</v>
      </c>
      <c r="J69" s="174">
        <v>0</v>
      </c>
      <c r="K69" s="174">
        <v>0</v>
      </c>
      <c r="L69" s="174">
        <v>0</v>
      </c>
      <c r="M69" s="45">
        <f t="shared" si="13"/>
        <v>2.1539078871104372E-2</v>
      </c>
      <c r="R69" s="164"/>
      <c r="S69" s="165"/>
      <c r="T69" s="165"/>
      <c r="U69" s="166"/>
      <c r="V69" s="167"/>
      <c r="W69" s="167"/>
      <c r="X69" s="167"/>
      <c r="Y69" s="167"/>
      <c r="Z69" s="167"/>
      <c r="AA69" s="167"/>
    </row>
    <row r="70" spans="1:27" ht="15.6">
      <c r="A70" s="45">
        <f t="array" ref="A70">IFERROR(INDEX(baseline!$A$3:$A$201,MATCH($C70&amp;$D70,baseline!$C$3:$C$201&amp;baseline!$D$3:$D$201,0)),"NA")</f>
        <v>26</v>
      </c>
      <c r="B70" s="45" t="s">
        <v>950</v>
      </c>
      <c r="C70" s="117" t="s">
        <v>547</v>
      </c>
      <c r="D70" s="45" t="s">
        <v>546</v>
      </c>
      <c r="E70" s="45">
        <v>2020</v>
      </c>
      <c r="F70" s="174">
        <f t="shared" si="12"/>
        <v>1869</v>
      </c>
      <c r="G70" s="174">
        <v>0</v>
      </c>
      <c r="H70" s="174">
        <v>1869</v>
      </c>
      <c r="I70" s="174">
        <v>0</v>
      </c>
      <c r="J70" s="174">
        <v>0</v>
      </c>
      <c r="K70" s="174">
        <v>0</v>
      </c>
      <c r="L70" s="174">
        <v>0</v>
      </c>
      <c r="M70" s="45">
        <f t="shared" si="13"/>
        <v>8.3329617905390351E-3</v>
      </c>
      <c r="R70" s="164"/>
      <c r="S70" s="165"/>
      <c r="T70" s="165"/>
      <c r="U70" s="166"/>
      <c r="V70" s="167"/>
      <c r="W70" s="167"/>
      <c r="X70" s="167"/>
      <c r="Y70" s="167"/>
      <c r="Z70" s="167"/>
      <c r="AA70" s="167"/>
    </row>
    <row r="71" spans="1:27" ht="15.6">
      <c r="A71" s="45">
        <f t="array" ref="A71">IFERROR(INDEX(baseline!$A$3:$A$201,MATCH($C71&amp;$D71,baseline!$C$3:$C$201&amp;baseline!$D$3:$D$201,0)),"NA")</f>
        <v>20</v>
      </c>
      <c r="B71" s="45" t="s">
        <v>951</v>
      </c>
      <c r="C71" s="117" t="s">
        <v>2</v>
      </c>
      <c r="D71" s="45" t="s">
        <v>881</v>
      </c>
      <c r="E71" s="45">
        <v>2020</v>
      </c>
      <c r="F71" s="174">
        <f t="shared" si="12"/>
        <v>330</v>
      </c>
      <c r="G71" s="174">
        <v>249</v>
      </c>
      <c r="H71" s="174">
        <v>81</v>
      </c>
      <c r="I71" s="174">
        <v>0</v>
      </c>
      <c r="J71" s="174">
        <v>0</v>
      </c>
      <c r="K71" s="174">
        <v>0</v>
      </c>
      <c r="L71" s="174">
        <v>0</v>
      </c>
      <c r="M71" s="45">
        <f t="shared" si="13"/>
        <v>1.4713094654242277E-3</v>
      </c>
      <c r="R71" s="164"/>
      <c r="S71" s="165"/>
      <c r="T71" s="165"/>
      <c r="U71" s="166"/>
      <c r="V71" s="167"/>
      <c r="W71" s="167"/>
      <c r="X71" s="167"/>
      <c r="Y71" s="167"/>
      <c r="Z71" s="167"/>
      <c r="AA71" s="167"/>
    </row>
    <row r="72" spans="1:27" ht="15.6">
      <c r="A72" s="45">
        <f t="array" ref="A72">IFERROR(INDEX(baseline!$A$3:$A$201,MATCH($C72&amp;$D72,baseline!$C$3:$C$201&amp;baseline!$D$3:$D$201,0)),"NA")</f>
        <v>21</v>
      </c>
      <c r="B72" s="45" t="s">
        <v>951</v>
      </c>
      <c r="C72" s="117" t="s">
        <v>2</v>
      </c>
      <c r="D72" s="45" t="s">
        <v>13</v>
      </c>
      <c r="E72" s="45">
        <v>2020</v>
      </c>
      <c r="F72" s="174">
        <f t="shared" si="12"/>
        <v>833</v>
      </c>
      <c r="G72" s="174">
        <v>326</v>
      </c>
      <c r="H72" s="174">
        <v>507</v>
      </c>
      <c r="I72" s="174">
        <v>0</v>
      </c>
      <c r="J72" s="174">
        <v>0</v>
      </c>
      <c r="K72" s="174">
        <v>0</v>
      </c>
      <c r="L72" s="174">
        <v>0</v>
      </c>
      <c r="M72" s="45">
        <f t="shared" si="13"/>
        <v>3.7139417718132775E-3</v>
      </c>
      <c r="R72" s="164"/>
      <c r="S72" s="165"/>
      <c r="T72" s="165"/>
      <c r="U72" s="166"/>
      <c r="V72" s="167"/>
      <c r="W72" s="167"/>
      <c r="X72" s="167"/>
      <c r="Y72" s="167"/>
      <c r="Z72" s="167"/>
      <c r="AA72" s="167"/>
    </row>
    <row r="73" spans="1:27" ht="15.6">
      <c r="A73" s="45">
        <f t="array" ref="A73">IFERROR(INDEX(baseline!$A$3:$A$201,MATCH($C73&amp;$D73,baseline!$C$3:$C$201&amp;baseline!$D$3:$D$201,0)),"NA")</f>
        <v>22</v>
      </c>
      <c r="B73" s="45" t="s">
        <v>951</v>
      </c>
      <c r="C73" s="117" t="s">
        <v>2</v>
      </c>
      <c r="D73" s="45" t="s">
        <v>14</v>
      </c>
      <c r="E73" s="45">
        <v>2020</v>
      </c>
      <c r="F73" s="174">
        <f t="shared" si="12"/>
        <v>10125</v>
      </c>
      <c r="G73" s="174">
        <v>1377</v>
      </c>
      <c r="H73" s="174">
        <v>8006</v>
      </c>
      <c r="I73" s="174">
        <v>742</v>
      </c>
      <c r="J73" s="174">
        <v>0</v>
      </c>
      <c r="K73" s="174">
        <v>0</v>
      </c>
      <c r="L73" s="174">
        <v>0</v>
      </c>
      <c r="M73" s="45">
        <f t="shared" si="13"/>
        <v>4.5142449507334252E-2</v>
      </c>
      <c r="R73" s="164"/>
      <c r="S73" s="165"/>
      <c r="T73" s="165"/>
      <c r="U73" s="166"/>
      <c r="V73" s="167"/>
      <c r="W73" s="167"/>
      <c r="X73" s="167"/>
      <c r="Y73" s="167"/>
      <c r="Z73" s="167"/>
      <c r="AA73" s="167"/>
    </row>
    <row r="74" spans="1:27" ht="15.6">
      <c r="A74" s="45">
        <f t="array" ref="A74">IFERROR(INDEX(baseline!$A$3:$A$201,MATCH($C74&amp;$D74,baseline!$C$3:$C$201&amp;baseline!$D$3:$D$201,0)),"NA")</f>
        <v>23</v>
      </c>
      <c r="B74" s="45" t="s">
        <v>951</v>
      </c>
      <c r="C74" s="117" t="s">
        <v>2</v>
      </c>
      <c r="D74" s="45" t="s">
        <v>546</v>
      </c>
      <c r="E74" s="45">
        <v>2020</v>
      </c>
      <c r="F74" s="174">
        <f t="shared" si="12"/>
        <v>501</v>
      </c>
      <c r="G74" s="174">
        <v>0</v>
      </c>
      <c r="H74" s="174">
        <v>428</v>
      </c>
      <c r="I74" s="174">
        <v>73</v>
      </c>
      <c r="J74" s="174">
        <v>0</v>
      </c>
      <c r="K74" s="174">
        <v>0</v>
      </c>
      <c r="L74" s="174">
        <v>0</v>
      </c>
      <c r="M74" s="45">
        <f t="shared" si="13"/>
        <v>2.2337152793258726E-3</v>
      </c>
      <c r="R74" s="164"/>
      <c r="S74" s="165"/>
      <c r="T74" s="165"/>
      <c r="U74" s="166"/>
      <c r="V74" s="168"/>
      <c r="W74" s="168"/>
      <c r="X74" s="168"/>
      <c r="Y74" s="168"/>
      <c r="Z74" s="168"/>
      <c r="AA74" s="168"/>
    </row>
    <row r="75" spans="1:27" ht="15.6">
      <c r="A75" s="45">
        <f t="array" ref="A75">IFERROR(INDEX(baseline!$A$3:$A$201,MATCH($C75&amp;$D75,baseline!$C$3:$C$201&amp;baseline!$D$3:$D$201,0)),"NA")</f>
        <v>1</v>
      </c>
      <c r="B75" s="45" t="s">
        <v>952</v>
      </c>
      <c r="C75" s="117" t="s">
        <v>0</v>
      </c>
      <c r="D75" s="45" t="s">
        <v>881</v>
      </c>
      <c r="E75" s="45">
        <v>2020</v>
      </c>
      <c r="F75" s="174">
        <f t="shared" si="12"/>
        <v>20067</v>
      </c>
      <c r="G75" s="174">
        <v>20067</v>
      </c>
      <c r="H75" s="174">
        <v>0</v>
      </c>
      <c r="I75" s="174">
        <v>0</v>
      </c>
      <c r="J75" s="174">
        <v>0</v>
      </c>
      <c r="K75" s="174">
        <v>0</v>
      </c>
      <c r="L75" s="174">
        <v>0</v>
      </c>
      <c r="M75" s="45">
        <f t="shared" si="13"/>
        <v>8.9468991038387805E-2</v>
      </c>
      <c r="R75" s="164"/>
      <c r="S75" s="165"/>
      <c r="T75" s="165"/>
      <c r="U75" s="166"/>
      <c r="V75" s="167"/>
      <c r="W75" s="167"/>
      <c r="X75" s="167"/>
      <c r="Y75" s="167"/>
      <c r="Z75" s="167"/>
      <c r="AA75" s="167"/>
    </row>
    <row r="76" spans="1:27" ht="15.6">
      <c r="B76" s="45" t="s">
        <v>952</v>
      </c>
      <c r="C76" s="117" t="s">
        <v>0</v>
      </c>
      <c r="D76" s="45" t="s">
        <v>546</v>
      </c>
      <c r="E76" s="45">
        <v>2020</v>
      </c>
      <c r="F76" s="174">
        <f t="shared" ref="F76" si="14">SUM(G76:I76)</f>
        <v>5000</v>
      </c>
      <c r="G76" s="174">
        <v>5000</v>
      </c>
      <c r="H76" s="174">
        <v>0</v>
      </c>
      <c r="I76" s="174">
        <v>0</v>
      </c>
      <c r="J76" s="174">
        <v>0</v>
      </c>
      <c r="K76" s="174">
        <v>0</v>
      </c>
      <c r="L76" s="174">
        <v>0</v>
      </c>
      <c r="M76" s="45">
        <f t="shared" si="13"/>
        <v>2.2292567657942842E-2</v>
      </c>
      <c r="R76" s="164"/>
      <c r="S76" s="165"/>
      <c r="T76" s="165"/>
      <c r="U76" s="166"/>
      <c r="V76" s="167"/>
      <c r="W76" s="167"/>
      <c r="X76" s="167"/>
      <c r="Y76" s="167"/>
      <c r="Z76" s="167"/>
      <c r="AA76" s="167"/>
    </row>
    <row r="77" spans="1:27" ht="15.6">
      <c r="A77" s="45" t="str">
        <f t="array" ref="A77">IFERROR(INDEX(baseline!$A$3:$A$201,MATCH($C77&amp;$D77,baseline!$C$3:$C$201&amp;baseline!$D$3:$D$201,0)),"NA")</f>
        <v>NA</v>
      </c>
      <c r="B77" s="45" t="s">
        <v>953</v>
      </c>
      <c r="C77" s="117" t="s">
        <v>712</v>
      </c>
      <c r="D77" s="45" t="s">
        <v>881</v>
      </c>
      <c r="E77" s="45">
        <v>2020</v>
      </c>
      <c r="F77" s="174">
        <f t="shared" si="12"/>
        <v>294</v>
      </c>
      <c r="G77" s="174">
        <v>0</v>
      </c>
      <c r="H77" s="174">
        <v>294</v>
      </c>
      <c r="I77" s="174">
        <v>0</v>
      </c>
      <c r="J77" s="174">
        <v>0</v>
      </c>
      <c r="K77" s="174">
        <v>0</v>
      </c>
      <c r="L77" s="174">
        <v>0</v>
      </c>
      <c r="M77" s="45">
        <f t="shared" si="13"/>
        <v>1.3108029782870391E-3</v>
      </c>
      <c r="R77" s="164"/>
      <c r="S77" s="165"/>
      <c r="T77" s="165"/>
      <c r="U77" s="166"/>
      <c r="V77" s="167"/>
      <c r="W77" s="167"/>
      <c r="X77" s="167"/>
      <c r="Y77" s="167"/>
      <c r="Z77" s="167"/>
      <c r="AA77" s="167"/>
    </row>
    <row r="78" spans="1:27" ht="15.6">
      <c r="A78" s="45" t="str">
        <f t="array" ref="A78">IFERROR(INDEX(baseline!$A$3:$A$201,MATCH($C78&amp;$D78,baseline!$C$3:$C$201&amp;baseline!$D$3:$D$201,0)),"NA")</f>
        <v>NA</v>
      </c>
      <c r="B78" s="45" t="s">
        <v>953</v>
      </c>
      <c r="C78" s="117" t="s">
        <v>712</v>
      </c>
      <c r="D78" s="45" t="s">
        <v>13</v>
      </c>
      <c r="E78" s="45">
        <v>2020</v>
      </c>
      <c r="F78" s="174">
        <f t="shared" si="12"/>
        <v>101</v>
      </c>
      <c r="G78" s="174">
        <v>0</v>
      </c>
      <c r="H78" s="174">
        <v>101</v>
      </c>
      <c r="I78" s="174">
        <v>0</v>
      </c>
      <c r="J78" s="174">
        <v>0</v>
      </c>
      <c r="K78" s="174">
        <v>0</v>
      </c>
      <c r="L78" s="174">
        <v>0</v>
      </c>
      <c r="M78" s="45">
        <f t="shared" si="13"/>
        <v>4.5030986669044541E-4</v>
      </c>
      <c r="R78" s="164"/>
      <c r="S78" s="165"/>
      <c r="T78" s="165"/>
      <c r="U78" s="166"/>
      <c r="V78" s="167"/>
      <c r="W78" s="167"/>
      <c r="X78" s="167"/>
      <c r="Y78" s="167"/>
      <c r="Z78" s="167"/>
      <c r="AA78" s="167"/>
    </row>
    <row r="79" spans="1:27" ht="15.6">
      <c r="A79" s="45">
        <f t="array" ref="A79">IFERROR(INDEX(baseline!$A$3:$A$201,MATCH($C79&amp;$D79,baseline!$C$3:$C$201&amp;baseline!$D$3:$D$201,0)),"NA")</f>
        <v>19</v>
      </c>
      <c r="B79" s="45" t="s">
        <v>953</v>
      </c>
      <c r="C79" s="117" t="s">
        <v>712</v>
      </c>
      <c r="D79" s="45" t="s">
        <v>14</v>
      </c>
      <c r="E79" s="45">
        <v>2020</v>
      </c>
      <c r="F79" s="174">
        <f t="shared" si="12"/>
        <v>15831</v>
      </c>
      <c r="G79" s="174">
        <v>0</v>
      </c>
      <c r="H79" s="174">
        <v>15831</v>
      </c>
      <c r="I79" s="174">
        <v>0</v>
      </c>
      <c r="J79" s="174">
        <v>0</v>
      </c>
      <c r="K79" s="174">
        <v>0</v>
      </c>
      <c r="L79" s="174">
        <v>0</v>
      </c>
      <c r="M79" s="45">
        <f t="shared" si="13"/>
        <v>7.0582727718578625E-2</v>
      </c>
      <c r="R79" s="164"/>
      <c r="S79" s="165"/>
      <c r="T79" s="165"/>
      <c r="U79" s="166"/>
      <c r="V79" s="168"/>
      <c r="W79" s="168"/>
      <c r="X79" s="168"/>
      <c r="Y79" s="168"/>
      <c r="Z79" s="168"/>
      <c r="AA79" s="168"/>
    </row>
    <row r="80" spans="1:27" ht="15.6">
      <c r="A80" s="45" t="str">
        <f t="array" ref="A80">IFERROR(INDEX(baseline!$A$3:$A$201,MATCH($C80&amp;$D80,baseline!$C$3:$C$201&amp;baseline!$D$3:$D$201,0)),"NA")</f>
        <v>NA</v>
      </c>
      <c r="B80" s="45" t="s">
        <v>954</v>
      </c>
      <c r="C80" s="117" t="s">
        <v>762</v>
      </c>
      <c r="D80" s="45" t="s">
        <v>12</v>
      </c>
      <c r="E80" s="45">
        <v>2020</v>
      </c>
      <c r="F80" s="174">
        <f t="shared" si="12"/>
        <v>13740</v>
      </c>
      <c r="G80" s="174">
        <v>7729</v>
      </c>
      <c r="H80" s="174">
        <v>6011</v>
      </c>
      <c r="I80" s="174">
        <v>0</v>
      </c>
      <c r="J80" s="174">
        <v>0</v>
      </c>
      <c r="K80" s="174">
        <v>0</v>
      </c>
      <c r="L80" s="174">
        <v>0</v>
      </c>
      <c r="M80" s="45">
        <f t="shared" si="13"/>
        <v>6.1259975924026933E-2</v>
      </c>
      <c r="R80" s="169"/>
      <c r="S80" s="165"/>
      <c r="T80" s="165"/>
      <c r="U80" s="166"/>
      <c r="V80" s="167"/>
      <c r="W80" s="167"/>
      <c r="X80" s="167"/>
      <c r="Y80" s="167"/>
      <c r="Z80" s="167"/>
      <c r="AA80" s="167"/>
    </row>
    <row r="81" spans="1:27" ht="15.6">
      <c r="A81" s="45">
        <f t="array" ref="A81">IFERROR(INDEX(baseline!$A$3:$A$201,MATCH($C81&amp;$D81,baseline!$C$3:$C$201&amp;baseline!$D$3:$D$201,0)),"NA")</f>
        <v>14</v>
      </c>
      <c r="B81" s="45" t="s">
        <v>954</v>
      </c>
      <c r="C81" s="117" t="s">
        <v>762</v>
      </c>
      <c r="D81" s="45" t="s">
        <v>13</v>
      </c>
      <c r="E81" s="45">
        <v>2020</v>
      </c>
      <c r="F81" s="174">
        <f t="shared" si="12"/>
        <v>2220</v>
      </c>
      <c r="G81" s="174">
        <v>0</v>
      </c>
      <c r="H81" s="174">
        <v>2220</v>
      </c>
      <c r="I81" s="174">
        <v>0</v>
      </c>
      <c r="J81" s="174">
        <v>0</v>
      </c>
      <c r="K81" s="174">
        <v>0</v>
      </c>
      <c r="L81" s="174">
        <v>0</v>
      </c>
      <c r="M81" s="45">
        <f t="shared" si="13"/>
        <v>9.8979000401266219E-3</v>
      </c>
      <c r="R81" s="169"/>
      <c r="S81" s="165"/>
      <c r="T81" s="165"/>
      <c r="U81" s="166"/>
      <c r="V81" s="167"/>
      <c r="W81" s="167"/>
      <c r="X81" s="167"/>
      <c r="Y81" s="167"/>
      <c r="Z81" s="167"/>
      <c r="AA81" s="167"/>
    </row>
    <row r="82" spans="1:27" ht="15.6">
      <c r="A82" s="45">
        <f t="array" ref="A82">IFERROR(INDEX(baseline!$A$3:$A$201,MATCH($C82&amp;$D82,baseline!$C$3:$C$201&amp;baseline!$D$3:$D$201,0)),"NA")</f>
        <v>15</v>
      </c>
      <c r="B82" s="45" t="s">
        <v>954</v>
      </c>
      <c r="C82" s="117" t="s">
        <v>762</v>
      </c>
      <c r="D82" s="45" t="s">
        <v>14</v>
      </c>
      <c r="E82" s="45">
        <v>2020</v>
      </c>
      <c r="F82" s="174">
        <f t="shared" si="12"/>
        <v>17683</v>
      </c>
      <c r="G82" s="174">
        <v>11025</v>
      </c>
      <c r="H82" s="174">
        <v>6658</v>
      </c>
      <c r="I82" s="174">
        <v>0</v>
      </c>
      <c r="J82" s="174">
        <v>0</v>
      </c>
      <c r="K82" s="174">
        <v>0</v>
      </c>
      <c r="L82" s="174">
        <v>0</v>
      </c>
      <c r="M82" s="45">
        <f t="shared" si="13"/>
        <v>7.8839894779080655E-2</v>
      </c>
      <c r="R82" s="169"/>
      <c r="S82" s="165"/>
      <c r="T82" s="165"/>
      <c r="U82" s="166"/>
      <c r="V82" s="167"/>
      <c r="W82" s="167"/>
      <c r="X82" s="167"/>
      <c r="Y82" s="167"/>
      <c r="Z82" s="167"/>
      <c r="AA82" s="167"/>
    </row>
    <row r="83" spans="1:27" ht="15.6">
      <c r="A83" s="45">
        <f t="array" ref="A83">IFERROR(INDEX(baseline!$A$3:$A$201,MATCH($C83&amp;$D83,baseline!$C$3:$C$201&amp;baseline!$D$3:$D$201,0)),"NA")</f>
        <v>16</v>
      </c>
      <c r="B83" s="45" t="s">
        <v>955</v>
      </c>
      <c r="C83" s="117" t="s">
        <v>763</v>
      </c>
      <c r="D83" s="45" t="s">
        <v>13</v>
      </c>
      <c r="E83" s="45">
        <v>2020</v>
      </c>
      <c r="F83" s="174">
        <f t="shared" si="12"/>
        <v>1148</v>
      </c>
      <c r="G83" s="174">
        <v>0</v>
      </c>
      <c r="H83" s="174">
        <v>1136</v>
      </c>
      <c r="I83" s="174">
        <v>12</v>
      </c>
      <c r="J83" s="174">
        <v>0</v>
      </c>
      <c r="K83" s="174">
        <v>0</v>
      </c>
      <c r="L83" s="174">
        <v>0</v>
      </c>
      <c r="M83" s="45">
        <f t="shared" si="13"/>
        <v>5.1183735342636765E-3</v>
      </c>
      <c r="R83" s="169"/>
      <c r="S83" s="165"/>
      <c r="T83" s="165"/>
      <c r="U83" s="166"/>
      <c r="V83" s="168"/>
      <c r="W83" s="168"/>
      <c r="X83" s="168"/>
      <c r="Y83" s="168"/>
      <c r="Z83" s="168"/>
      <c r="AA83" s="168"/>
    </row>
    <row r="84" spans="1:27" ht="15.6">
      <c r="A84" s="45">
        <f t="array" ref="A84">IFERROR(INDEX(baseline!$A$3:$A$201,MATCH($C84&amp;$D84,baseline!$C$3:$C$201&amp;baseline!$D$3:$D$201,0)),"NA")</f>
        <v>17</v>
      </c>
      <c r="B84" s="45" t="s">
        <v>955</v>
      </c>
      <c r="C84" s="117" t="s">
        <v>763</v>
      </c>
      <c r="D84" s="45" t="s">
        <v>14</v>
      </c>
      <c r="E84" s="45">
        <v>2020</v>
      </c>
      <c r="F84" s="174">
        <f t="shared" si="12"/>
        <v>3259</v>
      </c>
      <c r="G84" s="174">
        <v>0</v>
      </c>
      <c r="H84" s="174">
        <v>2869</v>
      </c>
      <c r="I84" s="174">
        <v>390</v>
      </c>
      <c r="J84" s="174">
        <v>0</v>
      </c>
      <c r="K84" s="174">
        <v>0</v>
      </c>
      <c r="L84" s="174">
        <v>0</v>
      </c>
      <c r="M84" s="45">
        <f t="shared" si="13"/>
        <v>1.4530295599447145E-2</v>
      </c>
      <c r="R84" s="164"/>
      <c r="S84" s="165"/>
      <c r="T84" s="165"/>
      <c r="U84" s="166"/>
      <c r="V84" s="167"/>
      <c r="W84" s="167"/>
      <c r="X84" s="167"/>
      <c r="Y84" s="167"/>
      <c r="Z84" s="167"/>
      <c r="AA84" s="167"/>
    </row>
    <row r="85" spans="1:27" ht="15.6">
      <c r="A85" s="45">
        <f t="array" ref="A85">IFERROR(INDEX(baseline!$A$3:$A$201,MATCH($C85&amp;$D85,baseline!$C$3:$C$201&amp;baseline!$D$3:$D$201,0)),"NA")</f>
        <v>18</v>
      </c>
      <c r="B85" s="45" t="s">
        <v>955</v>
      </c>
      <c r="C85" s="117" t="s">
        <v>763</v>
      </c>
      <c r="D85" s="45" t="s">
        <v>546</v>
      </c>
      <c r="E85" s="45">
        <v>2020</v>
      </c>
      <c r="F85" s="174">
        <f t="shared" si="12"/>
        <v>501</v>
      </c>
      <c r="G85" s="174">
        <v>0</v>
      </c>
      <c r="H85" s="174">
        <v>501</v>
      </c>
      <c r="I85" s="174">
        <v>0</v>
      </c>
      <c r="J85" s="174">
        <v>0</v>
      </c>
      <c r="K85" s="174">
        <v>0</v>
      </c>
      <c r="L85" s="174">
        <v>0</v>
      </c>
      <c r="M85" s="45">
        <f t="shared" si="13"/>
        <v>2.2337152793258726E-3</v>
      </c>
      <c r="R85" s="164"/>
      <c r="S85" s="165"/>
      <c r="T85" s="165"/>
      <c r="U85" s="166"/>
      <c r="V85" s="167"/>
      <c r="W85" s="167"/>
      <c r="X85" s="167"/>
      <c r="Y85" s="167"/>
      <c r="Z85" s="167"/>
      <c r="AA85" s="167"/>
    </row>
    <row r="86" spans="1:27" ht="15.6">
      <c r="A86" s="45">
        <f t="array" ref="A86">IFERROR(INDEX(baseline!$A$3:$A$201,MATCH($C86&amp;$D86,baseline!$C$3:$C$201&amp;baseline!$D$3:$D$201,0)),"NA")</f>
        <v>3</v>
      </c>
      <c r="B86" s="45" t="s">
        <v>956</v>
      </c>
      <c r="C86" s="117" t="s">
        <v>545</v>
      </c>
      <c r="D86" s="45" t="s">
        <v>881</v>
      </c>
      <c r="E86" s="45">
        <v>2020</v>
      </c>
      <c r="F86" s="174">
        <f t="shared" si="12"/>
        <v>2568</v>
      </c>
      <c r="G86" s="174">
        <v>2568</v>
      </c>
      <c r="H86" s="174">
        <v>0</v>
      </c>
      <c r="I86" s="174">
        <v>0</v>
      </c>
      <c r="J86" s="174">
        <v>0</v>
      </c>
      <c r="K86" s="174">
        <v>0</v>
      </c>
      <c r="L86" s="174">
        <v>0</v>
      </c>
      <c r="M86" s="45">
        <f t="shared" si="13"/>
        <v>1.1449462749119444E-2</v>
      </c>
      <c r="R86" s="164"/>
      <c r="S86" s="165"/>
      <c r="T86" s="165"/>
      <c r="U86" s="166"/>
      <c r="V86" s="167"/>
      <c r="W86" s="167"/>
      <c r="X86" s="167"/>
      <c r="Y86" s="167"/>
      <c r="Z86" s="167"/>
      <c r="AA86" s="167"/>
    </row>
    <row r="87" spans="1:27" ht="15.6">
      <c r="B87" s="45" t="s">
        <v>956</v>
      </c>
      <c r="C87" s="117" t="s">
        <v>545</v>
      </c>
      <c r="D87" s="45" t="s">
        <v>546</v>
      </c>
      <c r="E87" s="45">
        <v>2020</v>
      </c>
      <c r="F87" s="174">
        <f t="shared" ref="F87" si="15">SUM(G87:I87)</f>
        <v>4000</v>
      </c>
      <c r="G87" s="174">
        <v>4000</v>
      </c>
      <c r="H87" s="174">
        <v>0</v>
      </c>
      <c r="I87" s="174">
        <v>0</v>
      </c>
      <c r="J87" s="174">
        <v>0</v>
      </c>
      <c r="K87" s="174">
        <v>0</v>
      </c>
      <c r="L87" s="174">
        <v>0</v>
      </c>
      <c r="M87" s="45">
        <f t="shared" si="13"/>
        <v>1.7834054126354273E-2</v>
      </c>
      <c r="R87" s="164"/>
      <c r="S87" s="165"/>
      <c r="T87" s="165"/>
      <c r="U87" s="166"/>
      <c r="V87" s="167"/>
      <c r="W87" s="167"/>
      <c r="X87" s="167"/>
      <c r="Y87" s="167"/>
      <c r="Z87" s="167"/>
      <c r="AA87" s="167"/>
    </row>
    <row r="88" spans="1:27" ht="15.6">
      <c r="A88" s="45">
        <f t="array" ref="A88">IFERROR(INDEX(baseline!$A$3:$A$201,MATCH($C88&amp;$D88,baseline!$C$3:$C$201&amp;baseline!$D$3:$D$201,0)),"NA")</f>
        <v>27</v>
      </c>
      <c r="B88" s="45" t="s">
        <v>957</v>
      </c>
      <c r="C88" s="117" t="s">
        <v>1</v>
      </c>
      <c r="D88" s="45" t="s">
        <v>881</v>
      </c>
      <c r="E88" s="45">
        <v>2020</v>
      </c>
      <c r="F88" s="174">
        <f t="shared" si="12"/>
        <v>5221</v>
      </c>
      <c r="G88" s="174">
        <v>3443</v>
      </c>
      <c r="H88" s="174">
        <v>1778</v>
      </c>
      <c r="I88" s="174">
        <v>0</v>
      </c>
      <c r="J88" s="174">
        <v>0</v>
      </c>
      <c r="K88" s="174">
        <v>0</v>
      </c>
      <c r="L88" s="174">
        <v>0</v>
      </c>
      <c r="M88" s="45">
        <f t="shared" si="13"/>
        <v>2.3277899148423917E-2</v>
      </c>
      <c r="R88" s="164"/>
      <c r="S88" s="165"/>
      <c r="T88" s="165"/>
      <c r="U88" s="166"/>
      <c r="V88" s="167"/>
      <c r="W88" s="167"/>
      <c r="X88" s="167"/>
      <c r="Y88" s="167"/>
      <c r="Z88" s="167"/>
      <c r="AA88" s="167"/>
    </row>
    <row r="89" spans="1:27" ht="15.6">
      <c r="A89" s="45">
        <f t="array" ref="A89">IFERROR(INDEX(baseline!$A$3:$A$201,MATCH($C89&amp;$D89,baseline!$C$3:$C$201&amp;baseline!$D$3:$D$201,0)),"NA")</f>
        <v>28</v>
      </c>
      <c r="B89" s="45" t="s">
        <v>957</v>
      </c>
      <c r="C89" s="117" t="s">
        <v>1</v>
      </c>
      <c r="D89" s="45" t="s">
        <v>14</v>
      </c>
      <c r="E89" s="45">
        <v>2020</v>
      </c>
      <c r="F89" s="174">
        <f t="shared" si="12"/>
        <v>11711</v>
      </c>
      <c r="G89" s="174">
        <v>0</v>
      </c>
      <c r="H89" s="174">
        <v>11711</v>
      </c>
      <c r="I89" s="174">
        <v>0</v>
      </c>
      <c r="J89" s="174">
        <v>0</v>
      </c>
      <c r="K89" s="174">
        <v>0</v>
      </c>
      <c r="L89" s="174">
        <v>0</v>
      </c>
      <c r="M89" s="45">
        <f t="shared" si="13"/>
        <v>5.2213651968433722E-2</v>
      </c>
      <c r="R89" s="164"/>
      <c r="S89" s="165"/>
      <c r="T89" s="165"/>
      <c r="U89" s="166"/>
      <c r="V89" s="167"/>
      <c r="W89" s="167"/>
      <c r="X89" s="167"/>
      <c r="Y89" s="167"/>
      <c r="Z89" s="167"/>
      <c r="AA89" s="167"/>
    </row>
    <row r="90" spans="1:27" ht="15.6">
      <c r="A90" s="45">
        <f t="array" ref="A90">IFERROR(INDEX(baseline!$A$3:$A$201,MATCH($C90&amp;$D90,baseline!$C$3:$C$201&amp;baseline!$D$3:$D$201,0)),"NA")</f>
        <v>8</v>
      </c>
      <c r="B90" s="45" t="s">
        <v>958</v>
      </c>
      <c r="C90" s="117" t="s">
        <v>697</v>
      </c>
      <c r="D90" s="45" t="s">
        <v>881</v>
      </c>
      <c r="E90" s="45">
        <v>2020</v>
      </c>
      <c r="F90" s="174">
        <f t="shared" si="12"/>
        <v>1504</v>
      </c>
      <c r="G90" s="174">
        <v>1504</v>
      </c>
      <c r="H90" s="174">
        <v>0</v>
      </c>
      <c r="I90" s="174">
        <v>0</v>
      </c>
      <c r="J90" s="174">
        <v>0</v>
      </c>
      <c r="K90" s="174">
        <v>0</v>
      </c>
      <c r="L90" s="174">
        <v>0</v>
      </c>
      <c r="M90" s="45">
        <f t="shared" si="13"/>
        <v>6.7056043515092067E-3</v>
      </c>
      <c r="R90" s="164"/>
      <c r="S90" s="165"/>
      <c r="T90" s="165"/>
      <c r="U90" s="166"/>
      <c r="V90" s="167"/>
      <c r="W90" s="167"/>
      <c r="X90" s="167"/>
      <c r="Y90" s="167"/>
      <c r="Z90" s="167"/>
      <c r="AA90" s="167"/>
    </row>
    <row r="91" spans="1:27" ht="15.6">
      <c r="A91" s="45">
        <f t="array" ref="A91">IFERROR(INDEX(baseline!$A$3:$A$201,MATCH($C91&amp;$D91,baseline!$C$3:$C$201&amp;baseline!$D$3:$D$201,0)),"NA")</f>
        <v>9</v>
      </c>
      <c r="B91" s="45" t="s">
        <v>958</v>
      </c>
      <c r="C91" s="117" t="s">
        <v>697</v>
      </c>
      <c r="D91" s="45" t="s">
        <v>14</v>
      </c>
      <c r="E91" s="45">
        <v>2020</v>
      </c>
      <c r="F91" s="174">
        <f t="shared" si="12"/>
        <v>10986</v>
      </c>
      <c r="G91" s="174">
        <v>7670</v>
      </c>
      <c r="H91" s="174">
        <v>3316</v>
      </c>
      <c r="I91" s="174">
        <v>0</v>
      </c>
      <c r="J91" s="174">
        <v>0</v>
      </c>
      <c r="K91" s="174">
        <v>0</v>
      </c>
      <c r="L91" s="174">
        <v>0</v>
      </c>
      <c r="M91" s="45">
        <f t="shared" si="13"/>
        <v>4.8981229658032012E-2</v>
      </c>
      <c r="R91" s="164"/>
      <c r="S91" s="165"/>
      <c r="T91" s="165"/>
      <c r="U91" s="166"/>
      <c r="V91" s="167"/>
      <c r="W91" s="167"/>
      <c r="X91" s="167"/>
      <c r="Y91" s="167"/>
      <c r="Z91" s="167"/>
      <c r="AA91" s="167"/>
    </row>
    <row r="92" spans="1:27" ht="15.6">
      <c r="A92" s="45">
        <f t="array" ref="A92">IFERROR(INDEX(baseline!$A$3:$A$201,MATCH($C92&amp;$D92,baseline!$C$3:$C$201&amp;baseline!$D$3:$D$201,0)),"NA")</f>
        <v>10</v>
      </c>
      <c r="B92" s="45" t="s">
        <v>959</v>
      </c>
      <c r="C92" s="117" t="s">
        <v>713</v>
      </c>
      <c r="D92" s="45" t="s">
        <v>881</v>
      </c>
      <c r="E92" s="45">
        <v>2020</v>
      </c>
      <c r="F92" s="174">
        <f t="shared" si="12"/>
        <v>1127</v>
      </c>
      <c r="G92" s="174">
        <v>368</v>
      </c>
      <c r="H92" s="174">
        <v>759</v>
      </c>
      <c r="I92" s="174">
        <v>0</v>
      </c>
      <c r="J92" s="174">
        <v>0</v>
      </c>
      <c r="K92" s="174">
        <v>0</v>
      </c>
      <c r="L92" s="174">
        <v>0</v>
      </c>
      <c r="M92" s="45">
        <f t="shared" si="13"/>
        <v>5.0247447501003163E-3</v>
      </c>
      <c r="R92" s="164"/>
      <c r="S92" s="165"/>
      <c r="T92" s="165"/>
      <c r="U92" s="166"/>
      <c r="V92" s="167"/>
      <c r="W92" s="167"/>
      <c r="X92" s="167"/>
      <c r="Y92" s="167"/>
      <c r="Z92" s="167"/>
      <c r="AA92" s="167"/>
    </row>
    <row r="93" spans="1:27" ht="15.6">
      <c r="A93" s="45">
        <f t="array" ref="A93">IFERROR(INDEX(baseline!$A$3:$A$201,MATCH($C93&amp;$D93,baseline!$C$3:$C$201&amp;baseline!$D$3:$D$201,0)),"NA")</f>
        <v>11</v>
      </c>
      <c r="B93" s="45" t="s">
        <v>959</v>
      </c>
      <c r="C93" s="117" t="s">
        <v>713</v>
      </c>
      <c r="D93" s="45" t="s">
        <v>13</v>
      </c>
      <c r="E93" s="45">
        <v>2020</v>
      </c>
      <c r="F93" s="174">
        <f t="shared" si="12"/>
        <v>724</v>
      </c>
      <c r="G93" s="174">
        <v>0</v>
      </c>
      <c r="H93" s="174">
        <v>724</v>
      </c>
      <c r="I93" s="174">
        <v>0</v>
      </c>
      <c r="J93" s="174">
        <v>0</v>
      </c>
      <c r="K93" s="174">
        <v>0</v>
      </c>
      <c r="L93" s="174">
        <v>0</v>
      </c>
      <c r="M93" s="45">
        <f t="shared" si="13"/>
        <v>3.2279637968701236E-3</v>
      </c>
      <c r="R93" s="164"/>
      <c r="S93" s="165"/>
      <c r="T93" s="165"/>
      <c r="U93" s="166"/>
      <c r="V93" s="167"/>
      <c r="W93" s="167"/>
      <c r="X93" s="167"/>
      <c r="Y93" s="167"/>
      <c r="Z93" s="167"/>
      <c r="AA93" s="167"/>
    </row>
    <row r="94" spans="1:27" ht="15.6">
      <c r="A94" s="45">
        <f t="array" ref="A94">IFERROR(INDEX(baseline!$A$3:$A$201,MATCH($C94&amp;$D94,baseline!$C$3:$C$201&amp;baseline!$D$3:$D$201,0)),"NA")</f>
        <v>12</v>
      </c>
      <c r="B94" s="45" t="s">
        <v>959</v>
      </c>
      <c r="C94" s="117" t="s">
        <v>713</v>
      </c>
      <c r="D94" s="45" t="s">
        <v>14</v>
      </c>
      <c r="E94" s="45">
        <v>2020</v>
      </c>
      <c r="F94" s="174">
        <f t="shared" si="12"/>
        <v>4736</v>
      </c>
      <c r="G94" s="174">
        <v>1050</v>
      </c>
      <c r="H94" s="174">
        <v>3686</v>
      </c>
      <c r="I94" s="174">
        <v>0</v>
      </c>
      <c r="J94" s="174">
        <v>0</v>
      </c>
      <c r="K94" s="174">
        <v>0</v>
      </c>
      <c r="L94" s="174">
        <v>0</v>
      </c>
      <c r="M94" s="45">
        <f t="shared" si="13"/>
        <v>2.1115520085603461E-2</v>
      </c>
      <c r="R94" s="164"/>
      <c r="S94" s="165"/>
      <c r="T94" s="165"/>
      <c r="U94" s="166"/>
      <c r="V94" s="167"/>
      <c r="W94" s="167"/>
      <c r="X94" s="167"/>
      <c r="Y94" s="167"/>
      <c r="Z94" s="167"/>
      <c r="AA94" s="167"/>
    </row>
    <row r="95" spans="1:27" ht="15.6">
      <c r="A95" s="45">
        <f t="array" ref="A95">IFERROR(INDEX(baseline!$A$3:$A$201,MATCH($C95&amp;$D95,baseline!$C$3:$C$201&amp;baseline!$D$3:$D$201,0)),"NA")</f>
        <v>2</v>
      </c>
      <c r="B95" s="45" t="s">
        <v>960</v>
      </c>
      <c r="C95" s="117" t="s">
        <v>78</v>
      </c>
      <c r="D95" s="45" t="s">
        <v>881</v>
      </c>
      <c r="E95" s="45">
        <v>2020</v>
      </c>
      <c r="F95" s="174">
        <f t="shared" si="12"/>
        <v>0</v>
      </c>
      <c r="G95" s="174">
        <v>0</v>
      </c>
      <c r="H95" s="174">
        <v>0</v>
      </c>
      <c r="I95" s="174">
        <v>0</v>
      </c>
      <c r="J95" s="174">
        <v>0</v>
      </c>
      <c r="K95" s="174">
        <v>0</v>
      </c>
      <c r="L95" s="174">
        <v>0</v>
      </c>
      <c r="M95" s="45">
        <f t="shared" si="13"/>
        <v>0</v>
      </c>
      <c r="R95" s="164"/>
      <c r="S95" s="165"/>
      <c r="T95" s="165"/>
      <c r="U95" s="166"/>
      <c r="V95" s="167"/>
      <c r="W95" s="167"/>
      <c r="X95" s="167"/>
      <c r="Y95" s="167"/>
      <c r="Z95" s="167"/>
      <c r="AA95" s="167"/>
    </row>
    <row r="96" spans="1:27" ht="15.6">
      <c r="B96" s="45" t="s">
        <v>960</v>
      </c>
      <c r="C96" s="117" t="s">
        <v>78</v>
      </c>
      <c r="D96" s="45" t="s">
        <v>546</v>
      </c>
      <c r="E96" s="45">
        <v>2020</v>
      </c>
      <c r="F96" s="174">
        <f t="shared" ref="F96" si="16">SUM(G96:I96)</f>
        <v>1500</v>
      </c>
      <c r="G96" s="174">
        <v>1500</v>
      </c>
      <c r="H96" s="174">
        <v>0</v>
      </c>
      <c r="I96" s="174">
        <v>0</v>
      </c>
      <c r="J96" s="174">
        <v>0</v>
      </c>
      <c r="K96" s="174">
        <v>0</v>
      </c>
      <c r="L96" s="174">
        <v>0</v>
      </c>
      <c r="M96" s="45">
        <f t="shared" si="13"/>
        <v>6.6877702973828527E-3</v>
      </c>
      <c r="R96" s="164"/>
      <c r="S96" s="165"/>
      <c r="T96" s="165"/>
      <c r="U96" s="166"/>
      <c r="V96" s="167"/>
      <c r="W96" s="167"/>
      <c r="X96" s="167"/>
      <c r="Y96" s="167"/>
      <c r="Z96" s="167"/>
      <c r="AA96" s="167"/>
    </row>
    <row r="97" spans="1:27" ht="15.6">
      <c r="A97" s="45">
        <f t="array" ref="A97">IFERROR(INDEX(baseline!$A$3:$A$201,MATCH($C97&amp;$D97,baseline!$C$3:$C$201&amp;baseline!$D$3:$D$201,0)),"NA")</f>
        <v>5</v>
      </c>
      <c r="B97" s="45" t="s">
        <v>949</v>
      </c>
      <c r="C97" s="117" t="s">
        <v>761</v>
      </c>
      <c r="D97" s="45" t="s">
        <v>881</v>
      </c>
      <c r="E97" s="45">
        <v>2023</v>
      </c>
      <c r="F97" s="174">
        <f>SUM(G97:I97)</f>
        <v>21697</v>
      </c>
      <c r="G97" s="174">
        <v>21697</v>
      </c>
      <c r="H97" s="174">
        <v>0</v>
      </c>
      <c r="I97" s="174">
        <v>0</v>
      </c>
      <c r="J97" s="174">
        <v>0</v>
      </c>
      <c r="K97" s="174">
        <v>0</v>
      </c>
      <c r="L97" s="174">
        <v>0</v>
      </c>
      <c r="M97" s="45">
        <f t="shared" si="13"/>
        <v>0.10695975390925404</v>
      </c>
      <c r="R97" s="164"/>
      <c r="S97" s="165"/>
      <c r="T97" s="165"/>
      <c r="U97" s="166"/>
      <c r="V97" s="167"/>
      <c r="W97" s="167"/>
      <c r="X97" s="167"/>
      <c r="Y97" s="167"/>
      <c r="Z97" s="167"/>
      <c r="AA97" s="167"/>
    </row>
    <row r="98" spans="1:27" ht="15.6">
      <c r="A98" s="45">
        <f t="array" ref="A98">IFERROR(INDEX(baseline!$A$3:$A$201,MATCH($C98&amp;$D98,baseline!$C$3:$C$201&amp;baseline!$D$3:$D$201,0)),"NA")</f>
        <v>6</v>
      </c>
      <c r="B98" s="45" t="s">
        <v>949</v>
      </c>
      <c r="C98" s="117" t="s">
        <v>761</v>
      </c>
      <c r="D98" s="45" t="s">
        <v>13</v>
      </c>
      <c r="E98" s="45">
        <v>2023</v>
      </c>
      <c r="F98" s="174">
        <f t="shared" ref="F98:F128" si="17">SUM(G98:I98)</f>
        <v>6231</v>
      </c>
      <c r="G98" s="174">
        <v>0</v>
      </c>
      <c r="H98" s="174">
        <v>6231</v>
      </c>
      <c r="I98" s="174">
        <v>0</v>
      </c>
      <c r="J98" s="174">
        <v>0</v>
      </c>
      <c r="K98" s="174">
        <v>0</v>
      </c>
      <c r="L98" s="174">
        <v>0</v>
      </c>
      <c r="M98" s="45">
        <f t="shared" si="13"/>
        <v>3.0716975923333268E-2</v>
      </c>
      <c r="R98" s="164"/>
      <c r="S98" s="165"/>
      <c r="T98" s="165"/>
      <c r="U98" s="166"/>
      <c r="V98" s="167"/>
      <c r="W98" s="167"/>
      <c r="X98" s="167"/>
      <c r="Y98" s="167"/>
      <c r="Z98" s="167"/>
      <c r="AA98" s="167"/>
    </row>
    <row r="99" spans="1:27" ht="15.6">
      <c r="A99" s="45">
        <f t="array" ref="A99">IFERROR(INDEX(baseline!$A$3:$A$201,MATCH($C99&amp;$D99,baseline!$C$3:$C$201&amp;baseline!$D$3:$D$201,0)),"NA")</f>
        <v>7</v>
      </c>
      <c r="B99" s="45" t="s">
        <v>949</v>
      </c>
      <c r="C99" s="117" t="s">
        <v>761</v>
      </c>
      <c r="D99" s="45" t="s">
        <v>14</v>
      </c>
      <c r="E99" s="45">
        <v>2023</v>
      </c>
      <c r="F99" s="174">
        <f t="shared" si="17"/>
        <v>6551</v>
      </c>
      <c r="G99" s="174">
        <v>0</v>
      </c>
      <c r="H99" s="174">
        <v>6551</v>
      </c>
      <c r="I99" s="174">
        <v>0</v>
      </c>
      <c r="J99" s="174">
        <v>0</v>
      </c>
      <c r="K99" s="174">
        <v>0</v>
      </c>
      <c r="L99" s="174">
        <v>0</v>
      </c>
      <c r="M99" s="45">
        <f t="shared" si="13"/>
        <v>3.2294480705144638E-2</v>
      </c>
      <c r="R99" s="164"/>
      <c r="S99" s="165"/>
      <c r="T99" s="165"/>
      <c r="U99" s="166"/>
      <c r="V99" s="167"/>
      <c r="W99" s="167"/>
      <c r="X99" s="167"/>
      <c r="Y99" s="167"/>
      <c r="Z99" s="167"/>
      <c r="AA99" s="167"/>
    </row>
    <row r="100" spans="1:27" ht="15.6">
      <c r="B100" s="45" t="s">
        <v>949</v>
      </c>
      <c r="C100" s="117" t="s">
        <v>761</v>
      </c>
      <c r="D100" s="45" t="s">
        <v>546</v>
      </c>
      <c r="E100" s="45">
        <v>2023</v>
      </c>
      <c r="F100" s="174">
        <f t="shared" ref="F100" si="18">SUM(G100:I100)</f>
        <v>23000</v>
      </c>
      <c r="G100" s="174">
        <v>23000</v>
      </c>
      <c r="H100" s="174">
        <v>0</v>
      </c>
      <c r="I100" s="174">
        <v>0</v>
      </c>
      <c r="J100" s="174">
        <v>0</v>
      </c>
      <c r="K100" s="174">
        <v>0</v>
      </c>
      <c r="L100" s="174">
        <v>0</v>
      </c>
      <c r="M100" s="45">
        <f t="shared" si="13"/>
        <v>0.11338315619269221</v>
      </c>
      <c r="R100" s="164"/>
      <c r="S100" s="165"/>
      <c r="T100" s="165"/>
      <c r="U100" s="166"/>
      <c r="V100" s="167"/>
      <c r="W100" s="167"/>
      <c r="X100" s="167"/>
      <c r="Y100" s="167"/>
      <c r="Z100" s="167"/>
      <c r="AA100" s="167"/>
    </row>
    <row r="101" spans="1:27" ht="15.6">
      <c r="A101" s="45">
        <f t="array" ref="A101">IFERROR(INDEX(baseline!$A$3:$A$201,MATCH($C101&amp;$D101,baseline!$C$3:$C$201&amp;baseline!$D$3:$D$201,0)),"NA")</f>
        <v>24</v>
      </c>
      <c r="B101" s="45" t="s">
        <v>950</v>
      </c>
      <c r="C101" s="117" t="s">
        <v>547</v>
      </c>
      <c r="D101" s="45" t="s">
        <v>881</v>
      </c>
      <c r="E101" s="45">
        <v>2023</v>
      </c>
      <c r="F101" s="174">
        <f t="shared" si="17"/>
        <v>6832</v>
      </c>
      <c r="G101" s="174">
        <v>3118</v>
      </c>
      <c r="H101" s="174">
        <v>3714</v>
      </c>
      <c r="I101" s="174">
        <v>0</v>
      </c>
      <c r="J101" s="174">
        <v>0</v>
      </c>
      <c r="K101" s="174">
        <v>0</v>
      </c>
      <c r="L101" s="174">
        <v>0</v>
      </c>
      <c r="M101" s="45">
        <f t="shared" si="13"/>
        <v>3.3679727091672745E-2</v>
      </c>
      <c r="R101" s="164"/>
      <c r="S101" s="165"/>
      <c r="T101" s="165"/>
      <c r="U101" s="166"/>
      <c r="V101" s="167"/>
      <c r="W101" s="167"/>
      <c r="X101" s="167"/>
      <c r="Y101" s="167"/>
      <c r="Z101" s="167"/>
      <c r="AA101" s="167"/>
    </row>
    <row r="102" spans="1:27" ht="15.6">
      <c r="A102" s="45">
        <f t="array" ref="A102">IFERROR(INDEX(baseline!$A$3:$A$201,MATCH($C102&amp;$D102,baseline!$C$3:$C$201&amp;baseline!$D$3:$D$201,0)),"NA")</f>
        <v>25</v>
      </c>
      <c r="B102" s="45" t="s">
        <v>950</v>
      </c>
      <c r="C102" s="117" t="s">
        <v>547</v>
      </c>
      <c r="D102" s="45" t="s">
        <v>14</v>
      </c>
      <c r="E102" s="45">
        <v>2023</v>
      </c>
      <c r="F102" s="174">
        <f t="shared" si="17"/>
        <v>4831</v>
      </c>
      <c r="G102" s="174">
        <v>4831</v>
      </c>
      <c r="H102" s="174">
        <v>0</v>
      </c>
      <c r="I102" s="174">
        <v>0</v>
      </c>
      <c r="J102" s="174">
        <v>0</v>
      </c>
      <c r="K102" s="174">
        <v>0</v>
      </c>
      <c r="L102" s="174">
        <v>0</v>
      </c>
      <c r="M102" s="45">
        <f t="shared" si="13"/>
        <v>2.3815392502908525E-2</v>
      </c>
      <c r="R102" s="164"/>
      <c r="S102" s="165"/>
      <c r="T102" s="165"/>
      <c r="U102" s="166"/>
      <c r="V102" s="167"/>
      <c r="W102" s="167"/>
      <c r="X102" s="167"/>
      <c r="Y102" s="167"/>
      <c r="Z102" s="167"/>
      <c r="AA102" s="167"/>
    </row>
    <row r="103" spans="1:27" ht="15.6">
      <c r="A103" s="45">
        <f t="array" ref="A103">IFERROR(INDEX(baseline!$A$3:$A$201,MATCH($C103&amp;$D103,baseline!$C$3:$C$201&amp;baseline!$D$3:$D$201,0)),"NA")</f>
        <v>26</v>
      </c>
      <c r="B103" s="45" t="s">
        <v>950</v>
      </c>
      <c r="C103" s="117" t="s">
        <v>547</v>
      </c>
      <c r="D103" s="45" t="s">
        <v>546</v>
      </c>
      <c r="E103" s="45">
        <v>2023</v>
      </c>
      <c r="F103" s="174">
        <f t="shared" si="17"/>
        <v>1869</v>
      </c>
      <c r="G103" s="174">
        <v>0</v>
      </c>
      <c r="H103" s="174">
        <v>1869</v>
      </c>
      <c r="I103" s="174">
        <v>0</v>
      </c>
      <c r="J103" s="174">
        <v>0</v>
      </c>
      <c r="K103" s="174">
        <v>0</v>
      </c>
      <c r="L103" s="174">
        <v>0</v>
      </c>
      <c r="M103" s="45">
        <f t="shared" si="13"/>
        <v>9.2136138662670328E-3</v>
      </c>
      <c r="R103" s="164"/>
      <c r="S103" s="165"/>
      <c r="T103" s="165"/>
      <c r="U103" s="166"/>
      <c r="V103" s="167"/>
      <c r="W103" s="167"/>
      <c r="X103" s="167"/>
      <c r="Y103" s="167"/>
      <c r="Z103" s="167"/>
      <c r="AA103" s="167"/>
    </row>
    <row r="104" spans="1:27" ht="15.6">
      <c r="A104" s="45">
        <f t="array" ref="A104">IFERROR(INDEX(baseline!$A$3:$A$201,MATCH($C104&amp;$D104,baseline!$C$3:$C$201&amp;baseline!$D$3:$D$201,0)),"NA")</f>
        <v>20</v>
      </c>
      <c r="B104" s="45" t="s">
        <v>951</v>
      </c>
      <c r="C104" s="117" t="s">
        <v>2</v>
      </c>
      <c r="D104" s="45" t="s">
        <v>881</v>
      </c>
      <c r="E104" s="45">
        <v>2023</v>
      </c>
      <c r="F104" s="174">
        <f t="shared" si="17"/>
        <v>330</v>
      </c>
      <c r="G104" s="174">
        <v>249</v>
      </c>
      <c r="H104" s="174">
        <v>81</v>
      </c>
      <c r="I104" s="174">
        <v>0</v>
      </c>
      <c r="J104" s="174">
        <v>0</v>
      </c>
      <c r="K104" s="174">
        <v>0</v>
      </c>
      <c r="L104" s="174">
        <v>0</v>
      </c>
      <c r="M104" s="45">
        <f t="shared" si="13"/>
        <v>1.6268018062429751E-3</v>
      </c>
      <c r="R104" s="164"/>
      <c r="S104" s="165"/>
      <c r="T104" s="165"/>
      <c r="U104" s="166"/>
      <c r="V104" s="167"/>
      <c r="W104" s="167"/>
      <c r="X104" s="167"/>
      <c r="Y104" s="167"/>
      <c r="Z104" s="167"/>
      <c r="AA104" s="167"/>
    </row>
    <row r="105" spans="1:27" ht="15.6">
      <c r="A105" s="45">
        <f t="array" ref="A105">IFERROR(INDEX(baseline!$A$3:$A$201,MATCH($C105&amp;$D105,baseline!$C$3:$C$201&amp;baseline!$D$3:$D$201,0)),"NA")</f>
        <v>21</v>
      </c>
      <c r="B105" s="45" t="s">
        <v>951</v>
      </c>
      <c r="C105" s="117" t="s">
        <v>2</v>
      </c>
      <c r="D105" s="45" t="s">
        <v>13</v>
      </c>
      <c r="E105" s="45">
        <v>2023</v>
      </c>
      <c r="F105" s="174">
        <f t="shared" si="17"/>
        <v>833</v>
      </c>
      <c r="G105" s="174">
        <v>326</v>
      </c>
      <c r="H105" s="174">
        <v>507</v>
      </c>
      <c r="I105" s="174">
        <v>0</v>
      </c>
      <c r="J105" s="174">
        <v>0</v>
      </c>
      <c r="K105" s="174">
        <v>0</v>
      </c>
      <c r="L105" s="174">
        <v>0</v>
      </c>
      <c r="M105" s="45">
        <f t="shared" si="13"/>
        <v>4.1064421351527224E-3</v>
      </c>
      <c r="R105" s="164"/>
      <c r="S105" s="165"/>
      <c r="T105" s="165"/>
      <c r="U105" s="166"/>
      <c r="V105" s="167"/>
      <c r="W105" s="167"/>
      <c r="X105" s="167"/>
      <c r="Y105" s="167"/>
      <c r="Z105" s="167"/>
      <c r="AA105" s="167"/>
    </row>
    <row r="106" spans="1:27" ht="15.6">
      <c r="A106" s="45">
        <f t="array" ref="A106">IFERROR(INDEX(baseline!$A$3:$A$201,MATCH($C106&amp;$D106,baseline!$C$3:$C$201&amp;baseline!$D$3:$D$201,0)),"NA")</f>
        <v>22</v>
      </c>
      <c r="B106" s="45" t="s">
        <v>951</v>
      </c>
      <c r="C106" s="117" t="s">
        <v>2</v>
      </c>
      <c r="D106" s="45" t="s">
        <v>14</v>
      </c>
      <c r="E106" s="45">
        <v>2023</v>
      </c>
      <c r="F106" s="174">
        <f t="shared" si="17"/>
        <v>8824</v>
      </c>
      <c r="G106" s="174">
        <v>76</v>
      </c>
      <c r="H106" s="174">
        <v>8006</v>
      </c>
      <c r="I106" s="174">
        <v>742</v>
      </c>
      <c r="J106" s="174">
        <v>0</v>
      </c>
      <c r="K106" s="174">
        <v>0</v>
      </c>
      <c r="L106" s="174">
        <v>0</v>
      </c>
      <c r="M106" s="45">
        <f t="shared" si="13"/>
        <v>4.3499694358448526E-2</v>
      </c>
      <c r="R106" s="164"/>
      <c r="S106" s="165"/>
      <c r="T106" s="165"/>
      <c r="U106" s="166"/>
      <c r="V106" s="167"/>
      <c r="W106" s="167"/>
      <c r="X106" s="167"/>
      <c r="Y106" s="167"/>
      <c r="Z106" s="167"/>
      <c r="AA106" s="167"/>
    </row>
    <row r="107" spans="1:27" ht="15.6">
      <c r="A107" s="45">
        <f t="array" ref="A107">IFERROR(INDEX(baseline!$A$3:$A$201,MATCH($C107&amp;$D107,baseline!$C$3:$C$201&amp;baseline!$D$3:$D$201,0)),"NA")</f>
        <v>23</v>
      </c>
      <c r="B107" s="45" t="s">
        <v>951</v>
      </c>
      <c r="C107" s="117" t="s">
        <v>2</v>
      </c>
      <c r="D107" s="45" t="s">
        <v>546</v>
      </c>
      <c r="E107" s="45">
        <v>2023</v>
      </c>
      <c r="F107" s="174">
        <f t="shared" si="17"/>
        <v>501</v>
      </c>
      <c r="G107" s="174">
        <v>0</v>
      </c>
      <c r="H107" s="174">
        <v>428</v>
      </c>
      <c r="I107" s="174">
        <v>73</v>
      </c>
      <c r="J107" s="174">
        <v>0</v>
      </c>
      <c r="K107" s="174">
        <v>0</v>
      </c>
      <c r="L107" s="174">
        <v>0</v>
      </c>
      <c r="M107" s="45">
        <f t="shared" si="13"/>
        <v>2.4697809240234259E-3</v>
      </c>
      <c r="R107" s="170"/>
      <c r="S107" s="25"/>
      <c r="T107" s="25"/>
      <c r="U107" s="171"/>
      <c r="V107" s="171"/>
      <c r="W107" s="171"/>
      <c r="X107" s="171"/>
      <c r="Y107" s="171"/>
      <c r="Z107" s="171"/>
      <c r="AA107" s="171"/>
    </row>
    <row r="108" spans="1:27" ht="15.6">
      <c r="A108" s="45">
        <f t="array" ref="A108">IFERROR(INDEX(baseline!$A$3:$A$201,MATCH($C108&amp;$D108,baseline!$C$3:$C$201&amp;baseline!$D$3:$D$201,0)),"NA")</f>
        <v>1</v>
      </c>
      <c r="B108" s="45" t="s">
        <v>952</v>
      </c>
      <c r="C108" s="117" t="s">
        <v>0</v>
      </c>
      <c r="D108" s="45" t="s">
        <v>881</v>
      </c>
      <c r="E108" s="45">
        <v>2023</v>
      </c>
      <c r="F108" s="174">
        <f t="shared" si="17"/>
        <v>20067</v>
      </c>
      <c r="G108" s="174">
        <v>17024</v>
      </c>
      <c r="H108" s="174">
        <v>3043</v>
      </c>
      <c r="I108" s="174">
        <v>0</v>
      </c>
      <c r="J108" s="174">
        <v>0</v>
      </c>
      <c r="K108" s="174">
        <v>0</v>
      </c>
      <c r="L108" s="174">
        <v>0</v>
      </c>
      <c r="M108" s="45">
        <f t="shared" si="13"/>
        <v>9.8924338926902375E-2</v>
      </c>
      <c r="R108" s="25"/>
      <c r="S108" s="25"/>
      <c r="T108" s="25"/>
      <c r="U108" s="25"/>
      <c r="V108" s="25"/>
      <c r="W108" s="25"/>
      <c r="X108" s="25"/>
      <c r="Y108" s="25"/>
      <c r="Z108" s="25"/>
      <c r="AA108" s="25"/>
    </row>
    <row r="109" spans="1:27" ht="15.6">
      <c r="B109" s="45" t="s">
        <v>952</v>
      </c>
      <c r="C109" s="117" t="s">
        <v>0</v>
      </c>
      <c r="D109" s="45" t="s">
        <v>546</v>
      </c>
      <c r="E109" s="45">
        <v>2023</v>
      </c>
      <c r="F109" s="174">
        <f t="shared" ref="F109" si="19">SUM(G109:I109)</f>
        <v>5000</v>
      </c>
      <c r="G109" s="174">
        <v>0</v>
      </c>
      <c r="H109" s="174">
        <v>5000</v>
      </c>
      <c r="I109" s="174">
        <v>0</v>
      </c>
      <c r="J109" s="174">
        <v>0</v>
      </c>
      <c r="K109" s="174">
        <v>0</v>
      </c>
      <c r="L109" s="174">
        <v>0</v>
      </c>
      <c r="M109" s="45">
        <f t="shared" si="13"/>
        <v>2.4648512215802654E-2</v>
      </c>
      <c r="R109" s="25"/>
      <c r="S109" s="25"/>
      <c r="T109" s="25"/>
      <c r="U109" s="25"/>
      <c r="V109" s="25"/>
      <c r="W109" s="25"/>
      <c r="X109" s="25"/>
      <c r="Y109" s="25"/>
      <c r="Z109" s="25"/>
      <c r="AA109" s="25"/>
    </row>
    <row r="110" spans="1:27" ht="15.6">
      <c r="A110" s="45" t="str">
        <f t="array" ref="A110">IFERROR(INDEX(baseline!$A$3:$A$201,MATCH($C110&amp;$D110,baseline!$C$3:$C$201&amp;baseline!$D$3:$D$201,0)),"NA")</f>
        <v>NA</v>
      </c>
      <c r="B110" s="45" t="s">
        <v>953</v>
      </c>
      <c r="C110" s="117" t="s">
        <v>712</v>
      </c>
      <c r="D110" s="45" t="s">
        <v>881</v>
      </c>
      <c r="E110" s="45">
        <v>2023</v>
      </c>
      <c r="F110" s="174">
        <f t="shared" si="17"/>
        <v>294</v>
      </c>
      <c r="G110" s="174">
        <v>0</v>
      </c>
      <c r="H110" s="174">
        <v>294</v>
      </c>
      <c r="I110" s="174">
        <v>0</v>
      </c>
      <c r="J110" s="174">
        <v>0</v>
      </c>
      <c r="K110" s="174">
        <v>0</v>
      </c>
      <c r="L110" s="174">
        <v>0</v>
      </c>
      <c r="M110" s="45">
        <f t="shared" si="13"/>
        <v>1.4493325182891961E-3</v>
      </c>
      <c r="R110" s="163"/>
      <c r="S110" s="163"/>
      <c r="T110" s="163"/>
      <c r="U110" s="163"/>
      <c r="V110" s="163"/>
      <c r="W110" s="163"/>
      <c r="X110" s="163"/>
      <c r="Y110" s="163"/>
      <c r="Z110" s="163"/>
      <c r="AA110" s="163"/>
    </row>
    <row r="111" spans="1:27" ht="15.6">
      <c r="A111" s="45" t="str">
        <f t="array" ref="A111">IFERROR(INDEX(baseline!$A$3:$A$201,MATCH($C111&amp;$D111,baseline!$C$3:$C$201&amp;baseline!$D$3:$D$201,0)),"NA")</f>
        <v>NA</v>
      </c>
      <c r="B111" s="45" t="s">
        <v>953</v>
      </c>
      <c r="C111" s="117" t="s">
        <v>712</v>
      </c>
      <c r="D111" s="45" t="s">
        <v>13</v>
      </c>
      <c r="E111" s="45">
        <v>2023</v>
      </c>
      <c r="F111" s="174">
        <f t="shared" si="17"/>
        <v>101</v>
      </c>
      <c r="G111" s="174">
        <v>0</v>
      </c>
      <c r="H111" s="174">
        <v>101</v>
      </c>
      <c r="I111" s="174">
        <v>0</v>
      </c>
      <c r="J111" s="174">
        <v>0</v>
      </c>
      <c r="K111" s="174">
        <v>0</v>
      </c>
      <c r="L111" s="174">
        <v>0</v>
      </c>
      <c r="M111" s="45">
        <f t="shared" si="13"/>
        <v>4.9789994675921367E-4</v>
      </c>
      <c r="R111" s="164"/>
      <c r="S111" s="165"/>
      <c r="T111" s="165"/>
      <c r="U111" s="166"/>
      <c r="V111" s="167"/>
      <c r="W111" s="167"/>
      <c r="X111" s="167"/>
      <c r="Y111" s="167"/>
      <c r="Z111" s="167"/>
      <c r="AA111" s="167"/>
    </row>
    <row r="112" spans="1:27" ht="15.6">
      <c r="A112" s="45">
        <f t="array" ref="A112">IFERROR(INDEX(baseline!$A$3:$A$201,MATCH($C112&amp;$D112,baseline!$C$3:$C$201&amp;baseline!$D$3:$D$201,0)),"NA")</f>
        <v>19</v>
      </c>
      <c r="B112" s="45" t="s">
        <v>953</v>
      </c>
      <c r="C112" s="117" t="s">
        <v>712</v>
      </c>
      <c r="D112" s="45" t="s">
        <v>14</v>
      </c>
      <c r="E112" s="45">
        <v>2023</v>
      </c>
      <c r="F112" s="174">
        <f t="shared" si="17"/>
        <v>15831</v>
      </c>
      <c r="G112" s="174">
        <v>0</v>
      </c>
      <c r="H112" s="174">
        <v>15831</v>
      </c>
      <c r="I112" s="174">
        <v>0</v>
      </c>
      <c r="J112" s="174">
        <v>0</v>
      </c>
      <c r="K112" s="174">
        <v>0</v>
      </c>
      <c r="L112" s="174">
        <v>0</v>
      </c>
      <c r="M112" s="45">
        <f t="shared" si="13"/>
        <v>7.8042119377674357E-2</v>
      </c>
      <c r="R112" s="164"/>
      <c r="S112" s="165"/>
      <c r="T112" s="165"/>
      <c r="U112" s="166"/>
      <c r="V112" s="167"/>
      <c r="W112" s="167"/>
      <c r="X112" s="167"/>
      <c r="Y112" s="167"/>
      <c r="Z112" s="167"/>
      <c r="AA112" s="167"/>
    </row>
    <row r="113" spans="1:27" ht="15.6">
      <c r="A113" s="45" t="str">
        <f t="array" ref="A113">IFERROR(INDEX(baseline!$A$3:$A$201,MATCH($C113&amp;$D113,baseline!$C$3:$C$201&amp;baseline!$D$3:$D$201,0)),"NA")</f>
        <v>NA</v>
      </c>
      <c r="B113" s="45" t="s">
        <v>954</v>
      </c>
      <c r="C113" s="117" t="s">
        <v>762</v>
      </c>
      <c r="D113" s="45" t="s">
        <v>12</v>
      </c>
      <c r="E113" s="45">
        <v>2023</v>
      </c>
      <c r="F113" s="174">
        <f t="shared" si="17"/>
        <v>13740</v>
      </c>
      <c r="G113" s="174">
        <v>7729</v>
      </c>
      <c r="H113" s="174">
        <v>6011</v>
      </c>
      <c r="I113" s="174">
        <v>0</v>
      </c>
      <c r="J113" s="174">
        <v>0</v>
      </c>
      <c r="K113" s="174">
        <v>0</v>
      </c>
      <c r="L113" s="174">
        <v>0</v>
      </c>
      <c r="M113" s="45">
        <f t="shared" si="13"/>
        <v>6.7734111569025687E-2</v>
      </c>
      <c r="R113" s="164"/>
      <c r="S113" s="165"/>
      <c r="T113" s="165"/>
      <c r="U113" s="166"/>
      <c r="V113" s="167"/>
      <c r="W113" s="167"/>
      <c r="X113" s="167"/>
      <c r="Y113" s="167"/>
      <c r="Z113" s="167"/>
      <c r="AA113" s="167"/>
    </row>
    <row r="114" spans="1:27" ht="15.6">
      <c r="A114" s="45">
        <f t="array" ref="A114">IFERROR(INDEX(baseline!$A$3:$A$201,MATCH($C114&amp;$D114,baseline!$C$3:$C$201&amp;baseline!$D$3:$D$201,0)),"NA")</f>
        <v>14</v>
      </c>
      <c r="B114" s="45" t="s">
        <v>954</v>
      </c>
      <c r="C114" s="117" t="s">
        <v>762</v>
      </c>
      <c r="D114" s="45" t="s">
        <v>13</v>
      </c>
      <c r="E114" s="45">
        <v>2023</v>
      </c>
      <c r="F114" s="174">
        <f t="shared" si="17"/>
        <v>2220</v>
      </c>
      <c r="G114" s="174">
        <v>0</v>
      </c>
      <c r="H114" s="174">
        <v>2220</v>
      </c>
      <c r="I114" s="174">
        <v>0</v>
      </c>
      <c r="J114" s="174">
        <v>0</v>
      </c>
      <c r="K114" s="174">
        <v>0</v>
      </c>
      <c r="L114" s="174">
        <v>0</v>
      </c>
      <c r="M114" s="45">
        <f t="shared" si="13"/>
        <v>1.0943939423816378E-2</v>
      </c>
      <c r="R114" s="164"/>
      <c r="S114" s="165"/>
      <c r="T114" s="165"/>
      <c r="U114" s="166"/>
      <c r="V114" s="167"/>
      <c r="W114" s="167"/>
      <c r="X114" s="167"/>
      <c r="Y114" s="167"/>
      <c r="Z114" s="167"/>
      <c r="AA114" s="167"/>
    </row>
    <row r="115" spans="1:27" ht="15.6">
      <c r="A115" s="45">
        <f t="array" ref="A115">IFERROR(INDEX(baseline!$A$3:$A$201,MATCH($C115&amp;$D115,baseline!$C$3:$C$201&amp;baseline!$D$3:$D$201,0)),"NA")</f>
        <v>15</v>
      </c>
      <c r="B115" s="45" t="s">
        <v>954</v>
      </c>
      <c r="C115" s="117" t="s">
        <v>762</v>
      </c>
      <c r="D115" s="45" t="s">
        <v>14</v>
      </c>
      <c r="E115" s="45">
        <v>2023</v>
      </c>
      <c r="F115" s="174">
        <f t="shared" si="17"/>
        <v>17682</v>
      </c>
      <c r="G115" s="174">
        <v>11024</v>
      </c>
      <c r="H115" s="174">
        <v>6658</v>
      </c>
      <c r="I115" s="174">
        <v>0</v>
      </c>
      <c r="J115" s="174">
        <v>0</v>
      </c>
      <c r="K115" s="174">
        <v>0</v>
      </c>
      <c r="L115" s="174">
        <v>0</v>
      </c>
      <c r="M115" s="45">
        <f t="shared" si="13"/>
        <v>8.7166998599964504E-2</v>
      </c>
      <c r="R115" s="164"/>
      <c r="S115" s="165"/>
      <c r="T115" s="165"/>
      <c r="U115" s="166"/>
      <c r="V115" s="167"/>
      <c r="W115" s="167"/>
      <c r="X115" s="167"/>
      <c r="Y115" s="167"/>
      <c r="Z115" s="167"/>
      <c r="AA115" s="167"/>
    </row>
    <row r="116" spans="1:27" ht="15.6">
      <c r="A116" s="45">
        <f t="array" ref="A116">IFERROR(INDEX(baseline!$A$3:$A$201,MATCH($C116&amp;$D116,baseline!$C$3:$C$201&amp;baseline!$D$3:$D$201,0)),"NA")</f>
        <v>16</v>
      </c>
      <c r="B116" s="45" t="s">
        <v>955</v>
      </c>
      <c r="C116" s="117" t="s">
        <v>763</v>
      </c>
      <c r="D116" s="45" t="s">
        <v>13</v>
      </c>
      <c r="E116" s="45">
        <v>2023</v>
      </c>
      <c r="F116" s="174">
        <f t="shared" ref="F116" si="20">SUM(G116:I116)</f>
        <v>815</v>
      </c>
      <c r="G116" s="174">
        <v>0</v>
      </c>
      <c r="H116" s="174">
        <v>803</v>
      </c>
      <c r="I116" s="174">
        <v>12</v>
      </c>
      <c r="J116" s="174">
        <v>0</v>
      </c>
      <c r="K116" s="174">
        <v>0</v>
      </c>
      <c r="L116" s="174">
        <v>0</v>
      </c>
      <c r="M116" s="45">
        <f t="shared" si="13"/>
        <v>4.0177074911758323E-3</v>
      </c>
      <c r="R116" s="164"/>
      <c r="S116" s="165"/>
      <c r="T116" s="165"/>
      <c r="U116" s="166"/>
      <c r="V116" s="167"/>
      <c r="W116" s="167"/>
      <c r="X116" s="167"/>
      <c r="Y116" s="167"/>
      <c r="Z116" s="167"/>
      <c r="AA116" s="167"/>
    </row>
    <row r="117" spans="1:27" ht="15.6">
      <c r="A117" s="45">
        <f t="array" ref="A117">IFERROR(INDEX(baseline!$A$3:$A$201,MATCH($C117&amp;$D117,baseline!$C$3:$C$201&amp;baseline!$D$3:$D$201,0)),"NA")</f>
        <v>17</v>
      </c>
      <c r="B117" s="45" t="s">
        <v>955</v>
      </c>
      <c r="C117" s="117" t="s">
        <v>763</v>
      </c>
      <c r="D117" s="45" t="s">
        <v>14</v>
      </c>
      <c r="E117" s="45">
        <v>2023</v>
      </c>
      <c r="F117" s="174">
        <f t="shared" si="17"/>
        <v>3259</v>
      </c>
      <c r="G117" s="174">
        <v>0</v>
      </c>
      <c r="H117" s="174">
        <v>2869</v>
      </c>
      <c r="I117" s="174">
        <v>390</v>
      </c>
      <c r="J117" s="174">
        <v>0</v>
      </c>
      <c r="K117" s="174">
        <v>0</v>
      </c>
      <c r="L117" s="174">
        <v>0</v>
      </c>
      <c r="M117" s="45">
        <f t="shared" si="13"/>
        <v>1.6065900262260169E-2</v>
      </c>
      <c r="R117" s="164"/>
      <c r="S117" s="165"/>
      <c r="T117" s="165"/>
      <c r="U117" s="166"/>
      <c r="V117" s="167"/>
      <c r="W117" s="167"/>
      <c r="X117" s="167"/>
      <c r="Y117" s="167"/>
      <c r="Z117" s="167"/>
      <c r="AA117" s="167"/>
    </row>
    <row r="118" spans="1:27" ht="15.6">
      <c r="A118" s="45">
        <f t="array" ref="A118">IFERROR(INDEX(baseline!$A$3:$A$201,MATCH($C118&amp;$D118,baseline!$C$3:$C$201&amp;baseline!$D$3:$D$201,0)),"NA")</f>
        <v>18</v>
      </c>
      <c r="B118" s="45" t="s">
        <v>955</v>
      </c>
      <c r="C118" s="117" t="s">
        <v>763</v>
      </c>
      <c r="D118" s="45" t="s">
        <v>546</v>
      </c>
      <c r="E118" s="45">
        <v>2023</v>
      </c>
      <c r="F118" s="174">
        <f t="shared" si="17"/>
        <v>501</v>
      </c>
      <c r="G118" s="174">
        <v>0</v>
      </c>
      <c r="H118" s="174">
        <v>501</v>
      </c>
      <c r="I118" s="174">
        <v>0</v>
      </c>
      <c r="J118" s="174">
        <v>0</v>
      </c>
      <c r="K118" s="174">
        <v>0</v>
      </c>
      <c r="L118" s="174">
        <v>0</v>
      </c>
      <c r="M118" s="45">
        <f t="shared" si="13"/>
        <v>2.4697809240234259E-3</v>
      </c>
      <c r="R118" s="164"/>
      <c r="S118" s="165"/>
      <c r="T118" s="165"/>
      <c r="U118" s="166"/>
      <c r="V118" s="168"/>
      <c r="W118" s="168"/>
      <c r="X118" s="168"/>
      <c r="Y118" s="168"/>
      <c r="Z118" s="168"/>
      <c r="AA118" s="168"/>
    </row>
    <row r="119" spans="1:27" ht="15.6">
      <c r="A119" s="45">
        <f t="array" ref="A119">IFERROR(INDEX(baseline!$A$3:$A$201,MATCH($C119&amp;$D119,baseline!$C$3:$C$201&amp;baseline!$D$3:$D$201,0)),"NA")</f>
        <v>3</v>
      </c>
      <c r="B119" s="45" t="s">
        <v>956</v>
      </c>
      <c r="C119" s="117" t="s">
        <v>545</v>
      </c>
      <c r="D119" s="45" t="s">
        <v>881</v>
      </c>
      <c r="E119" s="45">
        <v>2023</v>
      </c>
      <c r="F119" s="174">
        <f t="shared" si="17"/>
        <v>0</v>
      </c>
      <c r="G119" s="174">
        <v>0</v>
      </c>
      <c r="H119" s="174">
        <v>0</v>
      </c>
      <c r="I119" s="174">
        <v>0</v>
      </c>
      <c r="J119" s="174">
        <v>0</v>
      </c>
      <c r="K119" s="174">
        <v>0</v>
      </c>
      <c r="L119" s="174">
        <v>0</v>
      </c>
      <c r="M119" s="45">
        <f t="shared" si="13"/>
        <v>0</v>
      </c>
      <c r="R119" s="164"/>
      <c r="S119" s="165"/>
      <c r="T119" s="165"/>
      <c r="U119" s="166"/>
      <c r="V119" s="167"/>
      <c r="W119" s="167"/>
      <c r="X119" s="167"/>
      <c r="Y119" s="167"/>
      <c r="Z119" s="167"/>
      <c r="AA119" s="167"/>
    </row>
    <row r="120" spans="1:27" ht="15.6">
      <c r="B120" s="45" t="s">
        <v>956</v>
      </c>
      <c r="C120" s="117" t="s">
        <v>545</v>
      </c>
      <c r="D120" s="45" t="s">
        <v>546</v>
      </c>
      <c r="E120" s="45">
        <v>2023</v>
      </c>
      <c r="F120" s="174">
        <f t="shared" ref="F120" si="21">SUM(G120:I120)</f>
        <v>4000</v>
      </c>
      <c r="G120" s="174">
        <v>4000</v>
      </c>
      <c r="H120" s="174">
        <v>0</v>
      </c>
      <c r="I120" s="174">
        <v>0</v>
      </c>
      <c r="J120" s="174">
        <v>0</v>
      </c>
      <c r="K120" s="174">
        <v>0</v>
      </c>
      <c r="L120" s="174">
        <v>0</v>
      </c>
      <c r="M120" s="45">
        <f t="shared" si="13"/>
        <v>1.9718809772642124E-2</v>
      </c>
      <c r="R120" s="164"/>
      <c r="S120" s="165"/>
      <c r="T120" s="165"/>
      <c r="U120" s="166"/>
      <c r="V120" s="167"/>
      <c r="W120" s="167"/>
      <c r="X120" s="167"/>
      <c r="Y120" s="167"/>
      <c r="Z120" s="167"/>
      <c r="AA120" s="167"/>
    </row>
    <row r="121" spans="1:27" ht="15.6">
      <c r="A121" s="45">
        <f t="array" ref="A121">IFERROR(INDEX(baseline!$A$3:$A$201,MATCH($C121&amp;$D121,baseline!$C$3:$C$201&amp;baseline!$D$3:$D$201,0)),"NA")</f>
        <v>27</v>
      </c>
      <c r="B121" s="45" t="s">
        <v>957</v>
      </c>
      <c r="C121" s="117" t="s">
        <v>1</v>
      </c>
      <c r="D121" s="45" t="s">
        <v>881</v>
      </c>
      <c r="E121" s="45">
        <v>2023</v>
      </c>
      <c r="F121" s="174">
        <f t="shared" si="17"/>
        <v>5221</v>
      </c>
      <c r="G121" s="174">
        <v>3443</v>
      </c>
      <c r="H121" s="174">
        <v>1778</v>
      </c>
      <c r="I121" s="174">
        <v>0</v>
      </c>
      <c r="J121" s="174">
        <v>0</v>
      </c>
      <c r="K121" s="174">
        <v>0</v>
      </c>
      <c r="L121" s="174">
        <v>0</v>
      </c>
      <c r="M121" s="45">
        <f t="shared" si="13"/>
        <v>2.5737976455741132E-2</v>
      </c>
      <c r="R121" s="164"/>
      <c r="S121" s="165"/>
      <c r="T121" s="165"/>
      <c r="U121" s="166"/>
      <c r="V121" s="167"/>
      <c r="W121" s="167"/>
      <c r="X121" s="167"/>
      <c r="Y121" s="167"/>
      <c r="Z121" s="167"/>
      <c r="AA121" s="167"/>
    </row>
    <row r="122" spans="1:27" ht="15.6">
      <c r="A122" s="45">
        <f t="array" ref="A122">IFERROR(INDEX(baseline!$A$3:$A$201,MATCH($C122&amp;$D122,baseline!$C$3:$C$201&amp;baseline!$D$3:$D$201,0)),"NA")</f>
        <v>28</v>
      </c>
      <c r="B122" s="45" t="s">
        <v>957</v>
      </c>
      <c r="C122" s="117" t="s">
        <v>1</v>
      </c>
      <c r="D122" s="45" t="s">
        <v>14</v>
      </c>
      <c r="E122" s="45">
        <v>2023</v>
      </c>
      <c r="F122" s="174">
        <f t="shared" si="17"/>
        <v>12045</v>
      </c>
      <c r="G122" s="174">
        <v>0</v>
      </c>
      <c r="H122" s="174">
        <v>12045</v>
      </c>
      <c r="I122" s="174">
        <v>0</v>
      </c>
      <c r="J122" s="174">
        <v>0</v>
      </c>
      <c r="K122" s="174">
        <v>0</v>
      </c>
      <c r="L122" s="174">
        <v>0</v>
      </c>
      <c r="M122" s="45">
        <f t="shared" si="13"/>
        <v>5.9378265927868594E-2</v>
      </c>
      <c r="R122" s="164"/>
      <c r="S122" s="165"/>
      <c r="T122" s="165"/>
      <c r="U122" s="166"/>
      <c r="V122" s="167"/>
      <c r="W122" s="167"/>
      <c r="X122" s="167"/>
      <c r="Y122" s="167"/>
      <c r="Z122" s="167"/>
      <c r="AA122" s="167"/>
    </row>
    <row r="123" spans="1:27" ht="15.6">
      <c r="A123" s="45">
        <f t="array" ref="A123">IFERROR(INDEX(baseline!$A$3:$A$201,MATCH($C123&amp;$D123,baseline!$C$3:$C$201&amp;baseline!$D$3:$D$201,0)),"NA")</f>
        <v>8</v>
      </c>
      <c r="B123" s="45" t="s">
        <v>958</v>
      </c>
      <c r="C123" s="117" t="s">
        <v>697</v>
      </c>
      <c r="D123" s="45" t="s">
        <v>881</v>
      </c>
      <c r="E123" s="45">
        <v>2023</v>
      </c>
      <c r="F123" s="174">
        <f t="shared" si="17"/>
        <v>1504</v>
      </c>
      <c r="G123" s="174">
        <v>1504</v>
      </c>
      <c r="H123" s="174">
        <v>0</v>
      </c>
      <c r="I123" s="174">
        <v>0</v>
      </c>
      <c r="J123" s="174">
        <v>0</v>
      </c>
      <c r="K123" s="174">
        <v>0</v>
      </c>
      <c r="L123" s="174">
        <v>0</v>
      </c>
      <c r="M123" s="45">
        <f t="shared" si="13"/>
        <v>7.4142724745134385E-3</v>
      </c>
      <c r="R123" s="164"/>
      <c r="S123" s="165"/>
      <c r="T123" s="165"/>
      <c r="U123" s="166"/>
      <c r="V123" s="167"/>
      <c r="W123" s="167"/>
      <c r="X123" s="167"/>
      <c r="Y123" s="167"/>
      <c r="Z123" s="167"/>
      <c r="AA123" s="167"/>
    </row>
    <row r="124" spans="1:27" ht="15.6">
      <c r="A124" s="45">
        <f t="array" ref="A124">IFERROR(INDEX(baseline!$A$3:$A$201,MATCH($C124&amp;$D124,baseline!$C$3:$C$201&amp;baseline!$D$3:$D$201,0)),"NA")</f>
        <v>9</v>
      </c>
      <c r="B124" s="45" t="s">
        <v>958</v>
      </c>
      <c r="C124" s="117" t="s">
        <v>697</v>
      </c>
      <c r="D124" s="45" t="s">
        <v>14</v>
      </c>
      <c r="E124" s="45">
        <v>2023</v>
      </c>
      <c r="F124" s="174">
        <f t="shared" si="17"/>
        <v>10986</v>
      </c>
      <c r="G124" s="174">
        <v>7670</v>
      </c>
      <c r="H124" s="174">
        <v>3316</v>
      </c>
      <c r="I124" s="174">
        <v>0</v>
      </c>
      <c r="J124" s="174">
        <v>0</v>
      </c>
      <c r="K124" s="174">
        <v>0</v>
      </c>
      <c r="L124" s="174">
        <v>0</v>
      </c>
      <c r="M124" s="45">
        <f t="shared" si="13"/>
        <v>5.4157711040561593E-2</v>
      </c>
      <c r="R124" s="164"/>
      <c r="S124" s="165"/>
      <c r="T124" s="165"/>
      <c r="U124" s="166"/>
      <c r="V124" s="167"/>
      <c r="W124" s="167"/>
      <c r="X124" s="167"/>
      <c r="Y124" s="167"/>
      <c r="Z124" s="167"/>
      <c r="AA124" s="167"/>
    </row>
    <row r="125" spans="1:27" ht="15.6">
      <c r="A125" s="45">
        <f t="array" ref="A125">IFERROR(INDEX(baseline!$A$3:$A$201,MATCH($C125&amp;$D125,baseline!$C$3:$C$201&amp;baseline!$D$3:$D$201,0)),"NA")</f>
        <v>10</v>
      </c>
      <c r="B125" s="45" t="s">
        <v>959</v>
      </c>
      <c r="C125" s="117" t="s">
        <v>713</v>
      </c>
      <c r="D125" s="45" t="s">
        <v>881</v>
      </c>
      <c r="E125" s="45">
        <v>2023</v>
      </c>
      <c r="F125" s="174">
        <f t="shared" si="17"/>
        <v>1127</v>
      </c>
      <c r="G125" s="174">
        <v>368</v>
      </c>
      <c r="H125" s="174">
        <v>759</v>
      </c>
      <c r="I125" s="174">
        <v>0</v>
      </c>
      <c r="J125" s="174">
        <v>0</v>
      </c>
      <c r="K125" s="174">
        <v>0</v>
      </c>
      <c r="L125" s="174">
        <v>0</v>
      </c>
      <c r="M125" s="45">
        <f t="shared" si="13"/>
        <v>5.5557746534419181E-3</v>
      </c>
      <c r="R125" s="164"/>
      <c r="S125" s="165"/>
      <c r="T125" s="165"/>
      <c r="U125" s="166"/>
      <c r="V125" s="167"/>
      <c r="W125" s="167"/>
      <c r="X125" s="167"/>
      <c r="Y125" s="167"/>
      <c r="Z125" s="167"/>
      <c r="AA125" s="167"/>
    </row>
    <row r="126" spans="1:27" ht="15.6">
      <c r="A126" s="45">
        <f t="array" ref="A126">IFERROR(INDEX(baseline!$A$3:$A$201,MATCH($C126&amp;$D126,baseline!$C$3:$C$201&amp;baseline!$D$3:$D$201,0)),"NA")</f>
        <v>11</v>
      </c>
      <c r="B126" s="45" t="s">
        <v>959</v>
      </c>
      <c r="C126" s="117" t="s">
        <v>713</v>
      </c>
      <c r="D126" s="45" t="s">
        <v>13</v>
      </c>
      <c r="E126" s="45">
        <v>2023</v>
      </c>
      <c r="F126" s="174">
        <f t="shared" si="17"/>
        <v>724</v>
      </c>
      <c r="G126" s="174">
        <v>0</v>
      </c>
      <c r="H126" s="174">
        <v>724</v>
      </c>
      <c r="I126" s="174">
        <v>0</v>
      </c>
      <c r="J126" s="174">
        <v>0</v>
      </c>
      <c r="K126" s="174">
        <v>0</v>
      </c>
      <c r="L126" s="174">
        <v>0</v>
      </c>
      <c r="M126" s="45">
        <f t="shared" si="13"/>
        <v>3.5691045688482242E-3</v>
      </c>
      <c r="R126" s="164"/>
      <c r="S126" s="165"/>
      <c r="T126" s="165"/>
      <c r="U126" s="166"/>
      <c r="V126" s="167"/>
      <c r="W126" s="167"/>
      <c r="X126" s="167"/>
      <c r="Y126" s="167"/>
      <c r="Z126" s="167"/>
      <c r="AA126" s="167"/>
    </row>
    <row r="127" spans="1:27" ht="15.6">
      <c r="A127" s="45">
        <f t="array" ref="A127">IFERROR(INDEX(baseline!$A$3:$A$201,MATCH($C127&amp;$D127,baseline!$C$3:$C$201&amp;baseline!$D$3:$D$201,0)),"NA")</f>
        <v>12</v>
      </c>
      <c r="B127" s="45" t="s">
        <v>959</v>
      </c>
      <c r="C127" s="117" t="s">
        <v>713</v>
      </c>
      <c r="D127" s="45" t="s">
        <v>14</v>
      </c>
      <c r="E127" s="45">
        <v>2023</v>
      </c>
      <c r="F127" s="174">
        <f t="shared" si="17"/>
        <v>4736</v>
      </c>
      <c r="G127" s="174">
        <v>1050</v>
      </c>
      <c r="H127" s="174">
        <v>3686</v>
      </c>
      <c r="I127" s="174">
        <v>0</v>
      </c>
      <c r="J127" s="174">
        <v>0</v>
      </c>
      <c r="K127" s="174">
        <v>0</v>
      </c>
      <c r="L127" s="174">
        <v>0</v>
      </c>
      <c r="M127" s="45">
        <f t="shared" si="13"/>
        <v>2.3347070770808272E-2</v>
      </c>
      <c r="R127" s="164"/>
      <c r="S127" s="165"/>
      <c r="T127" s="165"/>
      <c r="U127" s="166"/>
      <c r="V127" s="168"/>
      <c r="W127" s="168"/>
      <c r="X127" s="168"/>
      <c r="Y127" s="168"/>
      <c r="Z127" s="168"/>
      <c r="AA127" s="168"/>
    </row>
    <row r="128" spans="1:27" ht="15.6">
      <c r="A128" s="45">
        <f t="array" ref="A128">IFERROR(INDEX(baseline!$A$3:$A$201,MATCH($C128&amp;$D128,baseline!$C$3:$C$201&amp;baseline!$D$3:$D$201,0)),"NA")</f>
        <v>2</v>
      </c>
      <c r="B128" s="45" t="s">
        <v>960</v>
      </c>
      <c r="C128" s="117" t="s">
        <v>78</v>
      </c>
      <c r="D128" s="45" t="s">
        <v>881</v>
      </c>
      <c r="E128" s="45">
        <v>2023</v>
      </c>
      <c r="F128" s="174">
        <f t="shared" si="17"/>
        <v>0</v>
      </c>
      <c r="G128" s="174">
        <v>0</v>
      </c>
      <c r="H128" s="174">
        <v>0</v>
      </c>
      <c r="I128" s="174">
        <v>0</v>
      </c>
      <c r="J128" s="174">
        <v>0</v>
      </c>
      <c r="K128" s="174">
        <v>0</v>
      </c>
      <c r="L128" s="174">
        <v>0</v>
      </c>
      <c r="M128" s="45">
        <f t="shared" si="13"/>
        <v>0</v>
      </c>
      <c r="R128" s="164"/>
      <c r="S128" s="165"/>
      <c r="T128" s="165"/>
      <c r="U128" s="166"/>
      <c r="V128" s="167"/>
      <c r="W128" s="167"/>
      <c r="X128" s="167"/>
      <c r="Y128" s="167"/>
      <c r="Z128" s="167"/>
      <c r="AA128" s="167"/>
    </row>
    <row r="129" spans="1:27" ht="15.6">
      <c r="B129" s="45" t="s">
        <v>960</v>
      </c>
      <c r="C129" s="117" t="s">
        <v>78</v>
      </c>
      <c r="D129" s="45" t="s">
        <v>1091</v>
      </c>
      <c r="E129" s="45">
        <v>2023</v>
      </c>
      <c r="F129" s="174">
        <f t="shared" ref="F129" si="22">SUM(G129:I129)</f>
        <v>1500</v>
      </c>
      <c r="G129" s="174">
        <v>1500</v>
      </c>
      <c r="H129" s="174">
        <v>0</v>
      </c>
      <c r="I129" s="174">
        <v>0</v>
      </c>
      <c r="J129" s="174">
        <v>0</v>
      </c>
      <c r="K129" s="174">
        <v>0</v>
      </c>
      <c r="L129" s="174">
        <v>0</v>
      </c>
      <c r="M129" s="45">
        <f t="shared" si="13"/>
        <v>7.3945536647407962E-3</v>
      </c>
      <c r="R129" s="164"/>
      <c r="S129" s="165"/>
      <c r="T129" s="165"/>
      <c r="U129" s="166"/>
      <c r="V129" s="167"/>
      <c r="W129" s="167"/>
      <c r="X129" s="167"/>
      <c r="Y129" s="167"/>
      <c r="Z129" s="167"/>
      <c r="AA129" s="167"/>
    </row>
    <row r="130" spans="1:27" ht="15.6">
      <c r="A130" s="45">
        <f t="array" ref="A130">IFERROR(INDEX(baseline!$A$3:$A$201,MATCH($C130&amp;$D130,baseline!$C$3:$C$201&amp;baseline!$D$3:$D$201,0)),"NA")</f>
        <v>5</v>
      </c>
      <c r="B130" s="45" t="s">
        <v>949</v>
      </c>
      <c r="C130" s="117" t="s">
        <v>761</v>
      </c>
      <c r="D130" s="45" t="s">
        <v>881</v>
      </c>
      <c r="E130" s="45">
        <v>2025</v>
      </c>
      <c r="F130" s="174">
        <f>SUM(G130:I130)</f>
        <v>21679</v>
      </c>
      <c r="G130" s="174">
        <v>21679</v>
      </c>
      <c r="H130" s="174">
        <v>0</v>
      </c>
      <c r="I130" s="174">
        <v>0</v>
      </c>
      <c r="J130" s="174">
        <v>0</v>
      </c>
      <c r="K130" s="174">
        <v>0</v>
      </c>
      <c r="L130" s="174">
        <v>0</v>
      </c>
      <c r="M130" s="45">
        <f t="shared" si="13"/>
        <v>0.1100071548543911</v>
      </c>
      <c r="R130" s="164"/>
      <c r="S130" s="165"/>
      <c r="T130" s="165"/>
      <c r="U130" s="166"/>
      <c r="V130" s="167"/>
      <c r="W130" s="167"/>
      <c r="X130" s="167"/>
      <c r="Y130" s="167"/>
      <c r="Z130" s="167"/>
      <c r="AA130" s="167"/>
    </row>
    <row r="131" spans="1:27" ht="15.6">
      <c r="A131" s="45">
        <f t="array" ref="A131">IFERROR(INDEX(baseline!$A$3:$A$201,MATCH($C131&amp;$D131,baseline!$C$3:$C$201&amp;baseline!$D$3:$D$201,0)),"NA")</f>
        <v>6</v>
      </c>
      <c r="B131" s="45" t="s">
        <v>949</v>
      </c>
      <c r="C131" s="117" t="s">
        <v>761</v>
      </c>
      <c r="D131" s="45" t="s">
        <v>13</v>
      </c>
      <c r="E131" s="45">
        <v>2025</v>
      </c>
      <c r="F131" s="174">
        <f t="shared" ref="F131:F161" si="23">SUM(G131:I131)</f>
        <v>6231</v>
      </c>
      <c r="G131" s="174">
        <v>0</v>
      </c>
      <c r="H131" s="174">
        <v>6231</v>
      </c>
      <c r="I131" s="174">
        <v>0</v>
      </c>
      <c r="J131" s="174">
        <v>0</v>
      </c>
      <c r="K131" s="174">
        <v>0</v>
      </c>
      <c r="L131" s="174">
        <v>0</v>
      </c>
      <c r="M131" s="45">
        <f t="shared" ref="M131:M194" si="24">F131/SUMIFS($F$2:$F$294,$E$2:$E$294,E131)</f>
        <v>3.1618367170889387E-2</v>
      </c>
      <c r="R131" s="164"/>
      <c r="S131" s="165"/>
      <c r="T131" s="165"/>
      <c r="U131" s="166"/>
      <c r="V131" s="167"/>
      <c r="W131" s="167"/>
      <c r="X131" s="167"/>
      <c r="Y131" s="167"/>
      <c r="Z131" s="167"/>
      <c r="AA131" s="167"/>
    </row>
    <row r="132" spans="1:27" ht="15.6">
      <c r="A132" s="45">
        <f t="array" ref="A132">IFERROR(INDEX(baseline!$A$3:$A$201,MATCH($C132&amp;$D132,baseline!$C$3:$C$201&amp;baseline!$D$3:$D$201,0)),"NA")</f>
        <v>7</v>
      </c>
      <c r="B132" s="45" t="s">
        <v>949</v>
      </c>
      <c r="C132" s="117" t="s">
        <v>761</v>
      </c>
      <c r="D132" s="45" t="s">
        <v>14</v>
      </c>
      <c r="E132" s="45">
        <v>2025</v>
      </c>
      <c r="F132" s="174">
        <f t="shared" si="23"/>
        <v>7269</v>
      </c>
      <c r="G132" s="174">
        <v>0</v>
      </c>
      <c r="H132" s="174">
        <v>7269</v>
      </c>
      <c r="I132" s="174">
        <v>0</v>
      </c>
      <c r="J132" s="174">
        <v>0</v>
      </c>
      <c r="K132" s="174">
        <v>0</v>
      </c>
      <c r="L132" s="174">
        <v>0</v>
      </c>
      <c r="M132" s="45">
        <f t="shared" si="24"/>
        <v>3.688555785029609E-2</v>
      </c>
      <c r="R132" s="164"/>
      <c r="S132" s="165"/>
      <c r="T132" s="165"/>
      <c r="U132" s="166"/>
      <c r="V132" s="167"/>
      <c r="W132" s="167"/>
      <c r="X132" s="167"/>
      <c r="Y132" s="167"/>
      <c r="Z132" s="167"/>
      <c r="AA132" s="167"/>
    </row>
    <row r="133" spans="1:27" ht="15.6">
      <c r="B133" s="45" t="s">
        <v>949</v>
      </c>
      <c r="C133" s="117" t="s">
        <v>761</v>
      </c>
      <c r="D133" s="45" t="s">
        <v>546</v>
      </c>
      <c r="E133" s="45">
        <v>2025</v>
      </c>
      <c r="F133" s="174">
        <f t="shared" ref="F133" si="25">SUM(G133:I133)</f>
        <v>23000</v>
      </c>
      <c r="G133" s="174">
        <v>23000</v>
      </c>
      <c r="H133" s="174">
        <v>0</v>
      </c>
      <c r="I133" s="174">
        <v>0</v>
      </c>
      <c r="J133" s="174">
        <v>0</v>
      </c>
      <c r="K133" s="174">
        <v>0</v>
      </c>
      <c r="L133" s="174">
        <v>0</v>
      </c>
      <c r="M133" s="45">
        <f t="shared" si="24"/>
        <v>0.11671039077683451</v>
      </c>
      <c r="R133" s="164"/>
      <c r="S133" s="165"/>
      <c r="T133" s="165"/>
      <c r="U133" s="166"/>
      <c r="V133" s="167"/>
      <c r="W133" s="167"/>
      <c r="X133" s="167"/>
      <c r="Y133" s="167"/>
      <c r="Z133" s="167"/>
      <c r="AA133" s="167"/>
    </row>
    <row r="134" spans="1:27" ht="15.6">
      <c r="A134" s="45">
        <f t="array" ref="A134">IFERROR(INDEX(baseline!$A$3:$A$201,MATCH($C134&amp;$D134,baseline!$C$3:$C$201&amp;baseline!$D$3:$D$201,0)),"NA")</f>
        <v>24</v>
      </c>
      <c r="B134" s="45" t="s">
        <v>950</v>
      </c>
      <c r="C134" s="117" t="s">
        <v>547</v>
      </c>
      <c r="D134" s="45" t="s">
        <v>881</v>
      </c>
      <c r="E134" s="45">
        <v>2025</v>
      </c>
      <c r="F134" s="174">
        <f t="shared" si="23"/>
        <v>6832</v>
      </c>
      <c r="G134" s="174">
        <v>3118</v>
      </c>
      <c r="H134" s="174">
        <v>3714</v>
      </c>
      <c r="I134" s="174">
        <v>0</v>
      </c>
      <c r="J134" s="174">
        <v>0</v>
      </c>
      <c r="K134" s="174">
        <v>0</v>
      </c>
      <c r="L134" s="174">
        <v>0</v>
      </c>
      <c r="M134" s="45">
        <f t="shared" si="24"/>
        <v>3.4668060425536232E-2</v>
      </c>
      <c r="R134" s="164"/>
      <c r="S134" s="165"/>
      <c r="T134" s="165"/>
      <c r="U134" s="166"/>
      <c r="V134" s="167"/>
      <c r="W134" s="167"/>
      <c r="X134" s="167"/>
      <c r="Y134" s="167"/>
      <c r="Z134" s="167"/>
      <c r="AA134" s="167"/>
    </row>
    <row r="135" spans="1:27" ht="15.6">
      <c r="A135" s="45">
        <f t="array" ref="A135">IFERROR(INDEX(baseline!$A$3:$A$201,MATCH($C135&amp;$D135,baseline!$C$3:$C$201&amp;baseline!$D$3:$D$201,0)),"NA")</f>
        <v>25</v>
      </c>
      <c r="B135" s="45" t="s">
        <v>950</v>
      </c>
      <c r="C135" s="117" t="s">
        <v>547</v>
      </c>
      <c r="D135" s="45" t="s">
        <v>14</v>
      </c>
      <c r="E135" s="45">
        <v>2025</v>
      </c>
      <c r="F135" s="174">
        <f t="shared" si="23"/>
        <v>4831</v>
      </c>
      <c r="G135" s="174">
        <v>4831</v>
      </c>
      <c r="H135" s="174">
        <v>0</v>
      </c>
      <c r="I135" s="174">
        <v>0</v>
      </c>
      <c r="J135" s="174">
        <v>0</v>
      </c>
      <c r="K135" s="174">
        <v>0</v>
      </c>
      <c r="L135" s="174">
        <v>0</v>
      </c>
      <c r="M135" s="45">
        <f t="shared" si="24"/>
        <v>2.4514256427951631E-2</v>
      </c>
      <c r="R135" s="164"/>
      <c r="S135" s="165"/>
      <c r="T135" s="165"/>
      <c r="U135" s="166"/>
      <c r="V135" s="167"/>
      <c r="W135" s="167"/>
      <c r="X135" s="167"/>
      <c r="Y135" s="167"/>
      <c r="Z135" s="167"/>
      <c r="AA135" s="167"/>
    </row>
    <row r="136" spans="1:27" ht="15.6">
      <c r="A136" s="45">
        <f t="array" ref="A136">IFERROR(INDEX(baseline!$A$3:$A$201,MATCH($C136&amp;$D136,baseline!$C$3:$C$201&amp;baseline!$D$3:$D$201,0)),"NA")</f>
        <v>26</v>
      </c>
      <c r="B136" s="45" t="s">
        <v>950</v>
      </c>
      <c r="C136" s="117" t="s">
        <v>547</v>
      </c>
      <c r="D136" s="45" t="s">
        <v>546</v>
      </c>
      <c r="E136" s="45">
        <v>2025</v>
      </c>
      <c r="F136" s="174">
        <f t="shared" si="23"/>
        <v>1869</v>
      </c>
      <c r="G136" s="174">
        <v>0</v>
      </c>
      <c r="H136" s="174">
        <v>1869</v>
      </c>
      <c r="I136" s="174">
        <v>0</v>
      </c>
      <c r="J136" s="174">
        <v>0</v>
      </c>
      <c r="K136" s="174">
        <v>0</v>
      </c>
      <c r="L136" s="174">
        <v>0</v>
      </c>
      <c r="M136" s="45">
        <f t="shared" si="24"/>
        <v>9.4839878418218997E-3</v>
      </c>
      <c r="R136" s="164"/>
      <c r="S136" s="165"/>
      <c r="T136" s="165"/>
      <c r="U136" s="166"/>
      <c r="V136" s="167"/>
      <c r="W136" s="167"/>
      <c r="X136" s="167"/>
      <c r="Y136" s="167"/>
      <c r="Z136" s="167"/>
      <c r="AA136" s="167"/>
    </row>
    <row r="137" spans="1:27" ht="15.6">
      <c r="A137" s="45">
        <f t="array" ref="A137">IFERROR(INDEX(baseline!$A$3:$A$201,MATCH($C137&amp;$D137,baseline!$C$3:$C$201&amp;baseline!$D$3:$D$201,0)),"NA")</f>
        <v>20</v>
      </c>
      <c r="B137" s="45" t="s">
        <v>951</v>
      </c>
      <c r="C137" s="117" t="s">
        <v>2</v>
      </c>
      <c r="D137" s="45" t="s">
        <v>881</v>
      </c>
      <c r="E137" s="45">
        <v>2025</v>
      </c>
      <c r="F137" s="174">
        <f t="shared" si="23"/>
        <v>330</v>
      </c>
      <c r="G137" s="174">
        <v>249</v>
      </c>
      <c r="H137" s="174">
        <v>81</v>
      </c>
      <c r="I137" s="174">
        <v>0</v>
      </c>
      <c r="J137" s="174">
        <v>0</v>
      </c>
      <c r="K137" s="174">
        <v>0</v>
      </c>
      <c r="L137" s="174">
        <v>0</v>
      </c>
      <c r="M137" s="45">
        <f t="shared" si="24"/>
        <v>1.6745403894067559E-3</v>
      </c>
      <c r="R137" s="164"/>
      <c r="S137" s="165"/>
      <c r="T137" s="165"/>
      <c r="U137" s="166"/>
      <c r="V137" s="168"/>
      <c r="W137" s="168"/>
      <c r="X137" s="168"/>
      <c r="Y137" s="168"/>
      <c r="Z137" s="168"/>
      <c r="AA137" s="168"/>
    </row>
    <row r="138" spans="1:27" ht="15.6">
      <c r="A138" s="45">
        <f t="array" ref="A138">IFERROR(INDEX(baseline!$A$3:$A$201,MATCH($C138&amp;$D138,baseline!$C$3:$C$201&amp;baseline!$D$3:$D$201,0)),"NA")</f>
        <v>21</v>
      </c>
      <c r="B138" s="45" t="s">
        <v>951</v>
      </c>
      <c r="C138" s="117" t="s">
        <v>2</v>
      </c>
      <c r="D138" s="45" t="s">
        <v>13</v>
      </c>
      <c r="E138" s="45">
        <v>2025</v>
      </c>
      <c r="F138" s="174">
        <f t="shared" si="23"/>
        <v>832</v>
      </c>
      <c r="G138" s="174">
        <v>326</v>
      </c>
      <c r="H138" s="174">
        <v>506</v>
      </c>
      <c r="I138" s="174">
        <v>0</v>
      </c>
      <c r="J138" s="174">
        <v>0</v>
      </c>
      <c r="K138" s="174">
        <v>0</v>
      </c>
      <c r="L138" s="174">
        <v>0</v>
      </c>
      <c r="M138" s="45">
        <f t="shared" si="24"/>
        <v>4.221871527231579E-3</v>
      </c>
      <c r="R138" s="164"/>
      <c r="S138" s="165"/>
      <c r="T138" s="165"/>
      <c r="U138" s="166"/>
      <c r="V138" s="167"/>
      <c r="W138" s="167"/>
      <c r="X138" s="167"/>
      <c r="Y138" s="167"/>
      <c r="Z138" s="167"/>
      <c r="AA138" s="167"/>
    </row>
    <row r="139" spans="1:27" ht="15.6">
      <c r="A139" s="45">
        <f t="array" ref="A139">IFERROR(INDEX(baseline!$A$3:$A$201,MATCH($C139&amp;$D139,baseline!$C$3:$C$201&amp;baseline!$D$3:$D$201,0)),"NA")</f>
        <v>22</v>
      </c>
      <c r="B139" s="45" t="s">
        <v>951</v>
      </c>
      <c r="C139" s="117" t="s">
        <v>2</v>
      </c>
      <c r="D139" s="45" t="s">
        <v>14</v>
      </c>
      <c r="E139" s="45">
        <v>2025</v>
      </c>
      <c r="F139" s="174">
        <f t="shared" si="23"/>
        <v>8824</v>
      </c>
      <c r="G139" s="174">
        <v>76</v>
      </c>
      <c r="H139" s="174">
        <v>8006</v>
      </c>
      <c r="I139" s="174">
        <v>742</v>
      </c>
      <c r="J139" s="174">
        <v>0</v>
      </c>
      <c r="K139" s="174">
        <v>0</v>
      </c>
      <c r="L139" s="174">
        <v>0</v>
      </c>
      <c r="M139" s="45">
        <f t="shared" si="24"/>
        <v>4.4776195139773378E-2</v>
      </c>
      <c r="R139" s="164"/>
      <c r="S139" s="165"/>
      <c r="T139" s="165"/>
      <c r="U139" s="166"/>
      <c r="V139" s="167"/>
      <c r="W139" s="167"/>
      <c r="X139" s="167"/>
      <c r="Y139" s="167"/>
      <c r="Z139" s="167"/>
      <c r="AA139" s="167"/>
    </row>
    <row r="140" spans="1:27" ht="15.6">
      <c r="A140" s="45">
        <f t="array" ref="A140">IFERROR(INDEX(baseline!$A$3:$A$201,MATCH($C140&amp;$D140,baseline!$C$3:$C$201&amp;baseline!$D$3:$D$201,0)),"NA")</f>
        <v>23</v>
      </c>
      <c r="B140" s="45" t="s">
        <v>951</v>
      </c>
      <c r="C140" s="117" t="s">
        <v>2</v>
      </c>
      <c r="D140" s="45" t="s">
        <v>546</v>
      </c>
      <c r="E140" s="45">
        <v>2025</v>
      </c>
      <c r="F140" s="174">
        <f t="shared" si="23"/>
        <v>501</v>
      </c>
      <c r="G140" s="174">
        <v>0</v>
      </c>
      <c r="H140" s="174">
        <v>428</v>
      </c>
      <c r="I140" s="174">
        <v>73</v>
      </c>
      <c r="J140" s="174">
        <v>0</v>
      </c>
      <c r="K140" s="174">
        <v>0</v>
      </c>
      <c r="L140" s="174">
        <v>0</v>
      </c>
      <c r="M140" s="45">
        <f t="shared" si="24"/>
        <v>2.5422567730084386E-3</v>
      </c>
      <c r="R140" s="164"/>
      <c r="S140" s="165"/>
      <c r="T140" s="165"/>
      <c r="U140" s="166"/>
      <c r="V140" s="167"/>
      <c r="W140" s="167"/>
      <c r="X140" s="167"/>
      <c r="Y140" s="167"/>
      <c r="Z140" s="167"/>
      <c r="AA140" s="167"/>
    </row>
    <row r="141" spans="1:27" ht="15.6">
      <c r="A141" s="45">
        <f t="array" ref="A141">IFERROR(INDEX(baseline!$A$3:$A$201,MATCH($C141&amp;$D141,baseline!$C$3:$C$201&amp;baseline!$D$3:$D$201,0)),"NA")</f>
        <v>1</v>
      </c>
      <c r="B141" s="45" t="s">
        <v>952</v>
      </c>
      <c r="C141" s="117" t="s">
        <v>0</v>
      </c>
      <c r="D141" s="45" t="s">
        <v>881</v>
      </c>
      <c r="E141" s="45">
        <v>2025</v>
      </c>
      <c r="F141" s="174">
        <f t="shared" si="23"/>
        <v>20067</v>
      </c>
      <c r="G141" s="174">
        <v>17024</v>
      </c>
      <c r="H141" s="174">
        <v>3043</v>
      </c>
      <c r="I141" s="174">
        <v>0</v>
      </c>
      <c r="J141" s="174">
        <v>0</v>
      </c>
      <c r="K141" s="174">
        <v>0</v>
      </c>
      <c r="L141" s="174">
        <v>0</v>
      </c>
      <c r="M141" s="45">
        <f t="shared" si="24"/>
        <v>0.10182727877037992</v>
      </c>
      <c r="R141" s="164"/>
      <c r="S141" s="165"/>
      <c r="T141" s="165"/>
      <c r="U141" s="166"/>
      <c r="V141" s="167"/>
      <c r="W141" s="167"/>
      <c r="X141" s="167"/>
      <c r="Y141" s="167"/>
      <c r="Z141" s="167"/>
      <c r="AA141" s="167"/>
    </row>
    <row r="142" spans="1:27" ht="15.6">
      <c r="B142" s="45" t="s">
        <v>952</v>
      </c>
      <c r="C142" s="117" t="s">
        <v>0</v>
      </c>
      <c r="D142" s="45" t="s">
        <v>1091</v>
      </c>
      <c r="E142" s="45">
        <v>2025</v>
      </c>
      <c r="F142" s="174">
        <f t="shared" ref="F142" si="26">SUM(G142:I142)</f>
        <v>5000</v>
      </c>
      <c r="G142" s="174">
        <v>0</v>
      </c>
      <c r="H142" s="174">
        <v>5000</v>
      </c>
      <c r="I142" s="174">
        <v>0</v>
      </c>
      <c r="J142" s="174">
        <v>0</v>
      </c>
      <c r="K142" s="174">
        <v>0</v>
      </c>
      <c r="L142" s="174">
        <v>0</v>
      </c>
      <c r="M142" s="45">
        <f t="shared" si="24"/>
        <v>2.5371824081920544E-2</v>
      </c>
      <c r="R142" s="164"/>
      <c r="S142" s="165"/>
      <c r="T142" s="165"/>
      <c r="U142" s="166"/>
      <c r="V142" s="167"/>
      <c r="W142" s="167"/>
      <c r="X142" s="167"/>
      <c r="Y142" s="167"/>
      <c r="Z142" s="167"/>
      <c r="AA142" s="167"/>
    </row>
    <row r="143" spans="1:27" ht="15.6">
      <c r="A143" s="45" t="str">
        <f t="array" ref="A143">IFERROR(INDEX(baseline!$A$3:$A$201,MATCH($C143&amp;$D143,baseline!$C$3:$C$201&amp;baseline!$D$3:$D$201,0)),"NA")</f>
        <v>NA</v>
      </c>
      <c r="B143" s="45" t="s">
        <v>953</v>
      </c>
      <c r="C143" s="117" t="s">
        <v>712</v>
      </c>
      <c r="D143" s="45" t="s">
        <v>881</v>
      </c>
      <c r="E143" s="45">
        <v>2025</v>
      </c>
      <c r="F143" s="174">
        <f t="shared" si="23"/>
        <v>294</v>
      </c>
      <c r="G143" s="174">
        <v>0</v>
      </c>
      <c r="H143" s="174">
        <v>294</v>
      </c>
      <c r="I143" s="174">
        <v>0</v>
      </c>
      <c r="J143" s="174">
        <v>0</v>
      </c>
      <c r="K143" s="174">
        <v>0</v>
      </c>
      <c r="L143" s="174">
        <v>0</v>
      </c>
      <c r="M143" s="45">
        <f t="shared" si="24"/>
        <v>1.4918632560169281E-3</v>
      </c>
      <c r="R143" s="164"/>
      <c r="S143" s="165"/>
      <c r="T143" s="165"/>
      <c r="U143" s="166"/>
      <c r="V143" s="167"/>
      <c r="W143" s="167"/>
      <c r="X143" s="167"/>
      <c r="Y143" s="167"/>
      <c r="Z143" s="167"/>
      <c r="AA143" s="167"/>
    </row>
    <row r="144" spans="1:27" ht="15.6">
      <c r="A144" s="45" t="str">
        <f t="array" ref="A144">IFERROR(INDEX(baseline!$A$3:$A$201,MATCH($C144&amp;$D144,baseline!$C$3:$C$201&amp;baseline!$D$3:$D$201,0)),"NA")</f>
        <v>NA</v>
      </c>
      <c r="B144" s="45" t="s">
        <v>953</v>
      </c>
      <c r="C144" s="117" t="s">
        <v>712</v>
      </c>
      <c r="D144" s="45" t="s">
        <v>13</v>
      </c>
      <c r="E144" s="45">
        <v>2025</v>
      </c>
      <c r="F144" s="174">
        <f t="shared" si="23"/>
        <v>101</v>
      </c>
      <c r="G144" s="174">
        <v>0</v>
      </c>
      <c r="H144" s="174">
        <v>101</v>
      </c>
      <c r="I144" s="174">
        <v>0</v>
      </c>
      <c r="J144" s="174">
        <v>0</v>
      </c>
      <c r="K144" s="174">
        <v>0</v>
      </c>
      <c r="L144" s="174">
        <v>0</v>
      </c>
      <c r="M144" s="45">
        <f t="shared" si="24"/>
        <v>5.1251084645479502E-4</v>
      </c>
      <c r="R144" s="164"/>
      <c r="S144" s="165"/>
      <c r="T144" s="165"/>
      <c r="U144" s="166"/>
      <c r="V144" s="167"/>
      <c r="W144" s="167"/>
      <c r="X144" s="167"/>
      <c r="Y144" s="167"/>
      <c r="Z144" s="167"/>
      <c r="AA144" s="167"/>
    </row>
    <row r="145" spans="1:27" ht="15.6">
      <c r="A145" s="45">
        <f t="array" ref="A145">IFERROR(INDEX(baseline!$A$3:$A$201,MATCH($C145&amp;$D145,baseline!$C$3:$C$201&amp;baseline!$D$3:$D$201,0)),"NA")</f>
        <v>19</v>
      </c>
      <c r="B145" s="45" t="s">
        <v>953</v>
      </c>
      <c r="C145" s="117" t="s">
        <v>712</v>
      </c>
      <c r="D145" s="45" t="s">
        <v>14</v>
      </c>
      <c r="E145" s="45">
        <v>2025</v>
      </c>
      <c r="F145" s="174">
        <f t="shared" si="23"/>
        <v>15831</v>
      </c>
      <c r="G145" s="174">
        <v>0</v>
      </c>
      <c r="H145" s="174">
        <v>15831</v>
      </c>
      <c r="I145" s="174">
        <v>0</v>
      </c>
      <c r="J145" s="174">
        <v>0</v>
      </c>
      <c r="K145" s="174">
        <v>0</v>
      </c>
      <c r="L145" s="174">
        <v>0</v>
      </c>
      <c r="M145" s="45">
        <f t="shared" si="24"/>
        <v>8.0332269408176837E-2</v>
      </c>
      <c r="R145" s="164"/>
      <c r="S145" s="165"/>
      <c r="T145" s="165"/>
      <c r="U145" s="166"/>
      <c r="V145" s="167"/>
      <c r="W145" s="167"/>
      <c r="X145" s="167"/>
      <c r="Y145" s="167"/>
      <c r="Z145" s="167"/>
      <c r="AA145" s="167"/>
    </row>
    <row r="146" spans="1:27" ht="15.6">
      <c r="A146" s="45" t="str">
        <f t="array" ref="A146">IFERROR(INDEX(baseline!$A$3:$A$201,MATCH($C146&amp;$D146,baseline!$C$3:$C$201&amp;baseline!$D$3:$D$201,0)),"NA")</f>
        <v>NA</v>
      </c>
      <c r="B146" s="45" t="s">
        <v>954</v>
      </c>
      <c r="C146" s="117" t="s">
        <v>762</v>
      </c>
      <c r="D146" s="45" t="s">
        <v>12</v>
      </c>
      <c r="E146" s="45">
        <v>2025</v>
      </c>
      <c r="F146" s="174">
        <f t="shared" si="23"/>
        <v>11035</v>
      </c>
      <c r="G146" s="174">
        <v>5024</v>
      </c>
      <c r="H146" s="174">
        <v>6011</v>
      </c>
      <c r="I146" s="174">
        <v>0</v>
      </c>
      <c r="J146" s="174">
        <v>0</v>
      </c>
      <c r="K146" s="174">
        <v>0</v>
      </c>
      <c r="L146" s="174">
        <v>0</v>
      </c>
      <c r="M146" s="45">
        <f t="shared" si="24"/>
        <v>5.5995615748798647E-2</v>
      </c>
      <c r="R146" s="164"/>
      <c r="S146" s="165"/>
      <c r="T146" s="165"/>
      <c r="U146" s="166"/>
      <c r="V146" s="168"/>
      <c r="W146" s="168"/>
      <c r="X146" s="168"/>
      <c r="Y146" s="168"/>
      <c r="Z146" s="168"/>
      <c r="AA146" s="168"/>
    </row>
    <row r="147" spans="1:27" ht="15.6">
      <c r="A147" s="45">
        <f t="array" ref="A147">IFERROR(INDEX(baseline!$A$3:$A$201,MATCH($C147&amp;$D147,baseline!$C$3:$C$201&amp;baseline!$D$3:$D$201,0)),"NA")</f>
        <v>14</v>
      </c>
      <c r="B147" s="45" t="s">
        <v>954</v>
      </c>
      <c r="C147" s="117" t="s">
        <v>762</v>
      </c>
      <c r="D147" s="45" t="s">
        <v>13</v>
      </c>
      <c r="E147" s="45">
        <v>2025</v>
      </c>
      <c r="F147" s="174">
        <f t="shared" si="23"/>
        <v>2220</v>
      </c>
      <c r="G147" s="174">
        <v>0</v>
      </c>
      <c r="H147" s="174">
        <v>2220</v>
      </c>
      <c r="I147" s="174">
        <v>0</v>
      </c>
      <c r="J147" s="174">
        <v>0</v>
      </c>
      <c r="K147" s="174">
        <v>0</v>
      </c>
      <c r="L147" s="174">
        <v>0</v>
      </c>
      <c r="M147" s="45">
        <f t="shared" si="24"/>
        <v>1.1265089892372722E-2</v>
      </c>
      <c r="R147" s="164"/>
      <c r="S147" s="165"/>
      <c r="T147" s="165"/>
      <c r="U147" s="166"/>
      <c r="V147" s="167"/>
      <c r="W147" s="167"/>
      <c r="X147" s="167"/>
      <c r="Y147" s="167"/>
      <c r="Z147" s="167"/>
      <c r="AA147" s="167"/>
    </row>
    <row r="148" spans="1:27" ht="15.6">
      <c r="A148" s="45">
        <f t="array" ref="A148">IFERROR(INDEX(baseline!$A$3:$A$201,MATCH($C148&amp;$D148,baseline!$C$3:$C$201&amp;baseline!$D$3:$D$201,0)),"NA")</f>
        <v>15</v>
      </c>
      <c r="B148" s="45" t="s">
        <v>954</v>
      </c>
      <c r="C148" s="117" t="s">
        <v>762</v>
      </c>
      <c r="D148" s="45" t="s">
        <v>14</v>
      </c>
      <c r="E148" s="45">
        <v>2025</v>
      </c>
      <c r="F148" s="174">
        <f t="shared" si="23"/>
        <v>17682</v>
      </c>
      <c r="G148" s="174">
        <v>11024</v>
      </c>
      <c r="H148" s="174">
        <v>6658</v>
      </c>
      <c r="I148" s="174">
        <v>0</v>
      </c>
      <c r="J148" s="174">
        <v>0</v>
      </c>
      <c r="K148" s="174">
        <v>0</v>
      </c>
      <c r="L148" s="174">
        <v>0</v>
      </c>
      <c r="M148" s="45">
        <f t="shared" si="24"/>
        <v>8.9724918683303817E-2</v>
      </c>
      <c r="R148" s="164"/>
      <c r="S148" s="165"/>
      <c r="T148" s="165"/>
      <c r="U148" s="166"/>
      <c r="V148" s="167"/>
      <c r="W148" s="167"/>
      <c r="X148" s="167"/>
      <c r="Y148" s="167"/>
      <c r="Z148" s="167"/>
      <c r="AA148" s="167"/>
    </row>
    <row r="149" spans="1:27" ht="15.6">
      <c r="A149" s="45">
        <f t="array" ref="A149">IFERROR(INDEX(baseline!$A$3:$A$201,MATCH($C149&amp;$D149,baseline!$C$3:$C$201&amp;baseline!$D$3:$D$201,0)),"NA")</f>
        <v>16</v>
      </c>
      <c r="B149" s="45" t="s">
        <v>955</v>
      </c>
      <c r="C149" s="117" t="s">
        <v>763</v>
      </c>
      <c r="D149" s="45" t="s">
        <v>13</v>
      </c>
      <c r="E149" s="45">
        <v>2025</v>
      </c>
      <c r="F149" s="174">
        <f t="shared" si="23"/>
        <v>815</v>
      </c>
      <c r="G149" s="174">
        <v>0</v>
      </c>
      <c r="H149" s="174">
        <v>803</v>
      </c>
      <c r="I149" s="174">
        <v>12</v>
      </c>
      <c r="J149" s="174">
        <v>0</v>
      </c>
      <c r="K149" s="174">
        <v>0</v>
      </c>
      <c r="L149" s="174">
        <v>0</v>
      </c>
      <c r="M149" s="45">
        <f t="shared" si="24"/>
        <v>4.1356073253530487E-3</v>
      </c>
      <c r="R149" s="164"/>
      <c r="S149" s="165"/>
      <c r="T149" s="165"/>
      <c r="U149" s="166"/>
      <c r="V149" s="167"/>
      <c r="W149" s="167"/>
      <c r="X149" s="167"/>
      <c r="Y149" s="167"/>
      <c r="Z149" s="167"/>
      <c r="AA149" s="167"/>
    </row>
    <row r="150" spans="1:27" ht="15.6">
      <c r="A150" s="45">
        <f t="array" ref="A150">IFERROR(INDEX(baseline!$A$3:$A$201,MATCH($C150&amp;$D150,baseline!$C$3:$C$201&amp;baseline!$D$3:$D$201,0)),"NA")</f>
        <v>17</v>
      </c>
      <c r="B150" s="45" t="s">
        <v>955</v>
      </c>
      <c r="C150" s="117" t="s">
        <v>763</v>
      </c>
      <c r="D150" s="45" t="s">
        <v>14</v>
      </c>
      <c r="E150" s="45">
        <v>2025</v>
      </c>
      <c r="F150" s="174">
        <f t="shared" si="23"/>
        <v>3259</v>
      </c>
      <c r="G150" s="174">
        <v>0</v>
      </c>
      <c r="H150" s="174">
        <v>2869</v>
      </c>
      <c r="I150" s="174">
        <v>390</v>
      </c>
      <c r="J150" s="174">
        <v>0</v>
      </c>
      <c r="K150" s="174">
        <v>0</v>
      </c>
      <c r="L150" s="174">
        <v>0</v>
      </c>
      <c r="M150" s="45">
        <f t="shared" si="24"/>
        <v>1.6537354936595812E-2</v>
      </c>
      <c r="R150" s="164"/>
      <c r="S150" s="165"/>
      <c r="T150" s="165"/>
      <c r="U150" s="166"/>
      <c r="V150" s="168"/>
      <c r="W150" s="168"/>
      <c r="X150" s="168"/>
      <c r="Y150" s="168"/>
      <c r="Z150" s="168"/>
      <c r="AA150" s="168"/>
    </row>
    <row r="151" spans="1:27" ht="15.6">
      <c r="A151" s="45">
        <f t="array" ref="A151">IFERROR(INDEX(baseline!$A$3:$A$201,MATCH($C151&amp;$D151,baseline!$C$3:$C$201&amp;baseline!$D$3:$D$201,0)),"NA")</f>
        <v>18</v>
      </c>
      <c r="B151" s="45" t="s">
        <v>955</v>
      </c>
      <c r="C151" s="117" t="s">
        <v>763</v>
      </c>
      <c r="D151" s="45" t="s">
        <v>546</v>
      </c>
      <c r="E151" s="45">
        <v>2025</v>
      </c>
      <c r="F151" s="174">
        <f t="shared" si="23"/>
        <v>501</v>
      </c>
      <c r="G151" s="174">
        <v>0</v>
      </c>
      <c r="H151" s="174">
        <v>501</v>
      </c>
      <c r="I151" s="174">
        <v>0</v>
      </c>
      <c r="J151" s="174">
        <v>0</v>
      </c>
      <c r="K151" s="174">
        <v>0</v>
      </c>
      <c r="L151" s="174">
        <v>0</v>
      </c>
      <c r="M151" s="45">
        <f t="shared" si="24"/>
        <v>2.5422567730084386E-3</v>
      </c>
      <c r="R151" s="164"/>
      <c r="S151" s="165"/>
      <c r="T151" s="165"/>
      <c r="U151" s="166"/>
      <c r="V151" s="167"/>
      <c r="W151" s="167"/>
      <c r="X151" s="167"/>
      <c r="Y151" s="167"/>
      <c r="Z151" s="167"/>
      <c r="AA151" s="167"/>
    </row>
    <row r="152" spans="1:27" ht="15.6">
      <c r="A152" s="45">
        <f t="array" ref="A152">IFERROR(INDEX(baseline!$A$3:$A$201,MATCH($C152&amp;$D152,baseline!$C$3:$C$201&amp;baseline!$D$3:$D$201,0)),"NA")</f>
        <v>3</v>
      </c>
      <c r="B152" s="45" t="s">
        <v>956</v>
      </c>
      <c r="C152" s="117" t="s">
        <v>545</v>
      </c>
      <c r="D152" s="45" t="s">
        <v>881</v>
      </c>
      <c r="E152" s="45">
        <v>2025</v>
      </c>
      <c r="F152" s="174">
        <f t="shared" si="23"/>
        <v>0</v>
      </c>
      <c r="G152" s="174">
        <v>0</v>
      </c>
      <c r="H152" s="174">
        <v>0</v>
      </c>
      <c r="I152" s="174">
        <v>0</v>
      </c>
      <c r="J152" s="174">
        <v>0</v>
      </c>
      <c r="K152" s="174">
        <v>0</v>
      </c>
      <c r="L152" s="174">
        <v>0</v>
      </c>
      <c r="M152" s="45">
        <f t="shared" si="24"/>
        <v>0</v>
      </c>
      <c r="R152" s="164"/>
      <c r="S152" s="165"/>
      <c r="T152" s="165"/>
      <c r="U152" s="166"/>
      <c r="V152" s="167"/>
      <c r="W152" s="167"/>
      <c r="X152" s="167"/>
      <c r="Y152" s="167"/>
      <c r="Z152" s="167"/>
      <c r="AA152" s="167"/>
    </row>
    <row r="153" spans="1:27" ht="15.6">
      <c r="B153" s="45" t="s">
        <v>956</v>
      </c>
      <c r="C153" s="117" t="s">
        <v>545</v>
      </c>
      <c r="D153" s="45" t="s">
        <v>546</v>
      </c>
      <c r="E153" s="45">
        <v>2025</v>
      </c>
      <c r="F153" s="174">
        <f t="shared" ref="F153" si="27">SUM(G153:I153)</f>
        <v>4000</v>
      </c>
      <c r="G153" s="174">
        <v>4000</v>
      </c>
      <c r="H153" s="174">
        <v>0</v>
      </c>
      <c r="I153" s="174">
        <v>0</v>
      </c>
      <c r="J153" s="174">
        <v>0</v>
      </c>
      <c r="K153" s="174">
        <v>0</v>
      </c>
      <c r="L153" s="174">
        <v>0</v>
      </c>
      <c r="M153" s="45">
        <f t="shared" si="24"/>
        <v>2.0297459265536437E-2</v>
      </c>
      <c r="R153" s="164"/>
      <c r="S153" s="165"/>
      <c r="T153" s="165"/>
      <c r="U153" s="166"/>
      <c r="V153" s="167"/>
      <c r="W153" s="167"/>
      <c r="X153" s="167"/>
      <c r="Y153" s="167"/>
      <c r="Z153" s="167"/>
      <c r="AA153" s="167"/>
    </row>
    <row r="154" spans="1:27" ht="15.6">
      <c r="A154" s="45">
        <f t="array" ref="A154">IFERROR(INDEX(baseline!$A$3:$A$201,MATCH($C154&amp;$D154,baseline!$C$3:$C$201&amp;baseline!$D$3:$D$201,0)),"NA")</f>
        <v>27</v>
      </c>
      <c r="B154" s="45" t="s">
        <v>957</v>
      </c>
      <c r="C154" s="117" t="s">
        <v>1</v>
      </c>
      <c r="D154" s="45" t="s">
        <v>881</v>
      </c>
      <c r="E154" s="45">
        <v>2025</v>
      </c>
      <c r="F154" s="174">
        <f t="shared" si="23"/>
        <v>1778</v>
      </c>
      <c r="G154" s="174">
        <v>0</v>
      </c>
      <c r="H154" s="174">
        <v>1778</v>
      </c>
      <c r="I154" s="174">
        <v>0</v>
      </c>
      <c r="J154" s="174">
        <v>0</v>
      </c>
      <c r="K154" s="174">
        <v>0</v>
      </c>
      <c r="L154" s="174">
        <v>0</v>
      </c>
      <c r="M154" s="45">
        <f t="shared" si="24"/>
        <v>9.0222206435309465E-3</v>
      </c>
      <c r="R154" s="164"/>
      <c r="S154" s="165"/>
      <c r="T154" s="165"/>
      <c r="U154" s="166"/>
      <c r="V154" s="167"/>
      <c r="W154" s="167"/>
      <c r="X154" s="167"/>
      <c r="Y154" s="167"/>
      <c r="Z154" s="167"/>
      <c r="AA154" s="167"/>
    </row>
    <row r="155" spans="1:27" ht="15.6">
      <c r="A155" s="45">
        <f t="array" ref="A155">IFERROR(INDEX(baseline!$A$3:$A$201,MATCH($C155&amp;$D155,baseline!$C$3:$C$201&amp;baseline!$D$3:$D$201,0)),"NA")</f>
        <v>28</v>
      </c>
      <c r="B155" s="45" t="s">
        <v>957</v>
      </c>
      <c r="C155" s="117" t="s">
        <v>1</v>
      </c>
      <c r="D155" s="45" t="s">
        <v>14</v>
      </c>
      <c r="E155" s="45">
        <v>2025</v>
      </c>
      <c r="F155" s="174">
        <f t="shared" si="23"/>
        <v>11711</v>
      </c>
      <c r="G155" s="174">
        <v>0</v>
      </c>
      <c r="H155" s="174">
        <v>11711</v>
      </c>
      <c r="I155" s="174">
        <v>0</v>
      </c>
      <c r="J155" s="174">
        <v>0</v>
      </c>
      <c r="K155" s="174">
        <v>0</v>
      </c>
      <c r="L155" s="174">
        <v>0</v>
      </c>
      <c r="M155" s="45">
        <f t="shared" si="24"/>
        <v>5.9425886364674302E-2</v>
      </c>
      <c r="R155" s="164"/>
      <c r="S155" s="165"/>
      <c r="T155" s="165"/>
      <c r="U155" s="166"/>
      <c r="V155" s="168"/>
      <c r="W155" s="168"/>
      <c r="X155" s="168"/>
      <c r="Y155" s="168"/>
      <c r="Z155" s="168"/>
      <c r="AA155" s="168"/>
    </row>
    <row r="156" spans="1:27" ht="15.6">
      <c r="A156" s="45">
        <f t="array" ref="A156">IFERROR(INDEX(baseline!$A$3:$A$201,MATCH($C156&amp;$D156,baseline!$C$3:$C$201&amp;baseline!$D$3:$D$201,0)),"NA")</f>
        <v>8</v>
      </c>
      <c r="B156" s="45" t="s">
        <v>958</v>
      </c>
      <c r="C156" s="117" t="s">
        <v>697</v>
      </c>
      <c r="D156" s="45" t="s">
        <v>881</v>
      </c>
      <c r="E156" s="45">
        <v>2025</v>
      </c>
      <c r="F156" s="174">
        <f t="shared" si="23"/>
        <v>1504</v>
      </c>
      <c r="G156" s="174">
        <v>1504</v>
      </c>
      <c r="H156" s="174">
        <v>0</v>
      </c>
      <c r="I156" s="174">
        <v>0</v>
      </c>
      <c r="J156" s="174">
        <v>0</v>
      </c>
      <c r="K156" s="174">
        <v>0</v>
      </c>
      <c r="L156" s="174">
        <v>0</v>
      </c>
      <c r="M156" s="45">
        <f t="shared" si="24"/>
        <v>7.6318446838416999E-3</v>
      </c>
      <c r="R156" s="164"/>
      <c r="S156" s="165"/>
      <c r="T156" s="165"/>
      <c r="U156" s="166"/>
      <c r="V156" s="167"/>
      <c r="W156" s="167"/>
      <c r="X156" s="167"/>
      <c r="Y156" s="167"/>
      <c r="Z156" s="167"/>
      <c r="AA156" s="167"/>
    </row>
    <row r="157" spans="1:27" ht="15.6">
      <c r="A157" s="45">
        <f t="array" ref="A157">IFERROR(INDEX(baseline!$A$3:$A$201,MATCH($C157&amp;$D157,baseline!$C$3:$C$201&amp;baseline!$D$3:$D$201,0)),"NA")</f>
        <v>9</v>
      </c>
      <c r="B157" s="45" t="s">
        <v>958</v>
      </c>
      <c r="C157" s="117" t="s">
        <v>697</v>
      </c>
      <c r="D157" s="45" t="s">
        <v>14</v>
      </c>
      <c r="E157" s="45">
        <v>2025</v>
      </c>
      <c r="F157" s="174">
        <f t="shared" si="23"/>
        <v>10986</v>
      </c>
      <c r="G157" s="174">
        <v>7670</v>
      </c>
      <c r="H157" s="174">
        <v>3316</v>
      </c>
      <c r="I157" s="174">
        <v>0</v>
      </c>
      <c r="J157" s="174">
        <v>0</v>
      </c>
      <c r="K157" s="174">
        <v>0</v>
      </c>
      <c r="L157" s="174">
        <v>0</v>
      </c>
      <c r="M157" s="45">
        <f t="shared" si="24"/>
        <v>5.5746971872795821E-2</v>
      </c>
      <c r="R157" s="164"/>
      <c r="S157" s="165"/>
      <c r="T157" s="165"/>
      <c r="U157" s="166"/>
      <c r="V157" s="167"/>
      <c r="W157" s="167"/>
      <c r="X157" s="167"/>
      <c r="Y157" s="167"/>
      <c r="Z157" s="167"/>
      <c r="AA157" s="167"/>
    </row>
    <row r="158" spans="1:27" ht="15.6">
      <c r="A158" s="45">
        <f t="array" ref="A158">IFERROR(INDEX(baseline!$A$3:$A$201,MATCH($C158&amp;$D158,baseline!$C$3:$C$201&amp;baseline!$D$3:$D$201,0)),"NA")</f>
        <v>10</v>
      </c>
      <c r="B158" s="45" t="s">
        <v>959</v>
      </c>
      <c r="C158" s="117" t="s">
        <v>713</v>
      </c>
      <c r="D158" s="45" t="s">
        <v>881</v>
      </c>
      <c r="E158" s="45">
        <v>2025</v>
      </c>
      <c r="F158" s="174">
        <f t="shared" si="23"/>
        <v>1127</v>
      </c>
      <c r="G158" s="174">
        <v>368</v>
      </c>
      <c r="H158" s="174">
        <v>759</v>
      </c>
      <c r="I158" s="174">
        <v>0</v>
      </c>
      <c r="J158" s="174">
        <v>0</v>
      </c>
      <c r="K158" s="174">
        <v>0</v>
      </c>
      <c r="L158" s="174">
        <v>0</v>
      </c>
      <c r="M158" s="45">
        <f t="shared" si="24"/>
        <v>5.7188091480648911E-3</v>
      </c>
      <c r="R158" s="164"/>
      <c r="S158" s="165"/>
      <c r="T158" s="165"/>
      <c r="U158" s="166"/>
      <c r="V158" s="167"/>
      <c r="W158" s="167"/>
      <c r="X158" s="167"/>
      <c r="Y158" s="167"/>
      <c r="Z158" s="167"/>
      <c r="AA158" s="167"/>
    </row>
    <row r="159" spans="1:27" ht="15.6">
      <c r="A159" s="45">
        <f t="array" ref="A159">IFERROR(INDEX(baseline!$A$3:$A$201,MATCH($C159&amp;$D159,baseline!$C$3:$C$201&amp;baseline!$D$3:$D$201,0)),"NA")</f>
        <v>11</v>
      </c>
      <c r="B159" s="45" t="s">
        <v>959</v>
      </c>
      <c r="C159" s="117" t="s">
        <v>713</v>
      </c>
      <c r="D159" s="45" t="s">
        <v>13</v>
      </c>
      <c r="E159" s="45">
        <v>2025</v>
      </c>
      <c r="F159" s="174">
        <f t="shared" si="23"/>
        <v>724</v>
      </c>
      <c r="G159" s="174">
        <v>0</v>
      </c>
      <c r="H159" s="174">
        <v>724</v>
      </c>
      <c r="I159" s="174">
        <v>0</v>
      </c>
      <c r="J159" s="174">
        <v>0</v>
      </c>
      <c r="K159" s="174">
        <v>0</v>
      </c>
      <c r="L159" s="174">
        <v>0</v>
      </c>
      <c r="M159" s="45">
        <f t="shared" si="24"/>
        <v>3.6738401270620951E-3</v>
      </c>
      <c r="R159" s="164"/>
      <c r="S159" s="165"/>
      <c r="T159" s="165"/>
      <c r="U159" s="166"/>
      <c r="V159" s="168"/>
      <c r="W159" s="168"/>
      <c r="X159" s="168"/>
      <c r="Y159" s="168"/>
      <c r="Z159" s="168"/>
      <c r="AA159" s="168"/>
    </row>
    <row r="160" spans="1:27" ht="15.6">
      <c r="A160" s="45">
        <f t="array" ref="A160">IFERROR(INDEX(baseline!$A$3:$A$201,MATCH($C160&amp;$D160,baseline!$C$3:$C$201&amp;baseline!$D$3:$D$201,0)),"NA")</f>
        <v>12</v>
      </c>
      <c r="B160" s="45" t="s">
        <v>959</v>
      </c>
      <c r="C160" s="117" t="s">
        <v>713</v>
      </c>
      <c r="D160" s="45" t="s">
        <v>14</v>
      </c>
      <c r="E160" s="45">
        <v>2025</v>
      </c>
      <c r="F160" s="174">
        <f t="shared" si="23"/>
        <v>4736</v>
      </c>
      <c r="G160" s="174">
        <v>1050</v>
      </c>
      <c r="H160" s="174">
        <v>3686</v>
      </c>
      <c r="I160" s="174">
        <v>0</v>
      </c>
      <c r="J160" s="174">
        <v>0</v>
      </c>
      <c r="K160" s="174">
        <v>0</v>
      </c>
      <c r="L160" s="174">
        <v>0</v>
      </c>
      <c r="M160" s="45">
        <f t="shared" si="24"/>
        <v>2.4032191770395141E-2</v>
      </c>
      <c r="R160" s="164"/>
      <c r="S160" s="165"/>
      <c r="T160" s="165"/>
      <c r="U160" s="166"/>
      <c r="V160" s="167"/>
      <c r="W160" s="167"/>
      <c r="X160" s="167"/>
      <c r="Y160" s="167"/>
      <c r="Z160" s="167"/>
      <c r="AA160" s="167"/>
    </row>
    <row r="161" spans="1:27" ht="15.6">
      <c r="A161" s="45">
        <f t="array" ref="A161">IFERROR(INDEX(baseline!$A$3:$A$201,MATCH($C161&amp;$D161,baseline!$C$3:$C$201&amp;baseline!$D$3:$D$201,0)),"NA")</f>
        <v>2</v>
      </c>
      <c r="B161" s="45" t="s">
        <v>960</v>
      </c>
      <c r="C161" s="117" t="s">
        <v>78</v>
      </c>
      <c r="D161" s="45" t="s">
        <v>881</v>
      </c>
      <c r="E161" s="45">
        <v>2025</v>
      </c>
      <c r="F161" s="174">
        <f t="shared" si="23"/>
        <v>0</v>
      </c>
      <c r="G161" s="174">
        <v>0</v>
      </c>
      <c r="H161" s="174">
        <v>0</v>
      </c>
      <c r="I161" s="174">
        <v>0</v>
      </c>
      <c r="J161" s="174">
        <v>0</v>
      </c>
      <c r="K161" s="174">
        <v>0</v>
      </c>
      <c r="L161" s="174">
        <v>0</v>
      </c>
      <c r="M161" s="45">
        <f t="shared" si="24"/>
        <v>0</v>
      </c>
      <c r="R161" s="164"/>
      <c r="S161" s="165"/>
      <c r="T161" s="165"/>
      <c r="U161" s="166"/>
      <c r="V161" s="167"/>
      <c r="W161" s="167"/>
      <c r="X161" s="167"/>
      <c r="Y161" s="167"/>
      <c r="Z161" s="167"/>
      <c r="AA161" s="167"/>
    </row>
    <row r="162" spans="1:27" ht="15.6">
      <c r="B162" s="45" t="s">
        <v>960</v>
      </c>
      <c r="C162" s="117" t="s">
        <v>78</v>
      </c>
      <c r="D162" s="45" t="s">
        <v>881</v>
      </c>
      <c r="E162" s="45">
        <v>2025</v>
      </c>
      <c r="F162" s="174">
        <f t="shared" ref="F162" si="28">SUM(G162:I162)</f>
        <v>1500</v>
      </c>
      <c r="G162" s="174">
        <v>1500</v>
      </c>
      <c r="H162" s="174">
        <v>0</v>
      </c>
      <c r="I162" s="174">
        <v>0</v>
      </c>
      <c r="J162" s="174">
        <v>0</v>
      </c>
      <c r="K162" s="174">
        <v>0</v>
      </c>
      <c r="L162" s="174">
        <v>0</v>
      </c>
      <c r="M162" s="45">
        <f t="shared" si="24"/>
        <v>7.6115472245761638E-3</v>
      </c>
      <c r="R162" s="164"/>
      <c r="S162" s="165"/>
      <c r="T162" s="165"/>
      <c r="U162" s="166"/>
      <c r="V162" s="167"/>
      <c r="W162" s="167"/>
      <c r="X162" s="167"/>
      <c r="Y162" s="167"/>
      <c r="Z162" s="167"/>
      <c r="AA162" s="167"/>
    </row>
    <row r="163" spans="1:27" ht="15.6">
      <c r="A163" s="45">
        <f t="array" ref="A163">IFERROR(INDEX(baseline!$A$3:$A$201,MATCH($C163&amp;$D163,baseline!$C$3:$C$201&amp;baseline!$D$3:$D$201,0)),"NA")</f>
        <v>5</v>
      </c>
      <c r="B163" s="45" t="s">
        <v>949</v>
      </c>
      <c r="C163" s="117" t="s">
        <v>761</v>
      </c>
      <c r="D163" s="45" t="s">
        <v>881</v>
      </c>
      <c r="E163" s="45">
        <v>2028</v>
      </c>
      <c r="F163" s="174">
        <f>SUM(G163:I163)</f>
        <v>21679</v>
      </c>
      <c r="G163" s="174">
        <v>21679</v>
      </c>
      <c r="H163" s="174">
        <v>0</v>
      </c>
      <c r="I163" s="174">
        <v>0</v>
      </c>
      <c r="J163" s="174">
        <v>0</v>
      </c>
      <c r="K163" s="174">
        <v>0</v>
      </c>
      <c r="L163" s="174">
        <v>0</v>
      </c>
      <c r="M163" s="45">
        <f t="shared" si="24"/>
        <v>0.1100071548543911</v>
      </c>
      <c r="R163" s="164"/>
      <c r="S163" s="165"/>
      <c r="T163" s="165"/>
      <c r="U163" s="166"/>
      <c r="V163" s="167"/>
      <c r="W163" s="167"/>
      <c r="X163" s="167"/>
      <c r="Y163" s="167"/>
      <c r="Z163" s="167"/>
      <c r="AA163" s="167"/>
    </row>
    <row r="164" spans="1:27" ht="15.6">
      <c r="A164" s="45">
        <f t="array" ref="A164">IFERROR(INDEX(baseline!$A$3:$A$201,MATCH($C164&amp;$D164,baseline!$C$3:$C$201&amp;baseline!$D$3:$D$201,0)),"NA")</f>
        <v>6</v>
      </c>
      <c r="B164" s="45" t="s">
        <v>949</v>
      </c>
      <c r="C164" s="117" t="s">
        <v>761</v>
      </c>
      <c r="D164" s="45" t="s">
        <v>13</v>
      </c>
      <c r="E164" s="45">
        <v>2028</v>
      </c>
      <c r="F164" s="174">
        <f t="shared" ref="F164:F195" si="29">SUM(G164:I164)</f>
        <v>6231</v>
      </c>
      <c r="G164" s="174">
        <v>0</v>
      </c>
      <c r="H164" s="174">
        <v>6231</v>
      </c>
      <c r="I164" s="174">
        <v>0</v>
      </c>
      <c r="J164" s="174">
        <v>0</v>
      </c>
      <c r="K164" s="174">
        <v>0</v>
      </c>
      <c r="L164" s="174">
        <v>0</v>
      </c>
      <c r="M164" s="45">
        <f t="shared" si="24"/>
        <v>3.1618367170889387E-2</v>
      </c>
      <c r="R164" s="164"/>
      <c r="S164" s="165"/>
      <c r="T164" s="165"/>
      <c r="U164" s="166"/>
      <c r="V164" s="167"/>
      <c r="W164" s="167"/>
      <c r="X164" s="167"/>
      <c r="Y164" s="167"/>
      <c r="Z164" s="167"/>
      <c r="AA164" s="167"/>
    </row>
    <row r="165" spans="1:27" ht="15.6">
      <c r="A165" s="45">
        <f t="array" ref="A165">IFERROR(INDEX(baseline!$A$3:$A$201,MATCH($C165&amp;$D165,baseline!$C$3:$C$201&amp;baseline!$D$3:$D$201,0)),"NA")</f>
        <v>7</v>
      </c>
      <c r="B165" s="45" t="s">
        <v>949</v>
      </c>
      <c r="C165" s="117" t="s">
        <v>761</v>
      </c>
      <c r="D165" s="45" t="s">
        <v>14</v>
      </c>
      <c r="E165" s="45">
        <v>2028</v>
      </c>
      <c r="F165" s="174">
        <f t="shared" si="29"/>
        <v>7269</v>
      </c>
      <c r="G165" s="174">
        <v>0</v>
      </c>
      <c r="H165" s="174">
        <v>7269</v>
      </c>
      <c r="I165" s="174">
        <v>0</v>
      </c>
      <c r="J165" s="174">
        <v>0</v>
      </c>
      <c r="K165" s="174">
        <v>0</v>
      </c>
      <c r="L165" s="174">
        <v>0</v>
      </c>
      <c r="M165" s="45">
        <f t="shared" si="24"/>
        <v>3.688555785029609E-2</v>
      </c>
      <c r="R165" s="164"/>
      <c r="S165" s="165"/>
      <c r="T165" s="165"/>
      <c r="U165" s="166"/>
      <c r="V165" s="167"/>
      <c r="W165" s="167"/>
      <c r="X165" s="167"/>
      <c r="Y165" s="167"/>
      <c r="Z165" s="167"/>
      <c r="AA165" s="167"/>
    </row>
    <row r="166" spans="1:27" ht="15.6">
      <c r="B166" s="45" t="s">
        <v>949</v>
      </c>
      <c r="C166" s="117" t="s">
        <v>761</v>
      </c>
      <c r="D166" s="45" t="s">
        <v>546</v>
      </c>
      <c r="E166" s="45">
        <v>2028</v>
      </c>
      <c r="F166" s="174">
        <f t="shared" si="29"/>
        <v>23000</v>
      </c>
      <c r="G166" s="174">
        <v>23000</v>
      </c>
      <c r="H166" s="174">
        <v>0</v>
      </c>
      <c r="I166" s="174">
        <v>0</v>
      </c>
      <c r="J166" s="174">
        <v>0</v>
      </c>
      <c r="K166" s="174">
        <v>0</v>
      </c>
      <c r="L166" s="174">
        <v>0</v>
      </c>
      <c r="M166" s="45">
        <f t="shared" si="24"/>
        <v>0.11671039077683451</v>
      </c>
      <c r="R166" s="164"/>
      <c r="S166" s="165"/>
      <c r="T166" s="165"/>
      <c r="U166" s="166"/>
      <c r="V166" s="167"/>
      <c r="W166" s="167"/>
      <c r="X166" s="167"/>
      <c r="Y166" s="167"/>
      <c r="Z166" s="167"/>
      <c r="AA166" s="167"/>
    </row>
    <row r="167" spans="1:27" ht="15.6">
      <c r="A167" s="45">
        <f t="array" ref="A167">IFERROR(INDEX(baseline!$A$3:$A$201,MATCH($C167&amp;$D167,baseline!$C$3:$C$201&amp;baseline!$D$3:$D$201,0)),"NA")</f>
        <v>24</v>
      </c>
      <c r="B167" s="45" t="s">
        <v>950</v>
      </c>
      <c r="C167" s="117" t="s">
        <v>547</v>
      </c>
      <c r="D167" s="45" t="s">
        <v>881</v>
      </c>
      <c r="E167" s="45">
        <v>2028</v>
      </c>
      <c r="F167" s="174">
        <f t="shared" si="29"/>
        <v>6832</v>
      </c>
      <c r="G167" s="174">
        <v>3118</v>
      </c>
      <c r="H167" s="174">
        <v>3714</v>
      </c>
      <c r="I167" s="174">
        <v>0</v>
      </c>
      <c r="J167" s="174">
        <v>0</v>
      </c>
      <c r="K167" s="174">
        <v>0</v>
      </c>
      <c r="L167" s="174">
        <v>0</v>
      </c>
      <c r="M167" s="45">
        <f t="shared" si="24"/>
        <v>3.4668060425536232E-2</v>
      </c>
      <c r="R167" s="164"/>
      <c r="S167" s="165"/>
      <c r="T167" s="165"/>
      <c r="U167" s="166"/>
      <c r="V167" s="167"/>
      <c r="W167" s="167"/>
      <c r="X167" s="167"/>
      <c r="Y167" s="167"/>
      <c r="Z167" s="167"/>
      <c r="AA167" s="167"/>
    </row>
    <row r="168" spans="1:27" ht="15.6">
      <c r="A168" s="45">
        <f t="array" ref="A168">IFERROR(INDEX(baseline!$A$3:$A$201,MATCH($C168&amp;$D168,baseline!$C$3:$C$201&amp;baseline!$D$3:$D$201,0)),"NA")</f>
        <v>25</v>
      </c>
      <c r="B168" s="45" t="s">
        <v>950</v>
      </c>
      <c r="C168" s="117" t="s">
        <v>547</v>
      </c>
      <c r="D168" s="45" t="s">
        <v>14</v>
      </c>
      <c r="E168" s="45">
        <v>2028</v>
      </c>
      <c r="F168" s="174">
        <f t="shared" si="29"/>
        <v>4831</v>
      </c>
      <c r="G168" s="174">
        <v>4831</v>
      </c>
      <c r="H168" s="174">
        <v>0</v>
      </c>
      <c r="I168" s="174">
        <v>0</v>
      </c>
      <c r="J168" s="174">
        <v>0</v>
      </c>
      <c r="K168" s="174">
        <v>0</v>
      </c>
      <c r="L168" s="174">
        <v>0</v>
      </c>
      <c r="M168" s="45">
        <f t="shared" si="24"/>
        <v>2.4514256427951631E-2</v>
      </c>
      <c r="R168" s="164"/>
      <c r="S168" s="165"/>
      <c r="T168" s="165"/>
      <c r="U168" s="166"/>
      <c r="V168" s="167"/>
      <c r="W168" s="167"/>
      <c r="X168" s="167"/>
      <c r="Y168" s="167"/>
      <c r="Z168" s="167"/>
      <c r="AA168" s="167"/>
    </row>
    <row r="169" spans="1:27" ht="15.6">
      <c r="A169" s="45">
        <f t="array" ref="A169">IFERROR(INDEX(baseline!$A$3:$A$201,MATCH($C169&amp;$D169,baseline!$C$3:$C$201&amp;baseline!$D$3:$D$201,0)),"NA")</f>
        <v>26</v>
      </c>
      <c r="B169" s="45" t="s">
        <v>950</v>
      </c>
      <c r="C169" s="117" t="s">
        <v>547</v>
      </c>
      <c r="D169" s="45" t="s">
        <v>546</v>
      </c>
      <c r="E169" s="45">
        <v>2028</v>
      </c>
      <c r="F169" s="174">
        <f t="shared" si="29"/>
        <v>1869</v>
      </c>
      <c r="G169" s="174">
        <v>0</v>
      </c>
      <c r="H169" s="174">
        <v>1869</v>
      </c>
      <c r="I169" s="174">
        <v>0</v>
      </c>
      <c r="J169" s="174">
        <v>0</v>
      </c>
      <c r="K169" s="174">
        <v>0</v>
      </c>
      <c r="L169" s="174">
        <v>0</v>
      </c>
      <c r="M169" s="45">
        <f t="shared" si="24"/>
        <v>9.4839878418218997E-3</v>
      </c>
      <c r="R169" s="164"/>
      <c r="S169" s="165"/>
      <c r="T169" s="165"/>
      <c r="U169" s="166"/>
      <c r="V169" s="167"/>
      <c r="W169" s="167"/>
      <c r="X169" s="167"/>
      <c r="Y169" s="167"/>
      <c r="Z169" s="167"/>
      <c r="AA169" s="167"/>
    </row>
    <row r="170" spans="1:27" ht="15.6">
      <c r="A170" s="45">
        <f t="array" ref="A170">IFERROR(INDEX(baseline!$A$3:$A$201,MATCH($C170&amp;$D170,baseline!$C$3:$C$201&amp;baseline!$D$3:$D$201,0)),"NA")</f>
        <v>20</v>
      </c>
      <c r="B170" s="45" t="s">
        <v>951</v>
      </c>
      <c r="C170" s="117" t="s">
        <v>2</v>
      </c>
      <c r="D170" s="45" t="s">
        <v>881</v>
      </c>
      <c r="E170" s="45">
        <v>2028</v>
      </c>
      <c r="F170" s="174">
        <f t="shared" si="29"/>
        <v>330</v>
      </c>
      <c r="G170" s="174">
        <v>249</v>
      </c>
      <c r="H170" s="174">
        <v>81</v>
      </c>
      <c r="I170" s="174">
        <v>0</v>
      </c>
      <c r="J170" s="174">
        <v>0</v>
      </c>
      <c r="K170" s="174">
        <v>0</v>
      </c>
      <c r="L170" s="174">
        <v>0</v>
      </c>
      <c r="M170" s="45">
        <f t="shared" si="24"/>
        <v>1.6745403894067559E-3</v>
      </c>
      <c r="R170" s="164"/>
      <c r="S170" s="165"/>
      <c r="T170" s="165"/>
      <c r="U170" s="166"/>
      <c r="V170" s="167"/>
      <c r="W170" s="167"/>
      <c r="X170" s="167"/>
      <c r="Y170" s="167"/>
      <c r="Z170" s="167"/>
      <c r="AA170" s="167"/>
    </row>
    <row r="171" spans="1:27" ht="15.6">
      <c r="A171" s="45">
        <f t="array" ref="A171">IFERROR(INDEX(baseline!$A$3:$A$201,MATCH($C171&amp;$D171,baseline!$C$3:$C$201&amp;baseline!$D$3:$D$201,0)),"NA")</f>
        <v>21</v>
      </c>
      <c r="B171" s="45" t="s">
        <v>951</v>
      </c>
      <c r="C171" s="117" t="s">
        <v>2</v>
      </c>
      <c r="D171" s="45" t="s">
        <v>13</v>
      </c>
      <c r="E171" s="45">
        <v>2028</v>
      </c>
      <c r="F171" s="174">
        <f t="shared" si="29"/>
        <v>832</v>
      </c>
      <c r="G171" s="174">
        <v>326</v>
      </c>
      <c r="H171" s="174">
        <v>506</v>
      </c>
      <c r="I171" s="174">
        <v>0</v>
      </c>
      <c r="J171" s="174">
        <v>0</v>
      </c>
      <c r="K171" s="174">
        <v>0</v>
      </c>
      <c r="L171" s="174">
        <v>0</v>
      </c>
      <c r="M171" s="45">
        <f t="shared" si="24"/>
        <v>4.221871527231579E-3</v>
      </c>
      <c r="R171" s="164"/>
      <c r="S171" s="165"/>
      <c r="T171" s="165"/>
      <c r="U171" s="166"/>
      <c r="V171" s="168"/>
      <c r="W171" s="168"/>
      <c r="X171" s="168"/>
      <c r="Y171" s="168"/>
      <c r="Z171" s="168"/>
      <c r="AA171" s="168"/>
    </row>
    <row r="172" spans="1:27" ht="15.6">
      <c r="A172" s="45">
        <f t="array" ref="A172">IFERROR(INDEX(baseline!$A$3:$A$201,MATCH($C172&amp;$D172,baseline!$C$3:$C$201&amp;baseline!$D$3:$D$201,0)),"NA")</f>
        <v>22</v>
      </c>
      <c r="B172" s="45" t="s">
        <v>951</v>
      </c>
      <c r="C172" s="117" t="s">
        <v>2</v>
      </c>
      <c r="D172" s="45" t="s">
        <v>14</v>
      </c>
      <c r="E172" s="45">
        <v>2028</v>
      </c>
      <c r="F172" s="174">
        <f t="shared" si="29"/>
        <v>8824</v>
      </c>
      <c r="G172" s="174">
        <v>76</v>
      </c>
      <c r="H172" s="174">
        <v>8006</v>
      </c>
      <c r="I172" s="174">
        <v>742</v>
      </c>
      <c r="J172" s="174">
        <v>0</v>
      </c>
      <c r="K172" s="174">
        <v>0</v>
      </c>
      <c r="L172" s="174">
        <v>0</v>
      </c>
      <c r="M172" s="45">
        <f t="shared" si="24"/>
        <v>4.4776195139773378E-2</v>
      </c>
      <c r="R172" s="164"/>
      <c r="S172" s="165"/>
      <c r="T172" s="165"/>
      <c r="U172" s="166"/>
      <c r="V172" s="167"/>
      <c r="W172" s="167"/>
      <c r="X172" s="167"/>
      <c r="Y172" s="167"/>
      <c r="Z172" s="167"/>
      <c r="AA172" s="167"/>
    </row>
    <row r="173" spans="1:27" ht="15.6">
      <c r="A173" s="45">
        <f t="array" ref="A173">IFERROR(INDEX(baseline!$A$3:$A$201,MATCH($C173&amp;$D173,baseline!$C$3:$C$201&amp;baseline!$D$3:$D$201,0)),"NA")</f>
        <v>23</v>
      </c>
      <c r="B173" s="45" t="s">
        <v>951</v>
      </c>
      <c r="C173" s="117" t="s">
        <v>2</v>
      </c>
      <c r="D173" s="45" t="s">
        <v>546</v>
      </c>
      <c r="E173" s="45">
        <v>2028</v>
      </c>
      <c r="F173" s="174">
        <f t="shared" si="29"/>
        <v>501</v>
      </c>
      <c r="G173" s="174">
        <v>0</v>
      </c>
      <c r="H173" s="174">
        <v>428</v>
      </c>
      <c r="I173" s="174">
        <v>73</v>
      </c>
      <c r="J173" s="174">
        <v>0</v>
      </c>
      <c r="K173" s="174">
        <v>0</v>
      </c>
      <c r="L173" s="174">
        <v>0</v>
      </c>
      <c r="M173" s="45">
        <f t="shared" si="24"/>
        <v>2.5422567730084386E-3</v>
      </c>
      <c r="R173" s="164"/>
      <c r="S173" s="165"/>
      <c r="T173" s="165"/>
      <c r="U173" s="166"/>
      <c r="V173" s="167"/>
      <c r="W173" s="167"/>
      <c r="X173" s="167"/>
      <c r="Y173" s="167"/>
      <c r="Z173" s="167"/>
      <c r="AA173" s="167"/>
    </row>
    <row r="174" spans="1:27" ht="15.6">
      <c r="A174" s="45">
        <f t="array" ref="A174">IFERROR(INDEX(baseline!$A$3:$A$201,MATCH($C174&amp;$D174,baseline!$C$3:$C$201&amp;baseline!$D$3:$D$201,0)),"NA")</f>
        <v>1</v>
      </c>
      <c r="B174" s="45" t="s">
        <v>952</v>
      </c>
      <c r="C174" s="117" t="s">
        <v>0</v>
      </c>
      <c r="D174" s="45" t="s">
        <v>881</v>
      </c>
      <c r="E174" s="45">
        <v>2028</v>
      </c>
      <c r="F174" s="174">
        <f t="shared" si="29"/>
        <v>20067</v>
      </c>
      <c r="G174" s="174">
        <v>17024</v>
      </c>
      <c r="H174" s="174">
        <v>3043</v>
      </c>
      <c r="I174" s="174">
        <v>0</v>
      </c>
      <c r="J174" s="174">
        <v>0</v>
      </c>
      <c r="K174" s="174">
        <v>0</v>
      </c>
      <c r="L174" s="174">
        <v>0</v>
      </c>
      <c r="M174" s="45">
        <f t="shared" si="24"/>
        <v>0.10182727877037992</v>
      </c>
      <c r="R174" s="164"/>
      <c r="S174" s="165"/>
      <c r="T174" s="165"/>
      <c r="U174" s="166"/>
      <c r="V174" s="167"/>
      <c r="W174" s="167"/>
      <c r="X174" s="167"/>
      <c r="Y174" s="167"/>
      <c r="Z174" s="167"/>
      <c r="AA174" s="167"/>
    </row>
    <row r="175" spans="1:27" ht="15.6">
      <c r="B175" s="45" t="s">
        <v>952</v>
      </c>
      <c r="C175" s="117" t="s">
        <v>0</v>
      </c>
      <c r="D175" s="45" t="s">
        <v>1091</v>
      </c>
      <c r="E175" s="45">
        <v>2028</v>
      </c>
      <c r="F175" s="174">
        <f t="shared" si="29"/>
        <v>5000</v>
      </c>
      <c r="G175" s="174">
        <v>0</v>
      </c>
      <c r="H175" s="174">
        <v>5000</v>
      </c>
      <c r="I175" s="174">
        <v>0</v>
      </c>
      <c r="J175" s="174">
        <v>0</v>
      </c>
      <c r="K175" s="174">
        <v>0</v>
      </c>
      <c r="L175" s="174">
        <v>0</v>
      </c>
      <c r="M175" s="45">
        <f t="shared" si="24"/>
        <v>2.5371824081920544E-2</v>
      </c>
      <c r="R175" s="164"/>
      <c r="S175" s="165"/>
      <c r="T175" s="165"/>
      <c r="U175" s="166"/>
      <c r="V175" s="167"/>
      <c r="W175" s="167"/>
      <c r="X175" s="167"/>
      <c r="Y175" s="167"/>
      <c r="Z175" s="167"/>
      <c r="AA175" s="167"/>
    </row>
    <row r="176" spans="1:27" ht="15.6">
      <c r="A176" s="45" t="str">
        <f t="array" ref="A176">IFERROR(INDEX(baseline!$A$3:$A$201,MATCH($C176&amp;$D176,baseline!$C$3:$C$201&amp;baseline!$D$3:$D$201,0)),"NA")</f>
        <v>NA</v>
      </c>
      <c r="B176" s="45" t="s">
        <v>953</v>
      </c>
      <c r="C176" s="117" t="s">
        <v>712</v>
      </c>
      <c r="D176" s="45" t="s">
        <v>881</v>
      </c>
      <c r="E176" s="45">
        <v>2028</v>
      </c>
      <c r="F176" s="174">
        <f t="shared" si="29"/>
        <v>294</v>
      </c>
      <c r="G176" s="174">
        <v>0</v>
      </c>
      <c r="H176" s="174">
        <v>294</v>
      </c>
      <c r="I176" s="174">
        <v>0</v>
      </c>
      <c r="J176" s="174">
        <v>0</v>
      </c>
      <c r="K176" s="174">
        <v>0</v>
      </c>
      <c r="L176" s="174">
        <v>0</v>
      </c>
      <c r="M176" s="45">
        <f t="shared" si="24"/>
        <v>1.4918632560169281E-3</v>
      </c>
      <c r="R176" s="164"/>
      <c r="S176" s="165"/>
      <c r="T176" s="165"/>
      <c r="U176" s="166"/>
      <c r="V176" s="167"/>
      <c r="W176" s="167"/>
      <c r="X176" s="167"/>
      <c r="Y176" s="167"/>
      <c r="Z176" s="167"/>
      <c r="AA176" s="167"/>
    </row>
    <row r="177" spans="1:27" ht="15.6">
      <c r="A177" s="45" t="str">
        <f t="array" ref="A177">IFERROR(INDEX(baseline!$A$3:$A$201,MATCH($C177&amp;$D177,baseline!$C$3:$C$201&amp;baseline!$D$3:$D$201,0)),"NA")</f>
        <v>NA</v>
      </c>
      <c r="B177" s="45" t="s">
        <v>953</v>
      </c>
      <c r="C177" s="117" t="s">
        <v>712</v>
      </c>
      <c r="D177" s="45" t="s">
        <v>13</v>
      </c>
      <c r="E177" s="45">
        <v>2028</v>
      </c>
      <c r="F177" s="174">
        <f t="shared" si="29"/>
        <v>101</v>
      </c>
      <c r="G177" s="174">
        <v>0</v>
      </c>
      <c r="H177" s="174">
        <v>101</v>
      </c>
      <c r="I177" s="174">
        <v>0</v>
      </c>
      <c r="J177" s="174">
        <v>0</v>
      </c>
      <c r="K177" s="174">
        <v>0</v>
      </c>
      <c r="L177" s="174">
        <v>0</v>
      </c>
      <c r="M177" s="45">
        <f t="shared" si="24"/>
        <v>5.1251084645479502E-4</v>
      </c>
      <c r="R177" s="164"/>
      <c r="S177" s="165"/>
      <c r="T177" s="165"/>
      <c r="U177" s="166"/>
      <c r="V177" s="167"/>
      <c r="W177" s="167"/>
      <c r="X177" s="167"/>
      <c r="Y177" s="167"/>
      <c r="Z177" s="167"/>
      <c r="AA177" s="167"/>
    </row>
    <row r="178" spans="1:27" ht="15.6">
      <c r="A178" s="45">
        <f t="array" ref="A178">IFERROR(INDEX(baseline!$A$3:$A$201,MATCH($C178&amp;$D178,baseline!$C$3:$C$201&amp;baseline!$D$3:$D$201,0)),"NA")</f>
        <v>19</v>
      </c>
      <c r="B178" s="45" t="s">
        <v>953</v>
      </c>
      <c r="C178" s="117" t="s">
        <v>712</v>
      </c>
      <c r="D178" s="45" t="s">
        <v>14</v>
      </c>
      <c r="E178" s="45">
        <v>2028</v>
      </c>
      <c r="F178" s="174">
        <f t="shared" si="29"/>
        <v>15831</v>
      </c>
      <c r="G178" s="174">
        <v>0</v>
      </c>
      <c r="H178" s="174">
        <v>15831</v>
      </c>
      <c r="I178" s="174">
        <v>0</v>
      </c>
      <c r="J178" s="174">
        <v>0</v>
      </c>
      <c r="K178" s="174">
        <v>0</v>
      </c>
      <c r="L178" s="174">
        <v>0</v>
      </c>
      <c r="M178" s="45">
        <f t="shared" si="24"/>
        <v>8.0332269408176837E-2</v>
      </c>
      <c r="R178" s="164"/>
      <c r="S178" s="165"/>
      <c r="T178" s="165"/>
      <c r="U178" s="166"/>
      <c r="V178" s="167"/>
      <c r="W178" s="167"/>
      <c r="X178" s="167"/>
      <c r="Y178" s="167"/>
      <c r="Z178" s="167"/>
      <c r="AA178" s="167"/>
    </row>
    <row r="179" spans="1:27" ht="15.6">
      <c r="A179" s="45" t="str">
        <f t="array" ref="A179">IFERROR(INDEX(baseline!$A$3:$A$201,MATCH($C179&amp;$D179,baseline!$C$3:$C$201&amp;baseline!$D$3:$D$201,0)),"NA")</f>
        <v>NA</v>
      </c>
      <c r="B179" s="45" t="s">
        <v>954</v>
      </c>
      <c r="C179" s="117" t="s">
        <v>762</v>
      </c>
      <c r="D179" s="45" t="s">
        <v>12</v>
      </c>
      <c r="E179" s="45">
        <v>2028</v>
      </c>
      <c r="F179" s="174">
        <f t="shared" si="29"/>
        <v>11035</v>
      </c>
      <c r="G179" s="174">
        <v>5024</v>
      </c>
      <c r="H179" s="174">
        <v>6011</v>
      </c>
      <c r="I179" s="174">
        <v>0</v>
      </c>
      <c r="J179" s="174">
        <v>0</v>
      </c>
      <c r="K179" s="174">
        <v>0</v>
      </c>
      <c r="L179" s="174">
        <v>0</v>
      </c>
      <c r="M179" s="45">
        <f t="shared" si="24"/>
        <v>5.5995615748798647E-2</v>
      </c>
      <c r="R179" s="164"/>
      <c r="S179" s="165"/>
      <c r="T179" s="165"/>
      <c r="U179" s="166"/>
      <c r="V179" s="167"/>
      <c r="W179" s="167"/>
      <c r="X179" s="167"/>
      <c r="Y179" s="167"/>
      <c r="Z179" s="167"/>
      <c r="AA179" s="167"/>
    </row>
    <row r="180" spans="1:27" ht="15.6">
      <c r="A180" s="45">
        <f t="array" ref="A180">IFERROR(INDEX(baseline!$A$3:$A$201,MATCH($C180&amp;$D180,baseline!$C$3:$C$201&amp;baseline!$D$3:$D$201,0)),"NA")</f>
        <v>14</v>
      </c>
      <c r="B180" s="45" t="s">
        <v>954</v>
      </c>
      <c r="C180" s="117" t="s">
        <v>762</v>
      </c>
      <c r="D180" s="45" t="s">
        <v>13</v>
      </c>
      <c r="E180" s="45">
        <v>2028</v>
      </c>
      <c r="F180" s="174">
        <f t="shared" si="29"/>
        <v>2220</v>
      </c>
      <c r="G180" s="174">
        <v>0</v>
      </c>
      <c r="H180" s="174">
        <v>2220</v>
      </c>
      <c r="I180" s="174">
        <v>0</v>
      </c>
      <c r="J180" s="174">
        <v>0</v>
      </c>
      <c r="K180" s="174">
        <v>0</v>
      </c>
      <c r="L180" s="174">
        <v>0</v>
      </c>
      <c r="M180" s="45">
        <f t="shared" si="24"/>
        <v>1.1265089892372722E-2</v>
      </c>
      <c r="R180" s="164"/>
      <c r="S180" s="165"/>
      <c r="T180" s="165"/>
      <c r="U180" s="166"/>
      <c r="V180" s="167"/>
      <c r="W180" s="167"/>
      <c r="X180" s="167"/>
      <c r="Y180" s="167"/>
      <c r="Z180" s="167"/>
      <c r="AA180" s="167"/>
    </row>
    <row r="181" spans="1:27" ht="15.6">
      <c r="A181" s="45">
        <f t="array" ref="A181">IFERROR(INDEX(baseline!$A$3:$A$201,MATCH($C181&amp;$D181,baseline!$C$3:$C$201&amp;baseline!$D$3:$D$201,0)),"NA")</f>
        <v>15</v>
      </c>
      <c r="B181" s="45" t="s">
        <v>954</v>
      </c>
      <c r="C181" s="117" t="s">
        <v>762</v>
      </c>
      <c r="D181" s="45" t="s">
        <v>14</v>
      </c>
      <c r="E181" s="45">
        <v>2028</v>
      </c>
      <c r="F181" s="174">
        <f t="shared" si="29"/>
        <v>17682</v>
      </c>
      <c r="G181" s="174">
        <v>11024</v>
      </c>
      <c r="H181" s="174">
        <v>6658</v>
      </c>
      <c r="I181" s="174">
        <v>0</v>
      </c>
      <c r="J181" s="174">
        <v>0</v>
      </c>
      <c r="K181" s="174">
        <v>0</v>
      </c>
      <c r="L181" s="174">
        <v>0</v>
      </c>
      <c r="M181" s="45">
        <f t="shared" si="24"/>
        <v>8.9724918683303817E-2</v>
      </c>
      <c r="R181" s="164"/>
      <c r="S181" s="165"/>
      <c r="T181" s="165"/>
      <c r="U181" s="166"/>
      <c r="V181" s="167"/>
      <c r="W181" s="167"/>
      <c r="X181" s="167"/>
      <c r="Y181" s="167"/>
      <c r="Z181" s="167"/>
      <c r="AA181" s="167"/>
    </row>
    <row r="182" spans="1:27" ht="15.6">
      <c r="A182" s="45">
        <f t="array" ref="A182">IFERROR(INDEX(baseline!$A$3:$A$201,MATCH($C182&amp;$D182,baseline!$C$3:$C$201&amp;baseline!$D$3:$D$201,0)),"NA")</f>
        <v>16</v>
      </c>
      <c r="B182" s="45" t="s">
        <v>955</v>
      </c>
      <c r="C182" s="117" t="s">
        <v>763</v>
      </c>
      <c r="D182" s="45" t="s">
        <v>13</v>
      </c>
      <c r="E182" s="45">
        <v>2028</v>
      </c>
      <c r="F182" s="174">
        <f t="shared" si="29"/>
        <v>815</v>
      </c>
      <c r="G182" s="174">
        <v>0</v>
      </c>
      <c r="H182" s="174">
        <v>803</v>
      </c>
      <c r="I182" s="174">
        <v>12</v>
      </c>
      <c r="J182" s="174">
        <v>0</v>
      </c>
      <c r="K182" s="174">
        <v>0</v>
      </c>
      <c r="L182" s="174">
        <v>0</v>
      </c>
      <c r="M182" s="45">
        <f t="shared" si="24"/>
        <v>4.1356073253530487E-3</v>
      </c>
      <c r="R182" s="164"/>
      <c r="S182" s="165"/>
      <c r="T182" s="165"/>
      <c r="U182" s="166"/>
      <c r="V182" s="167"/>
      <c r="W182" s="167"/>
      <c r="X182" s="167"/>
      <c r="Y182" s="167"/>
      <c r="Z182" s="167"/>
      <c r="AA182" s="167"/>
    </row>
    <row r="183" spans="1:27" ht="15.6">
      <c r="A183" s="45">
        <f t="array" ref="A183">IFERROR(INDEX(baseline!$A$3:$A$201,MATCH($C183&amp;$D183,baseline!$C$3:$C$201&amp;baseline!$D$3:$D$201,0)),"NA")</f>
        <v>17</v>
      </c>
      <c r="B183" s="45" t="s">
        <v>955</v>
      </c>
      <c r="C183" s="117" t="s">
        <v>763</v>
      </c>
      <c r="D183" s="45" t="s">
        <v>14</v>
      </c>
      <c r="E183" s="45">
        <v>2028</v>
      </c>
      <c r="F183" s="174">
        <f t="shared" si="29"/>
        <v>3259</v>
      </c>
      <c r="G183" s="174">
        <v>0</v>
      </c>
      <c r="H183" s="174">
        <v>2869</v>
      </c>
      <c r="I183" s="174">
        <v>390</v>
      </c>
      <c r="J183" s="174">
        <v>0</v>
      </c>
      <c r="K183" s="174">
        <v>0</v>
      </c>
      <c r="L183" s="174">
        <v>0</v>
      </c>
      <c r="M183" s="45">
        <f t="shared" si="24"/>
        <v>1.6537354936595812E-2</v>
      </c>
      <c r="R183" s="164"/>
      <c r="S183" s="165"/>
      <c r="T183" s="165"/>
      <c r="U183" s="166"/>
      <c r="V183" s="168"/>
      <c r="W183" s="168"/>
      <c r="X183" s="168"/>
      <c r="Y183" s="168"/>
      <c r="Z183" s="168"/>
      <c r="AA183" s="168"/>
    </row>
    <row r="184" spans="1:27" ht="15.6">
      <c r="A184" s="45">
        <f t="array" ref="A184">IFERROR(INDEX(baseline!$A$3:$A$201,MATCH($C184&amp;$D184,baseline!$C$3:$C$201&amp;baseline!$D$3:$D$201,0)),"NA")</f>
        <v>18</v>
      </c>
      <c r="B184" s="45" t="s">
        <v>955</v>
      </c>
      <c r="C184" s="117" t="s">
        <v>763</v>
      </c>
      <c r="D184" s="45" t="s">
        <v>546</v>
      </c>
      <c r="E184" s="45">
        <v>2028</v>
      </c>
      <c r="F184" s="174">
        <f t="shared" si="29"/>
        <v>501</v>
      </c>
      <c r="G184" s="174">
        <v>0</v>
      </c>
      <c r="H184" s="174">
        <v>501</v>
      </c>
      <c r="I184" s="174">
        <v>0</v>
      </c>
      <c r="J184" s="174">
        <v>0</v>
      </c>
      <c r="K184" s="174">
        <v>0</v>
      </c>
      <c r="L184" s="174">
        <v>0</v>
      </c>
      <c r="M184" s="45">
        <f t="shared" si="24"/>
        <v>2.5422567730084386E-3</v>
      </c>
      <c r="R184" s="164"/>
      <c r="S184" s="165"/>
      <c r="T184" s="165"/>
      <c r="U184" s="166"/>
      <c r="V184" s="167"/>
      <c r="W184" s="167"/>
      <c r="X184" s="167"/>
      <c r="Y184" s="167"/>
      <c r="Z184" s="167"/>
      <c r="AA184" s="167"/>
    </row>
    <row r="185" spans="1:27" ht="15.6">
      <c r="A185" s="45">
        <f t="array" ref="A185">IFERROR(INDEX(baseline!$A$3:$A$201,MATCH($C185&amp;$D185,baseline!$C$3:$C$201&amp;baseline!$D$3:$D$201,0)),"NA")</f>
        <v>3</v>
      </c>
      <c r="B185" s="45" t="s">
        <v>956</v>
      </c>
      <c r="C185" s="117" t="s">
        <v>545</v>
      </c>
      <c r="D185" s="45" t="s">
        <v>881</v>
      </c>
      <c r="E185" s="45">
        <v>2028</v>
      </c>
      <c r="F185" s="174">
        <f t="shared" si="29"/>
        <v>0</v>
      </c>
      <c r="G185" s="174">
        <v>0</v>
      </c>
      <c r="H185" s="174">
        <v>0</v>
      </c>
      <c r="I185" s="174">
        <v>0</v>
      </c>
      <c r="J185" s="174">
        <v>0</v>
      </c>
      <c r="K185" s="174">
        <v>0</v>
      </c>
      <c r="L185" s="174">
        <v>0</v>
      </c>
      <c r="M185" s="45">
        <f t="shared" si="24"/>
        <v>0</v>
      </c>
      <c r="R185" s="164"/>
      <c r="S185" s="165"/>
      <c r="T185" s="165"/>
      <c r="U185" s="166"/>
      <c r="V185" s="167"/>
      <c r="W185" s="167"/>
      <c r="X185" s="167"/>
      <c r="Y185" s="167"/>
      <c r="Z185" s="167"/>
      <c r="AA185" s="167"/>
    </row>
    <row r="186" spans="1:27" ht="15.6">
      <c r="B186" s="45" t="s">
        <v>956</v>
      </c>
      <c r="C186" s="117" t="s">
        <v>545</v>
      </c>
      <c r="D186" s="45" t="s">
        <v>546</v>
      </c>
      <c r="E186" s="45">
        <v>2028</v>
      </c>
      <c r="F186" s="174">
        <f t="shared" si="29"/>
        <v>4000</v>
      </c>
      <c r="G186" s="174">
        <v>4000</v>
      </c>
      <c r="H186" s="174">
        <v>0</v>
      </c>
      <c r="I186" s="174">
        <v>0</v>
      </c>
      <c r="J186" s="174">
        <v>0</v>
      </c>
      <c r="K186" s="174">
        <v>0</v>
      </c>
      <c r="L186" s="174">
        <v>0</v>
      </c>
      <c r="M186" s="45">
        <f t="shared" si="24"/>
        <v>2.0297459265536437E-2</v>
      </c>
      <c r="R186" s="164"/>
      <c r="S186" s="165"/>
      <c r="T186" s="165"/>
      <c r="U186" s="166"/>
      <c r="V186" s="167"/>
      <c r="W186" s="167"/>
      <c r="X186" s="167"/>
      <c r="Y186" s="167"/>
      <c r="Z186" s="167"/>
      <c r="AA186" s="167"/>
    </row>
    <row r="187" spans="1:27" ht="15.6">
      <c r="A187" s="45">
        <f t="array" ref="A187">IFERROR(INDEX(baseline!$A$3:$A$201,MATCH($C187&amp;$D187,baseline!$C$3:$C$201&amp;baseline!$D$3:$D$201,0)),"NA")</f>
        <v>27</v>
      </c>
      <c r="B187" s="45" t="s">
        <v>957</v>
      </c>
      <c r="C187" s="117" t="s">
        <v>1</v>
      </c>
      <c r="D187" s="45" t="s">
        <v>881</v>
      </c>
      <c r="E187" s="45">
        <v>2028</v>
      </c>
      <c r="F187" s="174">
        <f t="shared" si="29"/>
        <v>1778</v>
      </c>
      <c r="G187" s="174">
        <v>0</v>
      </c>
      <c r="H187" s="174">
        <v>1778</v>
      </c>
      <c r="I187" s="174">
        <v>0</v>
      </c>
      <c r="J187" s="174">
        <v>0</v>
      </c>
      <c r="K187" s="174">
        <v>0</v>
      </c>
      <c r="L187" s="174">
        <v>0</v>
      </c>
      <c r="M187" s="45">
        <f t="shared" si="24"/>
        <v>9.0222206435309465E-3</v>
      </c>
      <c r="R187" s="164"/>
      <c r="S187" s="165"/>
      <c r="T187" s="165"/>
      <c r="U187" s="166"/>
      <c r="V187" s="168"/>
      <c r="W187" s="168"/>
      <c r="X187" s="168"/>
      <c r="Y187" s="168"/>
      <c r="Z187" s="168"/>
      <c r="AA187" s="168"/>
    </row>
    <row r="188" spans="1:27" ht="15.6">
      <c r="A188" s="45">
        <f t="array" ref="A188">IFERROR(INDEX(baseline!$A$3:$A$201,MATCH($C188&amp;$D188,baseline!$C$3:$C$201&amp;baseline!$D$3:$D$201,0)),"NA")</f>
        <v>28</v>
      </c>
      <c r="B188" s="45" t="s">
        <v>957</v>
      </c>
      <c r="C188" s="117" t="s">
        <v>1</v>
      </c>
      <c r="D188" s="45" t="s">
        <v>14</v>
      </c>
      <c r="E188" s="45">
        <v>2028</v>
      </c>
      <c r="F188" s="174">
        <f t="shared" si="29"/>
        <v>11711</v>
      </c>
      <c r="G188" s="174">
        <v>0</v>
      </c>
      <c r="H188" s="174">
        <v>11711</v>
      </c>
      <c r="I188" s="174">
        <v>0</v>
      </c>
      <c r="J188" s="174">
        <v>0</v>
      </c>
      <c r="K188" s="174">
        <v>0</v>
      </c>
      <c r="L188" s="174">
        <v>0</v>
      </c>
      <c r="M188" s="45">
        <f t="shared" si="24"/>
        <v>5.9425886364674302E-2</v>
      </c>
      <c r="R188" s="169"/>
      <c r="S188" s="165"/>
      <c r="T188" s="165"/>
      <c r="U188" s="166"/>
      <c r="V188" s="167"/>
      <c r="W188" s="167"/>
      <c r="X188" s="167"/>
      <c r="Y188" s="167"/>
      <c r="Z188" s="167"/>
      <c r="AA188" s="167"/>
    </row>
    <row r="189" spans="1:27" ht="15.6">
      <c r="A189" s="45">
        <f t="array" ref="A189">IFERROR(INDEX(baseline!$A$3:$A$201,MATCH($C189&amp;$D189,baseline!$C$3:$C$201&amp;baseline!$D$3:$D$201,0)),"NA")</f>
        <v>8</v>
      </c>
      <c r="B189" s="45" t="s">
        <v>958</v>
      </c>
      <c r="C189" s="117" t="s">
        <v>697</v>
      </c>
      <c r="D189" s="45" t="s">
        <v>881</v>
      </c>
      <c r="E189" s="45">
        <v>2028</v>
      </c>
      <c r="F189" s="174">
        <f t="shared" si="29"/>
        <v>1504</v>
      </c>
      <c r="G189" s="174">
        <v>1504</v>
      </c>
      <c r="H189" s="174">
        <v>0</v>
      </c>
      <c r="I189" s="174">
        <v>0</v>
      </c>
      <c r="J189" s="174">
        <v>0</v>
      </c>
      <c r="K189" s="174">
        <v>0</v>
      </c>
      <c r="L189" s="174">
        <v>0</v>
      </c>
      <c r="M189" s="45">
        <f t="shared" si="24"/>
        <v>7.6318446838416999E-3</v>
      </c>
      <c r="R189" s="169"/>
      <c r="S189" s="165"/>
      <c r="T189" s="165"/>
      <c r="U189" s="166"/>
      <c r="V189" s="167"/>
      <c r="W189" s="167"/>
      <c r="X189" s="167"/>
      <c r="Y189" s="167"/>
      <c r="Z189" s="167"/>
      <c r="AA189" s="167"/>
    </row>
    <row r="190" spans="1:27" ht="15.6">
      <c r="A190" s="45">
        <f t="array" ref="A190">IFERROR(INDEX(baseline!$A$3:$A$201,MATCH($C190&amp;$D190,baseline!$C$3:$C$201&amp;baseline!$D$3:$D$201,0)),"NA")</f>
        <v>9</v>
      </c>
      <c r="B190" s="45" t="s">
        <v>958</v>
      </c>
      <c r="C190" s="117" t="s">
        <v>697</v>
      </c>
      <c r="D190" s="45" t="s">
        <v>14</v>
      </c>
      <c r="E190" s="45">
        <v>2028</v>
      </c>
      <c r="F190" s="174">
        <f t="shared" si="29"/>
        <v>10986</v>
      </c>
      <c r="G190" s="174">
        <v>7670</v>
      </c>
      <c r="H190" s="174">
        <v>3316</v>
      </c>
      <c r="I190" s="174">
        <v>0</v>
      </c>
      <c r="J190" s="174">
        <v>0</v>
      </c>
      <c r="K190" s="174">
        <v>0</v>
      </c>
      <c r="L190" s="174">
        <v>0</v>
      </c>
      <c r="M190" s="45">
        <f t="shared" si="24"/>
        <v>5.5746971872795821E-2</v>
      </c>
      <c r="R190" s="169"/>
      <c r="S190" s="165"/>
      <c r="T190" s="165"/>
      <c r="U190" s="166"/>
      <c r="V190" s="167"/>
      <c r="W190" s="167"/>
      <c r="X190" s="167"/>
      <c r="Y190" s="167"/>
      <c r="Z190" s="167"/>
      <c r="AA190" s="167"/>
    </row>
    <row r="191" spans="1:27" ht="15.6">
      <c r="A191" s="45">
        <f t="array" ref="A191">IFERROR(INDEX(baseline!$A$3:$A$201,MATCH($C191&amp;$D191,baseline!$C$3:$C$201&amp;baseline!$D$3:$D$201,0)),"NA")</f>
        <v>10</v>
      </c>
      <c r="B191" s="45" t="s">
        <v>959</v>
      </c>
      <c r="C191" s="117" t="s">
        <v>713</v>
      </c>
      <c r="D191" s="45" t="s">
        <v>881</v>
      </c>
      <c r="E191" s="45">
        <v>2028</v>
      </c>
      <c r="F191" s="174">
        <f t="shared" si="29"/>
        <v>1127</v>
      </c>
      <c r="G191" s="174">
        <v>368</v>
      </c>
      <c r="H191" s="174">
        <v>759</v>
      </c>
      <c r="I191" s="174">
        <v>0</v>
      </c>
      <c r="J191" s="174">
        <v>0</v>
      </c>
      <c r="K191" s="174">
        <v>0</v>
      </c>
      <c r="L191" s="174">
        <v>0</v>
      </c>
      <c r="M191" s="45">
        <f t="shared" si="24"/>
        <v>5.7188091480648911E-3</v>
      </c>
      <c r="R191" s="169"/>
      <c r="S191" s="165"/>
      <c r="T191" s="165"/>
      <c r="U191" s="166"/>
      <c r="V191" s="168"/>
      <c r="W191" s="168"/>
      <c r="X191" s="168"/>
      <c r="Y191" s="168"/>
      <c r="Z191" s="168"/>
      <c r="AA191" s="168"/>
    </row>
    <row r="192" spans="1:27" ht="15.6">
      <c r="A192" s="45">
        <f t="array" ref="A192">IFERROR(INDEX(baseline!$A$3:$A$201,MATCH($C192&amp;$D192,baseline!$C$3:$C$201&amp;baseline!$D$3:$D$201,0)),"NA")</f>
        <v>11</v>
      </c>
      <c r="B192" s="45" t="s">
        <v>959</v>
      </c>
      <c r="C192" s="117" t="s">
        <v>713</v>
      </c>
      <c r="D192" s="45" t="s">
        <v>13</v>
      </c>
      <c r="E192" s="45">
        <v>2028</v>
      </c>
      <c r="F192" s="174">
        <f t="shared" si="29"/>
        <v>724</v>
      </c>
      <c r="G192" s="174">
        <v>0</v>
      </c>
      <c r="H192" s="174">
        <v>724</v>
      </c>
      <c r="I192" s="174">
        <v>0</v>
      </c>
      <c r="J192" s="174">
        <v>0</v>
      </c>
      <c r="K192" s="174">
        <v>0</v>
      </c>
      <c r="L192" s="174">
        <v>0</v>
      </c>
      <c r="M192" s="45">
        <f t="shared" si="24"/>
        <v>3.6738401270620951E-3</v>
      </c>
      <c r="R192" s="164"/>
      <c r="S192" s="165"/>
      <c r="T192" s="165"/>
      <c r="U192" s="166"/>
      <c r="V192" s="167"/>
      <c r="W192" s="167"/>
      <c r="X192" s="167"/>
      <c r="Y192" s="167"/>
      <c r="Z192" s="167"/>
      <c r="AA192" s="167"/>
    </row>
    <row r="193" spans="1:27" ht="15.6">
      <c r="A193" s="45">
        <f t="array" ref="A193">IFERROR(INDEX(baseline!$A$3:$A$201,MATCH($C193&amp;$D193,baseline!$C$3:$C$201&amp;baseline!$D$3:$D$201,0)),"NA")</f>
        <v>12</v>
      </c>
      <c r="B193" s="45" t="s">
        <v>959</v>
      </c>
      <c r="C193" s="117" t="s">
        <v>713</v>
      </c>
      <c r="D193" s="45" t="s">
        <v>14</v>
      </c>
      <c r="E193" s="45">
        <v>2028</v>
      </c>
      <c r="F193" s="174">
        <f t="shared" si="29"/>
        <v>4736</v>
      </c>
      <c r="G193" s="174">
        <v>1050</v>
      </c>
      <c r="H193" s="174">
        <v>3686</v>
      </c>
      <c r="I193" s="174">
        <v>0</v>
      </c>
      <c r="J193" s="174">
        <v>0</v>
      </c>
      <c r="K193" s="174">
        <v>0</v>
      </c>
      <c r="L193" s="174">
        <v>0</v>
      </c>
      <c r="M193" s="45">
        <f t="shared" si="24"/>
        <v>2.4032191770395141E-2</v>
      </c>
      <c r="R193" s="164"/>
      <c r="S193" s="165"/>
      <c r="T193" s="165"/>
      <c r="U193" s="166"/>
      <c r="V193" s="167"/>
      <c r="W193" s="167"/>
      <c r="X193" s="167"/>
      <c r="Y193" s="167"/>
      <c r="Z193" s="167"/>
      <c r="AA193" s="167"/>
    </row>
    <row r="194" spans="1:27" ht="15.6">
      <c r="A194" s="45">
        <f t="array" ref="A194">IFERROR(INDEX(baseline!$A$3:$A$201,MATCH($C194&amp;$D194,baseline!$C$3:$C$201&amp;baseline!$D$3:$D$201,0)),"NA")</f>
        <v>2</v>
      </c>
      <c r="B194" s="45" t="s">
        <v>960</v>
      </c>
      <c r="C194" s="117" t="s">
        <v>78</v>
      </c>
      <c r="D194" s="45" t="s">
        <v>881</v>
      </c>
      <c r="E194" s="45">
        <v>2028</v>
      </c>
      <c r="F194" s="174">
        <f t="shared" si="29"/>
        <v>0</v>
      </c>
      <c r="G194" s="174">
        <v>0</v>
      </c>
      <c r="H194" s="174">
        <v>0</v>
      </c>
      <c r="I194" s="174">
        <v>0</v>
      </c>
      <c r="J194" s="174">
        <v>0</v>
      </c>
      <c r="K194" s="174">
        <v>0</v>
      </c>
      <c r="L194" s="174">
        <v>0</v>
      </c>
      <c r="M194" s="45">
        <f t="shared" si="24"/>
        <v>0</v>
      </c>
      <c r="R194" s="164"/>
      <c r="S194" s="165"/>
      <c r="T194" s="165"/>
      <c r="U194" s="166"/>
      <c r="V194" s="167"/>
      <c r="W194" s="167"/>
      <c r="X194" s="167"/>
      <c r="Y194" s="167"/>
      <c r="Z194" s="167"/>
      <c r="AA194" s="167"/>
    </row>
    <row r="195" spans="1:27" ht="15.6">
      <c r="B195" s="45" t="s">
        <v>960</v>
      </c>
      <c r="C195" s="117" t="s">
        <v>78</v>
      </c>
      <c r="D195" s="45" t="s">
        <v>881</v>
      </c>
      <c r="E195" s="45">
        <v>2028</v>
      </c>
      <c r="F195" s="174">
        <f t="shared" si="29"/>
        <v>1500</v>
      </c>
      <c r="G195" s="174">
        <v>1500</v>
      </c>
      <c r="H195" s="174">
        <v>0</v>
      </c>
      <c r="I195" s="174">
        <v>0</v>
      </c>
      <c r="J195" s="174">
        <v>0</v>
      </c>
      <c r="K195" s="174">
        <v>0</v>
      </c>
      <c r="L195" s="174">
        <v>0</v>
      </c>
      <c r="M195" s="45">
        <f t="shared" ref="M195:M258" si="30">F195/SUMIFS($F$2:$F$294,$E$2:$E$294,E195)</f>
        <v>7.6115472245761638E-3</v>
      </c>
      <c r="R195" s="164"/>
      <c r="S195" s="165"/>
      <c r="T195" s="165"/>
      <c r="U195" s="166"/>
      <c r="V195" s="167"/>
      <c r="W195" s="167"/>
      <c r="X195" s="167"/>
      <c r="Y195" s="167"/>
      <c r="Z195" s="167"/>
      <c r="AA195" s="167"/>
    </row>
    <row r="196" spans="1:27" ht="15.6">
      <c r="A196" s="45">
        <f t="array" ref="A196">IFERROR(INDEX(baseline!$A$3:$A$201,MATCH($C196&amp;$D196,baseline!$C$3:$C$201&amp;baseline!$D$3:$D$201,0)),"NA")</f>
        <v>5</v>
      </c>
      <c r="B196" s="45" t="s">
        <v>949</v>
      </c>
      <c r="C196" s="117" t="s">
        <v>761</v>
      </c>
      <c r="D196" s="45" t="s">
        <v>881</v>
      </c>
      <c r="E196" s="45">
        <v>2030</v>
      </c>
      <c r="F196" s="174">
        <f>SUM(G196:I196)</f>
        <v>21679</v>
      </c>
      <c r="G196" s="174">
        <v>21679</v>
      </c>
      <c r="H196" s="174">
        <v>0</v>
      </c>
      <c r="I196" s="174">
        <v>0</v>
      </c>
      <c r="J196" s="174">
        <v>0</v>
      </c>
      <c r="K196" s="174">
        <v>0</v>
      </c>
      <c r="L196" s="174">
        <v>0</v>
      </c>
      <c r="M196" s="45">
        <f t="shared" si="30"/>
        <v>0.1100071548543911</v>
      </c>
      <c r="R196" s="164"/>
      <c r="S196" s="165"/>
      <c r="T196" s="165"/>
      <c r="U196" s="166"/>
      <c r="V196" s="167"/>
      <c r="W196" s="167"/>
      <c r="X196" s="167"/>
      <c r="Y196" s="167"/>
      <c r="Z196" s="167"/>
      <c r="AA196" s="167"/>
    </row>
    <row r="197" spans="1:27" ht="15.6">
      <c r="A197" s="45">
        <f t="array" ref="A197">IFERROR(INDEX(baseline!$A$3:$A$201,MATCH($C197&amp;$D197,baseline!$C$3:$C$201&amp;baseline!$D$3:$D$201,0)),"NA")</f>
        <v>6</v>
      </c>
      <c r="B197" s="45" t="s">
        <v>949</v>
      </c>
      <c r="C197" s="117" t="s">
        <v>761</v>
      </c>
      <c r="D197" s="45" t="s">
        <v>13</v>
      </c>
      <c r="E197" s="45">
        <v>2030</v>
      </c>
      <c r="F197" s="174">
        <f t="shared" ref="F197:F228" si="31">SUM(G197:I197)</f>
        <v>6231</v>
      </c>
      <c r="G197" s="174">
        <v>0</v>
      </c>
      <c r="H197" s="174">
        <v>6231</v>
      </c>
      <c r="I197" s="174">
        <v>0</v>
      </c>
      <c r="J197" s="174">
        <v>0</v>
      </c>
      <c r="K197" s="174">
        <v>0</v>
      </c>
      <c r="L197" s="174">
        <v>0</v>
      </c>
      <c r="M197" s="45">
        <f t="shared" si="30"/>
        <v>3.1618367170889387E-2</v>
      </c>
      <c r="R197" s="164"/>
      <c r="S197" s="165"/>
      <c r="T197" s="165"/>
      <c r="U197" s="166"/>
      <c r="V197" s="167"/>
      <c r="W197" s="167"/>
      <c r="X197" s="167"/>
      <c r="Y197" s="167"/>
      <c r="Z197" s="167"/>
      <c r="AA197" s="167"/>
    </row>
    <row r="198" spans="1:27" ht="15.6">
      <c r="A198" s="45">
        <f t="array" ref="A198">IFERROR(INDEX(baseline!$A$3:$A$201,MATCH($C198&amp;$D198,baseline!$C$3:$C$201&amp;baseline!$D$3:$D$201,0)),"NA")</f>
        <v>7</v>
      </c>
      <c r="B198" s="45" t="s">
        <v>949</v>
      </c>
      <c r="C198" s="117" t="s">
        <v>761</v>
      </c>
      <c r="D198" s="45" t="s">
        <v>14</v>
      </c>
      <c r="E198" s="45">
        <v>2030</v>
      </c>
      <c r="F198" s="174">
        <f t="shared" si="31"/>
        <v>7269</v>
      </c>
      <c r="G198" s="174">
        <v>0</v>
      </c>
      <c r="H198" s="174">
        <v>7269</v>
      </c>
      <c r="I198" s="174">
        <v>0</v>
      </c>
      <c r="J198" s="174">
        <v>0</v>
      </c>
      <c r="K198" s="174">
        <v>0</v>
      </c>
      <c r="L198" s="174">
        <v>0</v>
      </c>
      <c r="M198" s="45">
        <f t="shared" si="30"/>
        <v>3.688555785029609E-2</v>
      </c>
      <c r="R198" s="164"/>
      <c r="S198" s="165"/>
      <c r="T198" s="165"/>
      <c r="U198" s="166"/>
      <c r="V198" s="167"/>
      <c r="W198" s="167"/>
      <c r="X198" s="167"/>
      <c r="Y198" s="167"/>
      <c r="Z198" s="167"/>
      <c r="AA198" s="167"/>
    </row>
    <row r="199" spans="1:27" ht="15.6">
      <c r="B199" s="45" t="s">
        <v>949</v>
      </c>
      <c r="C199" s="117" t="s">
        <v>761</v>
      </c>
      <c r="D199" s="45" t="s">
        <v>546</v>
      </c>
      <c r="E199" s="45">
        <v>2030</v>
      </c>
      <c r="F199" s="174">
        <f t="shared" si="31"/>
        <v>23000</v>
      </c>
      <c r="G199" s="174">
        <v>23000</v>
      </c>
      <c r="H199" s="174">
        <v>0</v>
      </c>
      <c r="I199" s="174">
        <v>0</v>
      </c>
      <c r="J199" s="174">
        <v>0</v>
      </c>
      <c r="K199" s="174">
        <v>0</v>
      </c>
      <c r="L199" s="174">
        <v>0</v>
      </c>
      <c r="M199" s="45">
        <f t="shared" si="30"/>
        <v>0.11671039077683451</v>
      </c>
      <c r="R199" s="164"/>
      <c r="S199" s="165"/>
      <c r="T199" s="165"/>
      <c r="U199" s="166"/>
      <c r="V199" s="167"/>
      <c r="W199" s="167"/>
      <c r="X199" s="167"/>
      <c r="Y199" s="167"/>
      <c r="Z199" s="167"/>
      <c r="AA199" s="167"/>
    </row>
    <row r="200" spans="1:27" ht="15.6">
      <c r="A200" s="45">
        <f t="array" ref="A200">IFERROR(INDEX(baseline!$A$3:$A$201,MATCH($C200&amp;$D200,baseline!$C$3:$C$201&amp;baseline!$D$3:$D$201,0)),"NA")</f>
        <v>24</v>
      </c>
      <c r="B200" s="45" t="s">
        <v>950</v>
      </c>
      <c r="C200" s="117" t="s">
        <v>547</v>
      </c>
      <c r="D200" s="45" t="s">
        <v>881</v>
      </c>
      <c r="E200" s="45">
        <v>2030</v>
      </c>
      <c r="F200" s="174">
        <f t="shared" si="31"/>
        <v>6832</v>
      </c>
      <c r="G200" s="174">
        <v>3118</v>
      </c>
      <c r="H200" s="174">
        <v>3714</v>
      </c>
      <c r="I200" s="174">
        <v>0</v>
      </c>
      <c r="J200" s="174">
        <v>0</v>
      </c>
      <c r="K200" s="174">
        <v>0</v>
      </c>
      <c r="L200" s="174">
        <v>0</v>
      </c>
      <c r="M200" s="45">
        <f t="shared" si="30"/>
        <v>3.4668060425536232E-2</v>
      </c>
      <c r="R200" s="164"/>
      <c r="S200" s="165"/>
      <c r="T200" s="165"/>
      <c r="U200" s="166"/>
      <c r="V200" s="167"/>
      <c r="W200" s="167"/>
      <c r="X200" s="167"/>
      <c r="Y200" s="167"/>
      <c r="Z200" s="167"/>
      <c r="AA200" s="167"/>
    </row>
    <row r="201" spans="1:27" ht="15.6">
      <c r="A201" s="45">
        <f t="array" ref="A201">IFERROR(INDEX(baseline!$A$3:$A$201,MATCH($C201&amp;$D201,baseline!$C$3:$C$201&amp;baseline!$D$3:$D$201,0)),"NA")</f>
        <v>25</v>
      </c>
      <c r="B201" s="45" t="s">
        <v>950</v>
      </c>
      <c r="C201" s="117" t="s">
        <v>547</v>
      </c>
      <c r="D201" s="45" t="s">
        <v>14</v>
      </c>
      <c r="E201" s="45">
        <v>2030</v>
      </c>
      <c r="F201" s="174">
        <f t="shared" si="31"/>
        <v>4831</v>
      </c>
      <c r="G201" s="174">
        <v>4831</v>
      </c>
      <c r="H201" s="174">
        <v>0</v>
      </c>
      <c r="I201" s="174">
        <v>0</v>
      </c>
      <c r="J201" s="174">
        <v>0</v>
      </c>
      <c r="K201" s="174">
        <v>0</v>
      </c>
      <c r="L201" s="174">
        <v>0</v>
      </c>
      <c r="M201" s="45">
        <f t="shared" si="30"/>
        <v>2.4514256427951631E-2</v>
      </c>
      <c r="R201" s="164"/>
      <c r="S201" s="165"/>
      <c r="T201" s="165"/>
      <c r="U201" s="166"/>
      <c r="V201" s="167"/>
      <c r="W201" s="167"/>
      <c r="X201" s="167"/>
      <c r="Y201" s="167"/>
      <c r="Z201" s="167"/>
      <c r="AA201" s="167"/>
    </row>
    <row r="202" spans="1:27" ht="15.6">
      <c r="A202" s="45">
        <f t="array" ref="A202">IFERROR(INDEX(baseline!$A$3:$A$201,MATCH($C202&amp;$D202,baseline!$C$3:$C$201&amp;baseline!$D$3:$D$201,0)),"NA")</f>
        <v>26</v>
      </c>
      <c r="B202" s="45" t="s">
        <v>950</v>
      </c>
      <c r="C202" s="117" t="s">
        <v>547</v>
      </c>
      <c r="D202" s="45" t="s">
        <v>546</v>
      </c>
      <c r="E202" s="45">
        <v>2030</v>
      </c>
      <c r="F202" s="174">
        <f t="shared" si="31"/>
        <v>1869</v>
      </c>
      <c r="G202" s="174">
        <v>0</v>
      </c>
      <c r="H202" s="174">
        <v>1869</v>
      </c>
      <c r="I202" s="174">
        <v>0</v>
      </c>
      <c r="J202" s="174">
        <v>0</v>
      </c>
      <c r="K202" s="174">
        <v>0</v>
      </c>
      <c r="L202" s="174">
        <v>0</v>
      </c>
      <c r="M202" s="45">
        <f t="shared" si="30"/>
        <v>9.4839878418218997E-3</v>
      </c>
      <c r="R202" s="164"/>
      <c r="S202" s="165"/>
      <c r="T202" s="165"/>
      <c r="U202" s="166"/>
      <c r="V202" s="167"/>
      <c r="W202" s="167"/>
      <c r="X202" s="167"/>
      <c r="Y202" s="167"/>
      <c r="Z202" s="167"/>
      <c r="AA202" s="167"/>
    </row>
    <row r="203" spans="1:27" ht="15.6">
      <c r="A203" s="45">
        <f t="array" ref="A203">IFERROR(INDEX(baseline!$A$3:$A$201,MATCH($C203&amp;$D203,baseline!$C$3:$C$201&amp;baseline!$D$3:$D$201,0)),"NA")</f>
        <v>20</v>
      </c>
      <c r="B203" s="45" t="s">
        <v>951</v>
      </c>
      <c r="C203" s="117" t="s">
        <v>2</v>
      </c>
      <c r="D203" s="45" t="s">
        <v>881</v>
      </c>
      <c r="E203" s="45">
        <v>2030</v>
      </c>
      <c r="F203" s="174">
        <f t="shared" si="31"/>
        <v>330</v>
      </c>
      <c r="G203" s="174">
        <v>249</v>
      </c>
      <c r="H203" s="174">
        <v>81</v>
      </c>
      <c r="I203" s="174">
        <v>0</v>
      </c>
      <c r="J203" s="174">
        <v>0</v>
      </c>
      <c r="K203" s="174">
        <v>0</v>
      </c>
      <c r="L203" s="174">
        <v>0</v>
      </c>
      <c r="M203" s="45">
        <f t="shared" si="30"/>
        <v>1.6745403894067559E-3</v>
      </c>
      <c r="R203" s="164"/>
      <c r="S203" s="165"/>
      <c r="T203" s="165"/>
      <c r="U203" s="166"/>
      <c r="V203" s="167"/>
      <c r="W203" s="167"/>
      <c r="X203" s="167"/>
      <c r="Y203" s="167"/>
      <c r="Z203" s="167"/>
      <c r="AA203" s="167"/>
    </row>
    <row r="204" spans="1:27" ht="15.6">
      <c r="A204" s="45">
        <f t="array" ref="A204">IFERROR(INDEX(baseline!$A$3:$A$201,MATCH($C204&amp;$D204,baseline!$C$3:$C$201&amp;baseline!$D$3:$D$201,0)),"NA")</f>
        <v>21</v>
      </c>
      <c r="B204" s="45" t="s">
        <v>951</v>
      </c>
      <c r="C204" s="117" t="s">
        <v>2</v>
      </c>
      <c r="D204" s="45" t="s">
        <v>13</v>
      </c>
      <c r="E204" s="45">
        <v>2030</v>
      </c>
      <c r="F204" s="174">
        <f t="shared" si="31"/>
        <v>832</v>
      </c>
      <c r="G204" s="174">
        <v>326</v>
      </c>
      <c r="H204" s="174">
        <v>506</v>
      </c>
      <c r="I204" s="174">
        <v>0</v>
      </c>
      <c r="J204" s="174">
        <v>0</v>
      </c>
      <c r="K204" s="174">
        <v>0</v>
      </c>
      <c r="L204" s="174">
        <v>0</v>
      </c>
      <c r="M204" s="45">
        <f t="shared" si="30"/>
        <v>4.221871527231579E-3</v>
      </c>
      <c r="R204" s="164"/>
      <c r="S204" s="165"/>
      <c r="T204" s="165"/>
      <c r="U204" s="166"/>
      <c r="V204" s="167"/>
      <c r="W204" s="167"/>
      <c r="X204" s="167"/>
      <c r="Y204" s="167"/>
      <c r="Z204" s="167"/>
      <c r="AA204" s="167"/>
    </row>
    <row r="205" spans="1:27" ht="15.6">
      <c r="A205" s="45">
        <f t="array" ref="A205">IFERROR(INDEX(baseline!$A$3:$A$201,MATCH($C205&amp;$D205,baseline!$C$3:$C$201&amp;baseline!$D$3:$D$201,0)),"NA")</f>
        <v>22</v>
      </c>
      <c r="B205" s="45" t="s">
        <v>951</v>
      </c>
      <c r="C205" s="117" t="s">
        <v>2</v>
      </c>
      <c r="D205" s="45" t="s">
        <v>14</v>
      </c>
      <c r="E205" s="45">
        <v>2030</v>
      </c>
      <c r="F205" s="174">
        <f t="shared" si="31"/>
        <v>8824</v>
      </c>
      <c r="G205" s="174">
        <v>76</v>
      </c>
      <c r="H205" s="174">
        <v>8006</v>
      </c>
      <c r="I205" s="174">
        <v>742</v>
      </c>
      <c r="J205" s="174">
        <v>0</v>
      </c>
      <c r="K205" s="174">
        <v>0</v>
      </c>
      <c r="L205" s="174">
        <v>0</v>
      </c>
      <c r="M205" s="45">
        <f t="shared" si="30"/>
        <v>4.4776195139773378E-2</v>
      </c>
      <c r="R205" s="164"/>
      <c r="S205" s="165"/>
      <c r="T205" s="165"/>
      <c r="U205" s="166"/>
      <c r="V205" s="167"/>
      <c r="W205" s="167"/>
      <c r="X205" s="167"/>
      <c r="Y205" s="167"/>
      <c r="Z205" s="167"/>
      <c r="AA205" s="167"/>
    </row>
    <row r="206" spans="1:27" ht="15.6">
      <c r="A206" s="45">
        <f t="array" ref="A206">IFERROR(INDEX(baseline!$A$3:$A$201,MATCH($C206&amp;$D206,baseline!$C$3:$C$201&amp;baseline!$D$3:$D$201,0)),"NA")</f>
        <v>23</v>
      </c>
      <c r="B206" s="45" t="s">
        <v>951</v>
      </c>
      <c r="C206" s="117" t="s">
        <v>2</v>
      </c>
      <c r="D206" s="45" t="s">
        <v>546</v>
      </c>
      <c r="E206" s="45">
        <v>2030</v>
      </c>
      <c r="F206" s="174">
        <f t="shared" si="31"/>
        <v>501</v>
      </c>
      <c r="G206" s="174">
        <v>0</v>
      </c>
      <c r="H206" s="174">
        <v>428</v>
      </c>
      <c r="I206" s="174">
        <v>73</v>
      </c>
      <c r="J206" s="174">
        <v>0</v>
      </c>
      <c r="K206" s="174">
        <v>0</v>
      </c>
      <c r="L206" s="174">
        <v>0</v>
      </c>
      <c r="M206" s="45">
        <f t="shared" si="30"/>
        <v>2.5422567730084386E-3</v>
      </c>
      <c r="R206" s="164"/>
      <c r="S206" s="165"/>
      <c r="T206" s="165"/>
      <c r="U206" s="166"/>
      <c r="V206" s="167"/>
      <c r="W206" s="167"/>
      <c r="X206" s="167"/>
      <c r="Y206" s="167"/>
      <c r="Z206" s="167"/>
      <c r="AA206" s="167"/>
    </row>
    <row r="207" spans="1:27" ht="15.6">
      <c r="A207" s="45">
        <f t="array" ref="A207">IFERROR(INDEX(baseline!$A$3:$A$201,MATCH($C207&amp;$D207,baseline!$C$3:$C$201&amp;baseline!$D$3:$D$201,0)),"NA")</f>
        <v>1</v>
      </c>
      <c r="B207" s="45" t="s">
        <v>952</v>
      </c>
      <c r="C207" s="117" t="s">
        <v>0</v>
      </c>
      <c r="D207" s="45" t="s">
        <v>881</v>
      </c>
      <c r="E207" s="45">
        <v>2030</v>
      </c>
      <c r="F207" s="174">
        <f t="shared" si="31"/>
        <v>20067</v>
      </c>
      <c r="G207" s="174">
        <v>17024</v>
      </c>
      <c r="H207" s="174">
        <v>3043</v>
      </c>
      <c r="I207" s="174">
        <v>0</v>
      </c>
      <c r="J207" s="174">
        <v>0</v>
      </c>
      <c r="K207" s="174">
        <v>0</v>
      </c>
      <c r="L207" s="174">
        <v>0</v>
      </c>
      <c r="M207" s="45">
        <f t="shared" si="30"/>
        <v>0.10182727877037992</v>
      </c>
      <c r="R207" s="164"/>
      <c r="S207" s="165"/>
      <c r="T207" s="165"/>
      <c r="U207" s="166"/>
      <c r="V207" s="167"/>
      <c r="W207" s="167"/>
      <c r="X207" s="167"/>
      <c r="Y207" s="167"/>
      <c r="Z207" s="167"/>
      <c r="AA207" s="167"/>
    </row>
    <row r="208" spans="1:27" ht="15.6">
      <c r="B208" s="45" t="s">
        <v>952</v>
      </c>
      <c r="C208" s="117" t="s">
        <v>0</v>
      </c>
      <c r="D208" s="45" t="s">
        <v>1091</v>
      </c>
      <c r="E208" s="45">
        <v>2030</v>
      </c>
      <c r="F208" s="174">
        <f t="shared" si="31"/>
        <v>5000</v>
      </c>
      <c r="G208" s="174">
        <v>0</v>
      </c>
      <c r="H208" s="174">
        <v>5000</v>
      </c>
      <c r="I208" s="174">
        <v>0</v>
      </c>
      <c r="J208" s="174">
        <v>0</v>
      </c>
      <c r="K208" s="174">
        <v>0</v>
      </c>
      <c r="L208" s="174">
        <v>0</v>
      </c>
      <c r="M208" s="45">
        <f t="shared" si="30"/>
        <v>2.5371824081920544E-2</v>
      </c>
      <c r="R208" s="164"/>
      <c r="S208" s="165"/>
      <c r="T208" s="165"/>
      <c r="U208" s="166"/>
      <c r="V208" s="167"/>
      <c r="W208" s="167"/>
      <c r="X208" s="167"/>
      <c r="Y208" s="167"/>
      <c r="Z208" s="167"/>
      <c r="AA208" s="167"/>
    </row>
    <row r="209" spans="1:27" ht="15.6">
      <c r="A209" s="45" t="str">
        <f t="array" ref="A209">IFERROR(INDEX(baseline!$A$3:$A$201,MATCH($C209&amp;$D209,baseline!$C$3:$C$201&amp;baseline!$D$3:$D$201,0)),"NA")</f>
        <v>NA</v>
      </c>
      <c r="B209" s="45" t="s">
        <v>953</v>
      </c>
      <c r="C209" s="117" t="s">
        <v>712</v>
      </c>
      <c r="D209" s="45" t="s">
        <v>881</v>
      </c>
      <c r="E209" s="45">
        <v>2030</v>
      </c>
      <c r="F209" s="174">
        <f t="shared" si="31"/>
        <v>294</v>
      </c>
      <c r="G209" s="174">
        <v>0</v>
      </c>
      <c r="H209" s="174">
        <v>294</v>
      </c>
      <c r="I209" s="174">
        <v>0</v>
      </c>
      <c r="J209" s="174">
        <v>0</v>
      </c>
      <c r="K209" s="174">
        <v>0</v>
      </c>
      <c r="L209" s="174">
        <v>0</v>
      </c>
      <c r="M209" s="45">
        <f t="shared" si="30"/>
        <v>1.4918632560169281E-3</v>
      </c>
      <c r="R209" s="164"/>
      <c r="S209" s="165"/>
      <c r="T209" s="165"/>
      <c r="U209" s="166"/>
      <c r="V209" s="167"/>
      <c r="W209" s="167"/>
      <c r="X209" s="167"/>
      <c r="Y209" s="167"/>
      <c r="Z209" s="167"/>
      <c r="AA209" s="167"/>
    </row>
    <row r="210" spans="1:27" ht="15.6">
      <c r="A210" s="45" t="str">
        <f t="array" ref="A210">IFERROR(INDEX(baseline!$A$3:$A$201,MATCH($C210&amp;$D210,baseline!$C$3:$C$201&amp;baseline!$D$3:$D$201,0)),"NA")</f>
        <v>NA</v>
      </c>
      <c r="B210" s="45" t="s">
        <v>953</v>
      </c>
      <c r="C210" s="117" t="s">
        <v>712</v>
      </c>
      <c r="D210" s="45" t="s">
        <v>13</v>
      </c>
      <c r="E210" s="45">
        <v>2030</v>
      </c>
      <c r="F210" s="174">
        <f t="shared" si="31"/>
        <v>101</v>
      </c>
      <c r="G210" s="174">
        <v>0</v>
      </c>
      <c r="H210" s="174">
        <v>101</v>
      </c>
      <c r="I210" s="174">
        <v>0</v>
      </c>
      <c r="J210" s="174">
        <v>0</v>
      </c>
      <c r="K210" s="174">
        <v>0</v>
      </c>
      <c r="L210" s="174">
        <v>0</v>
      </c>
      <c r="M210" s="45">
        <f t="shared" si="30"/>
        <v>5.1251084645479502E-4</v>
      </c>
      <c r="R210" s="164"/>
      <c r="S210" s="165"/>
      <c r="T210" s="165"/>
      <c r="U210" s="166"/>
      <c r="V210" s="167"/>
      <c r="W210" s="167"/>
      <c r="X210" s="167"/>
      <c r="Y210" s="167"/>
      <c r="Z210" s="167"/>
      <c r="AA210" s="167"/>
    </row>
    <row r="211" spans="1:27" ht="15.6">
      <c r="A211" s="45">
        <f t="array" ref="A211">IFERROR(INDEX(baseline!$A$3:$A$201,MATCH($C211&amp;$D211,baseline!$C$3:$C$201&amp;baseline!$D$3:$D$201,0)),"NA")</f>
        <v>19</v>
      </c>
      <c r="B211" s="45" t="s">
        <v>953</v>
      </c>
      <c r="C211" s="117" t="s">
        <v>712</v>
      </c>
      <c r="D211" s="45" t="s">
        <v>14</v>
      </c>
      <c r="E211" s="45">
        <v>2030</v>
      </c>
      <c r="F211" s="174">
        <f t="shared" si="31"/>
        <v>15831</v>
      </c>
      <c r="G211" s="174">
        <v>0</v>
      </c>
      <c r="H211" s="174">
        <v>15831</v>
      </c>
      <c r="I211" s="174">
        <v>0</v>
      </c>
      <c r="J211" s="174">
        <v>0</v>
      </c>
      <c r="K211" s="174">
        <v>0</v>
      </c>
      <c r="L211" s="174">
        <v>0</v>
      </c>
      <c r="M211" s="45">
        <f t="shared" si="30"/>
        <v>8.0332269408176837E-2</v>
      </c>
      <c r="R211" s="164"/>
      <c r="S211" s="165"/>
      <c r="T211" s="165"/>
      <c r="U211" s="166"/>
      <c r="V211" s="167"/>
      <c r="W211" s="167"/>
      <c r="X211" s="167"/>
      <c r="Y211" s="167"/>
      <c r="Z211" s="167"/>
      <c r="AA211" s="167"/>
    </row>
    <row r="212" spans="1:27" ht="15.6">
      <c r="A212" s="45" t="str">
        <f t="array" ref="A212">IFERROR(INDEX(baseline!$A$3:$A$201,MATCH($C212&amp;$D212,baseline!$C$3:$C$201&amp;baseline!$D$3:$D$201,0)),"NA")</f>
        <v>NA</v>
      </c>
      <c r="B212" s="45" t="s">
        <v>954</v>
      </c>
      <c r="C212" s="117" t="s">
        <v>762</v>
      </c>
      <c r="D212" s="45" t="s">
        <v>12</v>
      </c>
      <c r="E212" s="45">
        <v>2030</v>
      </c>
      <c r="F212" s="174">
        <f t="shared" si="31"/>
        <v>11035</v>
      </c>
      <c r="G212" s="174">
        <v>5024</v>
      </c>
      <c r="H212" s="174">
        <v>6011</v>
      </c>
      <c r="I212" s="174">
        <v>0</v>
      </c>
      <c r="J212" s="174">
        <v>0</v>
      </c>
      <c r="K212" s="174">
        <v>0</v>
      </c>
      <c r="L212" s="174">
        <v>0</v>
      </c>
      <c r="M212" s="45">
        <f t="shared" si="30"/>
        <v>5.5995615748798647E-2</v>
      </c>
      <c r="R212" s="170"/>
      <c r="S212" s="25"/>
      <c r="T212" s="25"/>
      <c r="U212" s="171"/>
      <c r="V212" s="171"/>
      <c r="W212" s="171"/>
      <c r="X212" s="171"/>
      <c r="Y212" s="171"/>
      <c r="Z212" s="171"/>
      <c r="AA212" s="171"/>
    </row>
    <row r="213" spans="1:27" ht="15.6">
      <c r="A213" s="45">
        <f t="array" ref="A213">IFERROR(INDEX(baseline!$A$3:$A$201,MATCH($C213&amp;$D213,baseline!$C$3:$C$201&amp;baseline!$D$3:$D$201,0)),"NA")</f>
        <v>14</v>
      </c>
      <c r="B213" s="45" t="s">
        <v>954</v>
      </c>
      <c r="C213" s="117" t="s">
        <v>762</v>
      </c>
      <c r="D213" s="45" t="s">
        <v>13</v>
      </c>
      <c r="E213" s="45">
        <v>2030</v>
      </c>
      <c r="F213" s="174">
        <f t="shared" si="31"/>
        <v>2220</v>
      </c>
      <c r="G213" s="174">
        <v>0</v>
      </c>
      <c r="H213" s="174">
        <v>2220</v>
      </c>
      <c r="I213" s="174">
        <v>0</v>
      </c>
      <c r="J213" s="174">
        <v>0</v>
      </c>
      <c r="K213" s="174">
        <v>0</v>
      </c>
      <c r="L213" s="174">
        <v>0</v>
      </c>
      <c r="M213" s="45">
        <f t="shared" si="30"/>
        <v>1.1265089892372722E-2</v>
      </c>
      <c r="R213" s="25"/>
      <c r="S213" s="25"/>
      <c r="T213" s="25"/>
      <c r="U213" s="25"/>
      <c r="V213" s="25"/>
      <c r="W213" s="25"/>
      <c r="X213" s="25"/>
      <c r="Y213" s="25"/>
      <c r="Z213" s="25"/>
      <c r="AA213" s="25"/>
    </row>
    <row r="214" spans="1:27" ht="15.6">
      <c r="A214" s="45">
        <f t="array" ref="A214">IFERROR(INDEX(baseline!$A$3:$A$201,MATCH($C214&amp;$D214,baseline!$C$3:$C$201&amp;baseline!$D$3:$D$201,0)),"NA")</f>
        <v>15</v>
      </c>
      <c r="B214" s="45" t="s">
        <v>954</v>
      </c>
      <c r="C214" s="117" t="s">
        <v>762</v>
      </c>
      <c r="D214" s="45" t="s">
        <v>14</v>
      </c>
      <c r="E214" s="45">
        <v>2030</v>
      </c>
      <c r="F214" s="174">
        <f t="shared" si="31"/>
        <v>17682</v>
      </c>
      <c r="G214" s="174">
        <v>11024</v>
      </c>
      <c r="H214" s="174">
        <v>6658</v>
      </c>
      <c r="I214" s="174">
        <v>0</v>
      </c>
      <c r="J214" s="174">
        <v>0</v>
      </c>
      <c r="K214" s="174">
        <v>0</v>
      </c>
      <c r="L214" s="174">
        <v>0</v>
      </c>
      <c r="M214" s="45">
        <f t="shared" si="30"/>
        <v>8.9724918683303817E-2</v>
      </c>
      <c r="R214" s="163"/>
      <c r="S214" s="163"/>
      <c r="T214" s="163"/>
      <c r="U214" s="163"/>
      <c r="V214" s="163"/>
      <c r="W214" s="163"/>
      <c r="X214" s="163"/>
      <c r="Y214" s="163"/>
      <c r="Z214" s="163"/>
      <c r="AA214" s="163"/>
    </row>
    <row r="215" spans="1:27" ht="15.6">
      <c r="A215" s="45">
        <f t="array" ref="A215">IFERROR(INDEX(baseline!$A$3:$A$201,MATCH($C215&amp;$D215,baseline!$C$3:$C$201&amp;baseline!$D$3:$D$201,0)),"NA")</f>
        <v>16</v>
      </c>
      <c r="B215" s="45" t="s">
        <v>955</v>
      </c>
      <c r="C215" s="117" t="s">
        <v>763</v>
      </c>
      <c r="D215" s="45" t="s">
        <v>13</v>
      </c>
      <c r="E215" s="45">
        <v>2030</v>
      </c>
      <c r="F215" s="174">
        <f t="shared" si="31"/>
        <v>815</v>
      </c>
      <c r="G215" s="174">
        <v>0</v>
      </c>
      <c r="H215" s="174">
        <v>803</v>
      </c>
      <c r="I215" s="174">
        <v>12</v>
      </c>
      <c r="J215" s="174">
        <v>0</v>
      </c>
      <c r="K215" s="174">
        <v>0</v>
      </c>
      <c r="L215" s="174">
        <v>0</v>
      </c>
      <c r="M215" s="45">
        <f t="shared" si="30"/>
        <v>4.1356073253530487E-3</v>
      </c>
      <c r="R215" s="164"/>
      <c r="S215" s="165"/>
      <c r="T215" s="165"/>
      <c r="U215" s="166"/>
      <c r="V215" s="167"/>
      <c r="W215" s="167"/>
      <c r="X215" s="167"/>
      <c r="Y215" s="167"/>
      <c r="Z215" s="167"/>
      <c r="AA215" s="167"/>
    </row>
    <row r="216" spans="1:27" ht="15.6">
      <c r="A216" s="45">
        <f t="array" ref="A216">IFERROR(INDEX(baseline!$A$3:$A$201,MATCH($C216&amp;$D216,baseline!$C$3:$C$201&amp;baseline!$D$3:$D$201,0)),"NA")</f>
        <v>17</v>
      </c>
      <c r="B216" s="45" t="s">
        <v>955</v>
      </c>
      <c r="C216" s="117" t="s">
        <v>763</v>
      </c>
      <c r="D216" s="45" t="s">
        <v>14</v>
      </c>
      <c r="E216" s="45">
        <v>2030</v>
      </c>
      <c r="F216" s="174">
        <f t="shared" si="31"/>
        <v>3259</v>
      </c>
      <c r="G216" s="174">
        <v>0</v>
      </c>
      <c r="H216" s="174">
        <v>2869</v>
      </c>
      <c r="I216" s="174">
        <v>390</v>
      </c>
      <c r="J216" s="174">
        <v>0</v>
      </c>
      <c r="K216" s="174">
        <v>0</v>
      </c>
      <c r="L216" s="174">
        <v>0</v>
      </c>
      <c r="M216" s="45">
        <f t="shared" si="30"/>
        <v>1.6537354936595812E-2</v>
      </c>
      <c r="R216" s="164"/>
      <c r="S216" s="165"/>
      <c r="T216" s="165"/>
      <c r="U216" s="166"/>
      <c r="V216" s="167"/>
      <c r="W216" s="167"/>
      <c r="X216" s="167"/>
      <c r="Y216" s="167"/>
      <c r="Z216" s="167"/>
      <c r="AA216" s="167"/>
    </row>
    <row r="217" spans="1:27" ht="15.6">
      <c r="A217" s="45">
        <f t="array" ref="A217">IFERROR(INDEX(baseline!$A$3:$A$201,MATCH($C217&amp;$D217,baseline!$C$3:$C$201&amp;baseline!$D$3:$D$201,0)),"NA")</f>
        <v>18</v>
      </c>
      <c r="B217" s="45" t="s">
        <v>955</v>
      </c>
      <c r="C217" s="117" t="s">
        <v>763</v>
      </c>
      <c r="D217" s="45" t="s">
        <v>546</v>
      </c>
      <c r="E217" s="45">
        <v>2030</v>
      </c>
      <c r="F217" s="174">
        <f t="shared" si="31"/>
        <v>501</v>
      </c>
      <c r="G217" s="174">
        <v>0</v>
      </c>
      <c r="H217" s="174">
        <v>501</v>
      </c>
      <c r="I217" s="174">
        <v>0</v>
      </c>
      <c r="J217" s="174">
        <v>0</v>
      </c>
      <c r="K217" s="174">
        <v>0</v>
      </c>
      <c r="L217" s="174">
        <v>0</v>
      </c>
      <c r="M217" s="45">
        <f t="shared" si="30"/>
        <v>2.5422567730084386E-3</v>
      </c>
      <c r="R217" s="164"/>
      <c r="S217" s="165"/>
      <c r="T217" s="165"/>
      <c r="U217" s="166"/>
      <c r="V217" s="167"/>
      <c r="W217" s="167"/>
      <c r="X217" s="167"/>
      <c r="Y217" s="167"/>
      <c r="Z217" s="167"/>
      <c r="AA217" s="167"/>
    </row>
    <row r="218" spans="1:27" ht="15.6">
      <c r="A218" s="45">
        <f t="array" ref="A218">IFERROR(INDEX(baseline!$A$3:$A$201,MATCH($C218&amp;$D218,baseline!$C$3:$C$201&amp;baseline!$D$3:$D$201,0)),"NA")</f>
        <v>3</v>
      </c>
      <c r="B218" s="45" t="s">
        <v>956</v>
      </c>
      <c r="C218" s="117" t="s">
        <v>545</v>
      </c>
      <c r="D218" s="45" t="s">
        <v>881</v>
      </c>
      <c r="E218" s="45">
        <v>2030</v>
      </c>
      <c r="F218" s="174">
        <f t="shared" si="31"/>
        <v>0</v>
      </c>
      <c r="G218" s="174">
        <v>0</v>
      </c>
      <c r="H218" s="174">
        <v>0</v>
      </c>
      <c r="I218" s="174">
        <v>0</v>
      </c>
      <c r="J218" s="174">
        <v>0</v>
      </c>
      <c r="K218" s="174">
        <v>0</v>
      </c>
      <c r="L218" s="174">
        <v>0</v>
      </c>
      <c r="M218" s="45">
        <f t="shared" si="30"/>
        <v>0</v>
      </c>
      <c r="R218" s="164"/>
      <c r="S218" s="165"/>
      <c r="T218" s="165"/>
      <c r="U218" s="166"/>
      <c r="V218" s="167"/>
      <c r="W218" s="167"/>
      <c r="X218" s="167"/>
      <c r="Y218" s="167"/>
      <c r="Z218" s="167"/>
      <c r="AA218" s="167"/>
    </row>
    <row r="219" spans="1:27" ht="15.6">
      <c r="B219" s="45" t="s">
        <v>956</v>
      </c>
      <c r="C219" s="117" t="s">
        <v>545</v>
      </c>
      <c r="D219" s="45" t="s">
        <v>546</v>
      </c>
      <c r="E219" s="45">
        <v>2030</v>
      </c>
      <c r="F219" s="174">
        <f t="shared" si="31"/>
        <v>4000</v>
      </c>
      <c r="G219" s="174">
        <v>4000</v>
      </c>
      <c r="H219" s="174">
        <v>0</v>
      </c>
      <c r="I219" s="174">
        <v>0</v>
      </c>
      <c r="J219" s="174">
        <v>0</v>
      </c>
      <c r="K219" s="174">
        <v>0</v>
      </c>
      <c r="L219" s="174">
        <v>0</v>
      </c>
      <c r="M219" s="45">
        <f t="shared" si="30"/>
        <v>2.0297459265536437E-2</v>
      </c>
      <c r="R219" s="164"/>
      <c r="S219" s="165"/>
      <c r="T219" s="165"/>
      <c r="U219" s="166"/>
      <c r="V219" s="167"/>
      <c r="W219" s="167"/>
      <c r="X219" s="167"/>
      <c r="Y219" s="167"/>
      <c r="Z219" s="167"/>
      <c r="AA219" s="167"/>
    </row>
    <row r="220" spans="1:27" ht="15.6">
      <c r="A220" s="45">
        <f t="array" ref="A220">IFERROR(INDEX(baseline!$A$3:$A$201,MATCH($C220&amp;$D220,baseline!$C$3:$C$201&amp;baseline!$D$3:$D$201,0)),"NA")</f>
        <v>27</v>
      </c>
      <c r="B220" s="45" t="s">
        <v>957</v>
      </c>
      <c r="C220" s="117" t="s">
        <v>1</v>
      </c>
      <c r="D220" s="45" t="s">
        <v>881</v>
      </c>
      <c r="E220" s="45">
        <v>2030</v>
      </c>
      <c r="F220" s="174">
        <f t="shared" si="31"/>
        <v>1778</v>
      </c>
      <c r="G220" s="174">
        <v>0</v>
      </c>
      <c r="H220" s="174">
        <v>1778</v>
      </c>
      <c r="I220" s="174">
        <v>0</v>
      </c>
      <c r="J220" s="174">
        <v>0</v>
      </c>
      <c r="K220" s="174">
        <v>0</v>
      </c>
      <c r="L220" s="174">
        <v>0</v>
      </c>
      <c r="M220" s="45">
        <f t="shared" si="30"/>
        <v>9.0222206435309465E-3</v>
      </c>
      <c r="R220" s="164"/>
      <c r="S220" s="165"/>
      <c r="T220" s="165"/>
      <c r="U220" s="166"/>
      <c r="V220" s="167"/>
      <c r="W220" s="167"/>
      <c r="X220" s="167"/>
      <c r="Y220" s="167"/>
      <c r="Z220" s="167"/>
      <c r="AA220" s="167"/>
    </row>
    <row r="221" spans="1:27" ht="15.6">
      <c r="A221" s="45">
        <f t="array" ref="A221">IFERROR(INDEX(baseline!$A$3:$A$201,MATCH($C221&amp;$D221,baseline!$C$3:$C$201&amp;baseline!$D$3:$D$201,0)),"NA")</f>
        <v>28</v>
      </c>
      <c r="B221" s="45" t="s">
        <v>957</v>
      </c>
      <c r="C221" s="117" t="s">
        <v>1</v>
      </c>
      <c r="D221" s="45" t="s">
        <v>14</v>
      </c>
      <c r="E221" s="45">
        <v>2030</v>
      </c>
      <c r="F221" s="174">
        <f t="shared" si="31"/>
        <v>11711</v>
      </c>
      <c r="G221" s="174">
        <v>0</v>
      </c>
      <c r="H221" s="174">
        <v>11711</v>
      </c>
      <c r="I221" s="174">
        <v>0</v>
      </c>
      <c r="J221" s="174">
        <v>0</v>
      </c>
      <c r="K221" s="174">
        <v>0</v>
      </c>
      <c r="L221" s="174">
        <v>0</v>
      </c>
      <c r="M221" s="45">
        <f t="shared" si="30"/>
        <v>5.9425886364674302E-2</v>
      </c>
      <c r="R221" s="164"/>
      <c r="S221" s="165"/>
      <c r="T221" s="165"/>
      <c r="U221" s="166"/>
      <c r="V221" s="167"/>
      <c r="W221" s="167"/>
      <c r="X221" s="167"/>
      <c r="Y221" s="167"/>
      <c r="Z221" s="167"/>
      <c r="AA221" s="167"/>
    </row>
    <row r="222" spans="1:27" ht="15.6">
      <c r="A222" s="45">
        <f t="array" ref="A222">IFERROR(INDEX(baseline!$A$3:$A$201,MATCH($C222&amp;$D222,baseline!$C$3:$C$201&amp;baseline!$D$3:$D$201,0)),"NA")</f>
        <v>8</v>
      </c>
      <c r="B222" s="45" t="s">
        <v>958</v>
      </c>
      <c r="C222" s="117" t="s">
        <v>697</v>
      </c>
      <c r="D222" s="45" t="s">
        <v>881</v>
      </c>
      <c r="E222" s="45">
        <v>2030</v>
      </c>
      <c r="F222" s="174">
        <f t="shared" si="31"/>
        <v>1504</v>
      </c>
      <c r="G222" s="174">
        <v>1504</v>
      </c>
      <c r="H222" s="174">
        <v>0</v>
      </c>
      <c r="I222" s="174">
        <v>0</v>
      </c>
      <c r="J222" s="174">
        <v>0</v>
      </c>
      <c r="K222" s="174">
        <v>0</v>
      </c>
      <c r="L222" s="174">
        <v>0</v>
      </c>
      <c r="M222" s="45">
        <f t="shared" si="30"/>
        <v>7.6318446838416999E-3</v>
      </c>
      <c r="R222" s="164"/>
      <c r="S222" s="165"/>
      <c r="T222" s="165"/>
      <c r="U222" s="166"/>
      <c r="V222" s="168"/>
      <c r="W222" s="168"/>
      <c r="X222" s="168"/>
      <c r="Y222" s="168"/>
      <c r="Z222" s="168"/>
      <c r="AA222" s="168"/>
    </row>
    <row r="223" spans="1:27" ht="15.6">
      <c r="A223" s="45">
        <f t="array" ref="A223">IFERROR(INDEX(baseline!$A$3:$A$201,MATCH($C223&amp;$D223,baseline!$C$3:$C$201&amp;baseline!$D$3:$D$201,0)),"NA")</f>
        <v>9</v>
      </c>
      <c r="B223" s="45" t="s">
        <v>958</v>
      </c>
      <c r="C223" s="117" t="s">
        <v>697</v>
      </c>
      <c r="D223" s="45" t="s">
        <v>14</v>
      </c>
      <c r="E223" s="45">
        <v>2030</v>
      </c>
      <c r="F223" s="174">
        <f t="shared" si="31"/>
        <v>10986</v>
      </c>
      <c r="G223" s="174">
        <v>7670</v>
      </c>
      <c r="H223" s="174">
        <v>3316</v>
      </c>
      <c r="I223" s="174">
        <v>0</v>
      </c>
      <c r="J223" s="174">
        <v>0</v>
      </c>
      <c r="K223" s="174">
        <v>0</v>
      </c>
      <c r="L223" s="174">
        <v>0</v>
      </c>
      <c r="M223" s="45">
        <f t="shared" si="30"/>
        <v>5.5746971872795821E-2</v>
      </c>
      <c r="R223" s="164"/>
      <c r="S223" s="165"/>
      <c r="T223" s="165"/>
      <c r="U223" s="166"/>
      <c r="V223" s="167"/>
      <c r="W223" s="167"/>
      <c r="X223" s="167"/>
      <c r="Y223" s="167"/>
      <c r="Z223" s="167"/>
      <c r="AA223" s="167"/>
    </row>
    <row r="224" spans="1:27" ht="15.6">
      <c r="A224" s="45">
        <f t="array" ref="A224">IFERROR(INDEX(baseline!$A$3:$A$201,MATCH($C224&amp;$D224,baseline!$C$3:$C$201&amp;baseline!$D$3:$D$201,0)),"NA")</f>
        <v>10</v>
      </c>
      <c r="B224" s="45" t="s">
        <v>959</v>
      </c>
      <c r="C224" s="117" t="s">
        <v>713</v>
      </c>
      <c r="D224" s="45" t="s">
        <v>881</v>
      </c>
      <c r="E224" s="45">
        <v>2030</v>
      </c>
      <c r="F224" s="174">
        <f t="shared" si="31"/>
        <v>1127</v>
      </c>
      <c r="G224" s="174">
        <v>368</v>
      </c>
      <c r="H224" s="174">
        <v>759</v>
      </c>
      <c r="I224" s="174">
        <v>0</v>
      </c>
      <c r="J224" s="174">
        <v>0</v>
      </c>
      <c r="K224" s="174">
        <v>0</v>
      </c>
      <c r="L224" s="174">
        <v>0</v>
      </c>
      <c r="M224" s="45">
        <f t="shared" si="30"/>
        <v>5.7188091480648911E-3</v>
      </c>
      <c r="R224" s="164"/>
      <c r="S224" s="165"/>
      <c r="T224" s="165"/>
      <c r="U224" s="166"/>
      <c r="V224" s="167"/>
      <c r="W224" s="167"/>
      <c r="X224" s="167"/>
      <c r="Y224" s="167"/>
      <c r="Z224" s="167"/>
      <c r="AA224" s="167"/>
    </row>
    <row r="225" spans="1:27" ht="15.6">
      <c r="A225" s="45">
        <f t="array" ref="A225">IFERROR(INDEX(baseline!$A$3:$A$201,MATCH($C225&amp;$D225,baseline!$C$3:$C$201&amp;baseline!$D$3:$D$201,0)),"NA")</f>
        <v>11</v>
      </c>
      <c r="B225" s="45" t="s">
        <v>959</v>
      </c>
      <c r="C225" s="117" t="s">
        <v>713</v>
      </c>
      <c r="D225" s="45" t="s">
        <v>13</v>
      </c>
      <c r="E225" s="45">
        <v>2030</v>
      </c>
      <c r="F225" s="174">
        <f t="shared" si="31"/>
        <v>724</v>
      </c>
      <c r="G225" s="174">
        <v>0</v>
      </c>
      <c r="H225" s="174">
        <v>724</v>
      </c>
      <c r="I225" s="174">
        <v>0</v>
      </c>
      <c r="J225" s="174">
        <v>0</v>
      </c>
      <c r="K225" s="174">
        <v>0</v>
      </c>
      <c r="L225" s="174">
        <v>0</v>
      </c>
      <c r="M225" s="45">
        <f t="shared" si="30"/>
        <v>3.6738401270620951E-3</v>
      </c>
      <c r="R225" s="164"/>
      <c r="S225" s="165"/>
      <c r="T225" s="165"/>
      <c r="U225" s="166"/>
      <c r="V225" s="167"/>
      <c r="W225" s="167"/>
      <c r="X225" s="167"/>
      <c r="Y225" s="167"/>
      <c r="Z225" s="167"/>
      <c r="AA225" s="167"/>
    </row>
    <row r="226" spans="1:27" ht="15.6">
      <c r="A226" s="45">
        <f t="array" ref="A226">IFERROR(INDEX(baseline!$A$3:$A$201,MATCH($C226&amp;$D226,baseline!$C$3:$C$201&amp;baseline!$D$3:$D$201,0)),"NA")</f>
        <v>12</v>
      </c>
      <c r="B226" s="45" t="s">
        <v>959</v>
      </c>
      <c r="C226" s="117" t="s">
        <v>713</v>
      </c>
      <c r="D226" s="45" t="s">
        <v>14</v>
      </c>
      <c r="E226" s="45">
        <v>2030</v>
      </c>
      <c r="F226" s="174">
        <f t="shared" si="31"/>
        <v>4736</v>
      </c>
      <c r="G226" s="174">
        <v>1050</v>
      </c>
      <c r="H226" s="174">
        <v>3686</v>
      </c>
      <c r="I226" s="174">
        <v>0</v>
      </c>
      <c r="J226" s="174">
        <v>0</v>
      </c>
      <c r="K226" s="174">
        <v>0</v>
      </c>
      <c r="L226" s="174">
        <v>0</v>
      </c>
      <c r="M226" s="45">
        <f t="shared" si="30"/>
        <v>2.4032191770395141E-2</v>
      </c>
      <c r="R226" s="164"/>
      <c r="S226" s="165"/>
      <c r="T226" s="165"/>
      <c r="U226" s="166"/>
      <c r="V226" s="167"/>
      <c r="W226" s="167"/>
      <c r="X226" s="167"/>
      <c r="Y226" s="167"/>
      <c r="Z226" s="167"/>
      <c r="AA226" s="167"/>
    </row>
    <row r="227" spans="1:27" ht="15.6">
      <c r="A227" s="45">
        <f t="array" ref="A227">IFERROR(INDEX(baseline!$A$3:$A$201,MATCH($C227&amp;$D227,baseline!$C$3:$C$201&amp;baseline!$D$3:$D$201,0)),"NA")</f>
        <v>2</v>
      </c>
      <c r="B227" s="45" t="s">
        <v>960</v>
      </c>
      <c r="C227" s="117" t="s">
        <v>78</v>
      </c>
      <c r="D227" s="45" t="s">
        <v>881</v>
      </c>
      <c r="E227" s="45">
        <v>2030</v>
      </c>
      <c r="F227" s="174">
        <f t="shared" si="31"/>
        <v>0</v>
      </c>
      <c r="G227" s="174">
        <v>0</v>
      </c>
      <c r="H227" s="174">
        <v>0</v>
      </c>
      <c r="I227" s="174">
        <v>0</v>
      </c>
      <c r="J227" s="174">
        <v>0</v>
      </c>
      <c r="K227" s="174">
        <v>0</v>
      </c>
      <c r="L227" s="174">
        <v>0</v>
      </c>
      <c r="M227" s="45">
        <f t="shared" si="30"/>
        <v>0</v>
      </c>
      <c r="R227" s="164"/>
      <c r="S227" s="165"/>
      <c r="T227" s="165"/>
      <c r="U227" s="166"/>
      <c r="V227" s="167"/>
      <c r="W227" s="167"/>
      <c r="X227" s="167"/>
      <c r="Y227" s="167"/>
      <c r="Z227" s="167"/>
      <c r="AA227" s="167"/>
    </row>
    <row r="228" spans="1:27" ht="15.6">
      <c r="B228" s="45" t="s">
        <v>960</v>
      </c>
      <c r="C228" s="117" t="s">
        <v>78</v>
      </c>
      <c r="D228" s="45" t="s">
        <v>881</v>
      </c>
      <c r="E228" s="45">
        <v>2030</v>
      </c>
      <c r="F228" s="174">
        <f t="shared" si="31"/>
        <v>1500</v>
      </c>
      <c r="G228" s="174">
        <v>1500</v>
      </c>
      <c r="H228" s="174">
        <v>0</v>
      </c>
      <c r="I228" s="174">
        <v>0</v>
      </c>
      <c r="J228" s="174">
        <v>0</v>
      </c>
      <c r="K228" s="174">
        <v>0</v>
      </c>
      <c r="L228" s="174">
        <v>0</v>
      </c>
      <c r="M228" s="45">
        <f t="shared" si="30"/>
        <v>7.6115472245761638E-3</v>
      </c>
      <c r="R228" s="164"/>
      <c r="S228" s="165"/>
      <c r="T228" s="165"/>
      <c r="U228" s="166"/>
      <c r="V228" s="167"/>
      <c r="W228" s="167"/>
      <c r="X228" s="167"/>
      <c r="Y228" s="167"/>
      <c r="Z228" s="167"/>
      <c r="AA228" s="167"/>
    </row>
    <row r="229" spans="1:27" ht="15.6">
      <c r="A229" s="45">
        <f t="array" ref="A229">IFERROR(INDEX(baseline!$A$3:$A$201,MATCH($C229&amp;$D229,baseline!$C$3:$C$201&amp;baseline!$D$3:$D$201,0)),"NA")</f>
        <v>5</v>
      </c>
      <c r="B229" s="45" t="s">
        <v>949</v>
      </c>
      <c r="C229" s="117" t="s">
        <v>761</v>
      </c>
      <c r="D229" s="45" t="s">
        <v>881</v>
      </c>
      <c r="E229" s="45">
        <v>2033</v>
      </c>
      <c r="F229" s="174">
        <f>SUM(G229:I229)</f>
        <v>21679</v>
      </c>
      <c r="G229" s="174">
        <v>21679</v>
      </c>
      <c r="H229" s="174">
        <v>0</v>
      </c>
      <c r="I229" s="174">
        <v>0</v>
      </c>
      <c r="J229" s="174">
        <v>0</v>
      </c>
      <c r="K229" s="174">
        <v>0</v>
      </c>
      <c r="L229" s="174">
        <v>0</v>
      </c>
      <c r="M229" s="45">
        <f t="shared" si="30"/>
        <v>0.1100071548543911</v>
      </c>
      <c r="R229" s="164"/>
      <c r="S229" s="165"/>
      <c r="T229" s="165"/>
      <c r="U229" s="166"/>
      <c r="V229" s="167"/>
      <c r="W229" s="167"/>
      <c r="X229" s="167"/>
      <c r="Y229" s="167"/>
      <c r="Z229" s="167"/>
      <c r="AA229" s="167"/>
    </row>
    <row r="230" spans="1:27" ht="15.6">
      <c r="A230" s="45">
        <f t="array" ref="A230">IFERROR(INDEX(baseline!$A$3:$A$201,MATCH($C230&amp;$D230,baseline!$C$3:$C$201&amp;baseline!$D$3:$D$201,0)),"NA")</f>
        <v>6</v>
      </c>
      <c r="B230" s="45" t="s">
        <v>949</v>
      </c>
      <c r="C230" s="117" t="s">
        <v>761</v>
      </c>
      <c r="D230" s="45" t="s">
        <v>13</v>
      </c>
      <c r="E230" s="45">
        <v>2033</v>
      </c>
      <c r="F230" s="174">
        <f t="shared" ref="F230:F261" si="32">SUM(G230:I230)</f>
        <v>6231</v>
      </c>
      <c r="G230" s="174">
        <v>0</v>
      </c>
      <c r="H230" s="174">
        <v>6231</v>
      </c>
      <c r="I230" s="174">
        <v>0</v>
      </c>
      <c r="J230" s="174">
        <v>0</v>
      </c>
      <c r="K230" s="174">
        <v>0</v>
      </c>
      <c r="L230" s="174">
        <v>0</v>
      </c>
      <c r="M230" s="45">
        <f t="shared" si="30"/>
        <v>3.1618367170889387E-2</v>
      </c>
      <c r="R230" s="164"/>
      <c r="S230" s="165"/>
      <c r="T230" s="165"/>
      <c r="U230" s="166"/>
      <c r="V230" s="168"/>
      <c r="W230" s="168"/>
      <c r="X230" s="168"/>
      <c r="Y230" s="168"/>
      <c r="Z230" s="168"/>
      <c r="AA230" s="168"/>
    </row>
    <row r="231" spans="1:27" ht="15.6">
      <c r="A231" s="45">
        <f t="array" ref="A231">IFERROR(INDEX(baseline!$A$3:$A$201,MATCH($C231&amp;$D231,baseline!$C$3:$C$201&amp;baseline!$D$3:$D$201,0)),"NA")</f>
        <v>7</v>
      </c>
      <c r="B231" s="45" t="s">
        <v>949</v>
      </c>
      <c r="C231" s="117" t="s">
        <v>761</v>
      </c>
      <c r="D231" s="45" t="s">
        <v>14</v>
      </c>
      <c r="E231" s="45">
        <v>2033</v>
      </c>
      <c r="F231" s="174">
        <f t="shared" si="32"/>
        <v>7269</v>
      </c>
      <c r="G231" s="174">
        <v>0</v>
      </c>
      <c r="H231" s="174">
        <v>7269</v>
      </c>
      <c r="I231" s="174">
        <v>0</v>
      </c>
      <c r="J231" s="174">
        <v>0</v>
      </c>
      <c r="K231" s="174">
        <v>0</v>
      </c>
      <c r="L231" s="174">
        <v>0</v>
      </c>
      <c r="M231" s="45">
        <f t="shared" si="30"/>
        <v>3.688555785029609E-2</v>
      </c>
      <c r="R231" s="164"/>
      <c r="S231" s="165"/>
      <c r="T231" s="165"/>
      <c r="U231" s="166"/>
      <c r="V231" s="167"/>
      <c r="W231" s="167"/>
      <c r="X231" s="167"/>
      <c r="Y231" s="167"/>
      <c r="Z231" s="167"/>
      <c r="AA231" s="167"/>
    </row>
    <row r="232" spans="1:27" ht="15.6">
      <c r="B232" s="45" t="s">
        <v>949</v>
      </c>
      <c r="C232" s="117" t="s">
        <v>761</v>
      </c>
      <c r="D232" s="45" t="s">
        <v>546</v>
      </c>
      <c r="E232" s="45">
        <v>2033</v>
      </c>
      <c r="F232" s="174">
        <f t="shared" si="32"/>
        <v>23000</v>
      </c>
      <c r="G232" s="174">
        <v>23000</v>
      </c>
      <c r="H232" s="174">
        <v>0</v>
      </c>
      <c r="I232" s="174">
        <v>0</v>
      </c>
      <c r="J232" s="174">
        <v>0</v>
      </c>
      <c r="K232" s="174">
        <v>0</v>
      </c>
      <c r="L232" s="174">
        <v>0</v>
      </c>
      <c r="M232" s="45">
        <f t="shared" si="30"/>
        <v>0.11671039077683451</v>
      </c>
      <c r="R232" s="164"/>
      <c r="S232" s="165"/>
      <c r="T232" s="165"/>
      <c r="U232" s="166"/>
      <c r="V232" s="167"/>
      <c r="W232" s="167"/>
      <c r="X232" s="167"/>
      <c r="Y232" s="167"/>
      <c r="Z232" s="167"/>
      <c r="AA232" s="167"/>
    </row>
    <row r="233" spans="1:27" ht="15.6">
      <c r="A233" s="45">
        <f t="array" ref="A233">IFERROR(INDEX(baseline!$A$3:$A$201,MATCH($C233&amp;$D233,baseline!$C$3:$C$201&amp;baseline!$D$3:$D$201,0)),"NA")</f>
        <v>24</v>
      </c>
      <c r="B233" s="45" t="s">
        <v>950</v>
      </c>
      <c r="C233" s="117" t="s">
        <v>547</v>
      </c>
      <c r="D233" s="45" t="s">
        <v>881</v>
      </c>
      <c r="E233" s="45">
        <v>2033</v>
      </c>
      <c r="F233" s="174">
        <f t="shared" si="32"/>
        <v>6832</v>
      </c>
      <c r="G233" s="174">
        <v>3118</v>
      </c>
      <c r="H233" s="174">
        <v>3714</v>
      </c>
      <c r="I233" s="174">
        <v>0</v>
      </c>
      <c r="J233" s="174">
        <v>0</v>
      </c>
      <c r="K233" s="174">
        <v>0</v>
      </c>
      <c r="L233" s="174">
        <v>0</v>
      </c>
      <c r="M233" s="45">
        <f t="shared" si="30"/>
        <v>3.4668060425536232E-2</v>
      </c>
      <c r="R233" s="164"/>
      <c r="S233" s="165"/>
      <c r="T233" s="165"/>
      <c r="U233" s="166"/>
      <c r="V233" s="167"/>
      <c r="W233" s="167"/>
      <c r="X233" s="167"/>
      <c r="Y233" s="167"/>
      <c r="Z233" s="167"/>
      <c r="AA233" s="167"/>
    </row>
    <row r="234" spans="1:27" ht="15.6">
      <c r="A234" s="45">
        <f t="array" ref="A234">IFERROR(INDEX(baseline!$A$3:$A$201,MATCH($C234&amp;$D234,baseline!$C$3:$C$201&amp;baseline!$D$3:$D$201,0)),"NA")</f>
        <v>25</v>
      </c>
      <c r="B234" s="45" t="s">
        <v>950</v>
      </c>
      <c r="C234" s="117" t="s">
        <v>547</v>
      </c>
      <c r="D234" s="45" t="s">
        <v>14</v>
      </c>
      <c r="E234" s="45">
        <v>2033</v>
      </c>
      <c r="F234" s="174">
        <f t="shared" si="32"/>
        <v>4831</v>
      </c>
      <c r="G234" s="174">
        <v>4831</v>
      </c>
      <c r="H234" s="174">
        <v>0</v>
      </c>
      <c r="I234" s="174">
        <v>0</v>
      </c>
      <c r="J234" s="174">
        <v>0</v>
      </c>
      <c r="K234" s="174">
        <v>0</v>
      </c>
      <c r="L234" s="174">
        <v>0</v>
      </c>
      <c r="M234" s="45">
        <f t="shared" si="30"/>
        <v>2.4514256427951631E-2</v>
      </c>
      <c r="R234" s="164"/>
      <c r="S234" s="165"/>
      <c r="T234" s="165"/>
      <c r="U234" s="166"/>
      <c r="V234" s="167"/>
      <c r="W234" s="167"/>
      <c r="X234" s="167"/>
      <c r="Y234" s="167"/>
      <c r="Z234" s="167"/>
      <c r="AA234" s="167"/>
    </row>
    <row r="235" spans="1:27" ht="15.6">
      <c r="A235" s="45">
        <f t="array" ref="A235">IFERROR(INDEX(baseline!$A$3:$A$201,MATCH($C235&amp;$D235,baseline!$C$3:$C$201&amp;baseline!$D$3:$D$201,0)),"NA")</f>
        <v>26</v>
      </c>
      <c r="B235" s="45" t="s">
        <v>950</v>
      </c>
      <c r="C235" s="117" t="s">
        <v>547</v>
      </c>
      <c r="D235" s="45" t="s">
        <v>546</v>
      </c>
      <c r="E235" s="45">
        <v>2033</v>
      </c>
      <c r="F235" s="174">
        <f t="shared" si="32"/>
        <v>1869</v>
      </c>
      <c r="G235" s="174">
        <v>0</v>
      </c>
      <c r="H235" s="174">
        <v>1869</v>
      </c>
      <c r="I235" s="174">
        <v>0</v>
      </c>
      <c r="J235" s="174">
        <v>0</v>
      </c>
      <c r="K235" s="174">
        <v>0</v>
      </c>
      <c r="L235" s="174">
        <v>0</v>
      </c>
      <c r="M235" s="45">
        <f t="shared" si="30"/>
        <v>9.4839878418218997E-3</v>
      </c>
      <c r="R235" s="164"/>
      <c r="S235" s="165"/>
      <c r="T235" s="165"/>
      <c r="U235" s="166"/>
      <c r="V235" s="167"/>
      <c r="W235" s="167"/>
      <c r="X235" s="167"/>
      <c r="Y235" s="167"/>
      <c r="Z235" s="167"/>
      <c r="AA235" s="167"/>
    </row>
    <row r="236" spans="1:27" ht="15.6">
      <c r="A236" s="45">
        <f t="array" ref="A236">IFERROR(INDEX(baseline!$A$3:$A$201,MATCH($C236&amp;$D236,baseline!$C$3:$C$201&amp;baseline!$D$3:$D$201,0)),"NA")</f>
        <v>20</v>
      </c>
      <c r="B236" s="45" t="s">
        <v>951</v>
      </c>
      <c r="C236" s="117" t="s">
        <v>2</v>
      </c>
      <c r="D236" s="45" t="s">
        <v>881</v>
      </c>
      <c r="E236" s="45">
        <v>2033</v>
      </c>
      <c r="F236" s="174">
        <f t="shared" si="32"/>
        <v>330</v>
      </c>
      <c r="G236" s="174">
        <v>249</v>
      </c>
      <c r="H236" s="174">
        <v>81</v>
      </c>
      <c r="I236" s="174">
        <v>0</v>
      </c>
      <c r="J236" s="174">
        <v>0</v>
      </c>
      <c r="K236" s="174">
        <v>0</v>
      </c>
      <c r="L236" s="174">
        <v>0</v>
      </c>
      <c r="M236" s="45">
        <f t="shared" si="30"/>
        <v>1.6745403894067559E-3</v>
      </c>
      <c r="R236" s="164"/>
      <c r="S236" s="165"/>
      <c r="T236" s="165"/>
      <c r="U236" s="166"/>
      <c r="V236" s="167"/>
      <c r="W236" s="167"/>
      <c r="X236" s="167"/>
      <c r="Y236" s="167"/>
      <c r="Z236" s="167"/>
      <c r="AA236" s="167"/>
    </row>
    <row r="237" spans="1:27" ht="15.6">
      <c r="A237" s="45">
        <f t="array" ref="A237">IFERROR(INDEX(baseline!$A$3:$A$201,MATCH($C237&amp;$D237,baseline!$C$3:$C$201&amp;baseline!$D$3:$D$201,0)),"NA")</f>
        <v>21</v>
      </c>
      <c r="B237" s="45" t="s">
        <v>951</v>
      </c>
      <c r="C237" s="117" t="s">
        <v>2</v>
      </c>
      <c r="D237" s="45" t="s">
        <v>13</v>
      </c>
      <c r="E237" s="45">
        <v>2033</v>
      </c>
      <c r="F237" s="174">
        <f t="shared" si="32"/>
        <v>832</v>
      </c>
      <c r="G237" s="174">
        <v>326</v>
      </c>
      <c r="H237" s="174">
        <v>506</v>
      </c>
      <c r="I237" s="174">
        <v>0</v>
      </c>
      <c r="J237" s="174">
        <v>0</v>
      </c>
      <c r="K237" s="174">
        <v>0</v>
      </c>
      <c r="L237" s="174">
        <v>0</v>
      </c>
      <c r="M237" s="45">
        <f t="shared" si="30"/>
        <v>4.221871527231579E-3</v>
      </c>
      <c r="R237" s="164"/>
      <c r="S237" s="165"/>
      <c r="T237" s="165"/>
      <c r="U237" s="166"/>
      <c r="V237" s="167"/>
      <c r="W237" s="167"/>
      <c r="X237" s="167"/>
      <c r="Y237" s="167"/>
      <c r="Z237" s="167"/>
      <c r="AA237" s="167"/>
    </row>
    <row r="238" spans="1:27" ht="15.6">
      <c r="A238" s="45">
        <f t="array" ref="A238">IFERROR(INDEX(baseline!$A$3:$A$201,MATCH($C238&amp;$D238,baseline!$C$3:$C$201&amp;baseline!$D$3:$D$201,0)),"NA")</f>
        <v>22</v>
      </c>
      <c r="B238" s="45" t="s">
        <v>951</v>
      </c>
      <c r="C238" s="117" t="s">
        <v>2</v>
      </c>
      <c r="D238" s="45" t="s">
        <v>14</v>
      </c>
      <c r="E238" s="45">
        <v>2033</v>
      </c>
      <c r="F238" s="174">
        <f t="shared" si="32"/>
        <v>8824</v>
      </c>
      <c r="G238" s="174">
        <v>76</v>
      </c>
      <c r="H238" s="174">
        <v>8006</v>
      </c>
      <c r="I238" s="174">
        <v>742</v>
      </c>
      <c r="J238" s="174">
        <v>0</v>
      </c>
      <c r="K238" s="174">
        <v>0</v>
      </c>
      <c r="L238" s="174">
        <v>0</v>
      </c>
      <c r="M238" s="45">
        <f t="shared" si="30"/>
        <v>4.4776195139773378E-2</v>
      </c>
      <c r="R238" s="164"/>
      <c r="S238" s="165"/>
      <c r="T238" s="165"/>
      <c r="U238" s="166"/>
      <c r="V238" s="168"/>
      <c r="W238" s="168"/>
      <c r="X238" s="168"/>
      <c r="Y238" s="168"/>
      <c r="Z238" s="168"/>
      <c r="AA238" s="168"/>
    </row>
    <row r="239" spans="1:27" ht="15.6">
      <c r="A239" s="45">
        <f t="array" ref="A239">IFERROR(INDEX(baseline!$A$3:$A$201,MATCH($C239&amp;$D239,baseline!$C$3:$C$201&amp;baseline!$D$3:$D$201,0)),"NA")</f>
        <v>23</v>
      </c>
      <c r="B239" s="45" t="s">
        <v>951</v>
      </c>
      <c r="C239" s="117" t="s">
        <v>2</v>
      </c>
      <c r="D239" s="45" t="s">
        <v>546</v>
      </c>
      <c r="E239" s="45">
        <v>2033</v>
      </c>
      <c r="F239" s="174">
        <f t="shared" si="32"/>
        <v>501</v>
      </c>
      <c r="G239" s="174">
        <v>0</v>
      </c>
      <c r="H239" s="174">
        <v>428</v>
      </c>
      <c r="I239" s="174">
        <v>73</v>
      </c>
      <c r="J239" s="174">
        <v>0</v>
      </c>
      <c r="K239" s="174">
        <v>0</v>
      </c>
      <c r="L239" s="174">
        <v>0</v>
      </c>
      <c r="M239" s="45">
        <f t="shared" si="30"/>
        <v>2.5422567730084386E-3</v>
      </c>
      <c r="R239" s="164"/>
      <c r="S239" s="165"/>
      <c r="T239" s="165"/>
      <c r="U239" s="166"/>
      <c r="V239" s="167"/>
      <c r="W239" s="167"/>
      <c r="X239" s="167"/>
      <c r="Y239" s="167"/>
      <c r="Z239" s="167"/>
      <c r="AA239" s="167"/>
    </row>
    <row r="240" spans="1:27" ht="15.6">
      <c r="A240" s="45">
        <f t="array" ref="A240">IFERROR(INDEX(baseline!$A$3:$A$201,MATCH($C240&amp;$D240,baseline!$C$3:$C$201&amp;baseline!$D$3:$D$201,0)),"NA")</f>
        <v>1</v>
      </c>
      <c r="B240" s="45" t="s">
        <v>952</v>
      </c>
      <c r="C240" s="117" t="s">
        <v>0</v>
      </c>
      <c r="D240" s="45" t="s">
        <v>881</v>
      </c>
      <c r="E240" s="45">
        <v>2033</v>
      </c>
      <c r="F240" s="174">
        <f t="shared" si="32"/>
        <v>20067</v>
      </c>
      <c r="G240" s="174">
        <v>17024</v>
      </c>
      <c r="H240" s="174">
        <v>3043</v>
      </c>
      <c r="I240" s="174">
        <v>0</v>
      </c>
      <c r="J240" s="174">
        <v>0</v>
      </c>
      <c r="K240" s="174">
        <v>0</v>
      </c>
      <c r="L240" s="174">
        <v>0</v>
      </c>
      <c r="M240" s="45">
        <f t="shared" si="30"/>
        <v>0.10182727877037992</v>
      </c>
      <c r="R240" s="164"/>
      <c r="S240" s="165"/>
      <c r="T240" s="165"/>
      <c r="U240" s="166"/>
      <c r="V240" s="167"/>
      <c r="W240" s="167"/>
      <c r="X240" s="167"/>
      <c r="Y240" s="167"/>
      <c r="Z240" s="167"/>
      <c r="AA240" s="167"/>
    </row>
    <row r="241" spans="1:27" ht="15.6">
      <c r="B241" s="45" t="s">
        <v>952</v>
      </c>
      <c r="C241" s="117" t="s">
        <v>0</v>
      </c>
      <c r="D241" s="45" t="s">
        <v>1091</v>
      </c>
      <c r="E241" s="45">
        <v>2033</v>
      </c>
      <c r="F241" s="174">
        <f t="shared" si="32"/>
        <v>5000</v>
      </c>
      <c r="G241" s="174">
        <v>0</v>
      </c>
      <c r="H241" s="174">
        <v>5000</v>
      </c>
      <c r="I241" s="174">
        <v>0</v>
      </c>
      <c r="J241" s="174">
        <v>0</v>
      </c>
      <c r="K241" s="174">
        <v>0</v>
      </c>
      <c r="L241" s="174">
        <v>0</v>
      </c>
      <c r="M241" s="45">
        <f t="shared" si="30"/>
        <v>2.5371824081920544E-2</v>
      </c>
      <c r="R241" s="164"/>
      <c r="S241" s="165"/>
      <c r="T241" s="165"/>
      <c r="U241" s="166"/>
      <c r="V241" s="167"/>
      <c r="W241" s="167"/>
      <c r="X241" s="167"/>
      <c r="Y241" s="167"/>
      <c r="Z241" s="167"/>
      <c r="AA241" s="167"/>
    </row>
    <row r="242" spans="1:27" ht="15.6">
      <c r="A242" s="45" t="str">
        <f t="array" ref="A242">IFERROR(INDEX(baseline!$A$3:$A$201,MATCH($C242&amp;$D242,baseline!$C$3:$C$201&amp;baseline!$D$3:$D$201,0)),"NA")</f>
        <v>NA</v>
      </c>
      <c r="B242" s="45" t="s">
        <v>953</v>
      </c>
      <c r="C242" s="117" t="s">
        <v>712</v>
      </c>
      <c r="D242" s="45" t="s">
        <v>881</v>
      </c>
      <c r="E242" s="45">
        <v>2033</v>
      </c>
      <c r="F242" s="174">
        <f t="shared" si="32"/>
        <v>294</v>
      </c>
      <c r="G242" s="174">
        <v>0</v>
      </c>
      <c r="H242" s="174">
        <v>294</v>
      </c>
      <c r="I242" s="174">
        <v>0</v>
      </c>
      <c r="J242" s="174">
        <v>0</v>
      </c>
      <c r="K242" s="174">
        <v>0</v>
      </c>
      <c r="L242" s="174">
        <v>0</v>
      </c>
      <c r="M242" s="45">
        <f t="shared" si="30"/>
        <v>1.4918632560169281E-3</v>
      </c>
      <c r="R242" s="164"/>
      <c r="S242" s="165"/>
      <c r="T242" s="165"/>
      <c r="U242" s="166"/>
      <c r="V242" s="167"/>
      <c r="W242" s="167"/>
      <c r="X242" s="167"/>
      <c r="Y242" s="167"/>
      <c r="Z242" s="167"/>
      <c r="AA242" s="167"/>
    </row>
    <row r="243" spans="1:27" ht="15.6">
      <c r="A243" s="45" t="str">
        <f t="array" ref="A243">IFERROR(INDEX(baseline!$A$3:$A$201,MATCH($C243&amp;$D243,baseline!$C$3:$C$201&amp;baseline!$D$3:$D$201,0)),"NA")</f>
        <v>NA</v>
      </c>
      <c r="B243" s="45" t="s">
        <v>953</v>
      </c>
      <c r="C243" s="117" t="s">
        <v>712</v>
      </c>
      <c r="D243" s="45" t="s">
        <v>13</v>
      </c>
      <c r="E243" s="45">
        <v>2033</v>
      </c>
      <c r="F243" s="174">
        <f t="shared" si="32"/>
        <v>101</v>
      </c>
      <c r="G243" s="174">
        <v>0</v>
      </c>
      <c r="H243" s="174">
        <v>101</v>
      </c>
      <c r="I243" s="174">
        <v>0</v>
      </c>
      <c r="J243" s="174">
        <v>0</v>
      </c>
      <c r="K243" s="174">
        <v>0</v>
      </c>
      <c r="L243" s="174">
        <v>0</v>
      </c>
      <c r="M243" s="45">
        <f t="shared" si="30"/>
        <v>5.1251084645479502E-4</v>
      </c>
      <c r="R243" s="164"/>
      <c r="S243" s="165"/>
      <c r="T243" s="165"/>
      <c r="U243" s="166"/>
      <c r="V243" s="167"/>
      <c r="W243" s="167"/>
      <c r="X243" s="167"/>
      <c r="Y243" s="167"/>
      <c r="Z243" s="167"/>
      <c r="AA243" s="167"/>
    </row>
    <row r="244" spans="1:27" ht="15.6">
      <c r="A244" s="45">
        <f t="array" ref="A244">IFERROR(INDEX(baseline!$A$3:$A$201,MATCH($C244&amp;$D244,baseline!$C$3:$C$201&amp;baseline!$D$3:$D$201,0)),"NA")</f>
        <v>19</v>
      </c>
      <c r="B244" s="45" t="s">
        <v>953</v>
      </c>
      <c r="C244" s="117" t="s">
        <v>712</v>
      </c>
      <c r="D244" s="45" t="s">
        <v>14</v>
      </c>
      <c r="E244" s="45">
        <v>2033</v>
      </c>
      <c r="F244" s="174">
        <f t="shared" si="32"/>
        <v>15831</v>
      </c>
      <c r="G244" s="174">
        <v>0</v>
      </c>
      <c r="H244" s="174">
        <v>15831</v>
      </c>
      <c r="I244" s="174">
        <v>0</v>
      </c>
      <c r="J244" s="174">
        <v>0</v>
      </c>
      <c r="K244" s="174">
        <v>0</v>
      </c>
      <c r="L244" s="174">
        <v>0</v>
      </c>
      <c r="M244" s="45">
        <f t="shared" si="30"/>
        <v>8.0332269408176837E-2</v>
      </c>
      <c r="R244" s="164"/>
      <c r="S244" s="165"/>
      <c r="T244" s="165"/>
      <c r="U244" s="166"/>
      <c r="V244" s="167"/>
      <c r="W244" s="167"/>
      <c r="X244" s="167"/>
      <c r="Y244" s="167"/>
      <c r="Z244" s="167"/>
      <c r="AA244" s="167"/>
    </row>
    <row r="245" spans="1:27" ht="15.6">
      <c r="A245" s="45" t="str">
        <f t="array" ref="A245">IFERROR(INDEX(baseline!$A$3:$A$201,MATCH($C245&amp;$D245,baseline!$C$3:$C$201&amp;baseline!$D$3:$D$201,0)),"NA")</f>
        <v>NA</v>
      </c>
      <c r="B245" s="45" t="s">
        <v>954</v>
      </c>
      <c r="C245" s="117" t="s">
        <v>762</v>
      </c>
      <c r="D245" s="45" t="s">
        <v>12</v>
      </c>
      <c r="E245" s="45">
        <v>2033</v>
      </c>
      <c r="F245" s="174">
        <f t="shared" si="32"/>
        <v>11035</v>
      </c>
      <c r="G245" s="174">
        <v>5024</v>
      </c>
      <c r="H245" s="174">
        <v>6011</v>
      </c>
      <c r="I245" s="174">
        <v>0</v>
      </c>
      <c r="J245" s="174">
        <v>0</v>
      </c>
      <c r="K245" s="174">
        <v>0</v>
      </c>
      <c r="L245" s="174">
        <v>0</v>
      </c>
      <c r="M245" s="45">
        <f t="shared" si="30"/>
        <v>5.5995615748798647E-2</v>
      </c>
      <c r="R245" s="164"/>
      <c r="S245" s="165"/>
      <c r="T245" s="165"/>
      <c r="U245" s="166"/>
      <c r="V245" s="167"/>
      <c r="W245" s="167"/>
      <c r="X245" s="167"/>
      <c r="Y245" s="167"/>
      <c r="Z245" s="167"/>
      <c r="AA245" s="167"/>
    </row>
    <row r="246" spans="1:27" ht="15.6">
      <c r="A246" s="45">
        <f t="array" ref="A246">IFERROR(INDEX(baseline!$A$3:$A$201,MATCH($C246&amp;$D246,baseline!$C$3:$C$201&amp;baseline!$D$3:$D$201,0)),"NA")</f>
        <v>14</v>
      </c>
      <c r="B246" s="45" t="s">
        <v>954</v>
      </c>
      <c r="C246" s="117" t="s">
        <v>762</v>
      </c>
      <c r="D246" s="45" t="s">
        <v>13</v>
      </c>
      <c r="E246" s="45">
        <v>2033</v>
      </c>
      <c r="F246" s="174">
        <f t="shared" si="32"/>
        <v>2220</v>
      </c>
      <c r="G246" s="174">
        <v>0</v>
      </c>
      <c r="H246" s="174">
        <v>2220</v>
      </c>
      <c r="I246" s="174">
        <v>0</v>
      </c>
      <c r="J246" s="174">
        <v>0</v>
      </c>
      <c r="K246" s="174">
        <v>0</v>
      </c>
      <c r="L246" s="174">
        <v>0</v>
      </c>
      <c r="M246" s="45">
        <f t="shared" si="30"/>
        <v>1.1265089892372722E-2</v>
      </c>
      <c r="R246" s="164"/>
      <c r="S246" s="165"/>
      <c r="T246" s="165"/>
      <c r="U246" s="166"/>
      <c r="V246" s="168"/>
      <c r="W246" s="168"/>
      <c r="X246" s="168"/>
      <c r="Y246" s="168"/>
      <c r="Z246" s="168"/>
      <c r="AA246" s="168"/>
    </row>
    <row r="247" spans="1:27" ht="15.6">
      <c r="A247" s="45">
        <f t="array" ref="A247">IFERROR(INDEX(baseline!$A$3:$A$201,MATCH($C247&amp;$D247,baseline!$C$3:$C$201&amp;baseline!$D$3:$D$201,0)),"NA")</f>
        <v>15</v>
      </c>
      <c r="B247" s="45" t="s">
        <v>954</v>
      </c>
      <c r="C247" s="117" t="s">
        <v>762</v>
      </c>
      <c r="D247" s="45" t="s">
        <v>14</v>
      </c>
      <c r="E247" s="45">
        <v>2033</v>
      </c>
      <c r="F247" s="174">
        <f t="shared" si="32"/>
        <v>17682</v>
      </c>
      <c r="G247" s="174">
        <v>11024</v>
      </c>
      <c r="H247" s="174">
        <v>6658</v>
      </c>
      <c r="I247" s="174">
        <v>0</v>
      </c>
      <c r="J247" s="174">
        <v>0</v>
      </c>
      <c r="K247" s="174">
        <v>0</v>
      </c>
      <c r="L247" s="174">
        <v>0</v>
      </c>
      <c r="M247" s="45">
        <f t="shared" si="30"/>
        <v>8.9724918683303817E-2</v>
      </c>
      <c r="R247" s="164"/>
      <c r="S247" s="165"/>
      <c r="T247" s="165"/>
      <c r="U247" s="166"/>
      <c r="V247" s="167"/>
      <c r="W247" s="167"/>
      <c r="X247" s="167"/>
      <c r="Y247" s="167"/>
      <c r="Z247" s="167"/>
      <c r="AA247" s="167"/>
    </row>
    <row r="248" spans="1:27" ht="15.6">
      <c r="A248" s="45">
        <f t="array" ref="A248">IFERROR(INDEX(baseline!$A$3:$A$201,MATCH($C248&amp;$D248,baseline!$C$3:$C$201&amp;baseline!$D$3:$D$201,0)),"NA")</f>
        <v>16</v>
      </c>
      <c r="B248" s="45" t="s">
        <v>955</v>
      </c>
      <c r="C248" s="117" t="s">
        <v>763</v>
      </c>
      <c r="D248" s="45" t="s">
        <v>13</v>
      </c>
      <c r="E248" s="45">
        <v>2033</v>
      </c>
      <c r="F248" s="174">
        <f t="shared" si="32"/>
        <v>815</v>
      </c>
      <c r="G248" s="174">
        <v>0</v>
      </c>
      <c r="H248" s="174">
        <v>803</v>
      </c>
      <c r="I248" s="174">
        <v>12</v>
      </c>
      <c r="J248" s="174">
        <v>0</v>
      </c>
      <c r="K248" s="174">
        <v>0</v>
      </c>
      <c r="L248" s="174">
        <v>0</v>
      </c>
      <c r="M248" s="45">
        <f t="shared" si="30"/>
        <v>4.1356073253530487E-3</v>
      </c>
      <c r="R248" s="164"/>
      <c r="S248" s="165"/>
      <c r="T248" s="165"/>
      <c r="U248" s="166"/>
      <c r="V248" s="167"/>
      <c r="W248" s="167"/>
      <c r="X248" s="167"/>
      <c r="Y248" s="167"/>
      <c r="Z248" s="167"/>
      <c r="AA248" s="167"/>
    </row>
    <row r="249" spans="1:27" ht="15.6">
      <c r="A249" s="45">
        <f t="array" ref="A249">IFERROR(INDEX(baseline!$A$3:$A$201,MATCH($C249&amp;$D249,baseline!$C$3:$C$201&amp;baseline!$D$3:$D$201,0)),"NA")</f>
        <v>17</v>
      </c>
      <c r="B249" s="45" t="s">
        <v>955</v>
      </c>
      <c r="C249" s="117" t="s">
        <v>763</v>
      </c>
      <c r="D249" s="45" t="s">
        <v>14</v>
      </c>
      <c r="E249" s="45">
        <v>2033</v>
      </c>
      <c r="F249" s="174">
        <f t="shared" si="32"/>
        <v>3259</v>
      </c>
      <c r="G249" s="174">
        <v>0</v>
      </c>
      <c r="H249" s="174">
        <v>2869</v>
      </c>
      <c r="I249" s="174">
        <v>390</v>
      </c>
      <c r="J249" s="174">
        <v>0</v>
      </c>
      <c r="K249" s="174">
        <v>0</v>
      </c>
      <c r="L249" s="174">
        <v>0</v>
      </c>
      <c r="M249" s="45">
        <f t="shared" si="30"/>
        <v>1.6537354936595812E-2</v>
      </c>
      <c r="R249" s="164"/>
      <c r="S249" s="165"/>
      <c r="T249" s="165"/>
      <c r="U249" s="166"/>
      <c r="V249" s="167"/>
      <c r="W249" s="167"/>
      <c r="X249" s="167"/>
      <c r="Y249" s="167"/>
      <c r="Z249" s="167"/>
      <c r="AA249" s="167"/>
    </row>
    <row r="250" spans="1:27" ht="15.6">
      <c r="A250" s="45">
        <f t="array" ref="A250">IFERROR(INDEX(baseline!$A$3:$A$201,MATCH($C250&amp;$D250,baseline!$C$3:$C$201&amp;baseline!$D$3:$D$201,0)),"NA")</f>
        <v>18</v>
      </c>
      <c r="B250" s="45" t="s">
        <v>955</v>
      </c>
      <c r="C250" s="117" t="s">
        <v>763</v>
      </c>
      <c r="D250" s="45" t="s">
        <v>546</v>
      </c>
      <c r="E250" s="45">
        <v>2033</v>
      </c>
      <c r="F250" s="174">
        <f t="shared" si="32"/>
        <v>501</v>
      </c>
      <c r="G250" s="174">
        <v>0</v>
      </c>
      <c r="H250" s="174">
        <v>501</v>
      </c>
      <c r="I250" s="174">
        <v>0</v>
      </c>
      <c r="J250" s="174">
        <v>0</v>
      </c>
      <c r="K250" s="174">
        <v>0</v>
      </c>
      <c r="L250" s="174">
        <v>0</v>
      </c>
      <c r="M250" s="45">
        <f t="shared" si="30"/>
        <v>2.5422567730084386E-3</v>
      </c>
      <c r="R250" s="164"/>
      <c r="S250" s="165"/>
      <c r="T250" s="165"/>
      <c r="U250" s="166"/>
      <c r="V250" s="168"/>
      <c r="W250" s="168"/>
      <c r="X250" s="168"/>
      <c r="Y250" s="168"/>
      <c r="Z250" s="168"/>
      <c r="AA250" s="168"/>
    </row>
    <row r="251" spans="1:27" ht="15.6">
      <c r="A251" s="45">
        <f t="array" ref="A251">IFERROR(INDEX(baseline!$A$3:$A$201,MATCH($C251&amp;$D251,baseline!$C$3:$C$201&amp;baseline!$D$3:$D$201,0)),"NA")</f>
        <v>3</v>
      </c>
      <c r="B251" s="45" t="s">
        <v>956</v>
      </c>
      <c r="C251" s="117" t="s">
        <v>545</v>
      </c>
      <c r="D251" s="45" t="s">
        <v>881</v>
      </c>
      <c r="E251" s="45">
        <v>2033</v>
      </c>
      <c r="F251" s="174">
        <f t="shared" si="32"/>
        <v>0</v>
      </c>
      <c r="G251" s="174">
        <v>0</v>
      </c>
      <c r="H251" s="174">
        <v>0</v>
      </c>
      <c r="I251" s="174">
        <v>0</v>
      </c>
      <c r="J251" s="174">
        <v>0</v>
      </c>
      <c r="K251" s="174">
        <v>0</v>
      </c>
      <c r="L251" s="174">
        <v>0</v>
      </c>
      <c r="M251" s="45">
        <f t="shared" si="30"/>
        <v>0</v>
      </c>
      <c r="R251" s="164"/>
      <c r="S251" s="165"/>
      <c r="T251" s="165"/>
      <c r="U251" s="166"/>
      <c r="V251" s="167"/>
      <c r="W251" s="167"/>
      <c r="X251" s="167"/>
      <c r="Y251" s="167"/>
      <c r="Z251" s="167"/>
      <c r="AA251" s="167"/>
    </row>
    <row r="252" spans="1:27" ht="15.6">
      <c r="B252" s="45" t="s">
        <v>956</v>
      </c>
      <c r="C252" s="117" t="s">
        <v>545</v>
      </c>
      <c r="D252" s="45" t="s">
        <v>546</v>
      </c>
      <c r="E252" s="45">
        <v>2033</v>
      </c>
      <c r="F252" s="174">
        <f t="shared" si="32"/>
        <v>4000</v>
      </c>
      <c r="G252" s="174">
        <v>4000</v>
      </c>
      <c r="H252" s="174">
        <v>0</v>
      </c>
      <c r="I252" s="174">
        <v>0</v>
      </c>
      <c r="J252" s="174">
        <v>0</v>
      </c>
      <c r="K252" s="174">
        <v>0</v>
      </c>
      <c r="L252" s="174">
        <v>0</v>
      </c>
      <c r="M252" s="45">
        <f t="shared" si="30"/>
        <v>2.0297459265536437E-2</v>
      </c>
      <c r="R252" s="164"/>
      <c r="S252" s="165"/>
      <c r="T252" s="165"/>
      <c r="U252" s="166"/>
      <c r="V252" s="167"/>
      <c r="W252" s="167"/>
      <c r="X252" s="167"/>
      <c r="Y252" s="167"/>
      <c r="Z252" s="167"/>
      <c r="AA252" s="167"/>
    </row>
    <row r="253" spans="1:27" ht="15.6">
      <c r="A253" s="45">
        <f t="array" ref="A253">IFERROR(INDEX(baseline!$A$3:$A$201,MATCH($C253&amp;$D253,baseline!$C$3:$C$201&amp;baseline!$D$3:$D$201,0)),"NA")</f>
        <v>27</v>
      </c>
      <c r="B253" s="45" t="s">
        <v>957</v>
      </c>
      <c r="C253" s="117" t="s">
        <v>1</v>
      </c>
      <c r="D253" s="45" t="s">
        <v>881</v>
      </c>
      <c r="E253" s="45">
        <v>2033</v>
      </c>
      <c r="F253" s="174">
        <f t="shared" si="32"/>
        <v>1778</v>
      </c>
      <c r="G253" s="174">
        <v>0</v>
      </c>
      <c r="H253" s="174">
        <v>1778</v>
      </c>
      <c r="I253" s="174">
        <v>0</v>
      </c>
      <c r="J253" s="174">
        <v>0</v>
      </c>
      <c r="K253" s="174">
        <v>0</v>
      </c>
      <c r="L253" s="174">
        <v>0</v>
      </c>
      <c r="M253" s="45">
        <f t="shared" si="30"/>
        <v>9.0222206435309465E-3</v>
      </c>
      <c r="R253" s="164"/>
      <c r="S253" s="165"/>
      <c r="T253" s="165"/>
      <c r="U253" s="166"/>
      <c r="V253" s="167"/>
      <c r="W253" s="167"/>
      <c r="X253" s="167"/>
      <c r="Y253" s="167"/>
      <c r="Z253" s="167"/>
      <c r="AA253" s="167"/>
    </row>
    <row r="254" spans="1:27" ht="15.6">
      <c r="A254" s="45">
        <f t="array" ref="A254">IFERROR(INDEX(baseline!$A$3:$A$201,MATCH($C254&amp;$D254,baseline!$C$3:$C$201&amp;baseline!$D$3:$D$201,0)),"NA")</f>
        <v>28</v>
      </c>
      <c r="B254" s="45" t="s">
        <v>957</v>
      </c>
      <c r="C254" s="117" t="s">
        <v>1</v>
      </c>
      <c r="D254" s="45" t="s">
        <v>14</v>
      </c>
      <c r="E254" s="45">
        <v>2033</v>
      </c>
      <c r="F254" s="174">
        <f t="shared" si="32"/>
        <v>11711</v>
      </c>
      <c r="G254" s="174">
        <v>0</v>
      </c>
      <c r="H254" s="174">
        <v>11711</v>
      </c>
      <c r="I254" s="174">
        <v>0</v>
      </c>
      <c r="J254" s="174">
        <v>0</v>
      </c>
      <c r="K254" s="174">
        <v>0</v>
      </c>
      <c r="L254" s="174">
        <v>0</v>
      </c>
      <c r="M254" s="45">
        <f t="shared" si="30"/>
        <v>5.9425886364674302E-2</v>
      </c>
      <c r="R254" s="164"/>
      <c r="S254" s="165"/>
      <c r="T254" s="165"/>
      <c r="U254" s="166"/>
      <c r="V254" s="168"/>
      <c r="W254" s="168"/>
      <c r="X254" s="168"/>
      <c r="Y254" s="168"/>
      <c r="Z254" s="168"/>
      <c r="AA254" s="168"/>
    </row>
    <row r="255" spans="1:27" ht="15.6">
      <c r="A255" s="45">
        <f t="array" ref="A255">IFERROR(INDEX(baseline!$A$3:$A$201,MATCH($C255&amp;$D255,baseline!$C$3:$C$201&amp;baseline!$D$3:$D$201,0)),"NA")</f>
        <v>8</v>
      </c>
      <c r="B255" s="45" t="s">
        <v>958</v>
      </c>
      <c r="C255" s="117" t="s">
        <v>697</v>
      </c>
      <c r="D255" s="45" t="s">
        <v>881</v>
      </c>
      <c r="E255" s="45">
        <v>2033</v>
      </c>
      <c r="F255" s="174">
        <f t="shared" si="32"/>
        <v>1504</v>
      </c>
      <c r="G255" s="174">
        <v>1504</v>
      </c>
      <c r="H255" s="174">
        <v>0</v>
      </c>
      <c r="I255" s="174">
        <v>0</v>
      </c>
      <c r="J255" s="174">
        <v>0</v>
      </c>
      <c r="K255" s="174">
        <v>0</v>
      </c>
      <c r="L255" s="174">
        <v>0</v>
      </c>
      <c r="M255" s="45">
        <f t="shared" si="30"/>
        <v>7.6318446838416999E-3</v>
      </c>
      <c r="R255" s="164"/>
      <c r="S255" s="165"/>
      <c r="T255" s="165"/>
      <c r="U255" s="166"/>
      <c r="V255" s="167"/>
      <c r="W255" s="167"/>
      <c r="X255" s="167"/>
      <c r="Y255" s="167"/>
      <c r="Z255" s="167"/>
      <c r="AA255" s="167"/>
    </row>
    <row r="256" spans="1:27" ht="15.6">
      <c r="A256" s="45">
        <f t="array" ref="A256">IFERROR(INDEX(baseline!$A$3:$A$201,MATCH($C256&amp;$D256,baseline!$C$3:$C$201&amp;baseline!$D$3:$D$201,0)),"NA")</f>
        <v>9</v>
      </c>
      <c r="B256" s="45" t="s">
        <v>958</v>
      </c>
      <c r="C256" s="117" t="s">
        <v>697</v>
      </c>
      <c r="D256" s="45" t="s">
        <v>14</v>
      </c>
      <c r="E256" s="45">
        <v>2033</v>
      </c>
      <c r="F256" s="174">
        <f t="shared" si="32"/>
        <v>10986</v>
      </c>
      <c r="G256" s="174">
        <v>7670</v>
      </c>
      <c r="H256" s="174">
        <v>3316</v>
      </c>
      <c r="I256" s="174">
        <v>0</v>
      </c>
      <c r="J256" s="174">
        <v>0</v>
      </c>
      <c r="K256" s="174">
        <v>0</v>
      </c>
      <c r="L256" s="174">
        <v>0</v>
      </c>
      <c r="M256" s="45">
        <f t="shared" si="30"/>
        <v>5.5746971872795821E-2</v>
      </c>
      <c r="R256" s="164"/>
      <c r="S256" s="165"/>
      <c r="T256" s="165"/>
      <c r="U256" s="166"/>
      <c r="V256" s="167"/>
      <c r="W256" s="167"/>
      <c r="X256" s="167"/>
      <c r="Y256" s="167"/>
      <c r="Z256" s="167"/>
      <c r="AA256" s="167"/>
    </row>
    <row r="257" spans="1:27" ht="15.6">
      <c r="A257" s="45">
        <f t="array" ref="A257">IFERROR(INDEX(baseline!$A$3:$A$201,MATCH($C257&amp;$D257,baseline!$C$3:$C$201&amp;baseline!$D$3:$D$201,0)),"NA")</f>
        <v>10</v>
      </c>
      <c r="B257" s="45" t="s">
        <v>959</v>
      </c>
      <c r="C257" s="117" t="s">
        <v>713</v>
      </c>
      <c r="D257" s="45" t="s">
        <v>881</v>
      </c>
      <c r="E257" s="45">
        <v>2033</v>
      </c>
      <c r="F257" s="174">
        <f t="shared" si="32"/>
        <v>1127</v>
      </c>
      <c r="G257" s="174">
        <v>368</v>
      </c>
      <c r="H257" s="174">
        <v>759</v>
      </c>
      <c r="I257" s="174">
        <v>0</v>
      </c>
      <c r="J257" s="174">
        <v>0</v>
      </c>
      <c r="K257" s="174">
        <v>0</v>
      </c>
      <c r="L257" s="174">
        <v>0</v>
      </c>
      <c r="M257" s="45">
        <f t="shared" si="30"/>
        <v>5.7188091480648911E-3</v>
      </c>
      <c r="R257" s="164"/>
      <c r="S257" s="165"/>
      <c r="T257" s="165"/>
      <c r="U257" s="166"/>
      <c r="V257" s="167"/>
      <c r="W257" s="167"/>
      <c r="X257" s="167"/>
      <c r="Y257" s="167"/>
      <c r="Z257" s="167"/>
      <c r="AA257" s="167"/>
    </row>
    <row r="258" spans="1:27" ht="15.6">
      <c r="A258" s="45">
        <f t="array" ref="A258">IFERROR(INDEX(baseline!$A$3:$A$201,MATCH($C258&amp;$D258,baseline!$C$3:$C$201&amp;baseline!$D$3:$D$201,0)),"NA")</f>
        <v>11</v>
      </c>
      <c r="B258" s="45" t="s">
        <v>959</v>
      </c>
      <c r="C258" s="117" t="s">
        <v>713</v>
      </c>
      <c r="D258" s="45" t="s">
        <v>13</v>
      </c>
      <c r="E258" s="45">
        <v>2033</v>
      </c>
      <c r="F258" s="174">
        <f t="shared" si="32"/>
        <v>724</v>
      </c>
      <c r="G258" s="174">
        <v>0</v>
      </c>
      <c r="H258" s="174">
        <v>724</v>
      </c>
      <c r="I258" s="174">
        <v>0</v>
      </c>
      <c r="J258" s="174">
        <v>0</v>
      </c>
      <c r="K258" s="174">
        <v>0</v>
      </c>
      <c r="L258" s="174">
        <v>0</v>
      </c>
      <c r="M258" s="45">
        <f t="shared" si="30"/>
        <v>3.6738401270620951E-3</v>
      </c>
      <c r="R258" s="164"/>
      <c r="S258" s="165"/>
      <c r="T258" s="165"/>
      <c r="U258" s="166"/>
      <c r="V258" s="168"/>
      <c r="W258" s="168"/>
      <c r="X258" s="168"/>
      <c r="Y258" s="168"/>
      <c r="Z258" s="168"/>
      <c r="AA258" s="168"/>
    </row>
    <row r="259" spans="1:27" ht="15.6">
      <c r="A259" s="45">
        <f t="array" ref="A259">IFERROR(INDEX(baseline!$A$3:$A$201,MATCH($C259&amp;$D259,baseline!$C$3:$C$201&amp;baseline!$D$3:$D$201,0)),"NA")</f>
        <v>12</v>
      </c>
      <c r="B259" s="45" t="s">
        <v>959</v>
      </c>
      <c r="C259" s="117" t="s">
        <v>713</v>
      </c>
      <c r="D259" s="45" t="s">
        <v>14</v>
      </c>
      <c r="E259" s="45">
        <v>2033</v>
      </c>
      <c r="F259" s="174">
        <f t="shared" si="32"/>
        <v>4736</v>
      </c>
      <c r="G259" s="174">
        <v>1050</v>
      </c>
      <c r="H259" s="174">
        <v>3686</v>
      </c>
      <c r="I259" s="174">
        <v>0</v>
      </c>
      <c r="J259" s="174">
        <v>0</v>
      </c>
      <c r="K259" s="174">
        <v>0</v>
      </c>
      <c r="L259" s="174">
        <v>0</v>
      </c>
      <c r="M259" s="45">
        <f t="shared" ref="M259:M294" si="33">F259/SUMIFS($F$2:$F$294,$E$2:$E$294,E259)</f>
        <v>2.4032191770395141E-2</v>
      </c>
      <c r="R259" s="164"/>
      <c r="S259" s="165"/>
      <c r="T259" s="165"/>
      <c r="U259" s="166"/>
      <c r="V259" s="167"/>
      <c r="W259" s="167"/>
      <c r="X259" s="167"/>
      <c r="Y259" s="167"/>
      <c r="Z259" s="167"/>
      <c r="AA259" s="167"/>
    </row>
    <row r="260" spans="1:27" ht="15.6">
      <c r="A260" s="45">
        <f t="array" ref="A260">IFERROR(INDEX(baseline!$A$3:$A$201,MATCH($C260&amp;$D260,baseline!$C$3:$C$201&amp;baseline!$D$3:$D$201,0)),"NA")</f>
        <v>2</v>
      </c>
      <c r="B260" s="45" t="s">
        <v>960</v>
      </c>
      <c r="C260" s="117" t="s">
        <v>78</v>
      </c>
      <c r="D260" s="45" t="s">
        <v>881</v>
      </c>
      <c r="E260" s="45">
        <v>2033</v>
      </c>
      <c r="F260" s="174">
        <f t="shared" si="32"/>
        <v>0</v>
      </c>
      <c r="G260" s="174">
        <v>0</v>
      </c>
      <c r="H260" s="174">
        <v>0</v>
      </c>
      <c r="I260" s="174">
        <v>0</v>
      </c>
      <c r="J260" s="174">
        <v>0</v>
      </c>
      <c r="K260" s="174">
        <v>0</v>
      </c>
      <c r="L260" s="174">
        <v>0</v>
      </c>
      <c r="M260" s="45">
        <f t="shared" si="33"/>
        <v>0</v>
      </c>
      <c r="R260" s="164"/>
      <c r="S260" s="165"/>
      <c r="T260" s="165"/>
      <c r="U260" s="166"/>
      <c r="V260" s="167"/>
      <c r="W260" s="167"/>
      <c r="X260" s="167"/>
      <c r="Y260" s="167"/>
      <c r="Z260" s="167"/>
      <c r="AA260" s="167"/>
    </row>
    <row r="261" spans="1:27" ht="15.6">
      <c r="B261" s="45" t="s">
        <v>960</v>
      </c>
      <c r="C261" s="117" t="s">
        <v>78</v>
      </c>
      <c r="D261" s="45" t="s">
        <v>881</v>
      </c>
      <c r="E261" s="45">
        <v>2033</v>
      </c>
      <c r="F261" s="174">
        <f t="shared" si="32"/>
        <v>1500</v>
      </c>
      <c r="G261" s="174">
        <v>1500</v>
      </c>
      <c r="H261" s="174">
        <v>0</v>
      </c>
      <c r="I261" s="174">
        <v>0</v>
      </c>
      <c r="J261" s="174">
        <v>0</v>
      </c>
      <c r="K261" s="174">
        <v>0</v>
      </c>
      <c r="L261" s="174">
        <v>0</v>
      </c>
      <c r="M261" s="45">
        <f t="shared" si="33"/>
        <v>7.6115472245761638E-3</v>
      </c>
      <c r="R261" s="164"/>
      <c r="S261" s="165"/>
      <c r="T261" s="165"/>
      <c r="U261" s="166"/>
      <c r="V261" s="167"/>
      <c r="W261" s="167"/>
      <c r="X261" s="167"/>
      <c r="Y261" s="167"/>
      <c r="Z261" s="167"/>
      <c r="AA261" s="167"/>
    </row>
    <row r="262" spans="1:27" ht="15.6">
      <c r="A262" s="45">
        <f t="array" ref="A262">IFERROR(INDEX(baseline!$A$3:$A$201,MATCH($C262&amp;$D262,baseline!$C$3:$C$201&amp;baseline!$D$3:$D$201,0)),"NA")</f>
        <v>5</v>
      </c>
      <c r="B262" s="45" t="s">
        <v>949</v>
      </c>
      <c r="C262" s="117" t="s">
        <v>761</v>
      </c>
      <c r="D262" s="45" t="s">
        <v>881</v>
      </c>
      <c r="E262" s="45">
        <v>2035</v>
      </c>
      <c r="F262" s="174">
        <f>SUM(G262:I262)</f>
        <v>21679</v>
      </c>
      <c r="G262" s="174">
        <v>21679</v>
      </c>
      <c r="H262" s="174">
        <v>0</v>
      </c>
      <c r="I262" s="174">
        <v>0</v>
      </c>
      <c r="J262" s="174">
        <v>0</v>
      </c>
      <c r="K262" s="174">
        <v>0</v>
      </c>
      <c r="L262" s="174">
        <v>0</v>
      </c>
      <c r="M262" s="45">
        <f t="shared" si="33"/>
        <v>0.1100071548543911</v>
      </c>
      <c r="R262" s="164"/>
      <c r="S262" s="165"/>
      <c r="T262" s="165"/>
      <c r="U262" s="166"/>
      <c r="V262" s="167"/>
      <c r="W262" s="167"/>
      <c r="X262" s="167"/>
      <c r="Y262" s="167"/>
      <c r="Z262" s="167"/>
      <c r="AA262" s="167"/>
    </row>
    <row r="263" spans="1:27" ht="15.6">
      <c r="A263" s="45">
        <f t="array" ref="A263">IFERROR(INDEX(baseline!$A$3:$A$201,MATCH($C263&amp;$D263,baseline!$C$3:$C$201&amp;baseline!$D$3:$D$201,0)),"NA")</f>
        <v>6</v>
      </c>
      <c r="B263" s="45" t="s">
        <v>949</v>
      </c>
      <c r="C263" s="117" t="s">
        <v>761</v>
      </c>
      <c r="D263" s="45" t="s">
        <v>13</v>
      </c>
      <c r="E263" s="45">
        <v>2035</v>
      </c>
      <c r="F263" s="174">
        <f t="shared" ref="F263:F294" si="34">SUM(G263:I263)</f>
        <v>6231</v>
      </c>
      <c r="G263" s="174">
        <v>0</v>
      </c>
      <c r="H263" s="174">
        <v>6231</v>
      </c>
      <c r="I263" s="174">
        <v>0</v>
      </c>
      <c r="J263" s="174">
        <v>0</v>
      </c>
      <c r="K263" s="174">
        <v>0</v>
      </c>
      <c r="L263" s="174">
        <v>0</v>
      </c>
      <c r="M263" s="45">
        <f t="shared" si="33"/>
        <v>3.1618367170889387E-2</v>
      </c>
      <c r="R263" s="164"/>
      <c r="S263" s="165"/>
      <c r="T263" s="165"/>
      <c r="U263" s="166"/>
      <c r="V263" s="167"/>
      <c r="W263" s="167"/>
      <c r="X263" s="167"/>
      <c r="Y263" s="167"/>
      <c r="Z263" s="167"/>
      <c r="AA263" s="167"/>
    </row>
    <row r="264" spans="1:27" ht="15.6">
      <c r="A264" s="45">
        <f t="array" ref="A264">IFERROR(INDEX(baseline!$A$3:$A$201,MATCH($C264&amp;$D264,baseline!$C$3:$C$201&amp;baseline!$D$3:$D$201,0)),"NA")</f>
        <v>7</v>
      </c>
      <c r="B264" s="45" t="s">
        <v>949</v>
      </c>
      <c r="C264" s="117" t="s">
        <v>761</v>
      </c>
      <c r="D264" s="45" t="s">
        <v>14</v>
      </c>
      <c r="E264" s="45">
        <v>2035</v>
      </c>
      <c r="F264" s="174">
        <f t="shared" si="34"/>
        <v>7269</v>
      </c>
      <c r="G264" s="174">
        <v>0</v>
      </c>
      <c r="H264" s="174">
        <v>7269</v>
      </c>
      <c r="I264" s="174">
        <v>0</v>
      </c>
      <c r="J264" s="174">
        <v>0</v>
      </c>
      <c r="K264" s="174">
        <v>0</v>
      </c>
      <c r="L264" s="174">
        <v>0</v>
      </c>
      <c r="M264" s="45">
        <f t="shared" si="33"/>
        <v>3.688555785029609E-2</v>
      </c>
      <c r="R264" s="164"/>
      <c r="S264" s="165"/>
      <c r="T264" s="165"/>
      <c r="U264" s="166"/>
      <c r="V264" s="167"/>
      <c r="W264" s="167"/>
      <c r="X264" s="167"/>
      <c r="Y264" s="167"/>
      <c r="Z264" s="167"/>
      <c r="AA264" s="167"/>
    </row>
    <row r="265" spans="1:27" ht="15.6">
      <c r="B265" s="45" t="s">
        <v>949</v>
      </c>
      <c r="C265" s="117" t="s">
        <v>761</v>
      </c>
      <c r="D265" s="45" t="s">
        <v>546</v>
      </c>
      <c r="E265" s="45">
        <v>2035</v>
      </c>
      <c r="F265" s="174">
        <f t="shared" si="34"/>
        <v>23000</v>
      </c>
      <c r="G265" s="174">
        <v>23000</v>
      </c>
      <c r="H265" s="174">
        <v>0</v>
      </c>
      <c r="I265" s="174">
        <v>0</v>
      </c>
      <c r="J265" s="174">
        <v>0</v>
      </c>
      <c r="K265" s="174">
        <v>0</v>
      </c>
      <c r="L265" s="174">
        <v>0</v>
      </c>
      <c r="M265" s="45">
        <f t="shared" si="33"/>
        <v>0.11671039077683451</v>
      </c>
      <c r="R265" s="164"/>
      <c r="S265" s="165"/>
      <c r="T265" s="165"/>
      <c r="U265" s="166"/>
      <c r="V265" s="167"/>
      <c r="W265" s="167"/>
      <c r="X265" s="167"/>
      <c r="Y265" s="167"/>
      <c r="Z265" s="167"/>
      <c r="AA265" s="167"/>
    </row>
    <row r="266" spans="1:27" ht="15.6">
      <c r="A266" s="45">
        <f t="array" ref="A266">IFERROR(INDEX(baseline!$A$3:$A$201,MATCH($C266&amp;$D266,baseline!$C$3:$C$201&amp;baseline!$D$3:$D$201,0)),"NA")</f>
        <v>24</v>
      </c>
      <c r="B266" s="45" t="s">
        <v>950</v>
      </c>
      <c r="C266" s="117" t="s">
        <v>547</v>
      </c>
      <c r="D266" s="45" t="s">
        <v>881</v>
      </c>
      <c r="E266" s="45">
        <v>2035</v>
      </c>
      <c r="F266" s="174">
        <f t="shared" si="34"/>
        <v>6832</v>
      </c>
      <c r="G266" s="174">
        <v>3118</v>
      </c>
      <c r="H266" s="174">
        <v>3714</v>
      </c>
      <c r="I266" s="174">
        <v>0</v>
      </c>
      <c r="J266" s="174">
        <v>0</v>
      </c>
      <c r="K266" s="174">
        <v>0</v>
      </c>
      <c r="L266" s="174">
        <v>0</v>
      </c>
      <c r="M266" s="45">
        <f t="shared" si="33"/>
        <v>3.4668060425536232E-2</v>
      </c>
      <c r="R266" s="164"/>
      <c r="S266" s="165"/>
      <c r="T266" s="165"/>
      <c r="U266" s="166"/>
      <c r="V266" s="167"/>
      <c r="W266" s="167"/>
      <c r="X266" s="167"/>
      <c r="Y266" s="167"/>
      <c r="Z266" s="167"/>
      <c r="AA266" s="167"/>
    </row>
    <row r="267" spans="1:27" ht="15.6">
      <c r="A267" s="45">
        <f t="array" ref="A267">IFERROR(INDEX(baseline!$A$3:$A$201,MATCH($C267&amp;$D267,baseline!$C$3:$C$201&amp;baseline!$D$3:$D$201,0)),"NA")</f>
        <v>25</v>
      </c>
      <c r="B267" s="45" t="s">
        <v>950</v>
      </c>
      <c r="C267" s="117" t="s">
        <v>547</v>
      </c>
      <c r="D267" s="45" t="s">
        <v>14</v>
      </c>
      <c r="E267" s="45">
        <v>2035</v>
      </c>
      <c r="F267" s="174">
        <f t="shared" si="34"/>
        <v>4831</v>
      </c>
      <c r="G267" s="174">
        <v>4831</v>
      </c>
      <c r="H267" s="174">
        <v>0</v>
      </c>
      <c r="I267" s="174">
        <v>0</v>
      </c>
      <c r="J267" s="174">
        <v>0</v>
      </c>
      <c r="K267" s="174">
        <v>0</v>
      </c>
      <c r="L267" s="174">
        <v>0</v>
      </c>
      <c r="M267" s="45">
        <f t="shared" si="33"/>
        <v>2.4514256427951631E-2</v>
      </c>
      <c r="R267" s="164"/>
      <c r="S267" s="165"/>
      <c r="T267" s="165"/>
      <c r="U267" s="166"/>
      <c r="V267" s="167"/>
      <c r="W267" s="167"/>
      <c r="X267" s="167"/>
      <c r="Y267" s="167"/>
      <c r="Z267" s="167"/>
      <c r="AA267" s="167"/>
    </row>
    <row r="268" spans="1:27" ht="15.6">
      <c r="A268" s="45">
        <f t="array" ref="A268">IFERROR(INDEX(baseline!$A$3:$A$201,MATCH($C268&amp;$D268,baseline!$C$3:$C$201&amp;baseline!$D$3:$D$201,0)),"NA")</f>
        <v>26</v>
      </c>
      <c r="B268" s="45" t="s">
        <v>950</v>
      </c>
      <c r="C268" s="117" t="s">
        <v>547</v>
      </c>
      <c r="D268" s="45" t="s">
        <v>546</v>
      </c>
      <c r="E268" s="45">
        <v>2035</v>
      </c>
      <c r="F268" s="174">
        <f t="shared" si="34"/>
        <v>1869</v>
      </c>
      <c r="G268" s="174">
        <v>0</v>
      </c>
      <c r="H268" s="174">
        <v>1869</v>
      </c>
      <c r="I268" s="174">
        <v>0</v>
      </c>
      <c r="J268" s="174">
        <v>0</v>
      </c>
      <c r="K268" s="174">
        <v>0</v>
      </c>
      <c r="L268" s="174">
        <v>0</v>
      </c>
      <c r="M268" s="45">
        <f t="shared" si="33"/>
        <v>9.4839878418218997E-3</v>
      </c>
      <c r="R268" s="164"/>
      <c r="S268" s="165"/>
      <c r="T268" s="165"/>
      <c r="U268" s="166"/>
      <c r="V268" s="167"/>
      <c r="W268" s="167"/>
      <c r="X268" s="167"/>
      <c r="Y268" s="167"/>
      <c r="Z268" s="167"/>
      <c r="AA268" s="167"/>
    </row>
    <row r="269" spans="1:27" ht="15.6">
      <c r="A269" s="45">
        <f t="array" ref="A269">IFERROR(INDEX(baseline!$A$3:$A$201,MATCH($C269&amp;$D269,baseline!$C$3:$C$201&amp;baseline!$D$3:$D$201,0)),"NA")</f>
        <v>20</v>
      </c>
      <c r="B269" s="45" t="s">
        <v>951</v>
      </c>
      <c r="C269" s="117" t="s">
        <v>2</v>
      </c>
      <c r="D269" s="45" t="s">
        <v>881</v>
      </c>
      <c r="E269" s="45">
        <v>2035</v>
      </c>
      <c r="F269" s="174">
        <f t="shared" si="34"/>
        <v>330</v>
      </c>
      <c r="G269" s="174">
        <v>249</v>
      </c>
      <c r="H269" s="174">
        <v>81</v>
      </c>
      <c r="I269" s="174">
        <v>0</v>
      </c>
      <c r="J269" s="174">
        <v>0</v>
      </c>
      <c r="K269" s="174">
        <v>0</v>
      </c>
      <c r="L269" s="174">
        <v>0</v>
      </c>
      <c r="M269" s="45">
        <f t="shared" si="33"/>
        <v>1.6745403894067559E-3</v>
      </c>
      <c r="R269" s="164"/>
      <c r="S269" s="165"/>
      <c r="T269" s="165"/>
      <c r="U269" s="166"/>
      <c r="V269" s="167"/>
      <c r="W269" s="167"/>
      <c r="X269" s="167"/>
      <c r="Y269" s="167"/>
      <c r="Z269" s="167"/>
      <c r="AA269" s="167"/>
    </row>
    <row r="270" spans="1:27" ht="15.6">
      <c r="A270" s="45">
        <f t="array" ref="A270">IFERROR(INDEX(baseline!$A$3:$A$201,MATCH($C270&amp;$D270,baseline!$C$3:$C$201&amp;baseline!$D$3:$D$201,0)),"NA")</f>
        <v>21</v>
      </c>
      <c r="B270" s="45" t="s">
        <v>951</v>
      </c>
      <c r="C270" s="117" t="s">
        <v>2</v>
      </c>
      <c r="D270" s="45" t="s">
        <v>13</v>
      </c>
      <c r="E270" s="45">
        <v>2035</v>
      </c>
      <c r="F270" s="174">
        <f t="shared" si="34"/>
        <v>832</v>
      </c>
      <c r="G270" s="174">
        <v>326</v>
      </c>
      <c r="H270" s="174">
        <v>506</v>
      </c>
      <c r="I270" s="174">
        <v>0</v>
      </c>
      <c r="J270" s="174">
        <v>0</v>
      </c>
      <c r="K270" s="174">
        <v>0</v>
      </c>
      <c r="L270" s="174">
        <v>0</v>
      </c>
      <c r="M270" s="45">
        <f t="shared" si="33"/>
        <v>4.221871527231579E-3</v>
      </c>
      <c r="R270" s="164"/>
      <c r="S270" s="165"/>
      <c r="T270" s="165"/>
      <c r="U270" s="166"/>
      <c r="V270" s="168"/>
      <c r="W270" s="168"/>
      <c r="X270" s="168"/>
      <c r="Y270" s="168"/>
      <c r="Z270" s="168"/>
      <c r="AA270" s="168"/>
    </row>
    <row r="271" spans="1:27" ht="15.6">
      <c r="A271" s="45">
        <f t="array" ref="A271">IFERROR(INDEX(baseline!$A$3:$A$201,MATCH($C271&amp;$D271,baseline!$C$3:$C$201&amp;baseline!$D$3:$D$201,0)),"NA")</f>
        <v>22</v>
      </c>
      <c r="B271" s="45" t="s">
        <v>951</v>
      </c>
      <c r="C271" s="117" t="s">
        <v>2</v>
      </c>
      <c r="D271" s="45" t="s">
        <v>14</v>
      </c>
      <c r="E271" s="45">
        <v>2035</v>
      </c>
      <c r="F271" s="174">
        <f t="shared" si="34"/>
        <v>8824</v>
      </c>
      <c r="G271" s="174">
        <v>76</v>
      </c>
      <c r="H271" s="174">
        <v>8006</v>
      </c>
      <c r="I271" s="174">
        <v>742</v>
      </c>
      <c r="J271" s="174">
        <v>0</v>
      </c>
      <c r="K271" s="174">
        <v>0</v>
      </c>
      <c r="L271" s="174">
        <v>0</v>
      </c>
      <c r="M271" s="45">
        <f t="shared" si="33"/>
        <v>4.4776195139773378E-2</v>
      </c>
      <c r="R271" s="164"/>
      <c r="S271" s="165"/>
      <c r="T271" s="165"/>
      <c r="U271" s="166"/>
      <c r="V271" s="167"/>
      <c r="W271" s="167"/>
      <c r="X271" s="167"/>
      <c r="Y271" s="167"/>
      <c r="Z271" s="167"/>
      <c r="AA271" s="167"/>
    </row>
    <row r="272" spans="1:27" ht="15.6">
      <c r="A272" s="45">
        <f t="array" ref="A272">IFERROR(INDEX(baseline!$A$3:$A$201,MATCH($C272&amp;$D272,baseline!$C$3:$C$201&amp;baseline!$D$3:$D$201,0)),"NA")</f>
        <v>23</v>
      </c>
      <c r="B272" s="45" t="s">
        <v>951</v>
      </c>
      <c r="C272" s="117" t="s">
        <v>2</v>
      </c>
      <c r="D272" s="45" t="s">
        <v>546</v>
      </c>
      <c r="E272" s="45">
        <v>2035</v>
      </c>
      <c r="F272" s="174">
        <f t="shared" si="34"/>
        <v>501</v>
      </c>
      <c r="G272" s="174">
        <v>0</v>
      </c>
      <c r="H272" s="174">
        <v>428</v>
      </c>
      <c r="I272" s="174">
        <v>73</v>
      </c>
      <c r="J272" s="174">
        <v>0</v>
      </c>
      <c r="K272" s="174">
        <v>0</v>
      </c>
      <c r="L272" s="174">
        <v>0</v>
      </c>
      <c r="M272" s="45">
        <f t="shared" si="33"/>
        <v>2.5422567730084386E-3</v>
      </c>
      <c r="R272" s="164"/>
      <c r="S272" s="165"/>
      <c r="T272" s="165"/>
      <c r="U272" s="166"/>
      <c r="V272" s="167"/>
      <c r="W272" s="167"/>
      <c r="X272" s="167"/>
      <c r="Y272" s="167"/>
      <c r="Z272" s="167"/>
      <c r="AA272" s="167"/>
    </row>
    <row r="273" spans="1:27" ht="15.6">
      <c r="A273" s="45">
        <f t="array" ref="A273">IFERROR(INDEX(baseline!$A$3:$A$201,MATCH($C273&amp;$D273,baseline!$C$3:$C$201&amp;baseline!$D$3:$D$201,0)),"NA")</f>
        <v>1</v>
      </c>
      <c r="B273" s="45" t="s">
        <v>952</v>
      </c>
      <c r="C273" s="117" t="s">
        <v>0</v>
      </c>
      <c r="D273" s="45" t="s">
        <v>881</v>
      </c>
      <c r="E273" s="45">
        <v>2035</v>
      </c>
      <c r="F273" s="174">
        <f t="shared" si="34"/>
        <v>20067</v>
      </c>
      <c r="G273" s="174">
        <v>17024</v>
      </c>
      <c r="H273" s="174">
        <v>3043</v>
      </c>
      <c r="I273" s="174">
        <v>0</v>
      </c>
      <c r="J273" s="174">
        <v>0</v>
      </c>
      <c r="K273" s="174">
        <v>0</v>
      </c>
      <c r="L273" s="174">
        <v>0</v>
      </c>
      <c r="M273" s="45">
        <f t="shared" si="33"/>
        <v>0.10182727877037992</v>
      </c>
      <c r="R273" s="164"/>
      <c r="S273" s="165"/>
      <c r="T273" s="165"/>
      <c r="U273" s="166"/>
      <c r="V273" s="167"/>
      <c r="W273" s="167"/>
      <c r="X273" s="167"/>
      <c r="Y273" s="167"/>
      <c r="Z273" s="167"/>
      <c r="AA273" s="167"/>
    </row>
    <row r="274" spans="1:27" ht="15.6">
      <c r="B274" s="45" t="s">
        <v>952</v>
      </c>
      <c r="C274" s="117" t="s">
        <v>0</v>
      </c>
      <c r="D274" s="45" t="s">
        <v>1091</v>
      </c>
      <c r="E274" s="45">
        <v>2035</v>
      </c>
      <c r="F274" s="174">
        <f t="shared" si="34"/>
        <v>5000</v>
      </c>
      <c r="G274" s="174">
        <v>0</v>
      </c>
      <c r="H274" s="174">
        <v>5000</v>
      </c>
      <c r="I274" s="174">
        <v>0</v>
      </c>
      <c r="J274" s="174">
        <v>0</v>
      </c>
      <c r="K274" s="174">
        <v>0</v>
      </c>
      <c r="L274" s="174">
        <v>0</v>
      </c>
      <c r="M274" s="45">
        <f t="shared" si="33"/>
        <v>2.5371824081920544E-2</v>
      </c>
      <c r="R274" s="164"/>
      <c r="S274" s="165"/>
      <c r="T274" s="165"/>
      <c r="U274" s="166"/>
      <c r="V274" s="167"/>
      <c r="W274" s="167"/>
      <c r="X274" s="167"/>
      <c r="Y274" s="167"/>
      <c r="Z274" s="167"/>
      <c r="AA274" s="167"/>
    </row>
    <row r="275" spans="1:27" ht="15.6">
      <c r="A275" s="45" t="str">
        <f t="array" ref="A275">IFERROR(INDEX(baseline!$A$3:$A$201,MATCH($C275&amp;$D275,baseline!$C$3:$C$201&amp;baseline!$D$3:$D$201,0)),"NA")</f>
        <v>NA</v>
      </c>
      <c r="B275" s="45" t="s">
        <v>953</v>
      </c>
      <c r="C275" s="117" t="s">
        <v>712</v>
      </c>
      <c r="D275" s="45" t="s">
        <v>881</v>
      </c>
      <c r="E275" s="45">
        <v>2035</v>
      </c>
      <c r="F275" s="174">
        <f t="shared" si="34"/>
        <v>294</v>
      </c>
      <c r="G275" s="174">
        <v>0</v>
      </c>
      <c r="H275" s="174">
        <v>294</v>
      </c>
      <c r="I275" s="174">
        <v>0</v>
      </c>
      <c r="J275" s="174">
        <v>0</v>
      </c>
      <c r="K275" s="174">
        <v>0</v>
      </c>
      <c r="L275" s="174">
        <v>0</v>
      </c>
      <c r="M275" s="45">
        <f t="shared" si="33"/>
        <v>1.4918632560169281E-3</v>
      </c>
      <c r="R275" s="164"/>
      <c r="S275" s="165"/>
      <c r="T275" s="165"/>
      <c r="U275" s="166"/>
      <c r="V275" s="167"/>
      <c r="W275" s="167"/>
      <c r="X275" s="167"/>
      <c r="Y275" s="167"/>
      <c r="Z275" s="167"/>
      <c r="AA275" s="167"/>
    </row>
    <row r="276" spans="1:27" ht="15.6">
      <c r="A276" s="45" t="str">
        <f t="array" ref="A276">IFERROR(INDEX(baseline!$A$3:$A$201,MATCH($C276&amp;$D276,baseline!$C$3:$C$201&amp;baseline!$D$3:$D$201,0)),"NA")</f>
        <v>NA</v>
      </c>
      <c r="B276" s="45" t="s">
        <v>953</v>
      </c>
      <c r="C276" s="117" t="s">
        <v>712</v>
      </c>
      <c r="D276" s="45" t="s">
        <v>13</v>
      </c>
      <c r="E276" s="45">
        <v>2035</v>
      </c>
      <c r="F276" s="174">
        <f t="shared" si="34"/>
        <v>101</v>
      </c>
      <c r="G276" s="174">
        <v>0</v>
      </c>
      <c r="H276" s="174">
        <v>101</v>
      </c>
      <c r="I276" s="174">
        <v>0</v>
      </c>
      <c r="J276" s="174">
        <v>0</v>
      </c>
      <c r="K276" s="174">
        <v>0</v>
      </c>
      <c r="L276" s="174">
        <v>0</v>
      </c>
      <c r="M276" s="45">
        <f t="shared" si="33"/>
        <v>5.1251084645479502E-4</v>
      </c>
      <c r="R276" s="164"/>
      <c r="S276" s="165"/>
      <c r="T276" s="165"/>
      <c r="U276" s="166"/>
      <c r="V276" s="167"/>
      <c r="W276" s="167"/>
      <c r="X276" s="167"/>
      <c r="Y276" s="167"/>
      <c r="Z276" s="167"/>
      <c r="AA276" s="167"/>
    </row>
    <row r="277" spans="1:27" ht="15.6">
      <c r="A277" s="45">
        <f t="array" ref="A277">IFERROR(INDEX(baseline!$A$3:$A$201,MATCH($C277&amp;$D277,baseline!$C$3:$C$201&amp;baseline!$D$3:$D$201,0)),"NA")</f>
        <v>19</v>
      </c>
      <c r="B277" s="45" t="s">
        <v>953</v>
      </c>
      <c r="C277" s="117" t="s">
        <v>712</v>
      </c>
      <c r="D277" s="45" t="s">
        <v>14</v>
      </c>
      <c r="E277" s="45">
        <v>2035</v>
      </c>
      <c r="F277" s="174">
        <f t="shared" si="34"/>
        <v>15831</v>
      </c>
      <c r="G277" s="174">
        <v>0</v>
      </c>
      <c r="H277" s="174">
        <v>15831</v>
      </c>
      <c r="I277" s="174">
        <v>0</v>
      </c>
      <c r="J277" s="174">
        <v>0</v>
      </c>
      <c r="K277" s="174">
        <v>0</v>
      </c>
      <c r="L277" s="174">
        <v>0</v>
      </c>
      <c r="M277" s="45">
        <f t="shared" si="33"/>
        <v>8.0332269408176837E-2</v>
      </c>
      <c r="R277" s="164"/>
      <c r="S277" s="165"/>
      <c r="T277" s="165"/>
      <c r="U277" s="166"/>
      <c r="V277" s="167"/>
      <c r="W277" s="167"/>
      <c r="X277" s="167"/>
      <c r="Y277" s="167"/>
      <c r="Z277" s="167"/>
      <c r="AA277" s="167"/>
    </row>
    <row r="278" spans="1:27" ht="15.6">
      <c r="A278" s="45" t="str">
        <f t="array" ref="A278">IFERROR(INDEX(baseline!$A$3:$A$201,MATCH($C278&amp;$D278,baseline!$C$3:$C$201&amp;baseline!$D$3:$D$201,0)),"NA")</f>
        <v>NA</v>
      </c>
      <c r="B278" s="45" t="s">
        <v>954</v>
      </c>
      <c r="C278" s="117" t="s">
        <v>762</v>
      </c>
      <c r="D278" s="45" t="s">
        <v>12</v>
      </c>
      <c r="E278" s="45">
        <v>2035</v>
      </c>
      <c r="F278" s="174">
        <f t="shared" si="34"/>
        <v>11035</v>
      </c>
      <c r="G278" s="174">
        <v>5024</v>
      </c>
      <c r="H278" s="174">
        <v>6011</v>
      </c>
      <c r="I278" s="174">
        <v>0</v>
      </c>
      <c r="J278" s="174">
        <v>0</v>
      </c>
      <c r="K278" s="174">
        <v>0</v>
      </c>
      <c r="L278" s="174">
        <v>0</v>
      </c>
      <c r="M278" s="45">
        <f t="shared" si="33"/>
        <v>5.5995615748798647E-2</v>
      </c>
      <c r="R278" s="164"/>
      <c r="S278" s="165"/>
      <c r="T278" s="165"/>
      <c r="U278" s="166"/>
      <c r="V278" s="167"/>
      <c r="W278" s="167"/>
      <c r="X278" s="167"/>
      <c r="Y278" s="167"/>
      <c r="Z278" s="167"/>
      <c r="AA278" s="167"/>
    </row>
    <row r="279" spans="1:27" ht="15.6">
      <c r="A279" s="45">
        <f t="array" ref="A279">IFERROR(INDEX(baseline!$A$3:$A$201,MATCH($C279&amp;$D279,baseline!$C$3:$C$201&amp;baseline!$D$3:$D$201,0)),"NA")</f>
        <v>14</v>
      </c>
      <c r="B279" s="45" t="s">
        <v>954</v>
      </c>
      <c r="C279" s="117" t="s">
        <v>762</v>
      </c>
      <c r="D279" s="45" t="s">
        <v>13</v>
      </c>
      <c r="E279" s="45">
        <v>2035</v>
      </c>
      <c r="F279" s="174">
        <f t="shared" si="34"/>
        <v>2220</v>
      </c>
      <c r="G279" s="174">
        <v>0</v>
      </c>
      <c r="H279" s="174">
        <v>2220</v>
      </c>
      <c r="I279" s="174">
        <v>0</v>
      </c>
      <c r="J279" s="174">
        <v>0</v>
      </c>
      <c r="K279" s="174">
        <v>0</v>
      </c>
      <c r="L279" s="174">
        <v>0</v>
      </c>
      <c r="M279" s="45">
        <f t="shared" si="33"/>
        <v>1.1265089892372722E-2</v>
      </c>
      <c r="R279" s="164"/>
      <c r="S279" s="165"/>
      <c r="T279" s="165"/>
      <c r="U279" s="166"/>
      <c r="V279" s="167"/>
      <c r="W279" s="167"/>
      <c r="X279" s="167"/>
      <c r="Y279" s="167"/>
      <c r="Z279" s="167"/>
      <c r="AA279" s="167"/>
    </row>
    <row r="280" spans="1:27" ht="15.6">
      <c r="A280" s="45">
        <f t="array" ref="A280">IFERROR(INDEX(baseline!$A$3:$A$201,MATCH($C280&amp;$D280,baseline!$C$3:$C$201&amp;baseline!$D$3:$D$201,0)),"NA")</f>
        <v>15</v>
      </c>
      <c r="B280" s="45" t="s">
        <v>954</v>
      </c>
      <c r="C280" s="117" t="s">
        <v>762</v>
      </c>
      <c r="D280" s="45" t="s">
        <v>14</v>
      </c>
      <c r="E280" s="45">
        <v>2035</v>
      </c>
      <c r="F280" s="174">
        <f t="shared" si="34"/>
        <v>17682</v>
      </c>
      <c r="G280" s="174">
        <v>11024</v>
      </c>
      <c r="H280" s="174">
        <v>6658</v>
      </c>
      <c r="I280" s="174">
        <v>0</v>
      </c>
      <c r="J280" s="174">
        <v>0</v>
      </c>
      <c r="K280" s="174">
        <v>0</v>
      </c>
      <c r="L280" s="174">
        <v>0</v>
      </c>
      <c r="M280" s="45">
        <f t="shared" si="33"/>
        <v>8.9724918683303817E-2</v>
      </c>
      <c r="R280" s="164"/>
      <c r="S280" s="165"/>
      <c r="T280" s="165"/>
      <c r="U280" s="166"/>
      <c r="V280" s="167"/>
      <c r="W280" s="167"/>
      <c r="X280" s="167"/>
      <c r="Y280" s="167"/>
      <c r="Z280" s="167"/>
      <c r="AA280" s="167"/>
    </row>
    <row r="281" spans="1:27" ht="15.6">
      <c r="A281" s="45">
        <f t="array" ref="A281">IFERROR(INDEX(baseline!$A$3:$A$201,MATCH($C281&amp;$D281,baseline!$C$3:$C$201&amp;baseline!$D$3:$D$201,0)),"NA")</f>
        <v>16</v>
      </c>
      <c r="B281" s="45" t="s">
        <v>955</v>
      </c>
      <c r="C281" s="117" t="s">
        <v>763</v>
      </c>
      <c r="D281" s="45" t="s">
        <v>13</v>
      </c>
      <c r="E281" s="45">
        <v>2035</v>
      </c>
      <c r="F281" s="174">
        <f t="shared" si="34"/>
        <v>815</v>
      </c>
      <c r="G281" s="174">
        <v>0</v>
      </c>
      <c r="H281" s="174">
        <v>803</v>
      </c>
      <c r="I281" s="174">
        <v>12</v>
      </c>
      <c r="J281" s="174">
        <v>0</v>
      </c>
      <c r="K281" s="174">
        <v>0</v>
      </c>
      <c r="L281" s="174">
        <v>0</v>
      </c>
      <c r="M281" s="45">
        <f t="shared" si="33"/>
        <v>4.1356073253530487E-3</v>
      </c>
      <c r="R281" s="164"/>
      <c r="S281" s="165"/>
      <c r="T281" s="165"/>
      <c r="U281" s="166"/>
      <c r="V281" s="167"/>
      <c r="W281" s="167"/>
      <c r="X281" s="167"/>
      <c r="Y281" s="167"/>
      <c r="Z281" s="167"/>
      <c r="AA281" s="167"/>
    </row>
    <row r="282" spans="1:27" ht="15.6">
      <c r="A282" s="45">
        <f t="array" ref="A282">IFERROR(INDEX(baseline!$A$3:$A$201,MATCH($C282&amp;$D282,baseline!$C$3:$C$201&amp;baseline!$D$3:$D$201,0)),"NA")</f>
        <v>17</v>
      </c>
      <c r="B282" s="45" t="s">
        <v>955</v>
      </c>
      <c r="C282" s="117" t="s">
        <v>763</v>
      </c>
      <c r="D282" s="45" t="s">
        <v>14</v>
      </c>
      <c r="E282" s="45">
        <v>2035</v>
      </c>
      <c r="F282" s="174">
        <f t="shared" si="34"/>
        <v>3259</v>
      </c>
      <c r="G282" s="174">
        <v>0</v>
      </c>
      <c r="H282" s="174">
        <v>2869</v>
      </c>
      <c r="I282" s="174">
        <v>390</v>
      </c>
      <c r="J282" s="174">
        <v>0</v>
      </c>
      <c r="K282" s="174">
        <v>0</v>
      </c>
      <c r="L282" s="174">
        <v>0</v>
      </c>
      <c r="M282" s="45">
        <f t="shared" si="33"/>
        <v>1.6537354936595812E-2</v>
      </c>
      <c r="R282" s="164"/>
      <c r="S282" s="165"/>
      <c r="T282" s="165"/>
      <c r="U282" s="166"/>
      <c r="V282" s="168"/>
      <c r="W282" s="168"/>
      <c r="X282" s="168"/>
      <c r="Y282" s="168"/>
      <c r="Z282" s="168"/>
      <c r="AA282" s="168"/>
    </row>
    <row r="283" spans="1:27" ht="15.6">
      <c r="A283" s="45">
        <f t="array" ref="A283">IFERROR(INDEX(baseline!$A$3:$A$201,MATCH($C283&amp;$D283,baseline!$C$3:$C$201&amp;baseline!$D$3:$D$201,0)),"NA")</f>
        <v>18</v>
      </c>
      <c r="B283" s="45" t="s">
        <v>955</v>
      </c>
      <c r="C283" s="117" t="s">
        <v>763</v>
      </c>
      <c r="D283" s="45" t="s">
        <v>546</v>
      </c>
      <c r="E283" s="45">
        <v>2035</v>
      </c>
      <c r="F283" s="174">
        <f t="shared" si="34"/>
        <v>501</v>
      </c>
      <c r="G283" s="174">
        <v>0</v>
      </c>
      <c r="H283" s="174">
        <v>501</v>
      </c>
      <c r="I283" s="174">
        <v>0</v>
      </c>
      <c r="J283" s="174">
        <v>0</v>
      </c>
      <c r="K283" s="174">
        <v>0</v>
      </c>
      <c r="L283" s="174">
        <v>0</v>
      </c>
      <c r="M283" s="45">
        <f t="shared" si="33"/>
        <v>2.5422567730084386E-3</v>
      </c>
      <c r="R283" s="164"/>
      <c r="S283" s="165"/>
      <c r="T283" s="165"/>
      <c r="U283" s="166"/>
      <c r="V283" s="167"/>
      <c r="W283" s="167"/>
      <c r="X283" s="167"/>
      <c r="Y283" s="167"/>
      <c r="Z283" s="167"/>
      <c r="AA283" s="167"/>
    </row>
    <row r="284" spans="1:27" ht="15.6">
      <c r="A284" s="45">
        <f t="array" ref="A284">IFERROR(INDEX(baseline!$A$3:$A$201,MATCH($C284&amp;$D284,baseline!$C$3:$C$201&amp;baseline!$D$3:$D$201,0)),"NA")</f>
        <v>3</v>
      </c>
      <c r="B284" s="45" t="s">
        <v>956</v>
      </c>
      <c r="C284" s="117" t="s">
        <v>545</v>
      </c>
      <c r="D284" s="45" t="s">
        <v>881</v>
      </c>
      <c r="E284" s="45">
        <v>2035</v>
      </c>
      <c r="F284" s="174">
        <f t="shared" si="34"/>
        <v>0</v>
      </c>
      <c r="G284" s="174">
        <v>0</v>
      </c>
      <c r="H284" s="174">
        <v>0</v>
      </c>
      <c r="I284" s="174">
        <v>0</v>
      </c>
      <c r="J284" s="174">
        <v>0</v>
      </c>
      <c r="K284" s="174">
        <v>0</v>
      </c>
      <c r="L284" s="174">
        <v>0</v>
      </c>
      <c r="M284" s="45">
        <f t="shared" si="33"/>
        <v>0</v>
      </c>
      <c r="R284" s="164"/>
      <c r="S284" s="165"/>
      <c r="T284" s="165"/>
      <c r="U284" s="166"/>
      <c r="V284" s="167"/>
      <c r="W284" s="167"/>
      <c r="X284" s="167"/>
      <c r="Y284" s="167"/>
      <c r="Z284" s="167"/>
      <c r="AA284" s="167"/>
    </row>
    <row r="285" spans="1:27" ht="15.6">
      <c r="B285" s="45" t="s">
        <v>956</v>
      </c>
      <c r="C285" s="117" t="s">
        <v>545</v>
      </c>
      <c r="D285" s="45" t="s">
        <v>546</v>
      </c>
      <c r="E285" s="45">
        <v>2035</v>
      </c>
      <c r="F285" s="174">
        <f t="shared" si="34"/>
        <v>4000</v>
      </c>
      <c r="G285" s="174">
        <v>4000</v>
      </c>
      <c r="H285" s="174">
        <v>0</v>
      </c>
      <c r="I285" s="174">
        <v>0</v>
      </c>
      <c r="J285" s="174">
        <v>0</v>
      </c>
      <c r="K285" s="174">
        <v>0</v>
      </c>
      <c r="L285" s="174">
        <v>0</v>
      </c>
      <c r="M285" s="45">
        <f t="shared" si="33"/>
        <v>2.0297459265536437E-2</v>
      </c>
      <c r="R285" s="164"/>
      <c r="S285" s="165"/>
      <c r="T285" s="165"/>
      <c r="U285" s="166"/>
      <c r="V285" s="167"/>
      <c r="W285" s="167"/>
      <c r="X285" s="167"/>
      <c r="Y285" s="167"/>
      <c r="Z285" s="167"/>
      <c r="AA285" s="167"/>
    </row>
    <row r="286" spans="1:27" ht="15.6">
      <c r="A286" s="45">
        <f t="array" ref="A286">IFERROR(INDEX(baseline!$A$3:$A$201,MATCH($C286&amp;$D286,baseline!$C$3:$C$201&amp;baseline!$D$3:$D$201,0)),"NA")</f>
        <v>27</v>
      </c>
      <c r="B286" s="45" t="s">
        <v>957</v>
      </c>
      <c r="C286" s="117" t="s">
        <v>1</v>
      </c>
      <c r="D286" s="45" t="s">
        <v>881</v>
      </c>
      <c r="E286" s="45">
        <v>2035</v>
      </c>
      <c r="F286" s="174">
        <f t="shared" si="34"/>
        <v>1778</v>
      </c>
      <c r="G286" s="174">
        <v>0</v>
      </c>
      <c r="H286" s="174">
        <v>1778</v>
      </c>
      <c r="I286" s="174">
        <v>0</v>
      </c>
      <c r="J286" s="174">
        <v>0</v>
      </c>
      <c r="K286" s="174">
        <v>0</v>
      </c>
      <c r="L286" s="174">
        <v>0</v>
      </c>
      <c r="M286" s="45">
        <f t="shared" si="33"/>
        <v>9.0222206435309465E-3</v>
      </c>
      <c r="R286" s="164"/>
      <c r="S286" s="165"/>
      <c r="T286" s="165"/>
      <c r="U286" s="166"/>
      <c r="V286" s="168"/>
      <c r="W286" s="168"/>
      <c r="X286" s="168"/>
      <c r="Y286" s="168"/>
      <c r="Z286" s="168"/>
      <c r="AA286" s="168"/>
    </row>
    <row r="287" spans="1:27" ht="15.6">
      <c r="A287" s="45">
        <f t="array" ref="A287">IFERROR(INDEX(baseline!$A$3:$A$201,MATCH($C287&amp;$D287,baseline!$C$3:$C$201&amp;baseline!$D$3:$D$201,0)),"NA")</f>
        <v>28</v>
      </c>
      <c r="B287" s="45" t="s">
        <v>957</v>
      </c>
      <c r="C287" s="117" t="s">
        <v>1</v>
      </c>
      <c r="D287" s="45" t="s">
        <v>14</v>
      </c>
      <c r="E287" s="45">
        <v>2035</v>
      </c>
      <c r="F287" s="174">
        <f t="shared" si="34"/>
        <v>11711</v>
      </c>
      <c r="G287" s="174">
        <v>0</v>
      </c>
      <c r="H287" s="174">
        <v>11711</v>
      </c>
      <c r="I287" s="174">
        <v>0</v>
      </c>
      <c r="J287" s="174">
        <v>0</v>
      </c>
      <c r="K287" s="174">
        <v>0</v>
      </c>
      <c r="L287" s="174">
        <v>0</v>
      </c>
      <c r="M287" s="45">
        <f t="shared" si="33"/>
        <v>5.9425886364674302E-2</v>
      </c>
      <c r="R287" s="169"/>
      <c r="S287" s="165"/>
      <c r="T287" s="165"/>
      <c r="U287" s="166"/>
      <c r="V287" s="167"/>
      <c r="W287" s="167"/>
      <c r="X287" s="167"/>
      <c r="Y287" s="167"/>
      <c r="Z287" s="167"/>
      <c r="AA287" s="167"/>
    </row>
    <row r="288" spans="1:27" ht="15.6">
      <c r="A288" s="45">
        <f t="array" ref="A288">IFERROR(INDEX(baseline!$A$3:$A$201,MATCH($C288&amp;$D288,baseline!$C$3:$C$201&amp;baseline!$D$3:$D$201,0)),"NA")</f>
        <v>8</v>
      </c>
      <c r="B288" s="45" t="s">
        <v>958</v>
      </c>
      <c r="C288" s="117" t="s">
        <v>697</v>
      </c>
      <c r="D288" s="45" t="s">
        <v>881</v>
      </c>
      <c r="E288" s="45">
        <v>2035</v>
      </c>
      <c r="F288" s="174">
        <f t="shared" si="34"/>
        <v>1504</v>
      </c>
      <c r="G288" s="174">
        <v>1504</v>
      </c>
      <c r="H288" s="174">
        <v>0</v>
      </c>
      <c r="I288" s="174">
        <v>0</v>
      </c>
      <c r="J288" s="174">
        <v>0</v>
      </c>
      <c r="K288" s="174">
        <v>0</v>
      </c>
      <c r="L288" s="174">
        <v>0</v>
      </c>
      <c r="M288" s="45">
        <f t="shared" si="33"/>
        <v>7.6318446838416999E-3</v>
      </c>
      <c r="R288" s="169"/>
      <c r="S288" s="165"/>
      <c r="T288" s="165"/>
      <c r="U288" s="166"/>
      <c r="V288" s="167"/>
      <c r="W288" s="167"/>
      <c r="X288" s="167"/>
      <c r="Y288" s="167"/>
      <c r="Z288" s="167"/>
      <c r="AA288" s="167"/>
    </row>
    <row r="289" spans="1:27" ht="15.6">
      <c r="A289" s="45">
        <f t="array" ref="A289">IFERROR(INDEX(baseline!$A$3:$A$201,MATCH($C289&amp;$D289,baseline!$C$3:$C$201&amp;baseline!$D$3:$D$201,0)),"NA")</f>
        <v>9</v>
      </c>
      <c r="B289" s="45" t="s">
        <v>958</v>
      </c>
      <c r="C289" s="117" t="s">
        <v>697</v>
      </c>
      <c r="D289" s="45" t="s">
        <v>14</v>
      </c>
      <c r="E289" s="45">
        <v>2035</v>
      </c>
      <c r="F289" s="174">
        <f t="shared" si="34"/>
        <v>10986</v>
      </c>
      <c r="G289" s="174">
        <v>7670</v>
      </c>
      <c r="H289" s="174">
        <v>3316</v>
      </c>
      <c r="I289" s="174">
        <v>0</v>
      </c>
      <c r="J289" s="174">
        <v>0</v>
      </c>
      <c r="K289" s="174">
        <v>0</v>
      </c>
      <c r="L289" s="174">
        <v>0</v>
      </c>
      <c r="M289" s="45">
        <f t="shared" si="33"/>
        <v>5.5746971872795821E-2</v>
      </c>
      <c r="R289" s="169"/>
      <c r="S289" s="165"/>
      <c r="T289" s="165"/>
      <c r="U289" s="166"/>
      <c r="V289" s="167"/>
      <c r="W289" s="167"/>
      <c r="X289" s="167"/>
      <c r="Y289" s="167"/>
      <c r="Z289" s="167"/>
      <c r="AA289" s="167"/>
    </row>
    <row r="290" spans="1:27" ht="15.6">
      <c r="A290" s="45">
        <f t="array" ref="A290">IFERROR(INDEX(baseline!$A$3:$A$201,MATCH($C290&amp;$D290,baseline!$C$3:$C$201&amp;baseline!$D$3:$D$201,0)),"NA")</f>
        <v>10</v>
      </c>
      <c r="B290" s="45" t="s">
        <v>959</v>
      </c>
      <c r="C290" s="117" t="s">
        <v>713</v>
      </c>
      <c r="D290" s="45" t="s">
        <v>881</v>
      </c>
      <c r="E290" s="45">
        <v>2035</v>
      </c>
      <c r="F290" s="174">
        <f t="shared" si="34"/>
        <v>1127</v>
      </c>
      <c r="G290" s="174">
        <v>368</v>
      </c>
      <c r="H290" s="174">
        <v>759</v>
      </c>
      <c r="I290" s="174">
        <v>0</v>
      </c>
      <c r="J290" s="174">
        <v>0</v>
      </c>
      <c r="K290" s="174">
        <v>0</v>
      </c>
      <c r="L290" s="174">
        <v>0</v>
      </c>
      <c r="M290" s="45">
        <f t="shared" si="33"/>
        <v>5.7188091480648911E-3</v>
      </c>
      <c r="R290" s="169"/>
      <c r="S290" s="165"/>
      <c r="T290" s="165"/>
      <c r="U290" s="166"/>
      <c r="V290" s="168"/>
      <c r="W290" s="168"/>
      <c r="X290" s="168"/>
      <c r="Y290" s="168"/>
      <c r="Z290" s="168"/>
      <c r="AA290" s="168"/>
    </row>
    <row r="291" spans="1:27" ht="15.6">
      <c r="A291" s="45">
        <f t="array" ref="A291">IFERROR(INDEX(baseline!$A$3:$A$201,MATCH($C291&amp;$D291,baseline!$C$3:$C$201&amp;baseline!$D$3:$D$201,0)),"NA")</f>
        <v>11</v>
      </c>
      <c r="B291" s="45" t="s">
        <v>959</v>
      </c>
      <c r="C291" s="117" t="s">
        <v>713</v>
      </c>
      <c r="D291" s="45" t="s">
        <v>13</v>
      </c>
      <c r="E291" s="45">
        <v>2035</v>
      </c>
      <c r="F291" s="174">
        <f t="shared" si="34"/>
        <v>724</v>
      </c>
      <c r="G291" s="174">
        <v>0</v>
      </c>
      <c r="H291" s="174">
        <v>724</v>
      </c>
      <c r="I291" s="174">
        <v>0</v>
      </c>
      <c r="J291" s="174">
        <v>0</v>
      </c>
      <c r="K291" s="174">
        <v>0</v>
      </c>
      <c r="L291" s="174">
        <v>0</v>
      </c>
      <c r="M291" s="45">
        <f t="shared" si="33"/>
        <v>3.6738401270620951E-3</v>
      </c>
      <c r="R291" s="164"/>
      <c r="S291" s="165"/>
      <c r="T291" s="165"/>
      <c r="U291" s="166"/>
      <c r="V291" s="167"/>
      <c r="W291" s="167"/>
      <c r="X291" s="167"/>
      <c r="Y291" s="167"/>
      <c r="Z291" s="167"/>
      <c r="AA291" s="167"/>
    </row>
    <row r="292" spans="1:27" ht="15.6">
      <c r="A292" s="45">
        <f t="array" ref="A292">IFERROR(INDEX(baseline!$A$3:$A$201,MATCH($C292&amp;$D292,baseline!$C$3:$C$201&amp;baseline!$D$3:$D$201,0)),"NA")</f>
        <v>12</v>
      </c>
      <c r="B292" s="45" t="s">
        <v>959</v>
      </c>
      <c r="C292" s="117" t="s">
        <v>713</v>
      </c>
      <c r="D292" s="45" t="s">
        <v>14</v>
      </c>
      <c r="E292" s="45">
        <v>2035</v>
      </c>
      <c r="F292" s="174">
        <f t="shared" si="34"/>
        <v>4736</v>
      </c>
      <c r="G292" s="174">
        <v>1050</v>
      </c>
      <c r="H292" s="174">
        <v>3686</v>
      </c>
      <c r="I292" s="174">
        <v>0</v>
      </c>
      <c r="J292" s="174">
        <v>0</v>
      </c>
      <c r="K292" s="174">
        <v>0</v>
      </c>
      <c r="L292" s="174">
        <v>0</v>
      </c>
      <c r="M292" s="45">
        <f t="shared" si="33"/>
        <v>2.4032191770395141E-2</v>
      </c>
      <c r="R292" s="164"/>
      <c r="S292" s="165"/>
      <c r="T292" s="165"/>
      <c r="U292" s="166"/>
      <c r="V292" s="167"/>
      <c r="W292" s="167"/>
      <c r="X292" s="167"/>
      <c r="Y292" s="167"/>
      <c r="Z292" s="167"/>
      <c r="AA292" s="167"/>
    </row>
    <row r="293" spans="1:27" ht="15.6">
      <c r="A293" s="45">
        <f t="array" ref="A293">IFERROR(INDEX(baseline!$A$3:$A$201,MATCH($C293&amp;$D293,baseline!$C$3:$C$201&amp;baseline!$D$3:$D$201,0)),"NA")</f>
        <v>2</v>
      </c>
      <c r="B293" s="45" t="s">
        <v>960</v>
      </c>
      <c r="C293" s="117" t="s">
        <v>78</v>
      </c>
      <c r="D293" s="45" t="s">
        <v>881</v>
      </c>
      <c r="E293" s="45">
        <v>2035</v>
      </c>
      <c r="F293" s="174">
        <f t="shared" si="34"/>
        <v>0</v>
      </c>
      <c r="G293" s="174">
        <v>0</v>
      </c>
      <c r="H293" s="174">
        <v>0</v>
      </c>
      <c r="I293" s="174">
        <v>0</v>
      </c>
      <c r="J293" s="174">
        <v>0</v>
      </c>
      <c r="K293" s="174">
        <v>0</v>
      </c>
      <c r="L293" s="174">
        <v>0</v>
      </c>
      <c r="M293" s="45">
        <f t="shared" si="33"/>
        <v>0</v>
      </c>
      <c r="R293" s="164"/>
      <c r="S293" s="165"/>
      <c r="T293" s="165"/>
      <c r="U293" s="166"/>
      <c r="V293" s="167"/>
      <c r="W293" s="167"/>
      <c r="X293" s="167"/>
      <c r="Y293" s="167"/>
      <c r="Z293" s="167"/>
      <c r="AA293" s="167"/>
    </row>
    <row r="294" spans="1:27" ht="15.6">
      <c r="B294" s="45" t="s">
        <v>960</v>
      </c>
      <c r="C294" s="117" t="s">
        <v>78</v>
      </c>
      <c r="D294" s="45" t="s">
        <v>881</v>
      </c>
      <c r="E294" s="45">
        <v>2035</v>
      </c>
      <c r="F294" s="174">
        <f t="shared" si="34"/>
        <v>1500</v>
      </c>
      <c r="G294" s="174">
        <v>1500</v>
      </c>
      <c r="H294" s="174">
        <v>0</v>
      </c>
      <c r="I294" s="174">
        <v>0</v>
      </c>
      <c r="J294" s="174">
        <v>0</v>
      </c>
      <c r="K294" s="174">
        <v>0</v>
      </c>
      <c r="L294" s="174">
        <v>0</v>
      </c>
      <c r="M294" s="45">
        <f t="shared" si="33"/>
        <v>7.6115472245761638E-3</v>
      </c>
      <c r="R294" s="164"/>
      <c r="S294" s="165"/>
      <c r="T294" s="165"/>
      <c r="U294" s="166"/>
      <c r="V294" s="167"/>
      <c r="W294" s="167"/>
      <c r="X294" s="167"/>
      <c r="Y294" s="167"/>
      <c r="Z294" s="167"/>
      <c r="AA294" s="167"/>
    </row>
    <row r="295" spans="1:27">
      <c r="R295" s="164"/>
      <c r="S295" s="165"/>
      <c r="T295" s="165"/>
      <c r="U295" s="166"/>
      <c r="V295" s="167"/>
      <c r="W295" s="167"/>
      <c r="X295" s="167"/>
      <c r="Y295" s="167"/>
      <c r="Z295" s="167"/>
      <c r="AA295" s="167"/>
    </row>
    <row r="296" spans="1:27">
      <c r="R296" s="164"/>
      <c r="S296" s="165"/>
      <c r="T296" s="165"/>
      <c r="U296" s="166"/>
      <c r="V296" s="167"/>
      <c r="W296" s="167"/>
      <c r="X296" s="167"/>
      <c r="Y296" s="167"/>
      <c r="Z296" s="167"/>
      <c r="AA296" s="167"/>
    </row>
    <row r="297" spans="1:27">
      <c r="R297" s="164"/>
      <c r="S297" s="165"/>
      <c r="T297" s="165"/>
      <c r="U297" s="166"/>
      <c r="V297" s="167"/>
      <c r="W297" s="167"/>
      <c r="X297" s="167"/>
      <c r="Y297" s="167"/>
      <c r="Z297" s="167"/>
      <c r="AA297" s="167"/>
    </row>
    <row r="298" spans="1:27">
      <c r="R298" s="164"/>
      <c r="S298" s="165"/>
      <c r="T298" s="165"/>
      <c r="U298" s="166"/>
      <c r="V298" s="167"/>
      <c r="W298" s="167"/>
      <c r="X298" s="167"/>
      <c r="Y298" s="167"/>
      <c r="Z298" s="167"/>
      <c r="AA298" s="167"/>
    </row>
    <row r="299" spans="1:27">
      <c r="R299" s="164"/>
      <c r="S299" s="165"/>
      <c r="T299" s="165"/>
      <c r="U299" s="166"/>
      <c r="V299" s="167"/>
      <c r="W299" s="167"/>
      <c r="X299" s="167"/>
      <c r="Y299" s="167"/>
      <c r="Z299" s="167"/>
      <c r="AA299" s="167"/>
    </row>
    <row r="300" spans="1:27">
      <c r="R300" s="164"/>
      <c r="S300" s="165"/>
      <c r="T300" s="165"/>
      <c r="U300" s="166"/>
      <c r="V300" s="167"/>
      <c r="W300" s="167"/>
      <c r="X300" s="167"/>
      <c r="Y300" s="167"/>
      <c r="Z300" s="167"/>
      <c r="AA300" s="167"/>
    </row>
    <row r="301" spans="1:27">
      <c r="R301" s="164"/>
      <c r="S301" s="165"/>
      <c r="T301" s="165"/>
      <c r="U301" s="166"/>
      <c r="V301" s="167"/>
      <c r="W301" s="167"/>
      <c r="X301" s="167"/>
      <c r="Y301" s="167"/>
      <c r="Z301" s="167"/>
      <c r="AA301" s="167"/>
    </row>
    <row r="302" spans="1:27">
      <c r="R302" s="164"/>
      <c r="S302" s="165"/>
      <c r="T302" s="165"/>
      <c r="U302" s="166"/>
      <c r="V302" s="167"/>
      <c r="W302" s="167"/>
      <c r="X302" s="167"/>
      <c r="Y302" s="167"/>
      <c r="Z302" s="167"/>
      <c r="AA302" s="167"/>
    </row>
    <row r="303" spans="1:27">
      <c r="R303" s="164"/>
      <c r="S303" s="165"/>
      <c r="T303" s="165"/>
      <c r="U303" s="166"/>
      <c r="V303" s="167"/>
      <c r="W303" s="167"/>
      <c r="X303" s="167"/>
      <c r="Y303" s="167"/>
      <c r="Z303" s="167"/>
      <c r="AA303" s="167"/>
    </row>
    <row r="304" spans="1:27">
      <c r="R304" s="164"/>
      <c r="S304" s="165"/>
      <c r="T304" s="165"/>
      <c r="U304" s="166"/>
      <c r="V304" s="167"/>
      <c r="W304" s="167"/>
      <c r="X304" s="167"/>
      <c r="Y304" s="167"/>
      <c r="Z304" s="167"/>
      <c r="AA304" s="167"/>
    </row>
    <row r="305" spans="18:27">
      <c r="R305" s="164"/>
      <c r="S305" s="165"/>
      <c r="T305" s="165"/>
      <c r="U305" s="166"/>
      <c r="V305" s="167"/>
      <c r="W305" s="167"/>
      <c r="X305" s="167"/>
      <c r="Y305" s="167"/>
      <c r="Z305" s="167"/>
      <c r="AA305" s="167"/>
    </row>
    <row r="306" spans="18:27">
      <c r="R306" s="164"/>
      <c r="S306" s="165"/>
      <c r="T306" s="165"/>
      <c r="U306" s="166"/>
      <c r="V306" s="167"/>
      <c r="W306" s="167"/>
      <c r="X306" s="167"/>
      <c r="Y306" s="167"/>
      <c r="Z306" s="167"/>
      <c r="AA306" s="167"/>
    </row>
    <row r="307" spans="18:27">
      <c r="R307" s="164"/>
      <c r="S307" s="165"/>
      <c r="T307" s="165"/>
      <c r="U307" s="166"/>
      <c r="V307" s="167"/>
      <c r="W307" s="167"/>
      <c r="X307" s="167"/>
      <c r="Y307" s="167"/>
      <c r="Z307" s="167"/>
      <c r="AA307" s="167"/>
    </row>
    <row r="308" spans="18:27">
      <c r="R308" s="164"/>
      <c r="S308" s="165"/>
      <c r="T308" s="165"/>
      <c r="U308" s="166"/>
      <c r="V308" s="167"/>
      <c r="W308" s="167"/>
      <c r="X308" s="167"/>
      <c r="Y308" s="167"/>
      <c r="Z308" s="167"/>
      <c r="AA308" s="167"/>
    </row>
    <row r="309" spans="18:27">
      <c r="R309" s="164"/>
      <c r="S309" s="165"/>
      <c r="T309" s="165"/>
      <c r="U309" s="166"/>
      <c r="V309" s="167"/>
      <c r="W309" s="167"/>
      <c r="X309" s="167"/>
      <c r="Y309" s="167"/>
      <c r="Z309" s="167"/>
      <c r="AA309" s="167"/>
    </row>
    <row r="310" spans="18:27">
      <c r="R310" s="164"/>
      <c r="S310" s="165"/>
      <c r="T310" s="165"/>
      <c r="U310" s="166"/>
      <c r="V310" s="167"/>
      <c r="W310" s="167"/>
      <c r="X310" s="167"/>
      <c r="Y310" s="167"/>
      <c r="Z310" s="167"/>
      <c r="AA310" s="167"/>
    </row>
    <row r="311" spans="18:27">
      <c r="R311" s="170"/>
      <c r="S311" s="25"/>
      <c r="T311" s="25"/>
      <c r="U311" s="171"/>
      <c r="V311" s="171"/>
      <c r="W311" s="171"/>
      <c r="X311" s="171"/>
      <c r="Y311" s="171"/>
      <c r="Z311" s="171"/>
      <c r="AA311" s="171"/>
    </row>
    <row r="312" spans="18:27">
      <c r="R312" s="25"/>
      <c r="S312" s="25"/>
      <c r="T312" s="25"/>
      <c r="U312" s="25"/>
      <c r="V312" s="25"/>
      <c r="W312" s="25"/>
      <c r="X312" s="25"/>
      <c r="Y312" s="25"/>
      <c r="Z312" s="25"/>
      <c r="AA312" s="25"/>
    </row>
    <row r="313" spans="18:27">
      <c r="R313" s="163"/>
      <c r="S313" s="163"/>
      <c r="T313" s="163"/>
      <c r="U313" s="163"/>
      <c r="V313" s="163"/>
      <c r="W313" s="163"/>
      <c r="X313" s="163"/>
      <c r="Y313" s="163"/>
      <c r="Z313" s="163"/>
      <c r="AA313" s="163"/>
    </row>
    <row r="314" spans="18:27">
      <c r="R314" s="164"/>
      <c r="S314" s="165"/>
      <c r="T314" s="165"/>
      <c r="U314" s="166"/>
      <c r="V314" s="167"/>
      <c r="W314" s="167"/>
      <c r="X314" s="167"/>
      <c r="Y314" s="167"/>
      <c r="Z314" s="167"/>
      <c r="AA314" s="167"/>
    </row>
    <row r="315" spans="18:27">
      <c r="R315" s="164"/>
      <c r="S315" s="165"/>
      <c r="T315" s="165"/>
      <c r="U315" s="166"/>
      <c r="V315" s="167"/>
      <c r="W315" s="167"/>
      <c r="X315" s="167"/>
      <c r="Y315" s="167"/>
      <c r="Z315" s="167"/>
      <c r="AA315" s="167"/>
    </row>
    <row r="316" spans="18:27">
      <c r="R316" s="164"/>
      <c r="S316" s="165"/>
      <c r="T316" s="165"/>
      <c r="U316" s="166"/>
      <c r="V316" s="167"/>
      <c r="W316" s="167"/>
      <c r="X316" s="167"/>
      <c r="Y316" s="167"/>
      <c r="Z316" s="167"/>
      <c r="AA316" s="167"/>
    </row>
    <row r="317" spans="18:27">
      <c r="R317" s="164"/>
      <c r="S317" s="165"/>
      <c r="T317" s="165"/>
      <c r="U317" s="166"/>
      <c r="V317" s="167"/>
      <c r="W317" s="167"/>
      <c r="X317" s="167"/>
      <c r="Y317" s="167"/>
      <c r="Z317" s="167"/>
      <c r="AA317" s="167"/>
    </row>
    <row r="318" spans="18:27">
      <c r="R318" s="164"/>
      <c r="S318" s="165"/>
      <c r="T318" s="165"/>
      <c r="U318" s="166"/>
      <c r="V318" s="167"/>
      <c r="W318" s="167"/>
      <c r="X318" s="167"/>
      <c r="Y318" s="167"/>
      <c r="Z318" s="167"/>
      <c r="AA318" s="167"/>
    </row>
    <row r="319" spans="18:27">
      <c r="R319" s="164"/>
      <c r="S319" s="165"/>
      <c r="T319" s="165"/>
      <c r="U319" s="166"/>
      <c r="V319" s="167"/>
      <c r="W319" s="167"/>
      <c r="X319" s="167"/>
      <c r="Y319" s="167"/>
      <c r="Z319" s="167"/>
      <c r="AA319" s="167"/>
    </row>
    <row r="320" spans="18:27">
      <c r="R320" s="164"/>
      <c r="S320" s="165"/>
      <c r="T320" s="165"/>
      <c r="U320" s="166"/>
      <c r="V320" s="167"/>
      <c r="W320" s="167"/>
      <c r="X320" s="167"/>
      <c r="Y320" s="167"/>
      <c r="Z320" s="167"/>
      <c r="AA320" s="167"/>
    </row>
    <row r="321" spans="18:27">
      <c r="R321" s="164"/>
      <c r="S321" s="165"/>
      <c r="T321" s="165"/>
      <c r="U321" s="166"/>
      <c r="V321" s="168"/>
      <c r="W321" s="168"/>
      <c r="X321" s="168"/>
      <c r="Y321" s="168"/>
      <c r="Z321" s="168"/>
      <c r="AA321" s="168"/>
    </row>
    <row r="322" spans="18:27">
      <c r="R322" s="164"/>
      <c r="S322" s="165"/>
      <c r="T322" s="165"/>
      <c r="U322" s="166"/>
      <c r="V322" s="167"/>
      <c r="W322" s="167"/>
      <c r="X322" s="167"/>
      <c r="Y322" s="167"/>
      <c r="Z322" s="167"/>
      <c r="AA322" s="167"/>
    </row>
    <row r="323" spans="18:27">
      <c r="R323" s="164"/>
      <c r="S323" s="165"/>
      <c r="T323" s="165"/>
      <c r="U323" s="166"/>
      <c r="V323" s="167"/>
      <c r="W323" s="167"/>
      <c r="X323" s="167"/>
      <c r="Y323" s="167"/>
      <c r="Z323" s="167"/>
      <c r="AA323" s="167"/>
    </row>
    <row r="324" spans="18:27">
      <c r="R324" s="164"/>
      <c r="S324" s="165"/>
      <c r="T324" s="165"/>
      <c r="U324" s="166"/>
      <c r="V324" s="167"/>
      <c r="W324" s="167"/>
      <c r="X324" s="167"/>
      <c r="Y324" s="167"/>
      <c r="Z324" s="167"/>
      <c r="AA324" s="167"/>
    </row>
    <row r="325" spans="18:27">
      <c r="R325" s="164"/>
      <c r="S325" s="165"/>
      <c r="T325" s="165"/>
      <c r="U325" s="166"/>
      <c r="V325" s="167"/>
      <c r="W325" s="167"/>
      <c r="X325" s="167"/>
      <c r="Y325" s="167"/>
      <c r="Z325" s="167"/>
      <c r="AA325" s="167"/>
    </row>
    <row r="326" spans="18:27">
      <c r="R326" s="164"/>
      <c r="S326" s="165"/>
      <c r="T326" s="165"/>
      <c r="U326" s="166"/>
      <c r="V326" s="167"/>
      <c r="W326" s="167"/>
      <c r="X326" s="167"/>
      <c r="Y326" s="167"/>
      <c r="Z326" s="167"/>
      <c r="AA326" s="167"/>
    </row>
    <row r="327" spans="18:27">
      <c r="R327" s="164"/>
      <c r="S327" s="165"/>
      <c r="T327" s="165"/>
      <c r="U327" s="166"/>
      <c r="V327" s="167"/>
      <c r="W327" s="167"/>
      <c r="X327" s="167"/>
      <c r="Y327" s="167"/>
      <c r="Z327" s="167"/>
      <c r="AA327" s="167"/>
    </row>
    <row r="328" spans="18:27">
      <c r="R328" s="164"/>
      <c r="S328" s="165"/>
      <c r="T328" s="165"/>
      <c r="U328" s="166"/>
      <c r="V328" s="167"/>
      <c r="W328" s="167"/>
      <c r="X328" s="167"/>
      <c r="Y328" s="167"/>
      <c r="Z328" s="167"/>
      <c r="AA328" s="167"/>
    </row>
    <row r="329" spans="18:27">
      <c r="R329" s="164"/>
      <c r="S329" s="165"/>
      <c r="T329" s="165"/>
      <c r="U329" s="166"/>
      <c r="V329" s="168"/>
      <c r="W329" s="168"/>
      <c r="X329" s="168"/>
      <c r="Y329" s="168"/>
      <c r="Z329" s="168"/>
      <c r="AA329" s="168"/>
    </row>
    <row r="330" spans="18:27">
      <c r="R330" s="164"/>
      <c r="S330" s="165"/>
      <c r="T330" s="165"/>
      <c r="U330" s="166"/>
      <c r="V330" s="167"/>
      <c r="W330" s="167"/>
      <c r="X330" s="167"/>
      <c r="Y330" s="167"/>
      <c r="Z330" s="167"/>
      <c r="AA330" s="167"/>
    </row>
    <row r="331" spans="18:27">
      <c r="R331" s="164"/>
      <c r="S331" s="165"/>
      <c r="T331" s="165"/>
      <c r="U331" s="166"/>
      <c r="V331" s="167"/>
      <c r="W331" s="167"/>
      <c r="X331" s="167"/>
      <c r="Y331" s="167"/>
      <c r="Z331" s="167"/>
      <c r="AA331" s="167"/>
    </row>
    <row r="332" spans="18:27">
      <c r="R332" s="164"/>
      <c r="S332" s="165"/>
      <c r="T332" s="165"/>
      <c r="U332" s="166"/>
      <c r="V332" s="167"/>
      <c r="W332" s="167"/>
      <c r="X332" s="167"/>
      <c r="Y332" s="167"/>
      <c r="Z332" s="167"/>
      <c r="AA332" s="167"/>
    </row>
    <row r="333" spans="18:27">
      <c r="R333" s="164"/>
      <c r="S333" s="165"/>
      <c r="T333" s="165"/>
      <c r="U333" s="166"/>
      <c r="V333" s="167"/>
      <c r="W333" s="167"/>
      <c r="X333" s="167"/>
      <c r="Y333" s="167"/>
      <c r="Z333" s="167"/>
      <c r="AA333" s="167"/>
    </row>
    <row r="334" spans="18:27">
      <c r="R334" s="164"/>
      <c r="S334" s="165"/>
      <c r="T334" s="165"/>
      <c r="U334" s="166"/>
      <c r="V334" s="167"/>
      <c r="W334" s="167"/>
      <c r="X334" s="167"/>
      <c r="Y334" s="167"/>
      <c r="Z334" s="167"/>
      <c r="AA334" s="167"/>
    </row>
    <row r="335" spans="18:27">
      <c r="R335" s="164"/>
      <c r="S335" s="165"/>
      <c r="T335" s="165"/>
      <c r="U335" s="166"/>
      <c r="V335" s="167"/>
      <c r="W335" s="167"/>
      <c r="X335" s="167"/>
      <c r="Y335" s="167"/>
      <c r="Z335" s="167"/>
      <c r="AA335" s="167"/>
    </row>
    <row r="336" spans="18:27">
      <c r="R336" s="164"/>
      <c r="S336" s="165"/>
      <c r="T336" s="165"/>
      <c r="U336" s="166"/>
      <c r="V336" s="167"/>
      <c r="W336" s="167"/>
      <c r="X336" s="167"/>
      <c r="Y336" s="167"/>
      <c r="Z336" s="167"/>
      <c r="AA336" s="167"/>
    </row>
    <row r="337" spans="18:27">
      <c r="R337" s="164"/>
      <c r="S337" s="165"/>
      <c r="T337" s="165"/>
      <c r="U337" s="166"/>
      <c r="V337" s="168"/>
      <c r="W337" s="168"/>
      <c r="X337" s="168"/>
      <c r="Y337" s="168"/>
      <c r="Z337" s="168"/>
      <c r="AA337" s="168"/>
    </row>
    <row r="338" spans="18:27">
      <c r="R338" s="164"/>
      <c r="S338" s="165"/>
      <c r="T338" s="165"/>
      <c r="U338" s="166"/>
      <c r="V338" s="167"/>
      <c r="W338" s="167"/>
      <c r="X338" s="167"/>
      <c r="Y338" s="167"/>
      <c r="Z338" s="167"/>
      <c r="AA338" s="167"/>
    </row>
    <row r="339" spans="18:27">
      <c r="R339" s="164"/>
      <c r="S339" s="165"/>
      <c r="T339" s="165"/>
      <c r="U339" s="166"/>
      <c r="V339" s="167"/>
      <c r="W339" s="167"/>
      <c r="X339" s="167"/>
      <c r="Y339" s="167"/>
      <c r="Z339" s="167"/>
      <c r="AA339" s="167"/>
    </row>
    <row r="340" spans="18:27">
      <c r="R340" s="164"/>
      <c r="S340" s="165"/>
      <c r="T340" s="165"/>
      <c r="U340" s="166"/>
      <c r="V340" s="167"/>
      <c r="W340" s="167"/>
      <c r="X340" s="167"/>
      <c r="Y340" s="167"/>
      <c r="Z340" s="167"/>
      <c r="AA340" s="167"/>
    </row>
    <row r="341" spans="18:27">
      <c r="R341" s="164"/>
      <c r="S341" s="165"/>
      <c r="T341" s="165"/>
      <c r="U341" s="166"/>
      <c r="V341" s="167"/>
      <c r="W341" s="167"/>
      <c r="X341" s="167"/>
      <c r="Y341" s="167"/>
      <c r="Z341" s="167"/>
      <c r="AA341" s="167"/>
    </row>
    <row r="342" spans="18:27">
      <c r="R342" s="164"/>
      <c r="S342" s="165"/>
      <c r="T342" s="165"/>
      <c r="U342" s="166"/>
      <c r="V342" s="167"/>
      <c r="W342" s="167"/>
      <c r="X342" s="167"/>
      <c r="Y342" s="167"/>
      <c r="Z342" s="167"/>
      <c r="AA342" s="167"/>
    </row>
    <row r="343" spans="18:27">
      <c r="R343" s="164"/>
      <c r="S343" s="165"/>
      <c r="T343" s="165"/>
      <c r="U343" s="166"/>
      <c r="V343" s="167"/>
      <c r="W343" s="167"/>
      <c r="X343" s="167"/>
      <c r="Y343" s="167"/>
      <c r="Z343" s="167"/>
      <c r="AA343" s="167"/>
    </row>
    <row r="344" spans="18:27">
      <c r="R344" s="164"/>
      <c r="S344" s="165"/>
      <c r="T344" s="165"/>
      <c r="U344" s="166"/>
      <c r="V344" s="167"/>
      <c r="W344" s="167"/>
      <c r="X344" s="167"/>
      <c r="Y344" s="167"/>
      <c r="Z344" s="167"/>
      <c r="AA344" s="167"/>
    </row>
    <row r="345" spans="18:27">
      <c r="R345" s="164"/>
      <c r="S345" s="165"/>
      <c r="T345" s="165"/>
      <c r="U345" s="166"/>
      <c r="V345" s="168"/>
      <c r="W345" s="168"/>
      <c r="X345" s="168"/>
      <c r="Y345" s="168"/>
      <c r="Z345" s="168"/>
      <c r="AA345" s="168"/>
    </row>
    <row r="346" spans="18:27">
      <c r="R346" s="164"/>
      <c r="S346" s="165"/>
      <c r="T346" s="165"/>
      <c r="U346" s="166"/>
      <c r="V346" s="167"/>
      <c r="W346" s="167"/>
      <c r="X346" s="167"/>
      <c r="Y346" s="167"/>
      <c r="Z346" s="167"/>
      <c r="AA346" s="167"/>
    </row>
    <row r="347" spans="18:27">
      <c r="R347" s="164"/>
      <c r="S347" s="165"/>
      <c r="T347" s="165"/>
      <c r="U347" s="166"/>
      <c r="V347" s="167"/>
      <c r="W347" s="167"/>
      <c r="X347" s="167"/>
      <c r="Y347" s="167"/>
      <c r="Z347" s="167"/>
      <c r="AA347" s="167"/>
    </row>
    <row r="348" spans="18:27">
      <c r="R348" s="164"/>
      <c r="S348" s="165"/>
      <c r="T348" s="165"/>
      <c r="U348" s="166"/>
      <c r="V348" s="167"/>
      <c r="W348" s="167"/>
      <c r="X348" s="167"/>
      <c r="Y348" s="167"/>
      <c r="Z348" s="167"/>
      <c r="AA348" s="167"/>
    </row>
    <row r="349" spans="18:27">
      <c r="R349" s="164"/>
      <c r="S349" s="165"/>
      <c r="T349" s="165"/>
      <c r="U349" s="166"/>
      <c r="V349" s="168"/>
      <c r="W349" s="168"/>
      <c r="X349" s="168"/>
      <c r="Y349" s="168"/>
      <c r="Z349" s="168"/>
      <c r="AA349" s="168"/>
    </row>
    <row r="350" spans="18:27">
      <c r="R350" s="164"/>
      <c r="S350" s="165"/>
      <c r="T350" s="165"/>
      <c r="U350" s="166"/>
      <c r="V350" s="167"/>
      <c r="W350" s="167"/>
      <c r="X350" s="167"/>
      <c r="Y350" s="167"/>
      <c r="Z350" s="167"/>
      <c r="AA350" s="167"/>
    </row>
    <row r="351" spans="18:27">
      <c r="R351" s="164"/>
      <c r="S351" s="165"/>
      <c r="T351" s="165"/>
      <c r="U351" s="166"/>
      <c r="V351" s="167"/>
      <c r="W351" s="167"/>
      <c r="X351" s="167"/>
      <c r="Y351" s="167"/>
      <c r="Z351" s="167"/>
      <c r="AA351" s="167"/>
    </row>
    <row r="352" spans="18:27">
      <c r="R352" s="164"/>
      <c r="S352" s="165"/>
      <c r="T352" s="165"/>
      <c r="U352" s="166"/>
      <c r="V352" s="167"/>
      <c r="W352" s="167"/>
      <c r="X352" s="167"/>
      <c r="Y352" s="167"/>
      <c r="Z352" s="167"/>
      <c r="AA352" s="167"/>
    </row>
    <row r="353" spans="18:27">
      <c r="R353" s="164"/>
      <c r="S353" s="165"/>
      <c r="T353" s="165"/>
      <c r="U353" s="166"/>
      <c r="V353" s="168"/>
      <c r="W353" s="168"/>
      <c r="X353" s="168"/>
      <c r="Y353" s="168"/>
      <c r="Z353" s="168"/>
      <c r="AA353" s="168"/>
    </row>
    <row r="354" spans="18:27">
      <c r="R354" s="164"/>
      <c r="S354" s="165"/>
      <c r="T354" s="165"/>
      <c r="U354" s="166"/>
      <c r="V354" s="167"/>
      <c r="W354" s="167"/>
      <c r="X354" s="167"/>
      <c r="Y354" s="167"/>
      <c r="Z354" s="167"/>
      <c r="AA354" s="167"/>
    </row>
    <row r="355" spans="18:27">
      <c r="R355" s="164"/>
      <c r="S355" s="165"/>
      <c r="T355" s="165"/>
      <c r="U355" s="166"/>
      <c r="V355" s="167"/>
      <c r="W355" s="167"/>
      <c r="X355" s="167"/>
      <c r="Y355" s="167"/>
      <c r="Z355" s="167"/>
      <c r="AA355" s="167"/>
    </row>
    <row r="356" spans="18:27">
      <c r="R356" s="164"/>
      <c r="S356" s="165"/>
      <c r="T356" s="165"/>
      <c r="U356" s="166"/>
      <c r="V356" s="167"/>
      <c r="W356" s="167"/>
      <c r="X356" s="167"/>
      <c r="Y356" s="167"/>
      <c r="Z356" s="167"/>
      <c r="AA356" s="167"/>
    </row>
    <row r="357" spans="18:27">
      <c r="R357" s="164"/>
      <c r="S357" s="165"/>
      <c r="T357" s="165"/>
      <c r="U357" s="166"/>
      <c r="V357" s="168"/>
      <c r="W357" s="168"/>
      <c r="X357" s="168"/>
      <c r="Y357" s="168"/>
      <c r="Z357" s="168"/>
      <c r="AA357" s="168"/>
    </row>
    <row r="358" spans="18:27">
      <c r="R358" s="164"/>
      <c r="S358" s="165"/>
      <c r="T358" s="165"/>
      <c r="U358" s="166"/>
      <c r="V358" s="167"/>
      <c r="W358" s="167"/>
      <c r="X358" s="167"/>
      <c r="Y358" s="167"/>
      <c r="Z358" s="167"/>
      <c r="AA358" s="167"/>
    </row>
    <row r="359" spans="18:27">
      <c r="R359" s="164"/>
      <c r="S359" s="165"/>
      <c r="T359" s="165"/>
      <c r="U359" s="166"/>
      <c r="V359" s="167"/>
      <c r="W359" s="167"/>
      <c r="X359" s="167"/>
      <c r="Y359" s="167"/>
      <c r="Z359" s="167"/>
      <c r="AA359" s="167"/>
    </row>
    <row r="360" spans="18:27">
      <c r="R360" s="164"/>
      <c r="S360" s="165"/>
      <c r="T360" s="165"/>
      <c r="U360" s="166"/>
      <c r="V360" s="167"/>
      <c r="W360" s="167"/>
      <c r="X360" s="167"/>
      <c r="Y360" s="167"/>
      <c r="Z360" s="167"/>
      <c r="AA360" s="167"/>
    </row>
    <row r="361" spans="18:27">
      <c r="R361" s="164"/>
      <c r="S361" s="165"/>
      <c r="T361" s="165"/>
      <c r="U361" s="166"/>
      <c r="V361" s="167"/>
      <c r="W361" s="167"/>
      <c r="X361" s="167"/>
      <c r="Y361" s="167"/>
      <c r="Z361" s="167"/>
      <c r="AA361" s="167"/>
    </row>
    <row r="362" spans="18:27">
      <c r="R362" s="164"/>
      <c r="S362" s="165"/>
      <c r="T362" s="165"/>
      <c r="U362" s="166"/>
      <c r="V362" s="167"/>
      <c r="W362" s="167"/>
      <c r="X362" s="167"/>
      <c r="Y362" s="167"/>
      <c r="Z362" s="167"/>
      <c r="AA362" s="167"/>
    </row>
    <row r="363" spans="18:27">
      <c r="R363" s="164"/>
      <c r="S363" s="165"/>
      <c r="T363" s="165"/>
      <c r="U363" s="166"/>
      <c r="V363" s="167"/>
      <c r="W363" s="167"/>
      <c r="X363" s="167"/>
      <c r="Y363" s="167"/>
      <c r="Z363" s="167"/>
      <c r="AA363" s="167"/>
    </row>
    <row r="364" spans="18:27">
      <c r="R364" s="164"/>
      <c r="S364" s="165"/>
      <c r="T364" s="165"/>
      <c r="U364" s="166"/>
      <c r="V364" s="167"/>
      <c r="W364" s="167"/>
      <c r="X364" s="167"/>
      <c r="Y364" s="167"/>
      <c r="Z364" s="167"/>
      <c r="AA364" s="167"/>
    </row>
    <row r="365" spans="18:27">
      <c r="R365" s="164"/>
      <c r="S365" s="165"/>
      <c r="T365" s="165"/>
      <c r="U365" s="166"/>
      <c r="V365" s="167"/>
      <c r="W365" s="167"/>
      <c r="X365" s="167"/>
      <c r="Y365" s="167"/>
      <c r="Z365" s="167"/>
      <c r="AA365" s="167"/>
    </row>
    <row r="366" spans="18:27">
      <c r="R366" s="164"/>
      <c r="S366" s="165"/>
      <c r="T366" s="165"/>
      <c r="U366" s="166"/>
      <c r="V366" s="167"/>
      <c r="W366" s="167"/>
      <c r="X366" s="167"/>
      <c r="Y366" s="167"/>
      <c r="Z366" s="167"/>
      <c r="AA366" s="167"/>
    </row>
    <row r="367" spans="18:27">
      <c r="R367" s="164"/>
      <c r="S367" s="165"/>
      <c r="T367" s="165"/>
      <c r="U367" s="166"/>
      <c r="V367" s="167"/>
      <c r="W367" s="167"/>
      <c r="X367" s="167"/>
      <c r="Y367" s="167"/>
      <c r="Z367" s="167"/>
      <c r="AA367" s="167"/>
    </row>
    <row r="368" spans="18:27">
      <c r="R368" s="164"/>
      <c r="S368" s="165"/>
      <c r="T368" s="165"/>
      <c r="U368" s="166"/>
      <c r="V368" s="167"/>
      <c r="W368" s="167"/>
      <c r="X368" s="167"/>
      <c r="Y368" s="167"/>
      <c r="Z368" s="167"/>
      <c r="AA368" s="167"/>
    </row>
    <row r="369" spans="18:27">
      <c r="R369" s="164"/>
      <c r="S369" s="165"/>
      <c r="T369" s="165"/>
      <c r="U369" s="166"/>
      <c r="V369" s="168"/>
      <c r="W369" s="168"/>
      <c r="X369" s="168"/>
      <c r="Y369" s="168"/>
      <c r="Z369" s="168"/>
      <c r="AA369" s="168"/>
    </row>
    <row r="370" spans="18:27">
      <c r="R370" s="164"/>
      <c r="S370" s="165"/>
      <c r="T370" s="165"/>
      <c r="U370" s="166"/>
      <c r="V370" s="167"/>
      <c r="W370" s="167"/>
      <c r="X370" s="167"/>
      <c r="Y370" s="167"/>
      <c r="Z370" s="167"/>
      <c r="AA370" s="167"/>
    </row>
    <row r="371" spans="18:27">
      <c r="R371" s="164"/>
      <c r="S371" s="165"/>
      <c r="T371" s="165"/>
      <c r="U371" s="166"/>
      <c r="V371" s="167"/>
      <c r="W371" s="167"/>
      <c r="X371" s="167"/>
      <c r="Y371" s="167"/>
      <c r="Z371" s="167"/>
      <c r="AA371" s="167"/>
    </row>
    <row r="372" spans="18:27">
      <c r="R372" s="164"/>
      <c r="S372" s="165"/>
      <c r="T372" s="165"/>
      <c r="U372" s="166"/>
      <c r="V372" s="167"/>
      <c r="W372" s="167"/>
      <c r="X372" s="167"/>
      <c r="Y372" s="167"/>
      <c r="Z372" s="167"/>
      <c r="AA372" s="167"/>
    </row>
    <row r="373" spans="18:27">
      <c r="R373" s="164"/>
      <c r="S373" s="165"/>
      <c r="T373" s="165"/>
      <c r="U373" s="166"/>
      <c r="V373" s="167"/>
      <c r="W373" s="167"/>
      <c r="X373" s="167"/>
      <c r="Y373" s="167"/>
      <c r="Z373" s="167"/>
      <c r="AA373" s="167"/>
    </row>
    <row r="374" spans="18:27">
      <c r="R374" s="164"/>
      <c r="S374" s="165"/>
      <c r="T374" s="165"/>
      <c r="U374" s="166"/>
      <c r="V374" s="167"/>
      <c r="W374" s="167"/>
      <c r="X374" s="167"/>
      <c r="Y374" s="167"/>
      <c r="Z374" s="167"/>
      <c r="AA374" s="167"/>
    </row>
    <row r="375" spans="18:27">
      <c r="R375" s="164"/>
      <c r="S375" s="165"/>
      <c r="T375" s="165"/>
      <c r="U375" s="166"/>
      <c r="V375" s="167"/>
      <c r="W375" s="167"/>
      <c r="X375" s="167"/>
      <c r="Y375" s="167"/>
      <c r="Z375" s="167"/>
      <c r="AA375" s="167"/>
    </row>
    <row r="376" spans="18:27">
      <c r="R376" s="164"/>
      <c r="S376" s="165"/>
      <c r="T376" s="165"/>
      <c r="U376" s="166"/>
      <c r="V376" s="167"/>
      <c r="W376" s="167"/>
      <c r="X376" s="167"/>
      <c r="Y376" s="167"/>
      <c r="Z376" s="167"/>
      <c r="AA376" s="167"/>
    </row>
    <row r="377" spans="18:27">
      <c r="R377" s="164"/>
      <c r="S377" s="165"/>
      <c r="T377" s="165"/>
      <c r="U377" s="166"/>
      <c r="V377" s="167"/>
      <c r="W377" s="167"/>
      <c r="X377" s="167"/>
      <c r="Y377" s="167"/>
      <c r="Z377" s="167"/>
      <c r="AA377" s="167"/>
    </row>
    <row r="378" spans="18:27">
      <c r="R378" s="164"/>
      <c r="S378" s="165"/>
      <c r="T378" s="165"/>
      <c r="U378" s="166"/>
      <c r="V378" s="167"/>
      <c r="W378" s="167"/>
      <c r="X378" s="167"/>
      <c r="Y378" s="167"/>
      <c r="Z378" s="167"/>
      <c r="AA378" s="167"/>
    </row>
    <row r="379" spans="18:27">
      <c r="R379" s="164"/>
      <c r="S379" s="165"/>
      <c r="T379" s="165"/>
      <c r="U379" s="166"/>
      <c r="V379" s="167"/>
      <c r="W379" s="167"/>
      <c r="X379" s="167"/>
      <c r="Y379" s="167"/>
      <c r="Z379" s="167"/>
      <c r="AA379" s="167"/>
    </row>
    <row r="380" spans="18:27">
      <c r="R380" s="164"/>
      <c r="S380" s="165"/>
      <c r="T380" s="165"/>
      <c r="U380" s="166"/>
      <c r="V380" s="167"/>
      <c r="W380" s="167"/>
      <c r="X380" s="167"/>
      <c r="Y380" s="167"/>
      <c r="Z380" s="167"/>
      <c r="AA380" s="167"/>
    </row>
    <row r="381" spans="18:27">
      <c r="R381" s="164"/>
      <c r="S381" s="165"/>
      <c r="T381" s="165"/>
      <c r="U381" s="166"/>
      <c r="V381" s="168"/>
      <c r="W381" s="168"/>
      <c r="X381" s="168"/>
      <c r="Y381" s="168"/>
      <c r="Z381" s="168"/>
      <c r="AA381" s="168"/>
    </row>
    <row r="382" spans="18:27">
      <c r="R382" s="164"/>
      <c r="S382" s="165"/>
      <c r="T382" s="165"/>
      <c r="U382" s="166"/>
      <c r="V382" s="167"/>
      <c r="W382" s="167"/>
      <c r="X382" s="167"/>
      <c r="Y382" s="167"/>
      <c r="Z382" s="167"/>
      <c r="AA382" s="167"/>
    </row>
    <row r="383" spans="18:27">
      <c r="R383" s="164"/>
      <c r="S383" s="165"/>
      <c r="T383" s="165"/>
      <c r="U383" s="166"/>
      <c r="V383" s="167"/>
      <c r="W383" s="167"/>
      <c r="X383" s="167"/>
      <c r="Y383" s="167"/>
      <c r="Z383" s="167"/>
      <c r="AA383" s="167"/>
    </row>
    <row r="384" spans="18:27">
      <c r="R384" s="164"/>
      <c r="S384" s="165"/>
      <c r="T384" s="165"/>
      <c r="U384" s="166"/>
      <c r="V384" s="167"/>
      <c r="W384" s="167"/>
      <c r="X384" s="167"/>
      <c r="Y384" s="167"/>
      <c r="Z384" s="167"/>
      <c r="AA384" s="167"/>
    </row>
    <row r="385" spans="18:27">
      <c r="R385" s="164"/>
      <c r="S385" s="165"/>
      <c r="T385" s="165"/>
      <c r="U385" s="166"/>
      <c r="V385" s="168"/>
      <c r="W385" s="168"/>
      <c r="X385" s="168"/>
      <c r="Y385" s="168"/>
      <c r="Z385" s="168"/>
      <c r="AA385" s="168"/>
    </row>
    <row r="386" spans="18:27">
      <c r="R386" s="169"/>
      <c r="S386" s="165"/>
      <c r="T386" s="165"/>
      <c r="U386" s="166"/>
      <c r="V386" s="167"/>
      <c r="W386" s="167"/>
      <c r="X386" s="167"/>
      <c r="Y386" s="167"/>
      <c r="Z386" s="167"/>
      <c r="AA386" s="167"/>
    </row>
    <row r="387" spans="18:27">
      <c r="R387" s="169"/>
      <c r="S387" s="165"/>
      <c r="T387" s="165"/>
      <c r="U387" s="166"/>
      <c r="V387" s="167"/>
      <c r="W387" s="167"/>
      <c r="X387" s="167"/>
      <c r="Y387" s="167"/>
      <c r="Z387" s="167"/>
      <c r="AA387" s="167"/>
    </row>
    <row r="388" spans="18:27">
      <c r="R388" s="169"/>
      <c r="S388" s="165"/>
      <c r="T388" s="165"/>
      <c r="U388" s="166"/>
      <c r="V388" s="167"/>
      <c r="W388" s="167"/>
      <c r="X388" s="167"/>
      <c r="Y388" s="167"/>
      <c r="Z388" s="167"/>
      <c r="AA388" s="167"/>
    </row>
    <row r="389" spans="18:27">
      <c r="R389" s="169"/>
      <c r="S389" s="165"/>
      <c r="T389" s="165"/>
      <c r="U389" s="166"/>
      <c r="V389" s="168"/>
      <c r="W389" s="168"/>
      <c r="X389" s="168"/>
      <c r="Y389" s="168"/>
      <c r="Z389" s="168"/>
      <c r="AA389" s="168"/>
    </row>
    <row r="390" spans="18:27">
      <c r="R390" s="164"/>
      <c r="S390" s="165"/>
      <c r="T390" s="165"/>
      <c r="U390" s="166"/>
      <c r="V390" s="167"/>
      <c r="W390" s="167"/>
      <c r="X390" s="167"/>
      <c r="Y390" s="167"/>
      <c r="Z390" s="167"/>
      <c r="AA390" s="167"/>
    </row>
    <row r="391" spans="18:27">
      <c r="R391" s="164"/>
      <c r="S391" s="165"/>
      <c r="T391" s="165"/>
      <c r="U391" s="166"/>
      <c r="V391" s="167"/>
      <c r="W391" s="167"/>
      <c r="X391" s="167"/>
      <c r="Y391" s="167"/>
      <c r="Z391" s="167"/>
      <c r="AA391" s="167"/>
    </row>
    <row r="392" spans="18:27">
      <c r="R392" s="164"/>
      <c r="S392" s="165"/>
      <c r="T392" s="165"/>
      <c r="U392" s="166"/>
      <c r="V392" s="167"/>
      <c r="W392" s="167"/>
      <c r="X392" s="167"/>
      <c r="Y392" s="167"/>
      <c r="Z392" s="167"/>
      <c r="AA392" s="167"/>
    </row>
    <row r="393" spans="18:27">
      <c r="R393" s="164"/>
      <c r="S393" s="165"/>
      <c r="T393" s="165"/>
      <c r="U393" s="166"/>
      <c r="V393" s="167"/>
      <c r="W393" s="167"/>
      <c r="X393" s="167"/>
      <c r="Y393" s="167"/>
      <c r="Z393" s="167"/>
      <c r="AA393" s="167"/>
    </row>
    <row r="394" spans="18:27">
      <c r="R394" s="164"/>
      <c r="S394" s="165"/>
      <c r="T394" s="165"/>
      <c r="U394" s="166"/>
      <c r="V394" s="167"/>
      <c r="W394" s="167"/>
      <c r="X394" s="167"/>
      <c r="Y394" s="167"/>
      <c r="Z394" s="167"/>
      <c r="AA394" s="167"/>
    </row>
    <row r="395" spans="18:27">
      <c r="R395" s="164"/>
      <c r="S395" s="165"/>
      <c r="T395" s="165"/>
      <c r="U395" s="166"/>
      <c r="V395" s="167"/>
      <c r="W395" s="167"/>
      <c r="X395" s="167"/>
      <c r="Y395" s="167"/>
      <c r="Z395" s="167"/>
      <c r="AA395" s="167"/>
    </row>
    <row r="396" spans="18:27">
      <c r="R396" s="164"/>
      <c r="S396" s="165"/>
      <c r="T396" s="165"/>
      <c r="U396" s="166"/>
      <c r="V396" s="167"/>
      <c r="W396" s="167"/>
      <c r="X396" s="167"/>
      <c r="Y396" s="167"/>
      <c r="Z396" s="167"/>
      <c r="AA396" s="167"/>
    </row>
    <row r="397" spans="18:27">
      <c r="R397" s="164"/>
      <c r="S397" s="165"/>
      <c r="T397" s="165"/>
      <c r="U397" s="166"/>
      <c r="V397" s="167"/>
      <c r="W397" s="167"/>
      <c r="X397" s="167"/>
      <c r="Y397" s="167"/>
      <c r="Z397" s="167"/>
      <c r="AA397" s="167"/>
    </row>
    <row r="398" spans="18:27">
      <c r="R398" s="164"/>
      <c r="S398" s="165"/>
      <c r="T398" s="165"/>
      <c r="U398" s="166"/>
      <c r="V398" s="167"/>
      <c r="W398" s="167"/>
      <c r="X398" s="167"/>
      <c r="Y398" s="167"/>
      <c r="Z398" s="167"/>
      <c r="AA398" s="167"/>
    </row>
    <row r="399" spans="18:27">
      <c r="R399" s="164"/>
      <c r="S399" s="165"/>
      <c r="T399" s="165"/>
      <c r="U399" s="166"/>
      <c r="V399" s="167"/>
      <c r="W399" s="167"/>
      <c r="X399" s="167"/>
      <c r="Y399" s="167"/>
      <c r="Z399" s="167"/>
      <c r="AA399" s="167"/>
    </row>
    <row r="400" spans="18:27">
      <c r="R400" s="164"/>
      <c r="S400" s="165"/>
      <c r="T400" s="165"/>
      <c r="U400" s="166"/>
      <c r="V400" s="167"/>
      <c r="W400" s="167"/>
      <c r="X400" s="167"/>
      <c r="Y400" s="167"/>
      <c r="Z400" s="167"/>
      <c r="AA400" s="167"/>
    </row>
    <row r="401" spans="18:27">
      <c r="R401" s="164"/>
      <c r="S401" s="165"/>
      <c r="T401" s="165"/>
      <c r="U401" s="166"/>
      <c r="V401" s="167"/>
      <c r="W401" s="167"/>
      <c r="X401" s="167"/>
      <c r="Y401" s="167"/>
      <c r="Z401" s="167"/>
      <c r="AA401" s="167"/>
    </row>
    <row r="402" spans="18:27">
      <c r="R402" s="164"/>
      <c r="S402" s="165"/>
      <c r="T402" s="165"/>
      <c r="U402" s="166"/>
      <c r="V402" s="167"/>
      <c r="W402" s="167"/>
      <c r="X402" s="167"/>
      <c r="Y402" s="167"/>
      <c r="Z402" s="167"/>
      <c r="AA402" s="167"/>
    </row>
    <row r="403" spans="18:27">
      <c r="R403" s="164"/>
      <c r="S403" s="165"/>
      <c r="T403" s="165"/>
      <c r="U403" s="166"/>
      <c r="V403" s="167"/>
      <c r="W403" s="167"/>
      <c r="X403" s="167"/>
      <c r="Y403" s="167"/>
      <c r="Z403" s="167"/>
      <c r="AA403" s="167"/>
    </row>
    <row r="404" spans="18:27">
      <c r="R404" s="164"/>
      <c r="S404" s="165"/>
      <c r="T404" s="165"/>
      <c r="U404" s="166"/>
      <c r="V404" s="167"/>
      <c r="W404" s="167"/>
      <c r="X404" s="167"/>
      <c r="Y404" s="167"/>
      <c r="Z404" s="167"/>
      <c r="AA404" s="167"/>
    </row>
    <row r="405" spans="18:27">
      <c r="R405" s="164"/>
      <c r="S405" s="165"/>
      <c r="T405" s="165"/>
      <c r="U405" s="166"/>
      <c r="V405" s="167"/>
      <c r="W405" s="167"/>
      <c r="X405" s="167"/>
      <c r="Y405" s="167"/>
      <c r="Z405" s="167"/>
      <c r="AA405" s="167"/>
    </row>
    <row r="406" spans="18:27">
      <c r="R406" s="164"/>
      <c r="S406" s="165"/>
      <c r="T406" s="165"/>
      <c r="U406" s="166"/>
      <c r="V406" s="167"/>
      <c r="W406" s="167"/>
      <c r="X406" s="167"/>
      <c r="Y406" s="167"/>
      <c r="Z406" s="167"/>
      <c r="AA406" s="167"/>
    </row>
    <row r="407" spans="18:27">
      <c r="R407" s="164"/>
      <c r="S407" s="165"/>
      <c r="T407" s="165"/>
      <c r="U407" s="166"/>
      <c r="V407" s="167"/>
      <c r="W407" s="167"/>
      <c r="X407" s="167"/>
      <c r="Y407" s="167"/>
      <c r="Z407" s="167"/>
      <c r="AA407" s="167"/>
    </row>
    <row r="408" spans="18:27">
      <c r="R408" s="164"/>
      <c r="S408" s="165"/>
      <c r="T408" s="165"/>
      <c r="U408" s="166"/>
      <c r="V408" s="167"/>
      <c r="W408" s="167"/>
      <c r="X408" s="167"/>
      <c r="Y408" s="167"/>
      <c r="Z408" s="167"/>
      <c r="AA408" s="167"/>
    </row>
    <row r="409" spans="18:27">
      <c r="R409" s="164"/>
      <c r="S409" s="165"/>
      <c r="T409" s="165"/>
      <c r="U409" s="166"/>
      <c r="V409" s="167"/>
      <c r="W409" s="167"/>
      <c r="X409" s="167"/>
      <c r="Y409" s="167"/>
      <c r="Z409" s="167"/>
      <c r="AA409" s="167"/>
    </row>
    <row r="410" spans="18:27">
      <c r="R410" s="170"/>
      <c r="S410" s="25"/>
      <c r="T410" s="25"/>
      <c r="U410" s="171"/>
      <c r="V410" s="171"/>
      <c r="W410" s="171"/>
      <c r="X410" s="171"/>
      <c r="Y410" s="171"/>
      <c r="Z410" s="171"/>
      <c r="AA410" s="171"/>
    </row>
    <row r="411" spans="18:27">
      <c r="R411" s="25"/>
      <c r="S411" s="25"/>
      <c r="T411" s="25"/>
      <c r="U411" s="25"/>
      <c r="V411" s="25"/>
      <c r="W411" s="25"/>
      <c r="X411" s="25"/>
      <c r="Y411" s="25"/>
      <c r="Z411" s="25"/>
      <c r="AA411" s="25"/>
    </row>
    <row r="412" spans="18:27">
      <c r="R412" s="163"/>
      <c r="S412" s="163"/>
      <c r="T412" s="163"/>
      <c r="U412" s="163"/>
      <c r="V412" s="163"/>
      <c r="W412" s="163"/>
      <c r="X412" s="163"/>
      <c r="Y412" s="163"/>
      <c r="Z412" s="163"/>
      <c r="AA412" s="163"/>
    </row>
    <row r="413" spans="18:27">
      <c r="R413" s="164"/>
      <c r="S413" s="165"/>
      <c r="T413" s="165"/>
      <c r="U413" s="166"/>
      <c r="V413" s="167"/>
      <c r="W413" s="167"/>
      <c r="X413" s="167"/>
      <c r="Y413" s="167"/>
      <c r="Z413" s="167"/>
      <c r="AA413" s="167"/>
    </row>
    <row r="414" spans="18:27">
      <c r="R414" s="164"/>
      <c r="S414" s="165"/>
      <c r="T414" s="165"/>
      <c r="U414" s="166"/>
      <c r="V414" s="167"/>
      <c r="W414" s="167"/>
      <c r="X414" s="167"/>
      <c r="Y414" s="167"/>
      <c r="Z414" s="167"/>
      <c r="AA414" s="167"/>
    </row>
    <row r="415" spans="18:27">
      <c r="R415" s="164"/>
      <c r="S415" s="165"/>
      <c r="T415" s="165"/>
      <c r="U415" s="166"/>
      <c r="V415" s="167"/>
      <c r="W415" s="167"/>
      <c r="X415" s="167"/>
      <c r="Y415" s="167"/>
      <c r="Z415" s="167"/>
      <c r="AA415" s="167"/>
    </row>
    <row r="416" spans="18:27">
      <c r="R416" s="164"/>
      <c r="S416" s="165"/>
      <c r="T416" s="165"/>
      <c r="U416" s="166"/>
      <c r="V416" s="167"/>
      <c r="W416" s="167"/>
      <c r="X416" s="167"/>
      <c r="Y416" s="167"/>
      <c r="Z416" s="167"/>
      <c r="AA416" s="167"/>
    </row>
    <row r="417" spans="18:27">
      <c r="R417" s="164"/>
      <c r="S417" s="165"/>
      <c r="T417" s="165"/>
      <c r="U417" s="166"/>
      <c r="V417" s="167"/>
      <c r="W417" s="167"/>
      <c r="X417" s="167"/>
      <c r="Y417" s="167"/>
      <c r="Z417" s="167"/>
      <c r="AA417" s="167"/>
    </row>
    <row r="418" spans="18:27">
      <c r="R418" s="164"/>
      <c r="S418" s="165"/>
      <c r="T418" s="165"/>
      <c r="U418" s="166"/>
      <c r="V418" s="167"/>
      <c r="W418" s="167"/>
      <c r="X418" s="167"/>
      <c r="Y418" s="167"/>
      <c r="Z418" s="167"/>
      <c r="AA418" s="167"/>
    </row>
    <row r="419" spans="18:27">
      <c r="R419" s="164"/>
      <c r="S419" s="165"/>
      <c r="T419" s="165"/>
      <c r="U419" s="166"/>
      <c r="V419" s="167"/>
      <c r="W419" s="167"/>
      <c r="X419" s="167"/>
      <c r="Y419" s="167"/>
      <c r="Z419" s="167"/>
      <c r="AA419" s="167"/>
    </row>
    <row r="420" spans="18:27">
      <c r="R420" s="164"/>
      <c r="S420" s="165"/>
      <c r="T420" s="165"/>
      <c r="U420" s="166"/>
      <c r="V420" s="168"/>
      <c r="W420" s="168"/>
      <c r="X420" s="168"/>
      <c r="Y420" s="168"/>
      <c r="Z420" s="168"/>
      <c r="AA420" s="168"/>
    </row>
    <row r="421" spans="18:27">
      <c r="R421" s="164"/>
      <c r="S421" s="165"/>
      <c r="T421" s="165"/>
      <c r="U421" s="166"/>
      <c r="V421" s="167"/>
      <c r="W421" s="167"/>
      <c r="X421" s="167"/>
      <c r="Y421" s="167"/>
      <c r="Z421" s="167"/>
      <c r="AA421" s="167"/>
    </row>
    <row r="422" spans="18:27">
      <c r="R422" s="164"/>
      <c r="S422" s="165"/>
      <c r="T422" s="165"/>
      <c r="U422" s="166"/>
      <c r="V422" s="167"/>
      <c r="W422" s="167"/>
      <c r="X422" s="167"/>
      <c r="Y422" s="167"/>
      <c r="Z422" s="167"/>
      <c r="AA422" s="167"/>
    </row>
    <row r="423" spans="18:27">
      <c r="R423" s="164"/>
      <c r="S423" s="165"/>
      <c r="T423" s="165"/>
      <c r="U423" s="166"/>
      <c r="V423" s="167"/>
      <c r="W423" s="167"/>
      <c r="X423" s="167"/>
      <c r="Y423" s="167"/>
      <c r="Z423" s="167"/>
      <c r="AA423" s="167"/>
    </row>
    <row r="424" spans="18:27">
      <c r="R424" s="164"/>
      <c r="S424" s="165"/>
      <c r="T424" s="165"/>
      <c r="U424" s="166"/>
      <c r="V424" s="167"/>
      <c r="W424" s="167"/>
      <c r="X424" s="167"/>
      <c r="Y424" s="167"/>
      <c r="Z424" s="167"/>
      <c r="AA424" s="167"/>
    </row>
    <row r="425" spans="18:27">
      <c r="R425" s="164"/>
      <c r="S425" s="165"/>
      <c r="T425" s="165"/>
      <c r="U425" s="166"/>
      <c r="V425" s="167"/>
      <c r="W425" s="167"/>
      <c r="X425" s="167"/>
      <c r="Y425" s="167"/>
      <c r="Z425" s="167"/>
      <c r="AA425" s="167"/>
    </row>
    <row r="426" spans="18:27">
      <c r="R426" s="164"/>
      <c r="S426" s="165"/>
      <c r="T426" s="165"/>
      <c r="U426" s="166"/>
      <c r="V426" s="167"/>
      <c r="W426" s="167"/>
      <c r="X426" s="167"/>
      <c r="Y426" s="167"/>
      <c r="Z426" s="167"/>
      <c r="AA426" s="167"/>
    </row>
    <row r="427" spans="18:27">
      <c r="R427" s="164"/>
      <c r="S427" s="165"/>
      <c r="T427" s="165"/>
      <c r="U427" s="166"/>
      <c r="V427" s="167"/>
      <c r="W427" s="167"/>
      <c r="X427" s="167"/>
      <c r="Y427" s="167"/>
      <c r="Z427" s="167"/>
      <c r="AA427" s="167"/>
    </row>
    <row r="428" spans="18:27">
      <c r="R428" s="164"/>
      <c r="S428" s="165"/>
      <c r="T428" s="165"/>
      <c r="U428" s="166"/>
      <c r="V428" s="168"/>
      <c r="W428" s="168"/>
      <c r="X428" s="168"/>
      <c r="Y428" s="168"/>
      <c r="Z428" s="168"/>
      <c r="AA428" s="168"/>
    </row>
    <row r="429" spans="18:27">
      <c r="R429" s="164"/>
      <c r="S429" s="165"/>
      <c r="T429" s="165"/>
      <c r="U429" s="166"/>
      <c r="V429" s="167"/>
      <c r="W429" s="167"/>
      <c r="X429" s="167"/>
      <c r="Y429" s="167"/>
      <c r="Z429" s="167"/>
      <c r="AA429" s="167"/>
    </row>
    <row r="430" spans="18:27">
      <c r="R430" s="164"/>
      <c r="S430" s="165"/>
      <c r="T430" s="165"/>
      <c r="U430" s="166"/>
      <c r="V430" s="167"/>
      <c r="W430" s="167"/>
      <c r="X430" s="167"/>
      <c r="Y430" s="167"/>
      <c r="Z430" s="167"/>
      <c r="AA430" s="167"/>
    </row>
    <row r="431" spans="18:27">
      <c r="R431" s="164"/>
      <c r="S431" s="165"/>
      <c r="T431" s="165"/>
      <c r="U431" s="166"/>
      <c r="V431" s="167"/>
      <c r="W431" s="167"/>
      <c r="X431" s="167"/>
      <c r="Y431" s="167"/>
      <c r="Z431" s="167"/>
      <c r="AA431" s="167"/>
    </row>
    <row r="432" spans="18:27">
      <c r="R432" s="164"/>
      <c r="S432" s="165"/>
      <c r="T432" s="165"/>
      <c r="U432" s="166"/>
      <c r="V432" s="167"/>
      <c r="W432" s="167"/>
      <c r="X432" s="167"/>
      <c r="Y432" s="167"/>
      <c r="Z432" s="167"/>
      <c r="AA432" s="167"/>
    </row>
    <row r="433" spans="18:27">
      <c r="R433" s="164"/>
      <c r="S433" s="165"/>
      <c r="T433" s="165"/>
      <c r="U433" s="166"/>
      <c r="V433" s="167"/>
      <c r="W433" s="167"/>
      <c r="X433" s="167"/>
      <c r="Y433" s="167"/>
      <c r="Z433" s="167"/>
      <c r="AA433" s="167"/>
    </row>
    <row r="434" spans="18:27">
      <c r="R434" s="164"/>
      <c r="S434" s="165"/>
      <c r="T434" s="165"/>
      <c r="U434" s="166"/>
      <c r="V434" s="167"/>
      <c r="W434" s="167"/>
      <c r="X434" s="167"/>
      <c r="Y434" s="167"/>
      <c r="Z434" s="167"/>
      <c r="AA434" s="167"/>
    </row>
    <row r="435" spans="18:27">
      <c r="R435" s="164"/>
      <c r="S435" s="165"/>
      <c r="T435" s="165"/>
      <c r="U435" s="166"/>
      <c r="V435" s="167"/>
      <c r="W435" s="167"/>
      <c r="X435" s="167"/>
      <c r="Y435" s="167"/>
      <c r="Z435" s="167"/>
      <c r="AA435" s="167"/>
    </row>
    <row r="436" spans="18:27">
      <c r="R436" s="164"/>
      <c r="S436" s="165"/>
      <c r="T436" s="165"/>
      <c r="U436" s="166"/>
      <c r="V436" s="168"/>
      <c r="W436" s="168"/>
      <c r="X436" s="168"/>
      <c r="Y436" s="168"/>
      <c r="Z436" s="168"/>
      <c r="AA436" s="168"/>
    </row>
    <row r="437" spans="18:27">
      <c r="R437" s="164"/>
      <c r="S437" s="165"/>
      <c r="T437" s="165"/>
      <c r="U437" s="166"/>
      <c r="V437" s="167"/>
      <c r="W437" s="167"/>
      <c r="X437" s="167"/>
      <c r="Y437" s="167"/>
      <c r="Z437" s="167"/>
      <c r="AA437" s="167"/>
    </row>
    <row r="438" spans="18:27">
      <c r="R438" s="164"/>
      <c r="S438" s="165"/>
      <c r="T438" s="165"/>
      <c r="U438" s="166"/>
      <c r="V438" s="167"/>
      <c r="W438" s="167"/>
      <c r="X438" s="167"/>
      <c r="Y438" s="167"/>
      <c r="Z438" s="167"/>
      <c r="AA438" s="167"/>
    </row>
    <row r="439" spans="18:27">
      <c r="R439" s="164"/>
      <c r="S439" s="165"/>
      <c r="T439" s="165"/>
      <c r="U439" s="166"/>
      <c r="V439" s="167"/>
      <c r="W439" s="167"/>
      <c r="X439" s="167"/>
      <c r="Y439" s="167"/>
      <c r="Z439" s="167"/>
      <c r="AA439" s="167"/>
    </row>
    <row r="440" spans="18:27">
      <c r="R440" s="164"/>
      <c r="S440" s="165"/>
      <c r="T440" s="165"/>
      <c r="U440" s="166"/>
      <c r="V440" s="167"/>
      <c r="W440" s="167"/>
      <c r="X440" s="167"/>
      <c r="Y440" s="167"/>
      <c r="Z440" s="167"/>
      <c r="AA440" s="167"/>
    </row>
    <row r="441" spans="18:27">
      <c r="R441" s="164"/>
      <c r="S441" s="165"/>
      <c r="T441" s="165"/>
      <c r="U441" s="166"/>
      <c r="V441" s="167"/>
      <c r="W441" s="167"/>
      <c r="X441" s="167"/>
      <c r="Y441" s="167"/>
      <c r="Z441" s="167"/>
      <c r="AA441" s="167"/>
    </row>
    <row r="442" spans="18:27">
      <c r="R442" s="164"/>
      <c r="S442" s="165"/>
      <c r="T442" s="165"/>
      <c r="U442" s="166"/>
      <c r="V442" s="167"/>
      <c r="W442" s="167"/>
      <c r="X442" s="167"/>
      <c r="Y442" s="167"/>
      <c r="Z442" s="167"/>
      <c r="AA442" s="167"/>
    </row>
    <row r="443" spans="18:27">
      <c r="R443" s="164"/>
      <c r="S443" s="165"/>
      <c r="T443" s="165"/>
      <c r="U443" s="166"/>
      <c r="V443" s="167"/>
      <c r="W443" s="167"/>
      <c r="X443" s="167"/>
      <c r="Y443" s="167"/>
      <c r="Z443" s="167"/>
      <c r="AA443" s="167"/>
    </row>
    <row r="444" spans="18:27">
      <c r="R444" s="164"/>
      <c r="S444" s="165"/>
      <c r="T444" s="165"/>
      <c r="U444" s="166"/>
      <c r="V444" s="168"/>
      <c r="W444" s="168"/>
      <c r="X444" s="168"/>
      <c r="Y444" s="168"/>
      <c r="Z444" s="168"/>
      <c r="AA444" s="168"/>
    </row>
    <row r="445" spans="18:27">
      <c r="R445" s="164"/>
      <c r="S445" s="165"/>
      <c r="T445" s="165"/>
      <c r="U445" s="166"/>
      <c r="V445" s="167"/>
      <c r="W445" s="167"/>
      <c r="X445" s="167"/>
      <c r="Y445" s="167"/>
      <c r="Z445" s="167"/>
      <c r="AA445" s="167"/>
    </row>
    <row r="446" spans="18:27">
      <c r="R446" s="164"/>
      <c r="S446" s="165"/>
      <c r="T446" s="165"/>
      <c r="U446" s="166"/>
      <c r="V446" s="167"/>
      <c r="W446" s="167"/>
      <c r="X446" s="167"/>
      <c r="Y446" s="167"/>
      <c r="Z446" s="167"/>
      <c r="AA446" s="167"/>
    </row>
    <row r="447" spans="18:27">
      <c r="R447" s="164"/>
      <c r="S447" s="165"/>
      <c r="T447" s="165"/>
      <c r="U447" s="166"/>
      <c r="V447" s="167"/>
      <c r="W447" s="167"/>
      <c r="X447" s="167"/>
      <c r="Y447" s="167"/>
      <c r="Z447" s="167"/>
      <c r="AA447" s="167"/>
    </row>
    <row r="448" spans="18:27">
      <c r="R448" s="164"/>
      <c r="S448" s="165"/>
      <c r="T448" s="165"/>
      <c r="U448" s="166"/>
      <c r="V448" s="168"/>
      <c r="W448" s="168"/>
      <c r="X448" s="168"/>
      <c r="Y448" s="168"/>
      <c r="Z448" s="168"/>
      <c r="AA448" s="168"/>
    </row>
    <row r="449" spans="18:27">
      <c r="R449" s="164"/>
      <c r="S449" s="165"/>
      <c r="T449" s="165"/>
      <c r="U449" s="166"/>
      <c r="V449" s="167"/>
      <c r="W449" s="167"/>
      <c r="X449" s="167"/>
      <c r="Y449" s="167"/>
      <c r="Z449" s="167"/>
      <c r="AA449" s="167"/>
    </row>
    <row r="450" spans="18:27">
      <c r="R450" s="164"/>
      <c r="S450" s="165"/>
      <c r="T450" s="165"/>
      <c r="U450" s="166"/>
      <c r="V450" s="167"/>
      <c r="W450" s="167"/>
      <c r="X450" s="167"/>
      <c r="Y450" s="167"/>
      <c r="Z450" s="167"/>
      <c r="AA450" s="167"/>
    </row>
    <row r="451" spans="18:27">
      <c r="R451" s="164"/>
      <c r="S451" s="165"/>
      <c r="T451" s="165"/>
      <c r="U451" s="166"/>
      <c r="V451" s="167"/>
      <c r="W451" s="167"/>
      <c r="X451" s="167"/>
      <c r="Y451" s="167"/>
      <c r="Z451" s="167"/>
      <c r="AA451" s="167"/>
    </row>
    <row r="452" spans="18:27">
      <c r="R452" s="164"/>
      <c r="S452" s="165"/>
      <c r="T452" s="165"/>
      <c r="U452" s="166"/>
      <c r="V452" s="168"/>
      <c r="W452" s="168"/>
      <c r="X452" s="168"/>
      <c r="Y452" s="168"/>
      <c r="Z452" s="168"/>
      <c r="AA452" s="168"/>
    </row>
    <row r="453" spans="18:27">
      <c r="R453" s="164"/>
      <c r="S453" s="165"/>
      <c r="T453" s="165"/>
      <c r="U453" s="166"/>
      <c r="V453" s="167"/>
      <c r="W453" s="167"/>
      <c r="X453" s="167"/>
      <c r="Y453" s="167"/>
      <c r="Z453" s="167"/>
      <c r="AA453" s="167"/>
    </row>
    <row r="454" spans="18:27">
      <c r="R454" s="164"/>
      <c r="S454" s="165"/>
      <c r="T454" s="165"/>
      <c r="U454" s="166"/>
      <c r="V454" s="167"/>
      <c r="W454" s="167"/>
      <c r="X454" s="167"/>
      <c r="Y454" s="167"/>
      <c r="Z454" s="167"/>
      <c r="AA454" s="167"/>
    </row>
    <row r="455" spans="18:27">
      <c r="R455" s="164"/>
      <c r="S455" s="165"/>
      <c r="T455" s="165"/>
      <c r="U455" s="166"/>
      <c r="V455" s="167"/>
      <c r="W455" s="167"/>
      <c r="X455" s="167"/>
      <c r="Y455" s="167"/>
      <c r="Z455" s="167"/>
      <c r="AA455" s="167"/>
    </row>
    <row r="456" spans="18:27">
      <c r="R456" s="164"/>
      <c r="S456" s="165"/>
      <c r="T456" s="165"/>
      <c r="U456" s="166"/>
      <c r="V456" s="168"/>
      <c r="W456" s="168"/>
      <c r="X456" s="168"/>
      <c r="Y456" s="168"/>
      <c r="Z456" s="168"/>
      <c r="AA456" s="168"/>
    </row>
    <row r="457" spans="18:27">
      <c r="R457" s="164"/>
      <c r="S457" s="165"/>
      <c r="T457" s="165"/>
      <c r="U457" s="166"/>
      <c r="V457" s="167"/>
      <c r="W457" s="167"/>
      <c r="X457" s="167"/>
      <c r="Y457" s="167"/>
      <c r="Z457" s="167"/>
      <c r="AA457" s="167"/>
    </row>
    <row r="458" spans="18:27">
      <c r="R458" s="164"/>
      <c r="S458" s="165"/>
      <c r="T458" s="165"/>
      <c r="U458" s="166"/>
      <c r="V458" s="167"/>
      <c r="W458" s="167"/>
      <c r="X458" s="167"/>
      <c r="Y458" s="167"/>
      <c r="Z458" s="167"/>
      <c r="AA458" s="167"/>
    </row>
    <row r="459" spans="18:27">
      <c r="R459" s="164"/>
      <c r="S459" s="165"/>
      <c r="T459" s="165"/>
      <c r="U459" s="166"/>
      <c r="V459" s="167"/>
      <c r="W459" s="167"/>
      <c r="X459" s="167"/>
      <c r="Y459" s="167"/>
      <c r="Z459" s="167"/>
      <c r="AA459" s="167"/>
    </row>
    <row r="460" spans="18:27">
      <c r="R460" s="164"/>
      <c r="S460" s="165"/>
      <c r="T460" s="165"/>
      <c r="U460" s="166"/>
      <c r="V460" s="167"/>
      <c r="W460" s="167"/>
      <c r="X460" s="167"/>
      <c r="Y460" s="167"/>
      <c r="Z460" s="167"/>
      <c r="AA460" s="167"/>
    </row>
    <row r="461" spans="18:27">
      <c r="R461" s="164"/>
      <c r="S461" s="165"/>
      <c r="T461" s="165"/>
      <c r="U461" s="166"/>
      <c r="V461" s="167"/>
      <c r="W461" s="167"/>
      <c r="X461" s="167"/>
      <c r="Y461" s="167"/>
      <c r="Z461" s="167"/>
      <c r="AA461" s="167"/>
    </row>
    <row r="462" spans="18:27">
      <c r="R462" s="164"/>
      <c r="S462" s="165"/>
      <c r="T462" s="165"/>
      <c r="U462" s="166"/>
      <c r="V462" s="167"/>
      <c r="W462" s="167"/>
      <c r="X462" s="167"/>
      <c r="Y462" s="167"/>
      <c r="Z462" s="167"/>
      <c r="AA462" s="167"/>
    </row>
    <row r="463" spans="18:27">
      <c r="R463" s="164"/>
      <c r="S463" s="165"/>
      <c r="T463" s="165"/>
      <c r="U463" s="166"/>
      <c r="V463" s="167"/>
      <c r="W463" s="167"/>
      <c r="X463" s="167"/>
      <c r="Y463" s="167"/>
      <c r="Z463" s="167"/>
      <c r="AA463" s="167"/>
    </row>
    <row r="464" spans="18:27">
      <c r="R464" s="164"/>
      <c r="S464" s="165"/>
      <c r="T464" s="165"/>
      <c r="U464" s="166"/>
      <c r="V464" s="167"/>
      <c r="W464" s="167"/>
      <c r="X464" s="167"/>
      <c r="Y464" s="167"/>
      <c r="Z464" s="167"/>
      <c r="AA464" s="167"/>
    </row>
    <row r="465" spans="18:27">
      <c r="R465" s="164"/>
      <c r="S465" s="165"/>
      <c r="T465" s="165"/>
      <c r="U465" s="166"/>
      <c r="V465" s="167"/>
      <c r="W465" s="167"/>
      <c r="X465" s="167"/>
      <c r="Y465" s="167"/>
      <c r="Z465" s="167"/>
      <c r="AA465" s="167"/>
    </row>
    <row r="466" spans="18:27">
      <c r="R466" s="164"/>
      <c r="S466" s="165"/>
      <c r="T466" s="165"/>
      <c r="U466" s="166"/>
      <c r="V466" s="167"/>
      <c r="W466" s="167"/>
      <c r="X466" s="167"/>
      <c r="Y466" s="167"/>
      <c r="Z466" s="167"/>
      <c r="AA466" s="167"/>
    </row>
    <row r="467" spans="18:27">
      <c r="R467" s="164"/>
      <c r="S467" s="165"/>
      <c r="T467" s="165"/>
      <c r="U467" s="166"/>
      <c r="V467" s="167"/>
      <c r="W467" s="167"/>
      <c r="X467" s="167"/>
      <c r="Y467" s="167"/>
      <c r="Z467" s="167"/>
      <c r="AA467" s="167"/>
    </row>
    <row r="468" spans="18:27">
      <c r="R468" s="164"/>
      <c r="S468" s="165"/>
      <c r="T468" s="165"/>
      <c r="U468" s="166"/>
      <c r="V468" s="168"/>
      <c r="W468" s="168"/>
      <c r="X468" s="168"/>
      <c r="Y468" s="168"/>
      <c r="Z468" s="168"/>
      <c r="AA468" s="168"/>
    </row>
    <row r="469" spans="18:27">
      <c r="R469" s="164"/>
      <c r="S469" s="165"/>
      <c r="T469" s="165"/>
      <c r="U469" s="166"/>
      <c r="V469" s="167"/>
      <c r="W469" s="167"/>
      <c r="X469" s="167"/>
      <c r="Y469" s="167"/>
      <c r="Z469" s="167"/>
      <c r="AA469" s="167"/>
    </row>
    <row r="470" spans="18:27">
      <c r="R470" s="164"/>
      <c r="S470" s="165"/>
      <c r="T470" s="165"/>
      <c r="U470" s="166"/>
      <c r="V470" s="167"/>
      <c r="W470" s="167"/>
      <c r="X470" s="167"/>
      <c r="Y470" s="167"/>
      <c r="Z470" s="167"/>
      <c r="AA470" s="167"/>
    </row>
    <row r="471" spans="18:27">
      <c r="R471" s="164"/>
      <c r="S471" s="165"/>
      <c r="T471" s="165"/>
      <c r="U471" s="166"/>
      <c r="V471" s="167"/>
      <c r="W471" s="167"/>
      <c r="X471" s="167"/>
      <c r="Y471" s="167"/>
      <c r="Z471" s="167"/>
      <c r="AA471" s="167"/>
    </row>
    <row r="472" spans="18:27">
      <c r="R472" s="164"/>
      <c r="S472" s="165"/>
      <c r="T472" s="165"/>
      <c r="U472" s="166"/>
      <c r="V472" s="167"/>
      <c r="W472" s="167"/>
      <c r="X472" s="167"/>
      <c r="Y472" s="167"/>
      <c r="Z472" s="167"/>
      <c r="AA472" s="167"/>
    </row>
    <row r="473" spans="18:27">
      <c r="R473" s="164"/>
      <c r="S473" s="165"/>
      <c r="T473" s="165"/>
      <c r="U473" s="166"/>
      <c r="V473" s="167"/>
      <c r="W473" s="167"/>
      <c r="X473" s="167"/>
      <c r="Y473" s="167"/>
      <c r="Z473" s="167"/>
      <c r="AA473" s="167"/>
    </row>
    <row r="474" spans="18:27">
      <c r="R474" s="164"/>
      <c r="S474" s="165"/>
      <c r="T474" s="165"/>
      <c r="U474" s="166"/>
      <c r="V474" s="167"/>
      <c r="W474" s="167"/>
      <c r="X474" s="167"/>
      <c r="Y474" s="167"/>
      <c r="Z474" s="167"/>
      <c r="AA474" s="167"/>
    </row>
    <row r="475" spans="18:27">
      <c r="R475" s="164"/>
      <c r="S475" s="165"/>
      <c r="T475" s="165"/>
      <c r="U475" s="166"/>
      <c r="V475" s="167"/>
      <c r="W475" s="167"/>
      <c r="X475" s="167"/>
      <c r="Y475" s="167"/>
      <c r="Z475" s="167"/>
      <c r="AA475" s="167"/>
    </row>
    <row r="476" spans="18:27">
      <c r="R476" s="164"/>
      <c r="S476" s="165"/>
      <c r="T476" s="165"/>
      <c r="U476" s="166"/>
      <c r="V476" s="167"/>
      <c r="W476" s="167"/>
      <c r="X476" s="167"/>
      <c r="Y476" s="167"/>
      <c r="Z476" s="167"/>
      <c r="AA476" s="167"/>
    </row>
    <row r="477" spans="18:27">
      <c r="R477" s="164"/>
      <c r="S477" s="165"/>
      <c r="T477" s="165"/>
      <c r="U477" s="166"/>
      <c r="V477" s="167"/>
      <c r="W477" s="167"/>
      <c r="X477" s="167"/>
      <c r="Y477" s="167"/>
      <c r="Z477" s="167"/>
      <c r="AA477" s="167"/>
    </row>
    <row r="478" spans="18:27">
      <c r="R478" s="164"/>
      <c r="S478" s="165"/>
      <c r="T478" s="165"/>
      <c r="U478" s="166"/>
      <c r="V478" s="167"/>
      <c r="W478" s="167"/>
      <c r="X478" s="167"/>
      <c r="Y478" s="167"/>
      <c r="Z478" s="167"/>
      <c r="AA478" s="167"/>
    </row>
    <row r="479" spans="18:27">
      <c r="R479" s="164"/>
      <c r="S479" s="165"/>
      <c r="T479" s="165"/>
      <c r="U479" s="166"/>
      <c r="V479" s="167"/>
      <c r="W479" s="167"/>
      <c r="X479" s="167"/>
      <c r="Y479" s="167"/>
      <c r="Z479" s="167"/>
      <c r="AA479" s="167"/>
    </row>
    <row r="480" spans="18:27">
      <c r="R480" s="164"/>
      <c r="S480" s="165"/>
      <c r="T480" s="165"/>
      <c r="U480" s="166"/>
      <c r="V480" s="168"/>
      <c r="W480" s="168"/>
      <c r="X480" s="168"/>
      <c r="Y480" s="168"/>
      <c r="Z480" s="168"/>
      <c r="AA480" s="168"/>
    </row>
    <row r="481" spans="18:27">
      <c r="R481" s="164"/>
      <c r="S481" s="165"/>
      <c r="T481" s="165"/>
      <c r="U481" s="166"/>
      <c r="V481" s="167"/>
      <c r="W481" s="167"/>
      <c r="X481" s="167"/>
      <c r="Y481" s="167"/>
      <c r="Z481" s="167"/>
      <c r="AA481" s="167"/>
    </row>
    <row r="482" spans="18:27">
      <c r="R482" s="164"/>
      <c r="S482" s="165"/>
      <c r="T482" s="165"/>
      <c r="U482" s="166"/>
      <c r="V482" s="167"/>
      <c r="W482" s="167"/>
      <c r="X482" s="167"/>
      <c r="Y482" s="167"/>
      <c r="Z482" s="167"/>
      <c r="AA482" s="167"/>
    </row>
    <row r="483" spans="18:27">
      <c r="R483" s="164"/>
      <c r="S483" s="165"/>
      <c r="T483" s="165"/>
      <c r="U483" s="166"/>
      <c r="V483" s="167"/>
      <c r="W483" s="167"/>
      <c r="X483" s="167"/>
      <c r="Y483" s="167"/>
      <c r="Z483" s="167"/>
      <c r="AA483" s="167"/>
    </row>
    <row r="484" spans="18:27">
      <c r="R484" s="164"/>
      <c r="S484" s="165"/>
      <c r="T484" s="165"/>
      <c r="U484" s="166"/>
      <c r="V484" s="168"/>
      <c r="W484" s="168"/>
      <c r="X484" s="168"/>
      <c r="Y484" s="168"/>
      <c r="Z484" s="168"/>
      <c r="AA484" s="168"/>
    </row>
    <row r="485" spans="18:27">
      <c r="R485" s="169"/>
      <c r="S485" s="165"/>
      <c r="T485" s="165"/>
      <c r="U485" s="166"/>
      <c r="V485" s="167"/>
      <c r="W485" s="167"/>
      <c r="X485" s="167"/>
      <c r="Y485" s="167"/>
      <c r="Z485" s="167"/>
      <c r="AA485" s="167"/>
    </row>
    <row r="486" spans="18:27">
      <c r="R486" s="169"/>
      <c r="S486" s="165"/>
      <c r="T486" s="165"/>
      <c r="U486" s="166"/>
      <c r="V486" s="167"/>
      <c r="W486" s="167"/>
      <c r="X486" s="167"/>
      <c r="Y486" s="167"/>
      <c r="Z486" s="167"/>
      <c r="AA486" s="167"/>
    </row>
    <row r="487" spans="18:27">
      <c r="R487" s="169"/>
      <c r="S487" s="165"/>
      <c r="T487" s="165"/>
      <c r="U487" s="166"/>
      <c r="V487" s="167"/>
      <c r="W487" s="167"/>
      <c r="X487" s="167"/>
      <c r="Y487" s="167"/>
      <c r="Z487" s="167"/>
      <c r="AA487" s="167"/>
    </row>
    <row r="488" spans="18:27">
      <c r="R488" s="169"/>
      <c r="S488" s="165"/>
      <c r="T488" s="165"/>
      <c r="U488" s="166"/>
      <c r="V488" s="168"/>
      <c r="W488" s="168"/>
      <c r="X488" s="168"/>
      <c r="Y488" s="168"/>
      <c r="Z488" s="168"/>
      <c r="AA488" s="168"/>
    </row>
    <row r="489" spans="18:27">
      <c r="R489" s="164"/>
      <c r="S489" s="165"/>
      <c r="T489" s="165"/>
      <c r="U489" s="166"/>
      <c r="V489" s="167"/>
      <c r="W489" s="167"/>
      <c r="X489" s="167"/>
      <c r="Y489" s="167"/>
      <c r="Z489" s="167"/>
      <c r="AA489" s="167"/>
    </row>
    <row r="490" spans="18:27">
      <c r="R490" s="164"/>
      <c r="S490" s="165"/>
      <c r="T490" s="165"/>
      <c r="U490" s="166"/>
      <c r="V490" s="167"/>
      <c r="W490" s="167"/>
      <c r="X490" s="167"/>
      <c r="Y490" s="167"/>
      <c r="Z490" s="167"/>
      <c r="AA490" s="167"/>
    </row>
    <row r="491" spans="18:27">
      <c r="R491" s="164"/>
      <c r="S491" s="165"/>
      <c r="T491" s="165"/>
      <c r="U491" s="166"/>
      <c r="V491" s="167"/>
      <c r="W491" s="167"/>
      <c r="X491" s="167"/>
      <c r="Y491" s="167"/>
      <c r="Z491" s="167"/>
      <c r="AA491" s="167"/>
    </row>
    <row r="492" spans="18:27">
      <c r="R492" s="164"/>
      <c r="S492" s="165"/>
      <c r="T492" s="165"/>
      <c r="U492" s="166"/>
      <c r="V492" s="167"/>
      <c r="W492" s="167"/>
      <c r="X492" s="167"/>
      <c r="Y492" s="167"/>
      <c r="Z492" s="167"/>
      <c r="AA492" s="167"/>
    </row>
    <row r="493" spans="18:27">
      <c r="R493" s="164"/>
      <c r="S493" s="165"/>
      <c r="T493" s="165"/>
      <c r="U493" s="166"/>
      <c r="V493" s="167"/>
      <c r="W493" s="167"/>
      <c r="X493" s="167"/>
      <c r="Y493" s="167"/>
      <c r="Z493" s="167"/>
      <c r="AA493" s="167"/>
    </row>
    <row r="494" spans="18:27">
      <c r="R494" s="164"/>
      <c r="S494" s="165"/>
      <c r="T494" s="165"/>
      <c r="U494" s="166"/>
      <c r="V494" s="167"/>
      <c r="W494" s="167"/>
      <c r="X494" s="167"/>
      <c r="Y494" s="167"/>
      <c r="Z494" s="167"/>
      <c r="AA494" s="167"/>
    </row>
    <row r="495" spans="18:27">
      <c r="R495" s="164"/>
      <c r="S495" s="165"/>
      <c r="T495" s="165"/>
      <c r="U495" s="166"/>
      <c r="V495" s="167"/>
      <c r="W495" s="167"/>
      <c r="X495" s="167"/>
      <c r="Y495" s="167"/>
      <c r="Z495" s="167"/>
      <c r="AA495" s="167"/>
    </row>
    <row r="496" spans="18:27">
      <c r="R496" s="164"/>
      <c r="S496" s="165"/>
      <c r="T496" s="165"/>
      <c r="U496" s="166"/>
      <c r="V496" s="167"/>
      <c r="W496" s="167"/>
      <c r="X496" s="167"/>
      <c r="Y496" s="167"/>
      <c r="Z496" s="167"/>
      <c r="AA496" s="167"/>
    </row>
    <row r="497" spans="18:27">
      <c r="R497" s="164"/>
      <c r="S497" s="165"/>
      <c r="T497" s="165"/>
      <c r="U497" s="166"/>
      <c r="V497" s="167"/>
      <c r="W497" s="167"/>
      <c r="X497" s="167"/>
      <c r="Y497" s="167"/>
      <c r="Z497" s="167"/>
      <c r="AA497" s="167"/>
    </row>
    <row r="498" spans="18:27">
      <c r="R498" s="164"/>
      <c r="S498" s="165"/>
      <c r="T498" s="165"/>
      <c r="U498" s="166"/>
      <c r="V498" s="167"/>
      <c r="W498" s="167"/>
      <c r="X498" s="167"/>
      <c r="Y498" s="167"/>
      <c r="Z498" s="167"/>
      <c r="AA498" s="167"/>
    </row>
    <row r="499" spans="18:27">
      <c r="R499" s="164"/>
      <c r="S499" s="165"/>
      <c r="T499" s="165"/>
      <c r="U499" s="166"/>
      <c r="V499" s="167"/>
      <c r="W499" s="167"/>
      <c r="X499" s="167"/>
      <c r="Y499" s="167"/>
      <c r="Z499" s="167"/>
      <c r="AA499" s="167"/>
    </row>
    <row r="500" spans="18:27">
      <c r="R500" s="164"/>
      <c r="S500" s="165"/>
      <c r="T500" s="165"/>
      <c r="U500" s="166"/>
      <c r="V500" s="167"/>
      <c r="W500" s="167"/>
      <c r="X500" s="167"/>
      <c r="Y500" s="167"/>
      <c r="Z500" s="167"/>
      <c r="AA500" s="167"/>
    </row>
    <row r="501" spans="18:27">
      <c r="R501" s="164"/>
      <c r="S501" s="165"/>
      <c r="T501" s="165"/>
      <c r="U501" s="166"/>
      <c r="V501" s="167"/>
      <c r="W501" s="167"/>
      <c r="X501" s="167"/>
      <c r="Y501" s="167"/>
      <c r="Z501" s="167"/>
      <c r="AA501" s="167"/>
    </row>
    <row r="502" spans="18:27">
      <c r="R502" s="164"/>
      <c r="S502" s="165"/>
      <c r="T502" s="165"/>
      <c r="U502" s="166"/>
      <c r="V502" s="167"/>
      <c r="W502" s="167"/>
      <c r="X502" s="167"/>
      <c r="Y502" s="167"/>
      <c r="Z502" s="167"/>
      <c r="AA502" s="167"/>
    </row>
    <row r="503" spans="18:27">
      <c r="R503" s="164"/>
      <c r="S503" s="165"/>
      <c r="T503" s="165"/>
      <c r="U503" s="166"/>
      <c r="V503" s="167"/>
      <c r="W503" s="167"/>
      <c r="X503" s="167"/>
      <c r="Y503" s="167"/>
      <c r="Z503" s="167"/>
      <c r="AA503" s="167"/>
    </row>
    <row r="504" spans="18:27">
      <c r="R504" s="164"/>
      <c r="S504" s="165"/>
      <c r="T504" s="165"/>
      <c r="U504" s="166"/>
      <c r="V504" s="167"/>
      <c r="W504" s="167"/>
      <c r="X504" s="167"/>
      <c r="Y504" s="167"/>
      <c r="Z504" s="167"/>
      <c r="AA504" s="167"/>
    </row>
    <row r="505" spans="18:27">
      <c r="R505" s="164"/>
      <c r="S505" s="165"/>
      <c r="T505" s="165"/>
      <c r="U505" s="166"/>
      <c r="V505" s="167"/>
      <c r="W505" s="167"/>
      <c r="X505" s="167"/>
      <c r="Y505" s="167"/>
      <c r="Z505" s="167"/>
      <c r="AA505" s="167"/>
    </row>
    <row r="506" spans="18:27">
      <c r="R506" s="164"/>
      <c r="S506" s="165"/>
      <c r="T506" s="165"/>
      <c r="U506" s="166"/>
      <c r="V506" s="167"/>
      <c r="W506" s="167"/>
      <c r="X506" s="167"/>
      <c r="Y506" s="167"/>
      <c r="Z506" s="167"/>
      <c r="AA506" s="167"/>
    </row>
    <row r="507" spans="18:27">
      <c r="R507" s="164"/>
      <c r="S507" s="165"/>
      <c r="T507" s="165"/>
      <c r="U507" s="166"/>
      <c r="V507" s="167"/>
      <c r="W507" s="167"/>
      <c r="X507" s="167"/>
      <c r="Y507" s="167"/>
      <c r="Z507" s="167"/>
      <c r="AA507" s="167"/>
    </row>
    <row r="508" spans="18:27">
      <c r="R508" s="164"/>
      <c r="S508" s="165"/>
      <c r="T508" s="165"/>
      <c r="U508" s="166"/>
      <c r="V508" s="167"/>
      <c r="W508" s="167"/>
      <c r="X508" s="167"/>
      <c r="Y508" s="167"/>
      <c r="Z508" s="167"/>
      <c r="AA508" s="167"/>
    </row>
    <row r="509" spans="18:27">
      <c r="R509" s="170"/>
      <c r="S509" s="25"/>
      <c r="T509" s="25"/>
      <c r="U509" s="171"/>
      <c r="V509" s="171"/>
      <c r="W509" s="171"/>
      <c r="X509" s="171"/>
      <c r="Y509" s="171"/>
      <c r="Z509" s="171"/>
      <c r="AA509" s="171"/>
    </row>
    <row r="510" spans="18:27">
      <c r="R510" s="25"/>
      <c r="S510" s="25"/>
      <c r="T510" s="25"/>
      <c r="U510" s="25"/>
      <c r="V510" s="25"/>
      <c r="W510" s="25"/>
      <c r="X510" s="25"/>
      <c r="Y510" s="25"/>
      <c r="Z510" s="25"/>
      <c r="AA510" s="25"/>
    </row>
    <row r="511" spans="18:27">
      <c r="R511" s="163"/>
      <c r="S511" s="163"/>
      <c r="T511" s="163"/>
      <c r="U511" s="163"/>
      <c r="V511" s="163"/>
      <c r="W511" s="163"/>
      <c r="X511" s="163"/>
      <c r="Y511" s="163"/>
      <c r="Z511" s="163"/>
      <c r="AA511" s="163"/>
    </row>
    <row r="512" spans="18:27">
      <c r="R512" s="164"/>
      <c r="S512" s="165"/>
      <c r="T512" s="165"/>
      <c r="U512" s="166"/>
      <c r="V512" s="167"/>
      <c r="W512" s="167"/>
      <c r="X512" s="167"/>
      <c r="Y512" s="167"/>
      <c r="Z512" s="167"/>
      <c r="AA512" s="167"/>
    </row>
    <row r="513" spans="18:27">
      <c r="R513" s="164"/>
      <c r="S513" s="165"/>
      <c r="T513" s="165"/>
      <c r="U513" s="166"/>
      <c r="V513" s="167"/>
      <c r="W513" s="167"/>
      <c r="X513" s="167"/>
      <c r="Y513" s="167"/>
      <c r="Z513" s="167"/>
      <c r="AA513" s="167"/>
    </row>
    <row r="514" spans="18:27">
      <c r="R514" s="164"/>
      <c r="S514" s="165"/>
      <c r="T514" s="165"/>
      <c r="U514" s="166"/>
      <c r="V514" s="167"/>
      <c r="W514" s="167"/>
      <c r="X514" s="167"/>
      <c r="Y514" s="167"/>
      <c r="Z514" s="167"/>
      <c r="AA514" s="167"/>
    </row>
    <row r="515" spans="18:27">
      <c r="R515" s="164"/>
      <c r="S515" s="165"/>
      <c r="T515" s="165"/>
      <c r="U515" s="166"/>
      <c r="V515" s="167"/>
      <c r="W515" s="167"/>
      <c r="X515" s="167"/>
      <c r="Y515" s="167"/>
      <c r="Z515" s="167"/>
      <c r="AA515" s="167"/>
    </row>
    <row r="516" spans="18:27">
      <c r="R516" s="164"/>
      <c r="S516" s="165"/>
      <c r="T516" s="165"/>
      <c r="U516" s="166"/>
      <c r="V516" s="167"/>
      <c r="W516" s="167"/>
      <c r="X516" s="167"/>
      <c r="Y516" s="167"/>
      <c r="Z516" s="167"/>
      <c r="AA516" s="167"/>
    </row>
    <row r="517" spans="18:27">
      <c r="R517" s="164"/>
      <c r="S517" s="165"/>
      <c r="T517" s="165"/>
      <c r="U517" s="166"/>
      <c r="V517" s="167"/>
      <c r="W517" s="167"/>
      <c r="X517" s="167"/>
      <c r="Y517" s="167"/>
      <c r="Z517" s="167"/>
      <c r="AA517" s="167"/>
    </row>
    <row r="518" spans="18:27">
      <c r="R518" s="164"/>
      <c r="S518" s="165"/>
      <c r="T518" s="165"/>
      <c r="U518" s="166"/>
      <c r="V518" s="167"/>
      <c r="W518" s="167"/>
      <c r="X518" s="167"/>
      <c r="Y518" s="167"/>
      <c r="Z518" s="167"/>
      <c r="AA518" s="167"/>
    </row>
    <row r="519" spans="18:27">
      <c r="R519" s="164"/>
      <c r="S519" s="165"/>
      <c r="T519" s="165"/>
      <c r="U519" s="166"/>
      <c r="V519" s="168"/>
      <c r="W519" s="168"/>
      <c r="X519" s="168"/>
      <c r="Y519" s="168"/>
      <c r="Z519" s="168"/>
      <c r="AA519" s="168"/>
    </row>
    <row r="520" spans="18:27">
      <c r="R520" s="164"/>
      <c r="S520" s="165"/>
      <c r="T520" s="165"/>
      <c r="U520" s="166"/>
      <c r="V520" s="167"/>
      <c r="W520" s="167"/>
      <c r="X520" s="167"/>
      <c r="Y520" s="167"/>
      <c r="Z520" s="167"/>
      <c r="AA520" s="167"/>
    </row>
    <row r="521" spans="18:27">
      <c r="R521" s="164"/>
      <c r="S521" s="165"/>
      <c r="T521" s="165"/>
      <c r="U521" s="166"/>
      <c r="V521" s="167"/>
      <c r="W521" s="167"/>
      <c r="X521" s="167"/>
      <c r="Y521" s="167"/>
      <c r="Z521" s="167"/>
      <c r="AA521" s="167"/>
    </row>
    <row r="522" spans="18:27">
      <c r="R522" s="164"/>
      <c r="S522" s="165"/>
      <c r="T522" s="165"/>
      <c r="U522" s="166"/>
      <c r="V522" s="167"/>
      <c r="W522" s="167"/>
      <c r="X522" s="167"/>
      <c r="Y522" s="167"/>
      <c r="Z522" s="167"/>
      <c r="AA522" s="167"/>
    </row>
    <row r="523" spans="18:27">
      <c r="R523" s="164"/>
      <c r="S523" s="165"/>
      <c r="T523" s="165"/>
      <c r="U523" s="166"/>
      <c r="V523" s="167"/>
      <c r="W523" s="167"/>
      <c r="X523" s="167"/>
      <c r="Y523" s="167"/>
      <c r="Z523" s="167"/>
      <c r="AA523" s="167"/>
    </row>
    <row r="524" spans="18:27">
      <c r="R524" s="164"/>
      <c r="S524" s="165"/>
      <c r="T524" s="165"/>
      <c r="U524" s="166"/>
      <c r="V524" s="167"/>
      <c r="W524" s="167"/>
      <c r="X524" s="167"/>
      <c r="Y524" s="167"/>
      <c r="Z524" s="167"/>
      <c r="AA524" s="167"/>
    </row>
    <row r="525" spans="18:27">
      <c r="R525" s="164"/>
      <c r="S525" s="165"/>
      <c r="T525" s="165"/>
      <c r="U525" s="166"/>
      <c r="V525" s="167"/>
      <c r="W525" s="167"/>
      <c r="X525" s="167"/>
      <c r="Y525" s="167"/>
      <c r="Z525" s="167"/>
      <c r="AA525" s="167"/>
    </row>
    <row r="526" spans="18:27">
      <c r="R526" s="164"/>
      <c r="S526" s="165"/>
      <c r="T526" s="165"/>
      <c r="U526" s="166"/>
      <c r="V526" s="167"/>
      <c r="W526" s="167"/>
      <c r="X526" s="167"/>
      <c r="Y526" s="167"/>
      <c r="Z526" s="167"/>
      <c r="AA526" s="167"/>
    </row>
    <row r="527" spans="18:27">
      <c r="R527" s="164"/>
      <c r="S527" s="165"/>
      <c r="T527" s="165"/>
      <c r="U527" s="166"/>
      <c r="V527" s="168"/>
      <c r="W527" s="168"/>
      <c r="X527" s="168"/>
      <c r="Y527" s="168"/>
      <c r="Z527" s="168"/>
      <c r="AA527" s="168"/>
    </row>
    <row r="528" spans="18:27">
      <c r="R528" s="164"/>
      <c r="S528" s="165"/>
      <c r="T528" s="165"/>
      <c r="U528" s="166"/>
      <c r="V528" s="167"/>
      <c r="W528" s="167"/>
      <c r="X528" s="167"/>
      <c r="Y528" s="167"/>
      <c r="Z528" s="167"/>
      <c r="AA528" s="167"/>
    </row>
    <row r="529" spans="18:27">
      <c r="R529" s="164"/>
      <c r="S529" s="165"/>
      <c r="T529" s="165"/>
      <c r="U529" s="166"/>
      <c r="V529" s="167"/>
      <c r="W529" s="167"/>
      <c r="X529" s="167"/>
      <c r="Y529" s="167"/>
      <c r="Z529" s="167"/>
      <c r="AA529" s="167"/>
    </row>
    <row r="530" spans="18:27">
      <c r="R530" s="164"/>
      <c r="S530" s="165"/>
      <c r="T530" s="165"/>
      <c r="U530" s="166"/>
      <c r="V530" s="167"/>
      <c r="W530" s="167"/>
      <c r="X530" s="167"/>
      <c r="Y530" s="167"/>
      <c r="Z530" s="167"/>
      <c r="AA530" s="167"/>
    </row>
    <row r="531" spans="18:27">
      <c r="R531" s="164"/>
      <c r="S531" s="165"/>
      <c r="T531" s="165"/>
      <c r="U531" s="166"/>
      <c r="V531" s="167"/>
      <c r="W531" s="167"/>
      <c r="X531" s="167"/>
      <c r="Y531" s="167"/>
      <c r="Z531" s="167"/>
      <c r="AA531" s="167"/>
    </row>
    <row r="532" spans="18:27">
      <c r="R532" s="164"/>
      <c r="S532" s="165"/>
      <c r="T532" s="165"/>
      <c r="U532" s="166"/>
      <c r="V532" s="167"/>
      <c r="W532" s="167"/>
      <c r="X532" s="167"/>
      <c r="Y532" s="167"/>
      <c r="Z532" s="167"/>
      <c r="AA532" s="167"/>
    </row>
    <row r="533" spans="18:27">
      <c r="R533" s="164"/>
      <c r="S533" s="165"/>
      <c r="T533" s="165"/>
      <c r="U533" s="166"/>
      <c r="V533" s="167"/>
      <c r="W533" s="167"/>
      <c r="X533" s="167"/>
      <c r="Y533" s="167"/>
      <c r="Z533" s="167"/>
      <c r="AA533" s="167"/>
    </row>
    <row r="534" spans="18:27">
      <c r="R534" s="164"/>
      <c r="S534" s="165"/>
      <c r="T534" s="165"/>
      <c r="U534" s="166"/>
      <c r="V534" s="167"/>
      <c r="W534" s="167"/>
      <c r="X534" s="167"/>
      <c r="Y534" s="167"/>
      <c r="Z534" s="167"/>
      <c r="AA534" s="167"/>
    </row>
    <row r="535" spans="18:27">
      <c r="R535" s="164"/>
      <c r="S535" s="165"/>
      <c r="T535" s="165"/>
      <c r="U535" s="166"/>
      <c r="V535" s="168"/>
      <c r="W535" s="168"/>
      <c r="X535" s="168"/>
      <c r="Y535" s="168"/>
      <c r="Z535" s="168"/>
      <c r="AA535" s="168"/>
    </row>
    <row r="536" spans="18:27">
      <c r="R536" s="164"/>
      <c r="S536" s="165"/>
      <c r="T536" s="165"/>
      <c r="U536" s="166"/>
      <c r="V536" s="167"/>
      <c r="W536" s="167"/>
      <c r="X536" s="167"/>
      <c r="Y536" s="167"/>
      <c r="Z536" s="167"/>
      <c r="AA536" s="167"/>
    </row>
    <row r="537" spans="18:27">
      <c r="R537" s="164"/>
      <c r="S537" s="165"/>
      <c r="T537" s="165"/>
      <c r="U537" s="166"/>
      <c r="V537" s="167"/>
      <c r="W537" s="167"/>
      <c r="X537" s="167"/>
      <c r="Y537" s="167"/>
      <c r="Z537" s="167"/>
      <c r="AA537" s="167"/>
    </row>
    <row r="538" spans="18:27">
      <c r="R538" s="164"/>
      <c r="S538" s="165"/>
      <c r="T538" s="165"/>
      <c r="U538" s="166"/>
      <c r="V538" s="167"/>
      <c r="W538" s="167"/>
      <c r="X538" s="167"/>
      <c r="Y538" s="167"/>
      <c r="Z538" s="167"/>
      <c r="AA538" s="167"/>
    </row>
    <row r="539" spans="18:27">
      <c r="R539" s="164"/>
      <c r="S539" s="165"/>
      <c r="T539" s="165"/>
      <c r="U539" s="166"/>
      <c r="V539" s="167"/>
      <c r="W539" s="167"/>
      <c r="X539" s="167"/>
      <c r="Y539" s="167"/>
      <c r="Z539" s="167"/>
      <c r="AA539" s="167"/>
    </row>
    <row r="540" spans="18:27">
      <c r="R540" s="164"/>
      <c r="S540" s="165"/>
      <c r="T540" s="165"/>
      <c r="U540" s="166"/>
      <c r="V540" s="167"/>
      <c r="W540" s="167"/>
      <c r="X540" s="167"/>
      <c r="Y540" s="167"/>
      <c r="Z540" s="167"/>
      <c r="AA540" s="167"/>
    </row>
    <row r="541" spans="18:27">
      <c r="R541" s="164"/>
      <c r="S541" s="165"/>
      <c r="T541" s="165"/>
      <c r="U541" s="166"/>
      <c r="V541" s="167"/>
      <c r="W541" s="167"/>
      <c r="X541" s="167"/>
      <c r="Y541" s="167"/>
      <c r="Z541" s="167"/>
      <c r="AA541" s="167"/>
    </row>
    <row r="542" spans="18:27">
      <c r="R542" s="164"/>
      <c r="S542" s="165"/>
      <c r="T542" s="165"/>
      <c r="U542" s="166"/>
      <c r="V542" s="167"/>
      <c r="W542" s="167"/>
      <c r="X542" s="167"/>
      <c r="Y542" s="167"/>
      <c r="Z542" s="167"/>
      <c r="AA542" s="167"/>
    </row>
    <row r="543" spans="18:27">
      <c r="R543" s="164"/>
      <c r="S543" s="165"/>
      <c r="T543" s="165"/>
      <c r="U543" s="166"/>
      <c r="V543" s="168"/>
      <c r="W543" s="168"/>
      <c r="X543" s="168"/>
      <c r="Y543" s="168"/>
      <c r="Z543" s="168"/>
      <c r="AA543" s="168"/>
    </row>
    <row r="544" spans="18:27">
      <c r="R544" s="164"/>
      <c r="S544" s="165"/>
      <c r="T544" s="165"/>
      <c r="U544" s="166"/>
      <c r="V544" s="167"/>
      <c r="W544" s="167"/>
      <c r="X544" s="167"/>
      <c r="Y544" s="167"/>
      <c r="Z544" s="167"/>
      <c r="AA544" s="167"/>
    </row>
    <row r="545" spans="18:27">
      <c r="R545" s="164"/>
      <c r="S545" s="165"/>
      <c r="T545" s="165"/>
      <c r="U545" s="166"/>
      <c r="V545" s="167"/>
      <c r="W545" s="167"/>
      <c r="X545" s="167"/>
      <c r="Y545" s="167"/>
      <c r="Z545" s="167"/>
      <c r="AA545" s="167"/>
    </row>
    <row r="546" spans="18:27">
      <c r="R546" s="164"/>
      <c r="S546" s="165"/>
      <c r="T546" s="165"/>
      <c r="U546" s="166"/>
      <c r="V546" s="167"/>
      <c r="W546" s="167"/>
      <c r="X546" s="167"/>
      <c r="Y546" s="167"/>
      <c r="Z546" s="167"/>
      <c r="AA546" s="167"/>
    </row>
    <row r="547" spans="18:27">
      <c r="R547" s="164"/>
      <c r="S547" s="165"/>
      <c r="T547" s="165"/>
      <c r="U547" s="166"/>
      <c r="V547" s="168"/>
      <c r="W547" s="168"/>
      <c r="X547" s="168"/>
      <c r="Y547" s="168"/>
      <c r="Z547" s="168"/>
      <c r="AA547" s="168"/>
    </row>
    <row r="548" spans="18:27">
      <c r="R548" s="164"/>
      <c r="S548" s="165"/>
      <c r="T548" s="165"/>
      <c r="U548" s="166"/>
      <c r="V548" s="167"/>
      <c r="W548" s="167"/>
      <c r="X548" s="167"/>
      <c r="Y548" s="167"/>
      <c r="Z548" s="167"/>
      <c r="AA548" s="167"/>
    </row>
    <row r="549" spans="18:27">
      <c r="R549" s="164"/>
      <c r="S549" s="165"/>
      <c r="T549" s="165"/>
      <c r="U549" s="166"/>
      <c r="V549" s="167"/>
      <c r="W549" s="167"/>
      <c r="X549" s="167"/>
      <c r="Y549" s="167"/>
      <c r="Z549" s="167"/>
      <c r="AA549" s="167"/>
    </row>
    <row r="550" spans="18:27">
      <c r="R550" s="164"/>
      <c r="S550" s="165"/>
      <c r="T550" s="165"/>
      <c r="U550" s="166"/>
      <c r="V550" s="167"/>
      <c r="W550" s="167"/>
      <c r="X550" s="167"/>
      <c r="Y550" s="167"/>
      <c r="Z550" s="167"/>
      <c r="AA550" s="167"/>
    </row>
    <row r="551" spans="18:27">
      <c r="R551" s="164"/>
      <c r="S551" s="165"/>
      <c r="T551" s="165"/>
      <c r="U551" s="166"/>
      <c r="V551" s="168"/>
      <c r="W551" s="168"/>
      <c r="X551" s="168"/>
      <c r="Y551" s="168"/>
      <c r="Z551" s="168"/>
      <c r="AA551" s="168"/>
    </row>
    <row r="552" spans="18:27">
      <c r="R552" s="164"/>
      <c r="S552" s="165"/>
      <c r="T552" s="165"/>
      <c r="U552" s="166"/>
      <c r="V552" s="167"/>
      <c r="W552" s="167"/>
      <c r="X552" s="167"/>
      <c r="Y552" s="167"/>
      <c r="Z552" s="167"/>
      <c r="AA552" s="167"/>
    </row>
    <row r="553" spans="18:27">
      <c r="R553" s="164"/>
      <c r="S553" s="165"/>
      <c r="T553" s="165"/>
      <c r="U553" s="166"/>
      <c r="V553" s="167"/>
      <c r="W553" s="167"/>
      <c r="X553" s="167"/>
      <c r="Y553" s="167"/>
      <c r="Z553" s="167"/>
      <c r="AA553" s="167"/>
    </row>
    <row r="554" spans="18:27">
      <c r="R554" s="164"/>
      <c r="S554" s="165"/>
      <c r="T554" s="165"/>
      <c r="U554" s="166"/>
      <c r="V554" s="167"/>
      <c r="W554" s="167"/>
      <c r="X554" s="167"/>
      <c r="Y554" s="167"/>
      <c r="Z554" s="167"/>
      <c r="AA554" s="167"/>
    </row>
    <row r="555" spans="18:27">
      <c r="R555" s="164"/>
      <c r="S555" s="165"/>
      <c r="T555" s="165"/>
      <c r="U555" s="166"/>
      <c r="V555" s="168"/>
      <c r="W555" s="168"/>
      <c r="X555" s="168"/>
      <c r="Y555" s="168"/>
      <c r="Z555" s="168"/>
      <c r="AA555" s="168"/>
    </row>
    <row r="556" spans="18:27">
      <c r="R556" s="164"/>
      <c r="S556" s="165"/>
      <c r="T556" s="165"/>
      <c r="U556" s="166"/>
      <c r="V556" s="167"/>
      <c r="W556" s="167"/>
      <c r="X556" s="167"/>
      <c r="Y556" s="167"/>
      <c r="Z556" s="167"/>
      <c r="AA556" s="167"/>
    </row>
    <row r="557" spans="18:27">
      <c r="R557" s="164"/>
      <c r="S557" s="165"/>
      <c r="T557" s="165"/>
      <c r="U557" s="166"/>
      <c r="V557" s="167"/>
      <c r="W557" s="167"/>
      <c r="X557" s="167"/>
      <c r="Y557" s="167"/>
      <c r="Z557" s="167"/>
      <c r="AA557" s="167"/>
    </row>
    <row r="558" spans="18:27">
      <c r="R558" s="164"/>
      <c r="S558" s="165"/>
      <c r="T558" s="165"/>
      <c r="U558" s="166"/>
      <c r="V558" s="167"/>
      <c r="W558" s="167"/>
      <c r="X558" s="167"/>
      <c r="Y558" s="167"/>
      <c r="Z558" s="167"/>
      <c r="AA558" s="167"/>
    </row>
    <row r="559" spans="18:27">
      <c r="R559" s="164"/>
      <c r="S559" s="165"/>
      <c r="T559" s="165"/>
      <c r="U559" s="166"/>
      <c r="V559" s="167"/>
      <c r="W559" s="167"/>
      <c r="X559" s="167"/>
      <c r="Y559" s="167"/>
      <c r="Z559" s="167"/>
      <c r="AA559" s="167"/>
    </row>
    <row r="560" spans="18:27">
      <c r="R560" s="164"/>
      <c r="S560" s="165"/>
      <c r="T560" s="165"/>
      <c r="U560" s="166"/>
      <c r="V560" s="167"/>
      <c r="W560" s="167"/>
      <c r="X560" s="167"/>
      <c r="Y560" s="167"/>
      <c r="Z560" s="167"/>
      <c r="AA560" s="167"/>
    </row>
    <row r="561" spans="18:27">
      <c r="R561" s="164"/>
      <c r="S561" s="165"/>
      <c r="T561" s="165"/>
      <c r="U561" s="166"/>
      <c r="V561" s="167"/>
      <c r="W561" s="167"/>
      <c r="X561" s="167"/>
      <c r="Y561" s="167"/>
      <c r="Z561" s="167"/>
      <c r="AA561" s="167"/>
    </row>
    <row r="562" spans="18:27">
      <c r="R562" s="164"/>
      <c r="S562" s="165"/>
      <c r="T562" s="165"/>
      <c r="U562" s="166"/>
      <c r="V562" s="167"/>
      <c r="W562" s="167"/>
      <c r="X562" s="167"/>
      <c r="Y562" s="167"/>
      <c r="Z562" s="167"/>
      <c r="AA562" s="167"/>
    </row>
    <row r="563" spans="18:27">
      <c r="R563" s="164"/>
      <c r="S563" s="165"/>
      <c r="T563" s="165"/>
      <c r="U563" s="166"/>
      <c r="V563" s="167"/>
      <c r="W563" s="167"/>
      <c r="X563" s="167"/>
      <c r="Y563" s="167"/>
      <c r="Z563" s="167"/>
      <c r="AA563" s="167"/>
    </row>
    <row r="564" spans="18:27">
      <c r="R564" s="164"/>
      <c r="S564" s="165"/>
      <c r="T564" s="165"/>
      <c r="U564" s="166"/>
      <c r="V564" s="167"/>
      <c r="W564" s="167"/>
      <c r="X564" s="167"/>
      <c r="Y564" s="167"/>
      <c r="Z564" s="167"/>
      <c r="AA564" s="167"/>
    </row>
    <row r="565" spans="18:27">
      <c r="R565" s="164"/>
      <c r="S565" s="165"/>
      <c r="T565" s="165"/>
      <c r="U565" s="166"/>
      <c r="V565" s="167"/>
      <c r="W565" s="167"/>
      <c r="X565" s="167"/>
      <c r="Y565" s="167"/>
      <c r="Z565" s="167"/>
      <c r="AA565" s="167"/>
    </row>
    <row r="566" spans="18:27">
      <c r="R566" s="164"/>
      <c r="S566" s="165"/>
      <c r="T566" s="165"/>
      <c r="U566" s="166"/>
      <c r="V566" s="167"/>
      <c r="W566" s="167"/>
      <c r="X566" s="167"/>
      <c r="Y566" s="167"/>
      <c r="Z566" s="167"/>
      <c r="AA566" s="167"/>
    </row>
    <row r="567" spans="18:27">
      <c r="R567" s="164"/>
      <c r="S567" s="165"/>
      <c r="T567" s="165"/>
      <c r="U567" s="166"/>
      <c r="V567" s="168"/>
      <c r="W567" s="168"/>
      <c r="X567" s="168"/>
      <c r="Y567" s="168"/>
      <c r="Z567" s="168"/>
      <c r="AA567" s="168"/>
    </row>
    <row r="568" spans="18:27">
      <c r="R568" s="164"/>
      <c r="S568" s="165"/>
      <c r="T568" s="165"/>
      <c r="U568" s="166"/>
      <c r="V568" s="167"/>
      <c r="W568" s="167"/>
      <c r="X568" s="167"/>
      <c r="Y568" s="167"/>
      <c r="Z568" s="167"/>
      <c r="AA568" s="167"/>
    </row>
    <row r="569" spans="18:27">
      <c r="R569" s="164"/>
      <c r="S569" s="165"/>
      <c r="T569" s="165"/>
      <c r="U569" s="166"/>
      <c r="V569" s="167"/>
      <c r="W569" s="167"/>
      <c r="X569" s="167"/>
      <c r="Y569" s="167"/>
      <c r="Z569" s="167"/>
      <c r="AA569" s="167"/>
    </row>
    <row r="570" spans="18:27">
      <c r="R570" s="164"/>
      <c r="S570" s="165"/>
      <c r="T570" s="165"/>
      <c r="U570" s="166"/>
      <c r="V570" s="167"/>
      <c r="W570" s="167"/>
      <c r="X570" s="167"/>
      <c r="Y570" s="167"/>
      <c r="Z570" s="167"/>
      <c r="AA570" s="167"/>
    </row>
    <row r="571" spans="18:27">
      <c r="R571" s="164"/>
      <c r="S571" s="165"/>
      <c r="T571" s="165"/>
      <c r="U571" s="166"/>
      <c r="V571" s="167"/>
      <c r="W571" s="167"/>
      <c r="X571" s="167"/>
      <c r="Y571" s="167"/>
      <c r="Z571" s="167"/>
      <c r="AA571" s="167"/>
    </row>
    <row r="572" spans="18:27">
      <c r="R572" s="164"/>
      <c r="S572" s="165"/>
      <c r="T572" s="165"/>
      <c r="U572" s="166"/>
      <c r="V572" s="167"/>
      <c r="W572" s="167"/>
      <c r="X572" s="167"/>
      <c r="Y572" s="167"/>
      <c r="Z572" s="167"/>
      <c r="AA572" s="167"/>
    </row>
    <row r="573" spans="18:27">
      <c r="R573" s="164"/>
      <c r="S573" s="165"/>
      <c r="T573" s="165"/>
      <c r="U573" s="166"/>
      <c r="V573" s="167"/>
      <c r="W573" s="167"/>
      <c r="X573" s="167"/>
      <c r="Y573" s="167"/>
      <c r="Z573" s="167"/>
      <c r="AA573" s="167"/>
    </row>
    <row r="574" spans="18:27">
      <c r="R574" s="164"/>
      <c r="S574" s="165"/>
      <c r="T574" s="165"/>
      <c r="U574" s="166"/>
      <c r="V574" s="167"/>
      <c r="W574" s="167"/>
      <c r="X574" s="167"/>
      <c r="Y574" s="167"/>
      <c r="Z574" s="167"/>
      <c r="AA574" s="167"/>
    </row>
    <row r="575" spans="18:27">
      <c r="R575" s="164"/>
      <c r="S575" s="165"/>
      <c r="T575" s="165"/>
      <c r="U575" s="166"/>
      <c r="V575" s="167"/>
      <c r="W575" s="167"/>
      <c r="X575" s="167"/>
      <c r="Y575" s="167"/>
      <c r="Z575" s="167"/>
      <c r="AA575" s="167"/>
    </row>
    <row r="576" spans="18:27">
      <c r="R576" s="164"/>
      <c r="S576" s="165"/>
      <c r="T576" s="165"/>
      <c r="U576" s="166"/>
      <c r="V576" s="167"/>
      <c r="W576" s="167"/>
      <c r="X576" s="167"/>
      <c r="Y576" s="167"/>
      <c r="Z576" s="167"/>
      <c r="AA576" s="167"/>
    </row>
    <row r="577" spans="18:27">
      <c r="R577" s="164"/>
      <c r="S577" s="165"/>
      <c r="T577" s="165"/>
      <c r="U577" s="166"/>
      <c r="V577" s="167"/>
      <c r="W577" s="167"/>
      <c r="X577" s="167"/>
      <c r="Y577" s="167"/>
      <c r="Z577" s="167"/>
      <c r="AA577" s="167"/>
    </row>
    <row r="578" spans="18:27">
      <c r="R578" s="164"/>
      <c r="S578" s="165"/>
      <c r="T578" s="165"/>
      <c r="U578" s="166"/>
      <c r="V578" s="167"/>
      <c r="W578" s="167"/>
      <c r="X578" s="167"/>
      <c r="Y578" s="167"/>
      <c r="Z578" s="167"/>
      <c r="AA578" s="167"/>
    </row>
    <row r="579" spans="18:27">
      <c r="R579" s="164"/>
      <c r="S579" s="165"/>
      <c r="T579" s="165"/>
      <c r="U579" s="166"/>
      <c r="V579" s="168"/>
      <c r="W579" s="168"/>
      <c r="X579" s="168"/>
      <c r="Y579" s="168"/>
      <c r="Z579" s="168"/>
      <c r="AA579" s="168"/>
    </row>
    <row r="580" spans="18:27">
      <c r="R580" s="164"/>
      <c r="S580" s="165"/>
      <c r="T580" s="165"/>
      <c r="U580" s="166"/>
      <c r="V580" s="167"/>
      <c r="W580" s="167"/>
      <c r="X580" s="167"/>
      <c r="Y580" s="167"/>
      <c r="Z580" s="167"/>
      <c r="AA580" s="167"/>
    </row>
    <row r="581" spans="18:27">
      <c r="R581" s="164"/>
      <c r="S581" s="165"/>
      <c r="T581" s="165"/>
      <c r="U581" s="166"/>
      <c r="V581" s="167"/>
      <c r="W581" s="167"/>
      <c r="X581" s="167"/>
      <c r="Y581" s="167"/>
      <c r="Z581" s="167"/>
      <c r="AA581" s="167"/>
    </row>
    <row r="582" spans="18:27">
      <c r="R582" s="164"/>
      <c r="S582" s="165"/>
      <c r="T582" s="165"/>
      <c r="U582" s="166"/>
      <c r="V582" s="167"/>
      <c r="W582" s="167"/>
      <c r="X582" s="167"/>
      <c r="Y582" s="167"/>
      <c r="Z582" s="167"/>
      <c r="AA582" s="167"/>
    </row>
    <row r="583" spans="18:27">
      <c r="R583" s="164"/>
      <c r="S583" s="165"/>
      <c r="T583" s="165"/>
      <c r="U583" s="166"/>
      <c r="V583" s="168"/>
      <c r="W583" s="168"/>
      <c r="X583" s="168"/>
      <c r="Y583" s="168"/>
      <c r="Z583" s="168"/>
      <c r="AA583" s="168"/>
    </row>
    <row r="584" spans="18:27">
      <c r="R584" s="169"/>
      <c r="S584" s="165"/>
      <c r="T584" s="165"/>
      <c r="U584" s="166"/>
      <c r="V584" s="167"/>
      <c r="W584" s="167"/>
      <c r="X584" s="167"/>
      <c r="Y584" s="167"/>
      <c r="Z584" s="167"/>
      <c r="AA584" s="167"/>
    </row>
    <row r="585" spans="18:27">
      <c r="R585" s="169"/>
      <c r="S585" s="165"/>
      <c r="T585" s="165"/>
      <c r="U585" s="166"/>
      <c r="V585" s="167"/>
      <c r="W585" s="167"/>
      <c r="X585" s="167"/>
      <c r="Y585" s="167"/>
      <c r="Z585" s="167"/>
      <c r="AA585" s="167"/>
    </row>
    <row r="586" spans="18:27">
      <c r="R586" s="169"/>
      <c r="S586" s="165"/>
      <c r="T586" s="165"/>
      <c r="U586" s="166"/>
      <c r="V586" s="167"/>
      <c r="W586" s="167"/>
      <c r="X586" s="167"/>
      <c r="Y586" s="167"/>
      <c r="Z586" s="167"/>
      <c r="AA586" s="167"/>
    </row>
    <row r="587" spans="18:27">
      <c r="R587" s="169"/>
      <c r="S587" s="165"/>
      <c r="T587" s="165"/>
      <c r="U587" s="166"/>
      <c r="V587" s="168"/>
      <c r="W587" s="168"/>
      <c r="X587" s="168"/>
      <c r="Y587" s="168"/>
      <c r="Z587" s="168"/>
      <c r="AA587" s="168"/>
    </row>
    <row r="588" spans="18:27">
      <c r="R588" s="164"/>
      <c r="S588" s="165"/>
      <c r="T588" s="165"/>
      <c r="U588" s="166"/>
      <c r="V588" s="167"/>
      <c r="W588" s="167"/>
      <c r="X588" s="167"/>
      <c r="Y588" s="167"/>
      <c r="Z588" s="167"/>
      <c r="AA588" s="167"/>
    </row>
    <row r="589" spans="18:27">
      <c r="R589" s="164"/>
      <c r="S589" s="165"/>
      <c r="T589" s="165"/>
      <c r="U589" s="166"/>
      <c r="V589" s="167"/>
      <c r="W589" s="167"/>
      <c r="X589" s="167"/>
      <c r="Y589" s="167"/>
      <c r="Z589" s="167"/>
      <c r="AA589" s="167"/>
    </row>
    <row r="590" spans="18:27">
      <c r="R590" s="164"/>
      <c r="S590" s="165"/>
      <c r="T590" s="165"/>
      <c r="U590" s="166"/>
      <c r="V590" s="167"/>
      <c r="W590" s="167"/>
      <c r="X590" s="167"/>
      <c r="Y590" s="167"/>
      <c r="Z590" s="167"/>
      <c r="AA590" s="167"/>
    </row>
    <row r="591" spans="18:27">
      <c r="R591" s="164"/>
      <c r="S591" s="165"/>
      <c r="T591" s="165"/>
      <c r="U591" s="166"/>
      <c r="V591" s="167"/>
      <c r="W591" s="167"/>
      <c r="X591" s="167"/>
      <c r="Y591" s="167"/>
      <c r="Z591" s="167"/>
      <c r="AA591" s="167"/>
    </row>
    <row r="592" spans="18:27">
      <c r="R592" s="164"/>
      <c r="S592" s="165"/>
      <c r="T592" s="165"/>
      <c r="U592" s="166"/>
      <c r="V592" s="167"/>
      <c r="W592" s="167"/>
      <c r="X592" s="167"/>
      <c r="Y592" s="167"/>
      <c r="Z592" s="167"/>
      <c r="AA592" s="167"/>
    </row>
    <row r="593" spans="18:27">
      <c r="R593" s="164"/>
      <c r="S593" s="165"/>
      <c r="T593" s="165"/>
      <c r="U593" s="166"/>
      <c r="V593" s="167"/>
      <c r="W593" s="167"/>
      <c r="X593" s="167"/>
      <c r="Y593" s="167"/>
      <c r="Z593" s="167"/>
      <c r="AA593" s="167"/>
    </row>
    <row r="594" spans="18:27">
      <c r="R594" s="164"/>
      <c r="S594" s="165"/>
      <c r="T594" s="165"/>
      <c r="U594" s="166"/>
      <c r="V594" s="167"/>
      <c r="W594" s="167"/>
      <c r="X594" s="167"/>
      <c r="Y594" s="167"/>
      <c r="Z594" s="167"/>
      <c r="AA594" s="167"/>
    </row>
    <row r="595" spans="18:27">
      <c r="R595" s="164"/>
      <c r="S595" s="165"/>
      <c r="T595" s="165"/>
      <c r="U595" s="166"/>
      <c r="V595" s="167"/>
      <c r="W595" s="167"/>
      <c r="X595" s="167"/>
      <c r="Y595" s="167"/>
      <c r="Z595" s="167"/>
      <c r="AA595" s="167"/>
    </row>
    <row r="596" spans="18:27">
      <c r="R596" s="164"/>
      <c r="S596" s="165"/>
      <c r="T596" s="165"/>
      <c r="U596" s="166"/>
      <c r="V596" s="167"/>
      <c r="W596" s="167"/>
      <c r="X596" s="167"/>
      <c r="Y596" s="167"/>
      <c r="Z596" s="167"/>
      <c r="AA596" s="167"/>
    </row>
    <row r="597" spans="18:27">
      <c r="R597" s="164"/>
      <c r="S597" s="165"/>
      <c r="T597" s="165"/>
      <c r="U597" s="166"/>
      <c r="V597" s="167"/>
      <c r="W597" s="167"/>
      <c r="X597" s="167"/>
      <c r="Y597" s="167"/>
      <c r="Z597" s="167"/>
      <c r="AA597" s="167"/>
    </row>
    <row r="598" spans="18:27">
      <c r="R598" s="164"/>
      <c r="S598" s="165"/>
      <c r="T598" s="165"/>
      <c r="U598" s="166"/>
      <c r="V598" s="167"/>
      <c r="W598" s="167"/>
      <c r="X598" s="167"/>
      <c r="Y598" s="167"/>
      <c r="Z598" s="167"/>
      <c r="AA598" s="167"/>
    </row>
    <row r="599" spans="18:27">
      <c r="R599" s="164"/>
      <c r="S599" s="165"/>
      <c r="T599" s="165"/>
      <c r="U599" s="166"/>
      <c r="V599" s="167"/>
      <c r="W599" s="167"/>
      <c r="X599" s="167"/>
      <c r="Y599" s="167"/>
      <c r="Z599" s="167"/>
      <c r="AA599" s="167"/>
    </row>
    <row r="600" spans="18:27">
      <c r="R600" s="164"/>
      <c r="S600" s="165"/>
      <c r="T600" s="165"/>
      <c r="U600" s="166"/>
      <c r="V600" s="167"/>
      <c r="W600" s="167"/>
      <c r="X600" s="167"/>
      <c r="Y600" s="167"/>
      <c r="Z600" s="167"/>
      <c r="AA600" s="167"/>
    </row>
    <row r="601" spans="18:27">
      <c r="R601" s="164"/>
      <c r="S601" s="165"/>
      <c r="T601" s="165"/>
      <c r="U601" s="166"/>
      <c r="V601" s="167"/>
      <c r="W601" s="167"/>
      <c r="X601" s="167"/>
      <c r="Y601" s="167"/>
      <c r="Z601" s="167"/>
      <c r="AA601" s="167"/>
    </row>
    <row r="602" spans="18:27">
      <c r="R602" s="164"/>
      <c r="S602" s="165"/>
      <c r="T602" s="165"/>
      <c r="U602" s="166"/>
      <c r="V602" s="167"/>
      <c r="W602" s="167"/>
      <c r="X602" s="167"/>
      <c r="Y602" s="167"/>
      <c r="Z602" s="167"/>
      <c r="AA602" s="167"/>
    </row>
    <row r="603" spans="18:27">
      <c r="R603" s="164"/>
      <c r="S603" s="165"/>
      <c r="T603" s="165"/>
      <c r="U603" s="166"/>
      <c r="V603" s="167"/>
      <c r="W603" s="167"/>
      <c r="X603" s="167"/>
      <c r="Y603" s="167"/>
      <c r="Z603" s="167"/>
      <c r="AA603" s="167"/>
    </row>
    <row r="604" spans="18:27">
      <c r="R604" s="164"/>
      <c r="S604" s="165"/>
      <c r="T604" s="165"/>
      <c r="U604" s="166"/>
      <c r="V604" s="167"/>
      <c r="W604" s="167"/>
      <c r="X604" s="167"/>
      <c r="Y604" s="167"/>
      <c r="Z604" s="167"/>
      <c r="AA604" s="167"/>
    </row>
    <row r="605" spans="18:27">
      <c r="R605" s="164"/>
      <c r="S605" s="165"/>
      <c r="T605" s="165"/>
      <c r="U605" s="166"/>
      <c r="V605" s="167"/>
      <c r="W605" s="167"/>
      <c r="X605" s="167"/>
      <c r="Y605" s="167"/>
      <c r="Z605" s="167"/>
      <c r="AA605" s="167"/>
    </row>
    <row r="606" spans="18:27">
      <c r="R606" s="164"/>
      <c r="S606" s="165"/>
      <c r="T606" s="165"/>
      <c r="U606" s="166"/>
      <c r="V606" s="167"/>
      <c r="W606" s="167"/>
      <c r="X606" s="167"/>
      <c r="Y606" s="167"/>
      <c r="Z606" s="167"/>
      <c r="AA606" s="167"/>
    </row>
    <row r="607" spans="18:27">
      <c r="R607" s="164"/>
      <c r="S607" s="165"/>
      <c r="T607" s="165"/>
      <c r="U607" s="166"/>
      <c r="V607" s="167"/>
      <c r="W607" s="167"/>
      <c r="X607" s="167"/>
      <c r="Y607" s="167"/>
      <c r="Z607" s="167"/>
      <c r="AA607" s="167"/>
    </row>
    <row r="608" spans="18:27">
      <c r="R608" s="170"/>
      <c r="S608" s="25"/>
      <c r="T608" s="25"/>
      <c r="U608" s="171"/>
      <c r="V608" s="171"/>
      <c r="W608" s="171"/>
      <c r="X608" s="171"/>
      <c r="Y608" s="171"/>
      <c r="Z608" s="171"/>
      <c r="AA608" s="171"/>
    </row>
  </sheetData>
  <dataValidations count="2">
    <dataValidation type="list" allowBlank="1" showInputMessage="1" showErrorMessage="1" sqref="W3:W9 D2">
      <formula1>CLVintages</formula1>
    </dataValidation>
    <dataValidation type="list" allowBlank="1" showInputMessage="1" showErrorMessage="1" promptTitle="Cold Lake Building Types" prompt="Available building types. Edit Indexes Sheet to add more. " sqref="V3:V9 C2 C8:C11 C13:C15 C161:C163 C31:C32 C39:C42 C45:C47 C19:C23 C63:C64 C71:C74 C77:C79 C51:C55 C83:C87 C104:C107 C110:C112 C95:C97 C116:C120 C137:C140 C143:C145 C128:C130 C149:C153 C194:C196 C170:C173 C176:C178 C182:C186 C227:C229 C203:C206 C209:C211 C215:C219 C260:C262 C236:C239 C242:C244 C248:C252 C293:C294 C269:C272 C275:C277 C281:C285">
      <formula1>CLBuildingTypes</formula1>
    </dataValidation>
  </dataValidation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sheetPr>
    <tabColor rgb="FF7030A0"/>
  </sheetPr>
  <dimension ref="A1:AL612"/>
  <sheetViews>
    <sheetView topLeftCell="A574" zoomScaleNormal="100" workbookViewId="0">
      <selection activeCell="AI455" sqref="AI455"/>
    </sheetView>
  </sheetViews>
  <sheetFormatPr defaultRowHeight="14.4"/>
  <cols>
    <col min="1" max="1" width="11.33203125" bestFit="1" customWidth="1"/>
    <col min="2" max="2" width="23.44140625" bestFit="1" customWidth="1"/>
    <col min="3" max="3" width="14.109375" bestFit="1" customWidth="1"/>
    <col min="4" max="4" width="5" bestFit="1" customWidth="1"/>
    <col min="5" max="5" width="28" customWidth="1"/>
    <col min="6" max="6" width="24.5546875" hidden="1" customWidth="1"/>
    <col min="7" max="7" width="26" hidden="1" customWidth="1"/>
    <col min="8" max="8" width="27.44140625" hidden="1" customWidth="1"/>
    <col min="9" max="9" width="25.88671875" hidden="1" customWidth="1"/>
    <col min="10" max="10" width="32.44140625" hidden="1" customWidth="1"/>
    <col min="11" max="11" width="34" hidden="1" customWidth="1"/>
    <col min="12" max="12" width="33.44140625" hidden="1" customWidth="1"/>
    <col min="13" max="13" width="36.33203125" hidden="1" customWidth="1"/>
    <col min="14" max="14" width="41.33203125" hidden="1" customWidth="1"/>
    <col min="15" max="15" width="23" hidden="1" customWidth="1"/>
    <col min="16" max="16" width="25" hidden="1" customWidth="1"/>
    <col min="17" max="17" width="32" hidden="1" customWidth="1"/>
    <col min="18" max="28" width="32.6640625" style="187" hidden="1" customWidth="1"/>
    <col min="29" max="29" width="32.6640625" hidden="1" customWidth="1"/>
    <col min="30" max="30" width="17.44140625" style="187" hidden="1" customWidth="1"/>
    <col min="31" max="32" width="18.33203125" style="187" hidden="1" customWidth="1"/>
    <col min="33" max="34" width="15.6640625" style="187" hidden="1" customWidth="1"/>
    <col min="35" max="35" width="15.6640625" style="187" customWidth="1"/>
    <col min="36" max="36" width="15.6640625" style="199" customWidth="1"/>
    <col min="37" max="37" width="15.6640625" customWidth="1"/>
    <col min="38" max="38" width="9.5546875" bestFit="1" customWidth="1"/>
  </cols>
  <sheetData>
    <row r="1" spans="1:38" ht="57.6">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77" t="str">
        <f>sim_annual_output!I1&amp;"/m2"</f>
        <v>Electricity-Heating KWh/m2</v>
      </c>
      <c r="H1" s="177" t="str">
        <f>sim_annual_output!J1&amp;"/m2"</f>
        <v>Natural Gas-Heating KWh/m2</v>
      </c>
      <c r="I1" s="177" t="str">
        <f>sim_annual_output!K1&amp;"/m2"</f>
        <v>Electricity-Cooling KWh/m2</v>
      </c>
      <c r="J1" s="177" t="str">
        <f>sim_annual_output!L1&amp;"/m2"</f>
        <v>Electricity-Water Systems KWh/m2</v>
      </c>
      <c r="K1" s="177" t="str">
        <f>sim_annual_output!M1&amp;"/m2"</f>
        <v>Natural Gas-Water Systems KWh/m2</v>
      </c>
      <c r="L1" s="177" t="str">
        <f>sim_annual_output!N1&amp;"/m2"</f>
        <v>Electricity-Interior Lighting KWh/m2</v>
      </c>
      <c r="M1" s="177" t="str">
        <f>sim_annual_output!O1&amp;"/m2"</f>
        <v>Electricity-Interior Equipment KWh/m2</v>
      </c>
      <c r="N1" s="177" t="str">
        <f>sim_annual_output!P1&amp;"/m2"</f>
        <v>District Heating-Interior Equipment KWh/m2</v>
      </c>
      <c r="O1" s="177" t="str">
        <f>sim_annual_output!Q1&amp;"/m2"</f>
        <v>Electricity-Fans KWh/m2</v>
      </c>
      <c r="P1" s="177" t="str">
        <f>sim_annual_output!R1&amp;"/m2"</f>
        <v>Electricity-Pumps KWh/m2</v>
      </c>
      <c r="Q1" s="177" t="str">
        <f>sim_annual_output!S1&amp;"/m2"</f>
        <v>Electricity-Heat Recovery KWh/m2</v>
      </c>
      <c r="R1" s="193" t="s">
        <v>1033</v>
      </c>
      <c r="S1" s="193" t="s">
        <v>1034</v>
      </c>
      <c r="T1" s="193" t="s">
        <v>1035</v>
      </c>
      <c r="U1" s="193" t="s">
        <v>1036</v>
      </c>
      <c r="V1" s="193" t="s">
        <v>1037</v>
      </c>
      <c r="W1" s="193" t="s">
        <v>1038</v>
      </c>
      <c r="X1" s="193" t="s">
        <v>1039</v>
      </c>
      <c r="Y1" s="193" t="s">
        <v>1040</v>
      </c>
      <c r="Z1" s="193" t="s">
        <v>1041</v>
      </c>
      <c r="AA1" s="193" t="s">
        <v>1042</v>
      </c>
      <c r="AB1" s="193" t="s">
        <v>1043</v>
      </c>
      <c r="AC1" s="193" t="s">
        <v>1044</v>
      </c>
      <c r="AD1" s="194" t="s">
        <v>1045</v>
      </c>
      <c r="AE1" s="194" t="s">
        <v>1046</v>
      </c>
      <c r="AF1" s="194" t="s">
        <v>1050</v>
      </c>
      <c r="AG1" s="194" t="s">
        <v>1047</v>
      </c>
      <c r="AH1" s="194" t="s">
        <v>1048</v>
      </c>
      <c r="AI1" s="194" t="s">
        <v>1049</v>
      </c>
      <c r="AJ1" s="199" t="s">
        <v>1069</v>
      </c>
      <c r="AK1" s="196" t="s">
        <v>1070</v>
      </c>
      <c r="AL1" s="194" t="s">
        <v>1099</v>
      </c>
    </row>
    <row r="2" spans="1:38">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f>model_eui_end_uses!G2*base_scenario_arch_measures!$F2</f>
        <v>0</v>
      </c>
      <c r="H2">
        <f>model_eui_end_uses!H2*base_scenario_arch_measures!$F2</f>
        <v>7.9332104113498119</v>
      </c>
      <c r="I2">
        <f>model_eui_end_uses!I2*base_scenario_arch_measures!$F2</f>
        <v>0.22143793376241472</v>
      </c>
      <c r="J2">
        <f>model_eui_end_uses!J2*base_scenario_arch_measures!$F2</f>
        <v>0</v>
      </c>
      <c r="K2">
        <f>model_eui_end_uses!K2*base_scenario_arch_measures!$F2</f>
        <v>1.930177857918155</v>
      </c>
      <c r="L2">
        <f>model_eui_end_uses!L2*base_scenario_arch_measures!$F2</f>
        <v>0.90283436260754102</v>
      </c>
      <c r="M2">
        <f>model_eui_end_uses!M2*base_scenario_arch_measures!$F2</f>
        <v>0.24933637765117178</v>
      </c>
      <c r="N2">
        <f>model_eui_end_uses!N2*base_scenario_arch_measures!$F2</f>
        <v>0</v>
      </c>
      <c r="O2">
        <f>model_eui_end_uses!O2*base_scenario_arch_measures!$F2</f>
        <v>0.51457836755363029</v>
      </c>
      <c r="P2">
        <f>model_eui_end_uses!P2*base_scenario_arch_measures!$F2</f>
        <v>0.37969877566271831</v>
      </c>
      <c r="Q2">
        <f>model_eui_end_uses!Q2*base_scenario_arch_measures!$F2</f>
        <v>0</v>
      </c>
      <c r="R2" s="187">
        <f>model_eui_end_uses!R2*base_building_arch_areas!$N$12</f>
        <v>0</v>
      </c>
      <c r="S2" s="187">
        <f>model_eui_end_uses!S2*base_building_arch_areas!$N$12</f>
        <v>1751531.942198541</v>
      </c>
      <c r="T2" s="187">
        <f>model_eui_end_uses!T2*base_building_arch_areas!$N$12</f>
        <v>17690.828935855905</v>
      </c>
      <c r="U2" s="187">
        <f>model_eui_end_uses!U2*base_building_arch_areas!$N$12</f>
        <v>0</v>
      </c>
      <c r="V2" s="187">
        <f>model_eui_end_uses!V2*base_building_arch_areas!$N$12</f>
        <v>446702.63310067786</v>
      </c>
      <c r="W2" s="187">
        <f>model_eui_end_uses!W2*base_building_arch_areas!$N$12</f>
        <v>208940.24803517541</v>
      </c>
      <c r="X2" s="187">
        <f>model_eui_end_uses!X2*base_building_arch_areas!$N$12</f>
        <v>57703.169870677732</v>
      </c>
      <c r="Y2" s="187">
        <f>model_eui_end_uses!Y2*base_building_arch_areas!$N$12</f>
        <v>0</v>
      </c>
      <c r="Z2" s="187">
        <f>model_eui_end_uses!Z2*base_building_arch_areas!$N$12</f>
        <v>116157.26131915709</v>
      </c>
      <c r="AA2" s="187">
        <f>model_eui_end_uses!AA2*base_building_arch_areas!$N$12</f>
        <v>79060.262980506275</v>
      </c>
      <c r="AB2" s="187">
        <f>model_eui_end_uses!AB2*base_building_arch_areas!$N$12</f>
        <v>0</v>
      </c>
      <c r="AC2" s="187">
        <f>model_eui_end_uses!AC2*base_building_arch_areas!$N$12</f>
        <v>2677786.3464405909</v>
      </c>
      <c r="AD2" s="187">
        <f>model_eui_end_uses!AD2*base_building_arch_areas!$N$12</f>
        <v>-84419.7816926589</v>
      </c>
      <c r="AE2" s="187">
        <f>model_eui_end_uses!AE2*base_building_arch_areas!$N$12</f>
        <v>-45298.239884444993</v>
      </c>
      <c r="AF2" s="187">
        <f>SUM(AD2:AE2)</f>
        <v>-129718.02157710389</v>
      </c>
      <c r="AG2" s="187">
        <f>model_eui_end_uses!AH2*base_building_arch_areas!$N$12</f>
        <v>-1367.600463421074</v>
      </c>
      <c r="AH2" s="187">
        <f>model_eui_end_uses!AI2*base_building_arch_areas!$N$12</f>
        <v>-5118.7011069422842</v>
      </c>
      <c r="AI2" s="187">
        <f>SUM(AG2:AH2)</f>
        <v>-6486.3015703633582</v>
      </c>
      <c r="AJ2" s="200">
        <f>sim_annual_output!F2/sim_annual_output!H2*base_building_arch_areas!$N$12</f>
        <v>54343.762758036355</v>
      </c>
      <c r="AK2">
        <f>IF(AI2=0,0,AJ2/AI2)</f>
        <v>-8.3782356044527937</v>
      </c>
      <c r="AL2" s="191"/>
    </row>
    <row r="3" spans="1:38">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f>model_eui_end_uses!G3*base_scenario_arch_measures!$F3</f>
        <v>0</v>
      </c>
      <c r="H3">
        <f>model_eui_end_uses!H3*base_scenario_arch_measures!$F3</f>
        <v>7.5683992887542981</v>
      </c>
      <c r="I3">
        <f>model_eui_end_uses!I3*base_scenario_arch_measures!$F3</f>
        <v>7.6442372479684328E-2</v>
      </c>
      <c r="J3">
        <f>model_eui_end_uses!J3*base_scenario_arch_measures!$F3</f>
        <v>0</v>
      </c>
      <c r="K3">
        <f>model_eui_end_uses!K3*base_scenario_arch_measures!$F3</f>
        <v>1.9302096691426576</v>
      </c>
      <c r="L3">
        <f>model_eui_end_uses!L3*base_scenario_arch_measures!$F3</f>
        <v>0.90283436260754102</v>
      </c>
      <c r="M3">
        <f>model_eui_end_uses!M3*base_scenario_arch_measures!$F3</f>
        <v>0.24933637765117178</v>
      </c>
      <c r="N3">
        <f>model_eui_end_uses!N3*base_scenario_arch_measures!$F3</f>
        <v>0</v>
      </c>
      <c r="O3">
        <f>model_eui_end_uses!O3*base_scenario_arch_measures!$F3</f>
        <v>0.50191750020160597</v>
      </c>
      <c r="P3">
        <f>model_eui_end_uses!P3*base_scenario_arch_measures!$F3</f>
        <v>0.34162073993313774</v>
      </c>
      <c r="Q3">
        <f>model_eui_end_uses!Q3*base_scenario_arch_measures!$F3</f>
        <v>0</v>
      </c>
      <c r="R3" s="187">
        <f>model_eui_end_uses!R3*base_building_arch_areas!$N$12</f>
        <v>0</v>
      </c>
      <c r="S3" s="187">
        <f>model_eui_end_uses!S3*base_building_arch_areas!$N$12</f>
        <v>1751531.942198541</v>
      </c>
      <c r="T3" s="187">
        <f>model_eui_end_uses!T3*base_building_arch_areas!$N$12</f>
        <v>17690.828935855905</v>
      </c>
      <c r="U3" s="187">
        <f>model_eui_end_uses!U3*base_building_arch_areas!$N$12</f>
        <v>0</v>
      </c>
      <c r="V3" s="187">
        <f>model_eui_end_uses!V3*base_building_arch_areas!$N$12</f>
        <v>446702.63310067786</v>
      </c>
      <c r="W3" s="187">
        <f>model_eui_end_uses!W3*base_building_arch_areas!$N$12</f>
        <v>208940.24803517541</v>
      </c>
      <c r="X3" s="187">
        <f>model_eui_end_uses!X3*base_building_arch_areas!$N$12</f>
        <v>57703.169870677732</v>
      </c>
      <c r="Y3" s="187">
        <f>model_eui_end_uses!Y3*base_building_arch_areas!$N$12</f>
        <v>0</v>
      </c>
      <c r="Z3" s="187">
        <f>model_eui_end_uses!Z3*base_building_arch_areas!$N$12</f>
        <v>116157.26131915709</v>
      </c>
      <c r="AA3" s="187">
        <f>model_eui_end_uses!AA3*base_building_arch_areas!$N$12</f>
        <v>79060.262980506275</v>
      </c>
      <c r="AB3" s="187">
        <f>model_eui_end_uses!AB3*base_building_arch_areas!$N$12</f>
        <v>0</v>
      </c>
      <c r="AC3" s="187">
        <f>model_eui_end_uses!AC3*base_building_arch_areas!$N$12</f>
        <v>2677786.3464405909</v>
      </c>
      <c r="AD3" s="187">
        <f>model_eui_end_uses!AD3*base_building_arch_areas!$N$12</f>
        <v>0</v>
      </c>
      <c r="AE3" s="187">
        <f>model_eui_end_uses!AE3*base_building_arch_areas!$N$12</f>
        <v>0</v>
      </c>
      <c r="AF3" s="187">
        <f t="shared" ref="AF3:AF23" si="0">SUM(AD3:AE3)</f>
        <v>0</v>
      </c>
      <c r="AG3" s="187">
        <f>model_eui_end_uses!AH3*base_building_arch_areas!$N$12</f>
        <v>0</v>
      </c>
      <c r="AH3" s="187">
        <f>model_eui_end_uses!AI3*base_building_arch_areas!$N$12</f>
        <v>0</v>
      </c>
      <c r="AI3" s="187">
        <f t="shared" ref="AI3:AI23" si="1">SUM(AG3:AH3)</f>
        <v>0</v>
      </c>
      <c r="AJ3" s="200">
        <f>sim_annual_output!F3/sim_annual_output!H3*base_building_arch_areas!$N$12</f>
        <v>0</v>
      </c>
      <c r="AK3">
        <f t="shared" ref="AK3:AK46" si="2">IF(AI3=0,0,AJ3/AI3)</f>
        <v>0</v>
      </c>
    </row>
    <row r="4" spans="1:38">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f>model_eui_end_uses!G4*base_scenario_arch_measures!$F4</f>
        <v>0</v>
      </c>
      <c r="H4">
        <f>model_eui_end_uses!H4*base_scenario_arch_measures!$F4</f>
        <v>7.4524155642179144</v>
      </c>
      <c r="I4">
        <f>model_eui_end_uses!I4*base_scenario_arch_measures!$F4</f>
        <v>9.3429566364058636E-2</v>
      </c>
      <c r="J4">
        <f>model_eui_end_uses!J4*base_scenario_arch_measures!$F4</f>
        <v>0</v>
      </c>
      <c r="K4">
        <f>model_eui_end_uses!K4*base_scenario_arch_measures!$F4</f>
        <v>1.9302096691426576</v>
      </c>
      <c r="L4">
        <f>model_eui_end_uses!L4*base_scenario_arch_measures!$F4</f>
        <v>0.90283436260754102</v>
      </c>
      <c r="M4">
        <f>model_eui_end_uses!M4*base_scenario_arch_measures!$F4</f>
        <v>0.24933637765117178</v>
      </c>
      <c r="N4">
        <f>model_eui_end_uses!N4*base_scenario_arch_measures!$F4</f>
        <v>0</v>
      </c>
      <c r="O4">
        <f>model_eui_end_uses!O4*base_scenario_arch_measures!$F4</f>
        <v>0.51457836755363029</v>
      </c>
      <c r="P4">
        <f>model_eui_end_uses!P4*base_scenario_arch_measures!$F4</f>
        <v>0.3493826787117657</v>
      </c>
      <c r="Q4">
        <f>model_eui_end_uses!Q4*base_scenario_arch_measures!$F4</f>
        <v>0</v>
      </c>
      <c r="R4" s="187">
        <f>model_eui_end_uses!R4*base_building_arch_areas!$N$12</f>
        <v>0</v>
      </c>
      <c r="S4" s="187">
        <f>model_eui_end_uses!S4*base_building_arch_areas!$N$12</f>
        <v>1751531.942198541</v>
      </c>
      <c r="T4" s="187">
        <f>model_eui_end_uses!T4*base_building_arch_areas!$N$12</f>
        <v>17690.828935855905</v>
      </c>
      <c r="U4" s="187">
        <f>model_eui_end_uses!U4*base_building_arch_areas!$N$12</f>
        <v>0</v>
      </c>
      <c r="V4" s="187">
        <f>model_eui_end_uses!V4*base_building_arch_areas!$N$12</f>
        <v>446702.63310067786</v>
      </c>
      <c r="W4" s="187">
        <f>model_eui_end_uses!W4*base_building_arch_areas!$N$12</f>
        <v>208940.24803517541</v>
      </c>
      <c r="X4" s="187">
        <f>model_eui_end_uses!X4*base_building_arch_areas!$N$12</f>
        <v>57703.169870677732</v>
      </c>
      <c r="Y4" s="187">
        <f>model_eui_end_uses!Y4*base_building_arch_areas!$N$12</f>
        <v>0</v>
      </c>
      <c r="Z4" s="187">
        <f>model_eui_end_uses!Z4*base_building_arch_areas!$N$12</f>
        <v>116157.26131915709</v>
      </c>
      <c r="AA4" s="187">
        <f>model_eui_end_uses!AA4*base_building_arch_areas!$N$12</f>
        <v>79060.262980506275</v>
      </c>
      <c r="AB4" s="187">
        <f>model_eui_end_uses!AB4*base_building_arch_areas!$N$12</f>
        <v>0</v>
      </c>
      <c r="AC4" s="187">
        <f>model_eui_end_uses!AC4*base_building_arch_areas!$N$12</f>
        <v>2677786.3464405909</v>
      </c>
      <c r="AD4" s="187">
        <f>model_eui_end_uses!AD4*base_building_arch_areas!$N$12</f>
        <v>26841.765418281673</v>
      </c>
      <c r="AE4" s="187">
        <f>model_eui_end_uses!AE4*base_building_arch_areas!$N$12</f>
        <v>-8657.6840734775724</v>
      </c>
      <c r="AF4" s="187">
        <f t="shared" si="0"/>
        <v>18184.081344804101</v>
      </c>
      <c r="AG4" s="187">
        <f>model_eui_end_uses!AH4*base_building_arch_areas!$N$12</f>
        <v>434.8365997761631</v>
      </c>
      <c r="AH4" s="187">
        <f>model_eui_end_uses!AI4*base_building_arch_areas!$N$12</f>
        <v>-978.31830030296567</v>
      </c>
      <c r="AI4" s="187">
        <f t="shared" si="1"/>
        <v>-543.48170052680257</v>
      </c>
      <c r="AJ4" s="200">
        <f>sim_annual_output!F4/sim_annual_output!H4*base_building_arch_areas!$N$12</f>
        <v>336607.2832186505</v>
      </c>
      <c r="AK4">
        <f t="shared" si="2"/>
        <v>-619.35348125313783</v>
      </c>
    </row>
    <row r="5" spans="1:38">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f>model_eui_end_uses!G5*base_scenario_arch_measures!$F5</f>
        <v>0</v>
      </c>
      <c r="H5">
        <f>model_eui_end_uses!H5*base_scenario_arch_measures!$F5</f>
        <v>4.9507490581110254</v>
      </c>
      <c r="I5">
        <f>model_eui_end_uses!I5*base_scenario_arch_measures!$F5</f>
        <v>9.3429566364058636E-2</v>
      </c>
      <c r="J5">
        <f>model_eui_end_uses!J5*base_scenario_arch_measures!$F5</f>
        <v>0</v>
      </c>
      <c r="K5">
        <f>model_eui_end_uses!K5*base_scenario_arch_measures!$F5</f>
        <v>1.9302096691426576</v>
      </c>
      <c r="L5">
        <f>model_eui_end_uses!L5*base_scenario_arch_measures!$F5</f>
        <v>0.90283436260754102</v>
      </c>
      <c r="M5">
        <f>model_eui_end_uses!M5*base_scenario_arch_measures!$F5</f>
        <v>0.24933637765117178</v>
      </c>
      <c r="N5">
        <f>model_eui_end_uses!N5*base_scenario_arch_measures!$F5</f>
        <v>0</v>
      </c>
      <c r="O5">
        <f>model_eui_end_uses!O5*base_scenario_arch_measures!$F5</f>
        <v>0.51457836755363029</v>
      </c>
      <c r="P5">
        <f>model_eui_end_uses!P5*base_scenario_arch_measures!$F5</f>
        <v>8.8753316362180316E-3</v>
      </c>
      <c r="Q5">
        <f>model_eui_end_uses!Q5*base_scenario_arch_measures!$F5</f>
        <v>0</v>
      </c>
      <c r="R5" s="187">
        <f>model_eui_end_uses!R5*base_building_arch_areas!$N$12</f>
        <v>0</v>
      </c>
      <c r="S5" s="187">
        <f>model_eui_end_uses!S5*base_building_arch_areas!$N$12</f>
        <v>1751531.942198541</v>
      </c>
      <c r="T5" s="187">
        <f>model_eui_end_uses!T5*base_building_arch_areas!$N$12</f>
        <v>17690.828935855905</v>
      </c>
      <c r="U5" s="187">
        <f>model_eui_end_uses!U5*base_building_arch_areas!$N$12</f>
        <v>0</v>
      </c>
      <c r="V5" s="187">
        <f>model_eui_end_uses!V5*base_building_arch_areas!$N$12</f>
        <v>446702.63310067786</v>
      </c>
      <c r="W5" s="187">
        <f>model_eui_end_uses!W5*base_building_arch_areas!$N$12</f>
        <v>208940.24803517541</v>
      </c>
      <c r="X5" s="187">
        <f>model_eui_end_uses!X5*base_building_arch_areas!$N$12</f>
        <v>57703.169870677732</v>
      </c>
      <c r="Y5" s="187">
        <f>model_eui_end_uses!Y5*base_building_arch_areas!$N$12</f>
        <v>0</v>
      </c>
      <c r="Z5" s="187">
        <f>model_eui_end_uses!Z5*base_building_arch_areas!$N$12</f>
        <v>116157.26131915709</v>
      </c>
      <c r="AA5" s="187">
        <f>model_eui_end_uses!AA5*base_building_arch_areas!$N$12</f>
        <v>79060.262980506275</v>
      </c>
      <c r="AB5" s="187">
        <f>model_eui_end_uses!AB5*base_building_arch_areas!$N$12</f>
        <v>0</v>
      </c>
      <c r="AC5" s="187">
        <f>model_eui_end_uses!AC5*base_building_arch_areas!$N$12</f>
        <v>2677786.3464405909</v>
      </c>
      <c r="AD5" s="187">
        <f>model_eui_end_uses!AD5*base_building_arch_areas!$N$12</f>
        <v>605794.93992708076</v>
      </c>
      <c r="AE5" s="187">
        <f>model_eui_end_uses!AE5*base_building_arch_areas!$N$12</f>
        <v>70144.909738175207</v>
      </c>
      <c r="AF5" s="187">
        <f t="shared" si="0"/>
        <v>675939.84966525598</v>
      </c>
      <c r="AG5" s="187">
        <f>model_eui_end_uses!AH5*base_building_arch_areas!$N$12</f>
        <v>9813.8780268187074</v>
      </c>
      <c r="AH5" s="187">
        <f>model_eui_end_uses!AI5*base_building_arch_areas!$N$12</f>
        <v>7926.3748004137988</v>
      </c>
      <c r="AI5" s="187">
        <f t="shared" si="1"/>
        <v>17740.252827232507</v>
      </c>
      <c r="AJ5" s="200">
        <f>sim_annual_output!F5/sim_annual_output!H5*base_building_arch_areas!$N$12</f>
        <v>4787.1140263941661</v>
      </c>
      <c r="AK5">
        <f t="shared" si="2"/>
        <v>0.26984474646525991</v>
      </c>
    </row>
    <row r="6" spans="1:38">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f>model_eui_end_uses!G6*base_scenario_arch_measures!$F6</f>
        <v>0</v>
      </c>
      <c r="H6">
        <f>model_eui_end_uses!H6*base_scenario_arch_measures!$F6</f>
        <v>7.4524155642179144</v>
      </c>
      <c r="I6">
        <f>model_eui_end_uses!I6*base_scenario_arch_measures!$F6</f>
        <v>6.6739949006399374E-2</v>
      </c>
      <c r="J6">
        <f>model_eui_end_uses!J6*base_scenario_arch_measures!$F6</f>
        <v>0</v>
      </c>
      <c r="K6">
        <f>model_eui_end_uses!K6*base_scenario_arch_measures!$F6</f>
        <v>1.9302096691426576</v>
      </c>
      <c r="L6">
        <f>model_eui_end_uses!L6*base_scenario_arch_measures!$F6</f>
        <v>0.90283436260754102</v>
      </c>
      <c r="M6">
        <f>model_eui_end_uses!M6*base_scenario_arch_measures!$F6</f>
        <v>0.24933637765117178</v>
      </c>
      <c r="N6">
        <f>model_eui_end_uses!N6*base_scenario_arch_measures!$F6</f>
        <v>0</v>
      </c>
      <c r="O6">
        <f>model_eui_end_uses!O6*base_scenario_arch_measures!$F6</f>
        <v>0.51457836755363029</v>
      </c>
      <c r="P6">
        <f>model_eui_end_uses!P6*base_scenario_arch_measures!$F6</f>
        <v>0.3493826787117657</v>
      </c>
      <c r="Q6">
        <f>model_eui_end_uses!Q6*base_scenario_arch_measures!$F6</f>
        <v>0</v>
      </c>
      <c r="R6" s="187">
        <f>model_eui_end_uses!R6*base_building_arch_areas!$N$12</f>
        <v>0</v>
      </c>
      <c r="S6" s="187">
        <f>model_eui_end_uses!S6*base_building_arch_areas!$N$12</f>
        <v>1751531.942198541</v>
      </c>
      <c r="T6" s="187">
        <f>model_eui_end_uses!T6*base_building_arch_areas!$N$12</f>
        <v>17690.828935855905</v>
      </c>
      <c r="U6" s="187">
        <f>model_eui_end_uses!U6*base_building_arch_areas!$N$12</f>
        <v>0</v>
      </c>
      <c r="V6" s="187">
        <f>model_eui_end_uses!V6*base_building_arch_areas!$N$12</f>
        <v>446702.63310067786</v>
      </c>
      <c r="W6" s="187">
        <f>model_eui_end_uses!W6*base_building_arch_areas!$N$12</f>
        <v>208940.24803517541</v>
      </c>
      <c r="X6" s="187">
        <f>model_eui_end_uses!X6*base_building_arch_areas!$N$12</f>
        <v>57703.169870677732</v>
      </c>
      <c r="Y6" s="187">
        <f>model_eui_end_uses!Y6*base_building_arch_areas!$N$12</f>
        <v>0</v>
      </c>
      <c r="Z6" s="187">
        <f>model_eui_end_uses!Z6*base_building_arch_areas!$N$12</f>
        <v>116157.26131915709</v>
      </c>
      <c r="AA6" s="187">
        <f>model_eui_end_uses!AA6*base_building_arch_areas!$N$12</f>
        <v>79060.262980506275</v>
      </c>
      <c r="AB6" s="187">
        <f>model_eui_end_uses!AB6*base_building_arch_areas!$N$12</f>
        <v>0</v>
      </c>
      <c r="AC6" s="187">
        <f>model_eui_end_uses!AC6*base_building_arch_areas!$N$12</f>
        <v>2677786.3464405909</v>
      </c>
      <c r="AD6" s="187">
        <f>model_eui_end_uses!AD6*base_building_arch_areas!$N$12</f>
        <v>26841.765418281673</v>
      </c>
      <c r="AE6" s="187">
        <f>model_eui_end_uses!AE6*base_building_arch_areas!$N$12</f>
        <v>-2480.9859972464938</v>
      </c>
      <c r="AF6" s="187">
        <f t="shared" si="0"/>
        <v>24360.779421035179</v>
      </c>
      <c r="AG6" s="187">
        <f>model_eui_end_uses!AH6*base_building_arch_areas!$N$12</f>
        <v>434.8365997761631</v>
      </c>
      <c r="AH6" s="187">
        <f>model_eui_end_uses!AI6*base_building_arch_areas!$N$12</f>
        <v>-280.35141768885376</v>
      </c>
      <c r="AI6" s="187">
        <f t="shared" si="1"/>
        <v>154.48518208730934</v>
      </c>
      <c r="AJ6" s="200">
        <f>sim_annual_output!F6/sim_annual_output!H6*base_building_arch_areas!$N$12</f>
        <v>76348.422550580261</v>
      </c>
      <c r="AK6">
        <f t="shared" si="2"/>
        <v>494.21194653757112</v>
      </c>
    </row>
    <row r="7" spans="1:38">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f>model_eui_end_uses!G7*base_scenario_arch_measures!$F7</f>
        <v>0</v>
      </c>
      <c r="H7">
        <f>model_eui_end_uses!H7*base_scenario_arch_measures!$F7</f>
        <v>7.1980848243198379</v>
      </c>
      <c r="I7">
        <f>model_eui_end_uses!I7*base_scenario_arch_measures!$F7</f>
        <v>0.10475436228697481</v>
      </c>
      <c r="J7">
        <f>model_eui_end_uses!J7*base_scenario_arch_measures!$F7</f>
        <v>0</v>
      </c>
      <c r="K7">
        <f>model_eui_end_uses!K7*base_scenario_arch_measures!$F7</f>
        <v>1.9302096691426576</v>
      </c>
      <c r="L7">
        <f>model_eui_end_uses!L7*base_scenario_arch_measures!$F7</f>
        <v>0.90283436260754102</v>
      </c>
      <c r="M7">
        <f>model_eui_end_uses!M7*base_scenario_arch_measures!$F7</f>
        <v>0.24933637765117178</v>
      </c>
      <c r="N7">
        <f>model_eui_end_uses!N7*base_scenario_arch_measures!$F7</f>
        <v>0</v>
      </c>
      <c r="O7">
        <f>model_eui_end_uses!O7*base_scenario_arch_measures!$F7</f>
        <v>0.51457836755363029</v>
      </c>
      <c r="P7">
        <f>model_eui_end_uses!P7*base_scenario_arch_measures!$F7</f>
        <v>0.34620155626150834</v>
      </c>
      <c r="Q7">
        <f>model_eui_end_uses!Q7*base_scenario_arch_measures!$F7</f>
        <v>0</v>
      </c>
      <c r="R7" s="187">
        <f>model_eui_end_uses!R7*base_building_arch_areas!$N$12</f>
        <v>0</v>
      </c>
      <c r="S7" s="187">
        <f>model_eui_end_uses!S7*base_building_arch_areas!$N$12</f>
        <v>1751531.942198541</v>
      </c>
      <c r="T7" s="187">
        <f>model_eui_end_uses!T7*base_building_arch_areas!$N$12</f>
        <v>17690.828935855905</v>
      </c>
      <c r="U7" s="187">
        <f>model_eui_end_uses!U7*base_building_arch_areas!$N$12</f>
        <v>0</v>
      </c>
      <c r="V7" s="187">
        <f>model_eui_end_uses!V7*base_building_arch_areas!$N$12</f>
        <v>446702.63310067786</v>
      </c>
      <c r="W7" s="187">
        <f>model_eui_end_uses!W7*base_building_arch_areas!$N$12</f>
        <v>208940.24803517541</v>
      </c>
      <c r="X7" s="187">
        <f>model_eui_end_uses!X7*base_building_arch_areas!$N$12</f>
        <v>57703.169870677732</v>
      </c>
      <c r="Y7" s="187">
        <f>model_eui_end_uses!Y7*base_building_arch_areas!$N$12</f>
        <v>0</v>
      </c>
      <c r="Z7" s="187">
        <f>model_eui_end_uses!Z7*base_building_arch_areas!$N$12</f>
        <v>116157.26131915709</v>
      </c>
      <c r="AA7" s="187">
        <f>model_eui_end_uses!AA7*base_building_arch_areas!$N$12</f>
        <v>79060.262980506275</v>
      </c>
      <c r="AB7" s="187">
        <f>model_eui_end_uses!AB7*base_building_arch_areas!$N$12</f>
        <v>0</v>
      </c>
      <c r="AC7" s="187">
        <f>model_eui_end_uses!AC7*base_building_arch_areas!$N$12</f>
        <v>2677786.3464405909</v>
      </c>
      <c r="AD7" s="187">
        <f>model_eui_end_uses!AD7*base_building_arch_areas!$N$12</f>
        <v>85700.765560673826</v>
      </c>
      <c r="AE7" s="187">
        <f>model_eui_end_uses!AE7*base_building_arch_areas!$N$12</f>
        <v>-10542.349994234612</v>
      </c>
      <c r="AF7" s="187">
        <f t="shared" si="0"/>
        <v>75158.415566439216</v>
      </c>
      <c r="AG7" s="187">
        <f>model_eui_end_uses!AH7*base_building_arch_areas!$N$12</f>
        <v>1388.3524020829159</v>
      </c>
      <c r="AH7" s="187">
        <f>model_eui_end_uses!AI7*base_building_arch_areas!$N$12</f>
        <v>-1191.285549348511</v>
      </c>
      <c r="AI7" s="187">
        <f t="shared" si="1"/>
        <v>197.06685273440485</v>
      </c>
      <c r="AJ7" s="200">
        <f>sim_annual_output!F7/sim_annual_output!H7*base_building_arch_areas!$N$12</f>
        <v>321515.66061671975</v>
      </c>
      <c r="AK7">
        <f t="shared" si="2"/>
        <v>1631.5055330489279</v>
      </c>
    </row>
    <row r="8" spans="1:38">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f>model_eui_end_uses!G8*base_scenario_arch_measures!$F8</f>
        <v>0</v>
      </c>
      <c r="H8">
        <f>model_eui_end_uses!H8*base_scenario_arch_measures!$F8</f>
        <v>7.4338696203329135</v>
      </c>
      <c r="I8">
        <f>model_eui_end_uses!I8*base_scenario_arch_measures!$F8</f>
        <v>0.189340408239318</v>
      </c>
      <c r="J8">
        <f>model_eui_end_uses!J8*base_scenario_arch_measures!$F8</f>
        <v>0</v>
      </c>
      <c r="K8">
        <f>model_eui_end_uses!K8*base_scenario_arch_measures!$F8</f>
        <v>1.9301460466936522</v>
      </c>
      <c r="L8">
        <f>model_eui_end_uses!L8*base_scenario_arch_measures!$F8</f>
        <v>0.90283436260754102</v>
      </c>
      <c r="M8">
        <f>model_eui_end_uses!M8*base_scenario_arch_measures!$F8</f>
        <v>0.24933637765117178</v>
      </c>
      <c r="N8">
        <f>model_eui_end_uses!N8*base_scenario_arch_measures!$F8</f>
        <v>0</v>
      </c>
      <c r="O8">
        <f>model_eui_end_uses!O8*base_scenario_arch_measures!$F8</f>
        <v>0.51457836755363029</v>
      </c>
      <c r="P8">
        <f>model_eui_end_uses!P8*base_scenario_arch_measures!$F8</f>
        <v>0.35552224504076241</v>
      </c>
      <c r="Q8">
        <f>model_eui_end_uses!Q8*base_scenario_arch_measures!$F8</f>
        <v>0</v>
      </c>
      <c r="R8" s="187">
        <f>model_eui_end_uses!R8*base_building_arch_areas!$N$12</f>
        <v>0</v>
      </c>
      <c r="S8" s="187">
        <f>model_eui_end_uses!S8*base_building_arch_areas!$N$12</f>
        <v>1751531.942198541</v>
      </c>
      <c r="T8" s="187">
        <f>model_eui_end_uses!T8*base_building_arch_areas!$N$12</f>
        <v>17690.828935855905</v>
      </c>
      <c r="U8" s="187">
        <f>model_eui_end_uses!U8*base_building_arch_areas!$N$12</f>
        <v>0</v>
      </c>
      <c r="V8" s="187">
        <f>model_eui_end_uses!V8*base_building_arch_areas!$N$12</f>
        <v>446702.63310067786</v>
      </c>
      <c r="W8" s="187">
        <f>model_eui_end_uses!W8*base_building_arch_areas!$N$12</f>
        <v>208940.24803517541</v>
      </c>
      <c r="X8" s="187">
        <f>model_eui_end_uses!X8*base_building_arch_areas!$N$12</f>
        <v>57703.169870677732</v>
      </c>
      <c r="Y8" s="187">
        <f>model_eui_end_uses!Y8*base_building_arch_areas!$N$12</f>
        <v>0</v>
      </c>
      <c r="Z8" s="187">
        <f>model_eui_end_uses!Z8*base_building_arch_areas!$N$12</f>
        <v>116157.26131915709</v>
      </c>
      <c r="AA8" s="187">
        <f>model_eui_end_uses!AA8*base_building_arch_areas!$N$12</f>
        <v>79060.262980506275</v>
      </c>
      <c r="AB8" s="187">
        <f>model_eui_end_uses!AB8*base_building_arch_areas!$N$12</f>
        <v>0</v>
      </c>
      <c r="AC8" s="187">
        <f>model_eui_end_uses!AC8*base_building_arch_areas!$N$12</f>
        <v>2677786.3464405909</v>
      </c>
      <c r="AD8" s="187">
        <f>model_eui_end_uses!AD8*base_building_arch_areas!$N$12</f>
        <v>31148.521526261455</v>
      </c>
      <c r="AE8" s="187">
        <f>model_eui_end_uses!AE8*base_building_arch_areas!$N$12</f>
        <v>-32274.903892963885</v>
      </c>
      <c r="AF8" s="187">
        <f t="shared" si="0"/>
        <v>-1126.3823667024299</v>
      </c>
      <c r="AG8" s="187">
        <f>model_eui_end_uses!AH8*base_building_arch_areas!$N$12</f>
        <v>504.60604872543553</v>
      </c>
      <c r="AH8" s="187">
        <f>model_eui_end_uses!AI8*base_building_arch_areas!$N$12</f>
        <v>-3647.0641399049196</v>
      </c>
      <c r="AI8" s="187">
        <f t="shared" si="1"/>
        <v>-3142.4580911794842</v>
      </c>
      <c r="AJ8" s="200">
        <f>sim_annual_output!F8/sim_annual_output!H8*base_building_arch_areas!$N$12</f>
        <v>54343.762758036355</v>
      </c>
      <c r="AK8">
        <f t="shared" si="2"/>
        <v>-17.293393000394502</v>
      </c>
    </row>
    <row r="9" spans="1:38">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f>model_eui_end_uses!G9*base_scenario_arch_measures!$F9</f>
        <v>0</v>
      </c>
      <c r="H9">
        <f>model_eui_end_uses!H9*base_scenario_arch_measures!$F9</f>
        <v>7.4516839060543543</v>
      </c>
      <c r="I9">
        <f>model_eui_end_uses!I9*base_scenario_arch_measures!$F9</f>
        <v>7.2116045947334312E-2</v>
      </c>
      <c r="J9">
        <f>model_eui_end_uses!J9*base_scenario_arch_measures!$F9</f>
        <v>0</v>
      </c>
      <c r="K9">
        <f>model_eui_end_uses!K9*base_scenario_arch_measures!$F9</f>
        <v>1.9302096691426576</v>
      </c>
      <c r="L9">
        <f>model_eui_end_uses!L9*base_scenario_arch_measures!$F9</f>
        <v>0.90283436260754102</v>
      </c>
      <c r="M9">
        <f>model_eui_end_uses!M9*base_scenario_arch_measures!$F9</f>
        <v>0.24933637765117178</v>
      </c>
      <c r="N9">
        <f>model_eui_end_uses!N9*base_scenario_arch_measures!$F9</f>
        <v>0</v>
      </c>
      <c r="O9">
        <f>model_eui_end_uses!O9*base_scenario_arch_measures!$F9</f>
        <v>0.51457836755363029</v>
      </c>
      <c r="P9">
        <f>model_eui_end_uses!P9*base_scenario_arch_measures!$F9</f>
        <v>0.34849196442569363</v>
      </c>
      <c r="Q9">
        <f>model_eui_end_uses!Q9*base_scenario_arch_measures!$F9</f>
        <v>0</v>
      </c>
      <c r="R9" s="187">
        <f>model_eui_end_uses!R9*base_building_arch_areas!$N$12</f>
        <v>0</v>
      </c>
      <c r="S9" s="187">
        <f>model_eui_end_uses!S9*base_building_arch_areas!$N$12</f>
        <v>1751531.942198541</v>
      </c>
      <c r="T9" s="187">
        <f>model_eui_end_uses!T9*base_building_arch_areas!$N$12</f>
        <v>17690.828935855905</v>
      </c>
      <c r="U9" s="187">
        <f>model_eui_end_uses!U9*base_building_arch_areas!$N$12</f>
        <v>0</v>
      </c>
      <c r="V9" s="187">
        <f>model_eui_end_uses!V9*base_building_arch_areas!$N$12</f>
        <v>446702.63310067786</v>
      </c>
      <c r="W9" s="187">
        <f>model_eui_end_uses!W9*base_building_arch_areas!$N$12</f>
        <v>208940.24803517541</v>
      </c>
      <c r="X9" s="187">
        <f>model_eui_end_uses!X9*base_building_arch_areas!$N$12</f>
        <v>57703.169870677732</v>
      </c>
      <c r="Y9" s="187">
        <f>model_eui_end_uses!Y9*base_building_arch_areas!$N$12</f>
        <v>0</v>
      </c>
      <c r="Z9" s="187">
        <f>model_eui_end_uses!Z9*base_building_arch_areas!$N$12</f>
        <v>116157.26131915709</v>
      </c>
      <c r="AA9" s="187">
        <f>model_eui_end_uses!AA9*base_building_arch_areas!$N$12</f>
        <v>79060.262980506275</v>
      </c>
      <c r="AB9" s="187">
        <f>model_eui_end_uses!AB9*base_building_arch_areas!$N$12</f>
        <v>0</v>
      </c>
      <c r="AC9" s="187">
        <f>model_eui_end_uses!AC9*base_building_arch_areas!$N$12</f>
        <v>2677786.3464405909</v>
      </c>
      <c r="AD9" s="187">
        <f>model_eui_end_uses!AD9*base_building_arch_areas!$N$12</f>
        <v>27011.090872099841</v>
      </c>
      <c r="AE9" s="187">
        <f>model_eui_end_uses!AE9*base_building_arch_areas!$N$12</f>
        <v>-3519.0246489134038</v>
      </c>
      <c r="AF9" s="187">
        <f t="shared" si="0"/>
        <v>23492.066223186437</v>
      </c>
      <c r="AG9" s="187">
        <f>model_eui_end_uses!AH9*base_building_arch_areas!$N$12</f>
        <v>437.57967212801742</v>
      </c>
      <c r="AH9" s="187">
        <f>model_eui_end_uses!AI9*base_building_arch_areas!$N$12</f>
        <v>-397.6497853272146</v>
      </c>
      <c r="AI9" s="187">
        <f t="shared" si="1"/>
        <v>39.929886800802819</v>
      </c>
      <c r="AJ9" s="200">
        <f>sim_annual_output!F9/sim_annual_output!H9*base_building_arch_areas!$N$12</f>
        <v>21234.294731436781</v>
      </c>
      <c r="AK9">
        <f t="shared" si="2"/>
        <v>531.78950487307293</v>
      </c>
    </row>
    <row r="10" spans="1:38">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f>model_eui_end_uses!G10*base_scenario_arch_measures!$F10</f>
        <v>0</v>
      </c>
      <c r="H10">
        <f>model_eui_end_uses!H10*base_scenario_arch_measures!$F10</f>
        <v>7.5466722224190388</v>
      </c>
      <c r="I10">
        <f>model_eui_end_uses!I10*base_scenario_arch_measures!$F10</f>
        <v>7.8637346970361913E-2</v>
      </c>
      <c r="J10">
        <f>model_eui_end_uses!J10*base_scenario_arch_measures!$F10</f>
        <v>0</v>
      </c>
      <c r="K10">
        <f>model_eui_end_uses!K10*base_scenario_arch_measures!$F10</f>
        <v>1.9302096691426576</v>
      </c>
      <c r="L10">
        <f>model_eui_end_uses!L10*base_scenario_arch_measures!$F10</f>
        <v>0.63196178596812691</v>
      </c>
      <c r="M10">
        <f>model_eui_end_uses!M10*base_scenario_arch_measures!$F10</f>
        <v>0.24933637765117178</v>
      </c>
      <c r="N10">
        <f>model_eui_end_uses!N10*base_scenario_arch_measures!$F10</f>
        <v>0</v>
      </c>
      <c r="O10">
        <f>model_eui_end_uses!O10*base_scenario_arch_measures!$F10</f>
        <v>0.50382617367176041</v>
      </c>
      <c r="P10">
        <f>model_eui_end_uses!P10*base_scenario_arch_measures!$F10</f>
        <v>0.27144517868046042</v>
      </c>
      <c r="Q10">
        <f>model_eui_end_uses!Q10*base_scenario_arch_measures!$F10</f>
        <v>0</v>
      </c>
      <c r="R10" s="187">
        <f>model_eui_end_uses!R10*base_building_arch_areas!$N$12</f>
        <v>0</v>
      </c>
      <c r="S10" s="187">
        <f>model_eui_end_uses!S10*base_building_arch_areas!$N$12</f>
        <v>1751531.942198541</v>
      </c>
      <c r="T10" s="187">
        <f>model_eui_end_uses!T10*base_building_arch_areas!$N$12</f>
        <v>17690.828935855905</v>
      </c>
      <c r="U10" s="187">
        <f>model_eui_end_uses!U10*base_building_arch_areas!$N$12</f>
        <v>0</v>
      </c>
      <c r="V10" s="187">
        <f>model_eui_end_uses!V10*base_building_arch_areas!$N$12</f>
        <v>446702.63310067786</v>
      </c>
      <c r="W10" s="187">
        <f>model_eui_end_uses!W10*base_building_arch_areas!$N$12</f>
        <v>208940.24803517541</v>
      </c>
      <c r="X10" s="187">
        <f>model_eui_end_uses!X10*base_building_arch_areas!$N$12</f>
        <v>57703.169870677732</v>
      </c>
      <c r="Y10" s="187">
        <f>model_eui_end_uses!Y10*base_building_arch_areas!$N$12</f>
        <v>0</v>
      </c>
      <c r="Z10" s="187">
        <f>model_eui_end_uses!Z10*base_building_arch_areas!$N$12</f>
        <v>116157.26131915709</v>
      </c>
      <c r="AA10" s="187">
        <f>model_eui_end_uses!AA10*base_building_arch_areas!$N$12</f>
        <v>79060.262980506275</v>
      </c>
      <c r="AB10" s="187">
        <f>model_eui_end_uses!AB10*base_building_arch_areas!$N$12</f>
        <v>0</v>
      </c>
      <c r="AC10" s="187">
        <f>model_eui_end_uses!AC10*base_building_arch_areas!$N$12</f>
        <v>2677786.3464405909</v>
      </c>
      <c r="AD10" s="187">
        <f>model_eui_end_uses!AD10*base_building_arch_areas!$N$12</f>
        <v>5028.2297807699651</v>
      </c>
      <c r="AE10" s="187">
        <f>model_eui_end_uses!AE10*base_building_arch_areas!$N$12</f>
        <v>77978.052471321615</v>
      </c>
      <c r="AF10" s="187">
        <f t="shared" si="0"/>
        <v>83006.28225209158</v>
      </c>
      <c r="AG10" s="187">
        <f>model_eui_end_uses!AH10*base_building_arch_areas!$N$12</f>
        <v>81.457322448473434</v>
      </c>
      <c r="AH10" s="187">
        <f>model_eui_end_uses!AI10*base_building_arch_areas!$N$12</f>
        <v>8811.5199292593425</v>
      </c>
      <c r="AI10" s="187">
        <f t="shared" si="1"/>
        <v>8892.9772517078163</v>
      </c>
      <c r="AJ10" s="200">
        <f>sim_annual_output!F10/sim_annual_output!H10*base_building_arch_areas!$N$12</f>
        <v>963141.3953579131</v>
      </c>
      <c r="AK10">
        <f t="shared" si="2"/>
        <v>108.30359373436499</v>
      </c>
    </row>
    <row r="11" spans="1:38">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f>model_eui_end_uses!G11*base_scenario_arch_measures!$F11</f>
        <v>0</v>
      </c>
      <c r="H11">
        <f>model_eui_end_uses!H11*base_scenario_arch_measures!$F11</f>
        <v>7.4136058703247736</v>
      </c>
      <c r="I11">
        <f>model_eui_end_uses!I11*base_scenario_arch_measures!$F11</f>
        <v>9.3079642894530315E-2</v>
      </c>
      <c r="J11">
        <f>model_eui_end_uses!J11*base_scenario_arch_measures!$F11</f>
        <v>0</v>
      </c>
      <c r="K11">
        <f>model_eui_end_uses!K11*base_scenario_arch_measures!$F11</f>
        <v>1.9302096691426576</v>
      </c>
      <c r="L11">
        <f>model_eui_end_uses!L11*base_scenario_arch_measures!$F11</f>
        <v>0.90283436260754102</v>
      </c>
      <c r="M11">
        <f>model_eui_end_uses!M11*base_scenario_arch_measures!$F11</f>
        <v>0.24933637765117178</v>
      </c>
      <c r="N11">
        <f>model_eui_end_uses!N11*base_scenario_arch_measures!$F11</f>
        <v>0</v>
      </c>
      <c r="O11">
        <f>model_eui_end_uses!O11*base_scenario_arch_measures!$F11</f>
        <v>0.51308324000200933</v>
      </c>
      <c r="P11">
        <f>model_eui_end_uses!P11*base_scenario_arch_measures!$F11</f>
        <v>0.34769668381312929</v>
      </c>
      <c r="Q11">
        <f>model_eui_end_uses!Q11*base_scenario_arch_measures!$F11</f>
        <v>0</v>
      </c>
      <c r="R11" s="187">
        <f>model_eui_end_uses!R11*base_building_arch_areas!$N$12</f>
        <v>0</v>
      </c>
      <c r="S11" s="187">
        <f>model_eui_end_uses!S11*base_building_arch_areas!$N$12</f>
        <v>1751531.942198541</v>
      </c>
      <c r="T11" s="187">
        <f>model_eui_end_uses!T11*base_building_arch_areas!$N$12</f>
        <v>17690.828935855905</v>
      </c>
      <c r="U11" s="187">
        <f>model_eui_end_uses!U11*base_building_arch_areas!$N$12</f>
        <v>0</v>
      </c>
      <c r="V11" s="187">
        <f>model_eui_end_uses!V11*base_building_arch_areas!$N$12</f>
        <v>446702.63310067786</v>
      </c>
      <c r="W11" s="187">
        <f>model_eui_end_uses!W11*base_building_arch_areas!$N$12</f>
        <v>208940.24803517541</v>
      </c>
      <c r="X11" s="187">
        <f>model_eui_end_uses!X11*base_building_arch_areas!$N$12</f>
        <v>57703.169870677732</v>
      </c>
      <c r="Y11" s="187">
        <f>model_eui_end_uses!Y11*base_building_arch_areas!$N$12</f>
        <v>0</v>
      </c>
      <c r="Z11" s="187">
        <f>model_eui_end_uses!Z11*base_building_arch_areas!$N$12</f>
        <v>116157.26131915709</v>
      </c>
      <c r="AA11" s="187">
        <f>model_eui_end_uses!AA11*base_building_arch_areas!$N$12</f>
        <v>79060.262980506275</v>
      </c>
      <c r="AB11" s="187">
        <f>model_eui_end_uses!AB11*base_building_arch_areas!$N$12</f>
        <v>0</v>
      </c>
      <c r="AC11" s="187">
        <f>model_eui_end_uses!AC11*base_building_arch_areas!$N$12</f>
        <v>2677786.3464405909</v>
      </c>
      <c r="AD11" s="187">
        <f>model_eui_end_uses!AD11*base_building_arch_areas!$N$12</f>
        <v>35823.376446889626</v>
      </c>
      <c r="AE11" s="187">
        <f>model_eui_end_uses!AE11*base_building_arch_areas!$N$12</f>
        <v>-7840.5047093992835</v>
      </c>
      <c r="AF11" s="187">
        <f t="shared" si="0"/>
        <v>27982.871737490343</v>
      </c>
      <c r="AG11" s="187">
        <f>model_eui_end_uses!AH11*base_building_arch_areas!$N$12</f>
        <v>580.3386984396119</v>
      </c>
      <c r="AH11" s="187">
        <f>model_eui_end_uses!AI11*base_building_arch_areas!$N$12</f>
        <v>-885.97703216211914</v>
      </c>
      <c r="AI11" s="187">
        <f t="shared" si="1"/>
        <v>-305.63833372250724</v>
      </c>
      <c r="AJ11" s="200">
        <f>sim_annual_output!F11/sim_annual_output!H11*base_building_arch_areas!$N$12</f>
        <v>1161908.3587141829</v>
      </c>
      <c r="AK11">
        <f t="shared" si="2"/>
        <v>-3801.5792867431792</v>
      </c>
    </row>
    <row r="12" spans="1:38">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f>model_eui_end_uses!G12*base_scenario_arch_measures!$F12</f>
        <v>0</v>
      </c>
      <c r="H12">
        <f>model_eui_end_uses!H12*base_scenario_arch_measures!$F12</f>
        <v>7.0751344416173909</v>
      </c>
      <c r="I12">
        <f>model_eui_end_uses!I12*base_scenario_arch_measures!$F12</f>
        <v>9.435209187463324E-2</v>
      </c>
      <c r="J12">
        <f>model_eui_end_uses!J12*base_scenario_arch_measures!$F12</f>
        <v>0</v>
      </c>
      <c r="K12">
        <f>model_eui_end_uses!K12*base_scenario_arch_measures!$F12</f>
        <v>1.9302096691426576</v>
      </c>
      <c r="L12">
        <f>model_eui_end_uses!L12*base_scenario_arch_measures!$F12</f>
        <v>0.90283436260754102</v>
      </c>
      <c r="M12">
        <f>model_eui_end_uses!M12*base_scenario_arch_measures!$F12</f>
        <v>0.24933637765117178</v>
      </c>
      <c r="N12">
        <f>model_eui_end_uses!N12*base_scenario_arch_measures!$F12</f>
        <v>0</v>
      </c>
      <c r="O12">
        <f>model_eui_end_uses!O12*base_scenario_arch_measures!$F12</f>
        <v>0.50484413285584284</v>
      </c>
      <c r="P12">
        <f>model_eui_end_uses!P12*base_scenario_arch_measures!$F12</f>
        <v>0.33630826544120795</v>
      </c>
      <c r="Q12">
        <f>model_eui_end_uses!Q12*base_scenario_arch_measures!$F12</f>
        <v>0</v>
      </c>
      <c r="R12" s="187">
        <f>model_eui_end_uses!R12*base_building_arch_areas!$N$12</f>
        <v>0</v>
      </c>
      <c r="S12" s="187">
        <f>model_eui_end_uses!S12*base_building_arch_areas!$N$12</f>
        <v>1751531.942198541</v>
      </c>
      <c r="T12" s="187">
        <f>model_eui_end_uses!T12*base_building_arch_areas!$N$12</f>
        <v>17690.828935855905</v>
      </c>
      <c r="U12" s="187">
        <f>model_eui_end_uses!U12*base_building_arch_areas!$N$12</f>
        <v>0</v>
      </c>
      <c r="V12" s="187">
        <f>model_eui_end_uses!V12*base_building_arch_areas!$N$12</f>
        <v>446702.63310067786</v>
      </c>
      <c r="W12" s="187">
        <f>model_eui_end_uses!W12*base_building_arch_areas!$N$12</f>
        <v>208940.24803517541</v>
      </c>
      <c r="X12" s="187">
        <f>model_eui_end_uses!X12*base_building_arch_areas!$N$12</f>
        <v>57703.169870677732</v>
      </c>
      <c r="Y12" s="187">
        <f>model_eui_end_uses!Y12*base_building_arch_areas!$N$12</f>
        <v>0</v>
      </c>
      <c r="Z12" s="187">
        <f>model_eui_end_uses!Z12*base_building_arch_areas!$N$12</f>
        <v>116157.26131915709</v>
      </c>
      <c r="AA12" s="187">
        <f>model_eui_end_uses!AA12*base_building_arch_areas!$N$12</f>
        <v>79060.262980506275</v>
      </c>
      <c r="AB12" s="187">
        <f>model_eui_end_uses!AB12*base_building_arch_areas!$N$12</f>
        <v>0</v>
      </c>
      <c r="AC12" s="187">
        <f>model_eui_end_uses!AC12*base_building_arch_areas!$N$12</f>
        <v>2677786.3464405909</v>
      </c>
      <c r="AD12" s="187">
        <f>model_eui_end_uses!AD12*base_building_arch_areas!$N$12</f>
        <v>114154.8037783529</v>
      </c>
      <c r="AE12" s="187">
        <f>model_eui_end_uses!AE12*base_building_arch_areas!$N$12</f>
        <v>-3592.6444114430387</v>
      </c>
      <c r="AF12" s="187">
        <f t="shared" si="0"/>
        <v>110562.15936690987</v>
      </c>
      <c r="AG12" s="187">
        <f>model_eui_end_uses!AH12*base_building_arch_areas!$N$12</f>
        <v>1849.3078212093167</v>
      </c>
      <c r="AH12" s="187">
        <f>model_eui_end_uses!AI12*base_building_arch_areas!$N$12</f>
        <v>-405.96881849306345</v>
      </c>
      <c r="AI12" s="187">
        <f t="shared" si="1"/>
        <v>1443.3390027162532</v>
      </c>
      <c r="AJ12" s="200">
        <f>sim_annual_output!F12/sim_annual_output!H12*base_building_arch_areas!$N$12</f>
        <v>2565337.4475223375</v>
      </c>
      <c r="AK12">
        <f t="shared" si="2"/>
        <v>1777.3630745753906</v>
      </c>
    </row>
    <row r="13" spans="1:38">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f>model_eui_end_uses!G13*base_scenario_arch_measures!$F13</f>
        <v>0</v>
      </c>
      <c r="H13">
        <f>model_eui_end_uses!H13*base_scenario_arch_measures!$F13</f>
        <v>6.7435342374025646</v>
      </c>
      <c r="I13">
        <f>model_eui_end_uses!I13*base_scenario_arch_measures!$F13</f>
        <v>0.10227308677577408</v>
      </c>
      <c r="J13">
        <f>model_eui_end_uses!J13*base_scenario_arch_measures!$F13</f>
        <v>0</v>
      </c>
      <c r="K13">
        <f>model_eui_end_uses!K13*base_scenario_arch_measures!$F13</f>
        <v>1.9302096691426576</v>
      </c>
      <c r="L13">
        <f>model_eui_end_uses!L13*base_scenario_arch_measures!$F13</f>
        <v>0.90283436260754102</v>
      </c>
      <c r="M13">
        <f>model_eui_end_uses!M13*base_scenario_arch_measures!$F13</f>
        <v>0.24933637765117178</v>
      </c>
      <c r="N13">
        <f>model_eui_end_uses!N13*base_scenario_arch_measures!$F13</f>
        <v>0</v>
      </c>
      <c r="O13">
        <f>model_eui_end_uses!O13*base_scenario_arch_measures!$F13</f>
        <v>0.4969867604037071</v>
      </c>
      <c r="P13">
        <f>model_eui_end_uses!P13*base_scenario_arch_measures!$F13</f>
        <v>0.32596961747787156</v>
      </c>
      <c r="Q13">
        <f>model_eui_end_uses!Q13*base_scenario_arch_measures!$F13</f>
        <v>0</v>
      </c>
      <c r="R13" s="187">
        <f>model_eui_end_uses!R13*base_building_arch_areas!$N$12</f>
        <v>0</v>
      </c>
      <c r="S13" s="187">
        <f>model_eui_end_uses!S13*base_building_arch_areas!$N$12</f>
        <v>1751531.942198541</v>
      </c>
      <c r="T13" s="187">
        <f>model_eui_end_uses!T13*base_building_arch_areas!$N$12</f>
        <v>17690.828935855905</v>
      </c>
      <c r="U13" s="187">
        <f>model_eui_end_uses!U13*base_building_arch_areas!$N$12</f>
        <v>0</v>
      </c>
      <c r="V13" s="187">
        <f>model_eui_end_uses!V13*base_building_arch_areas!$N$12</f>
        <v>446702.63310067786</v>
      </c>
      <c r="W13" s="187">
        <f>model_eui_end_uses!W13*base_building_arch_areas!$N$12</f>
        <v>208940.24803517541</v>
      </c>
      <c r="X13" s="187">
        <f>model_eui_end_uses!X13*base_building_arch_areas!$N$12</f>
        <v>57703.169870677732</v>
      </c>
      <c r="Y13" s="187">
        <f>model_eui_end_uses!Y13*base_building_arch_areas!$N$12</f>
        <v>0</v>
      </c>
      <c r="Z13" s="187">
        <f>model_eui_end_uses!Z13*base_building_arch_areas!$N$12</f>
        <v>116157.26131915709</v>
      </c>
      <c r="AA13" s="187">
        <f>model_eui_end_uses!AA13*base_building_arch_areas!$N$12</f>
        <v>79060.262980506275</v>
      </c>
      <c r="AB13" s="187">
        <f>model_eui_end_uses!AB13*base_building_arch_areas!$N$12</f>
        <v>0</v>
      </c>
      <c r="AC13" s="187">
        <f>model_eui_end_uses!AC13*base_building_arch_areas!$N$12</f>
        <v>2677786.3464405909</v>
      </c>
      <c r="AD13" s="187">
        <f>model_eui_end_uses!AD13*base_building_arch_areas!$N$12</f>
        <v>190896.04423917751</v>
      </c>
      <c r="AE13" s="187">
        <f>model_eui_end_uses!AE13*base_building_arch_areas!$N$12</f>
        <v>-1214.7260817378781</v>
      </c>
      <c r="AF13" s="187">
        <f t="shared" si="0"/>
        <v>189681.31815743964</v>
      </c>
      <c r="AG13" s="187">
        <f>model_eui_end_uses!AH13*base_building_arch_areas!$N$12</f>
        <v>3092.5159166746757</v>
      </c>
      <c r="AH13" s="187">
        <f>model_eui_end_uses!AI13*base_building_arch_areas!$N$12</f>
        <v>-137.26404723638021</v>
      </c>
      <c r="AI13" s="187">
        <f t="shared" si="1"/>
        <v>2955.2518694382957</v>
      </c>
      <c r="AJ13" s="200">
        <f>sim_annual_output!F13/sim_annual_output!H13*base_building_arch_areas!$N$12</f>
        <v>1891737.6985544828</v>
      </c>
      <c r="AK13">
        <f t="shared" si="2"/>
        <v>640.12740102387454</v>
      </c>
    </row>
    <row r="14" spans="1:38">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f>model_eui_end_uses!G14*base_scenario_arch_measures!$F14</f>
        <v>0</v>
      </c>
      <c r="H14">
        <f>model_eui_end_uses!H14*base_scenario_arch_measures!$F14</f>
        <v>7.4574417376893196</v>
      </c>
      <c r="I14">
        <f>model_eui_end_uses!I14*base_scenario_arch_measures!$F14</f>
        <v>9.3079642894530315E-2</v>
      </c>
      <c r="J14">
        <f>model_eui_end_uses!J14*base_scenario_arch_measures!$F14</f>
        <v>0</v>
      </c>
      <c r="K14">
        <f>model_eui_end_uses!K14*base_scenario_arch_measures!$F14</f>
        <v>1.9302096691426576</v>
      </c>
      <c r="L14">
        <f>model_eui_end_uses!L14*base_scenario_arch_measures!$F14</f>
        <v>0.90283436260754102</v>
      </c>
      <c r="M14">
        <f>model_eui_end_uses!M14*base_scenario_arch_measures!$F14</f>
        <v>0.24933637765117178</v>
      </c>
      <c r="N14">
        <f>model_eui_end_uses!N14*base_scenario_arch_measures!$F14</f>
        <v>0</v>
      </c>
      <c r="O14">
        <f>model_eui_end_uses!O14*base_scenario_arch_measures!$F14</f>
        <v>0.51053834204180348</v>
      </c>
      <c r="P14">
        <f>model_eui_end_uses!P14*base_scenario_arch_measures!$F14</f>
        <v>0.34944630116077086</v>
      </c>
      <c r="Q14">
        <f>model_eui_end_uses!Q14*base_scenario_arch_measures!$F14</f>
        <v>0</v>
      </c>
      <c r="R14" s="187">
        <f>model_eui_end_uses!R14*base_building_arch_areas!$N$12</f>
        <v>0</v>
      </c>
      <c r="S14" s="187">
        <f>model_eui_end_uses!S14*base_building_arch_areas!$N$12</f>
        <v>1751531.942198541</v>
      </c>
      <c r="T14" s="187">
        <f>model_eui_end_uses!T14*base_building_arch_areas!$N$12</f>
        <v>17690.828935855905</v>
      </c>
      <c r="U14" s="187">
        <f>model_eui_end_uses!U14*base_building_arch_areas!$N$12</f>
        <v>0</v>
      </c>
      <c r="V14" s="187">
        <f>model_eui_end_uses!V14*base_building_arch_areas!$N$12</f>
        <v>446702.63310067786</v>
      </c>
      <c r="W14" s="187">
        <f>model_eui_end_uses!W14*base_building_arch_areas!$N$12</f>
        <v>208940.24803517541</v>
      </c>
      <c r="X14" s="187">
        <f>model_eui_end_uses!X14*base_building_arch_areas!$N$12</f>
        <v>57703.169870677732</v>
      </c>
      <c r="Y14" s="187">
        <f>model_eui_end_uses!Y14*base_building_arch_areas!$N$12</f>
        <v>0</v>
      </c>
      <c r="Z14" s="187">
        <f>model_eui_end_uses!Z14*base_building_arch_areas!$N$12</f>
        <v>116157.26131915709</v>
      </c>
      <c r="AA14" s="187">
        <f>model_eui_end_uses!AA14*base_building_arch_areas!$N$12</f>
        <v>79060.262980506275</v>
      </c>
      <c r="AB14" s="187">
        <f>model_eui_end_uses!AB14*base_building_arch_areas!$N$12</f>
        <v>0</v>
      </c>
      <c r="AC14" s="187">
        <f>model_eui_end_uses!AC14*base_building_arch_areas!$N$12</f>
        <v>2677786.3464405909</v>
      </c>
      <c r="AD14" s="187">
        <f>model_eui_end_uses!AD14*base_building_arch_areas!$N$12</f>
        <v>25678.573170314674</v>
      </c>
      <c r="AE14" s="187">
        <f>model_eui_end_uses!AE14*base_building_arch_areas!$N$12</f>
        <v>-7656.4553030753732</v>
      </c>
      <c r="AF14" s="187">
        <f t="shared" si="0"/>
        <v>18022.1178672393</v>
      </c>
      <c r="AG14" s="187">
        <f>model_eui_end_uses!AH14*base_building_arch_areas!$N$12</f>
        <v>415.99288535909773</v>
      </c>
      <c r="AH14" s="187">
        <f>model_eui_end_uses!AI14*base_building_arch_areas!$N$12</f>
        <v>-865.17944924751725</v>
      </c>
      <c r="AI14" s="187">
        <f t="shared" si="1"/>
        <v>-449.18656388841953</v>
      </c>
      <c r="AJ14" s="200">
        <f>sim_annual_output!F14/sim_annual_output!H14*base_building_arch_areas!$N$12</f>
        <v>15606.84803070761</v>
      </c>
      <c r="AK14">
        <f t="shared" si="2"/>
        <v>-34.744690258777283</v>
      </c>
    </row>
    <row r="15" spans="1:38">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f>model_eui_end_uses!G15*base_scenario_arch_measures!$F15</f>
        <v>0</v>
      </c>
      <c r="H15">
        <f>model_eui_end_uses!H15*base_scenario_arch_measures!$F15</f>
        <v>6.8871937272561867</v>
      </c>
      <c r="I15">
        <f>model_eui_end_uses!I15*base_scenario_arch_measures!$F15</f>
        <v>0.10519971943001084</v>
      </c>
      <c r="J15">
        <f>model_eui_end_uses!J15*base_scenario_arch_measures!$F15</f>
        <v>0</v>
      </c>
      <c r="K15">
        <f>model_eui_end_uses!K15*base_scenario_arch_measures!$F15</f>
        <v>1.9302096691426576</v>
      </c>
      <c r="L15">
        <f>model_eui_end_uses!L15*base_scenario_arch_measures!$F15</f>
        <v>0.90283436260754102</v>
      </c>
      <c r="M15">
        <f>model_eui_end_uses!M15*base_scenario_arch_measures!$F15</f>
        <v>0.24933637765117178</v>
      </c>
      <c r="N15">
        <f>model_eui_end_uses!N15*base_scenario_arch_measures!$F15</f>
        <v>0</v>
      </c>
      <c r="O15">
        <f>model_eui_end_uses!O15*base_scenario_arch_measures!$F15</f>
        <v>0.51457836755363029</v>
      </c>
      <c r="P15">
        <f>model_eui_end_uses!P15*base_scenario_arch_measures!$F15</f>
        <v>0.34594706646548773</v>
      </c>
      <c r="Q15">
        <f>model_eui_end_uses!Q15*base_scenario_arch_measures!$F15</f>
        <v>0.15046709189717306</v>
      </c>
      <c r="R15" s="187">
        <f>model_eui_end_uses!R15*base_building_arch_areas!$N$12</f>
        <v>0</v>
      </c>
      <c r="S15" s="187">
        <f>model_eui_end_uses!S15*base_building_arch_areas!$N$12</f>
        <v>1751531.942198541</v>
      </c>
      <c r="T15" s="187">
        <f>model_eui_end_uses!T15*base_building_arch_areas!$N$12</f>
        <v>17690.828935855905</v>
      </c>
      <c r="U15" s="187">
        <f>model_eui_end_uses!U15*base_building_arch_areas!$N$12</f>
        <v>0</v>
      </c>
      <c r="V15" s="187">
        <f>model_eui_end_uses!V15*base_building_arch_areas!$N$12</f>
        <v>446702.63310067786</v>
      </c>
      <c r="W15" s="187">
        <f>model_eui_end_uses!W15*base_building_arch_areas!$N$12</f>
        <v>208940.24803517541</v>
      </c>
      <c r="X15" s="187">
        <f>model_eui_end_uses!X15*base_building_arch_areas!$N$12</f>
        <v>57703.169870677732</v>
      </c>
      <c r="Y15" s="187">
        <f>model_eui_end_uses!Y15*base_building_arch_areas!$N$12</f>
        <v>0</v>
      </c>
      <c r="Z15" s="187">
        <f>model_eui_end_uses!Z15*base_building_arch_areas!$N$12</f>
        <v>116157.26131915709</v>
      </c>
      <c r="AA15" s="187">
        <f>model_eui_end_uses!AA15*base_building_arch_areas!$N$12</f>
        <v>79060.262980506275</v>
      </c>
      <c r="AB15" s="187">
        <f>model_eui_end_uses!AB15*base_building_arch_areas!$N$12</f>
        <v>0</v>
      </c>
      <c r="AC15" s="187">
        <f>model_eui_end_uses!AC15*base_building_arch_areas!$N$12</f>
        <v>2677786.3464405909</v>
      </c>
      <c r="AD15" s="187">
        <f>model_eui_end_uses!AD15*base_building_arch_areas!$N$12</f>
        <v>157649.35948082351</v>
      </c>
      <c r="AE15" s="187">
        <f>model_eui_end_uses!AE15*base_building_arch_areas!$N$12</f>
        <v>-45408.669528239334</v>
      </c>
      <c r="AF15" s="187">
        <f t="shared" si="0"/>
        <v>112240.68995258417</v>
      </c>
      <c r="AG15" s="187">
        <f>model_eui_end_uses!AH15*base_building_arch_areas!$N$12</f>
        <v>2553.9196235893405</v>
      </c>
      <c r="AH15" s="187">
        <f>model_eui_end_uses!AI15*base_building_arch_areas!$N$12</f>
        <v>-5131.1796566910452</v>
      </c>
      <c r="AI15" s="187">
        <f t="shared" si="1"/>
        <v>-2577.2600331017047</v>
      </c>
      <c r="AJ15" s="200">
        <f>sim_annual_output!F15/sim_annual_output!H15*base_building_arch_areas!$N$12</f>
        <v>1357924.12132587</v>
      </c>
      <c r="AK15">
        <f t="shared" si="2"/>
        <v>-526.88673392867656</v>
      </c>
    </row>
    <row r="16" spans="1:38">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f>model_eui_end_uses!G16*base_scenario_arch_measures!$F16</f>
        <v>0</v>
      </c>
      <c r="H16">
        <f>model_eui_end_uses!H16*base_scenario_arch_measures!$F16</f>
        <v>3.5462516850978982</v>
      </c>
      <c r="I16">
        <f>model_eui_end_uses!I16*base_scenario_arch_measures!$F16</f>
        <v>0.15612948985863118</v>
      </c>
      <c r="J16">
        <f>model_eui_end_uses!J16*base_scenario_arch_measures!$F16</f>
        <v>0</v>
      </c>
      <c r="K16">
        <f>model_eui_end_uses!K16*base_scenario_arch_measures!$F16</f>
        <v>1.930177857918155</v>
      </c>
      <c r="L16">
        <f>model_eui_end_uses!L16*base_scenario_arch_measures!$F16</f>
        <v>0.90283436260754102</v>
      </c>
      <c r="M16">
        <f>model_eui_end_uses!M16*base_scenario_arch_measures!$F16</f>
        <v>0.24933637765117178</v>
      </c>
      <c r="N16">
        <f>model_eui_end_uses!N16*base_scenario_arch_measures!$F16</f>
        <v>0</v>
      </c>
      <c r="O16">
        <f>model_eui_end_uses!O16*base_scenario_arch_measures!$F16</f>
        <v>0.46323505120647651</v>
      </c>
      <c r="P16">
        <f>model_eui_end_uses!P16*base_scenario_arch_measures!$F16</f>
        <v>0.22471448988617981</v>
      </c>
      <c r="Q16">
        <f>model_eui_end_uses!Q16*base_scenario_arch_measures!$F16</f>
        <v>0</v>
      </c>
      <c r="R16" s="187">
        <f>model_eui_end_uses!R16*base_building_arch_areas!$N$12</f>
        <v>0</v>
      </c>
      <c r="S16" s="187">
        <f>model_eui_end_uses!S16*base_building_arch_areas!$N$12</f>
        <v>1751531.942198541</v>
      </c>
      <c r="T16" s="187">
        <f>model_eui_end_uses!T16*base_building_arch_areas!$N$12</f>
        <v>17690.828935855905</v>
      </c>
      <c r="U16" s="187">
        <f>model_eui_end_uses!U16*base_building_arch_areas!$N$12</f>
        <v>0</v>
      </c>
      <c r="V16" s="187">
        <f>model_eui_end_uses!V16*base_building_arch_areas!$N$12</f>
        <v>446702.63310067786</v>
      </c>
      <c r="W16" s="187">
        <f>model_eui_end_uses!W16*base_building_arch_areas!$N$12</f>
        <v>208940.24803517541</v>
      </c>
      <c r="X16" s="187">
        <f>model_eui_end_uses!X16*base_building_arch_areas!$N$12</f>
        <v>57703.169870677732</v>
      </c>
      <c r="Y16" s="187">
        <f>model_eui_end_uses!Y16*base_building_arch_areas!$N$12</f>
        <v>0</v>
      </c>
      <c r="Z16" s="187">
        <f>model_eui_end_uses!Z16*base_building_arch_areas!$N$12</f>
        <v>116157.26131915709</v>
      </c>
      <c r="AA16" s="187">
        <f>model_eui_end_uses!AA16*base_building_arch_areas!$N$12</f>
        <v>79060.262980506275</v>
      </c>
      <c r="AB16" s="187">
        <f>model_eui_end_uses!AB16*base_building_arch_areas!$N$12</f>
        <v>0</v>
      </c>
      <c r="AC16" s="187">
        <f>model_eui_end_uses!AC16*base_building_arch_areas!$N$12</f>
        <v>2677786.3464405909</v>
      </c>
      <c r="AD16" s="187">
        <f>model_eui_end_uses!AD16*base_building_arch_areas!$N$12</f>
        <v>930840.91544764256</v>
      </c>
      <c r="AE16" s="187">
        <f>model_eui_end_uses!AE16*base_building_arch_areas!$N$12</f>
        <v>17565.675339555677</v>
      </c>
      <c r="AF16" s="187">
        <f t="shared" si="0"/>
        <v>948406.59078719828</v>
      </c>
      <c r="AG16" s="187">
        <f>model_eui_end_uses!AH16*base_building_arch_areas!$N$12</f>
        <v>15079.622830251808</v>
      </c>
      <c r="AH16" s="187">
        <f>model_eui_end_uses!AI16*base_building_arch_areas!$N$12</f>
        <v>1984.9213133697917</v>
      </c>
      <c r="AI16" s="187">
        <f t="shared" si="1"/>
        <v>17064.544143621599</v>
      </c>
      <c r="AJ16" s="200">
        <f>sim_annual_output!F16/sim_annual_output!H16*base_building_arch_areas!$N$12</f>
        <v>610327.02648402995</v>
      </c>
      <c r="AK16">
        <f t="shared" si="2"/>
        <v>35.765797278104174</v>
      </c>
    </row>
    <row r="17" spans="1:37">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f>model_eui_end_uses!G17*base_scenario_arch_measures!$F17</f>
        <v>0</v>
      </c>
      <c r="H17">
        <f>model_eui_end_uses!H17*base_scenario_arch_measures!$F17</f>
        <v>3.973508241391964</v>
      </c>
      <c r="I17">
        <f>model_eui_end_uses!I17*base_scenario_arch_measures!$F17</f>
        <v>0.14671336740586938</v>
      </c>
      <c r="J17">
        <f>model_eui_end_uses!J17*base_scenario_arch_measures!$F17</f>
        <v>0</v>
      </c>
      <c r="K17">
        <f>model_eui_end_uses!K17*base_scenario_arch_measures!$F17</f>
        <v>1.930177857918155</v>
      </c>
      <c r="L17">
        <f>model_eui_end_uses!L17*base_scenario_arch_measures!$F17</f>
        <v>0.90283436260754102</v>
      </c>
      <c r="M17">
        <f>model_eui_end_uses!M17*base_scenario_arch_measures!$F17</f>
        <v>0.24933637765117178</v>
      </c>
      <c r="N17">
        <f>model_eui_end_uses!N17*base_scenario_arch_measures!$F17</f>
        <v>0</v>
      </c>
      <c r="O17">
        <f>model_eui_end_uses!O17*base_scenario_arch_measures!$F17</f>
        <v>0.29466737256733916</v>
      </c>
      <c r="P17">
        <f>model_eui_end_uses!P17*base_scenario_arch_measures!$F17</f>
        <v>0.1429596429145657</v>
      </c>
      <c r="Q17">
        <f>model_eui_end_uses!Q17*base_scenario_arch_measures!$F17</f>
        <v>0</v>
      </c>
      <c r="R17" s="187">
        <f>model_eui_end_uses!R17*base_building_arch_areas!$N$12</f>
        <v>0</v>
      </c>
      <c r="S17" s="187">
        <f>model_eui_end_uses!S17*base_building_arch_areas!$N$12</f>
        <v>1751531.942198541</v>
      </c>
      <c r="T17" s="187">
        <f>model_eui_end_uses!T17*base_building_arch_areas!$N$12</f>
        <v>17690.828935855905</v>
      </c>
      <c r="U17" s="187">
        <f>model_eui_end_uses!U17*base_building_arch_areas!$N$12</f>
        <v>0</v>
      </c>
      <c r="V17" s="187">
        <f>model_eui_end_uses!V17*base_building_arch_areas!$N$12</f>
        <v>446702.63310067786</v>
      </c>
      <c r="W17" s="187">
        <f>model_eui_end_uses!W17*base_building_arch_areas!$N$12</f>
        <v>208940.24803517541</v>
      </c>
      <c r="X17" s="187">
        <f>model_eui_end_uses!X17*base_building_arch_areas!$N$12</f>
        <v>57703.169870677732</v>
      </c>
      <c r="Y17" s="187">
        <f>model_eui_end_uses!Y17*base_building_arch_areas!$N$12</f>
        <v>0</v>
      </c>
      <c r="Z17" s="187">
        <f>model_eui_end_uses!Z17*base_building_arch_areas!$N$12</f>
        <v>116157.26131915709</v>
      </c>
      <c r="AA17" s="187">
        <f>model_eui_end_uses!AA17*base_building_arch_areas!$N$12</f>
        <v>79060.262980506275</v>
      </c>
      <c r="AB17" s="187">
        <f>model_eui_end_uses!AB17*base_building_arch_areas!$N$12</f>
        <v>0</v>
      </c>
      <c r="AC17" s="187">
        <f>model_eui_end_uses!AC17*base_building_arch_areas!$N$12</f>
        <v>2677786.3464405909</v>
      </c>
      <c r="AD17" s="187">
        <f>model_eui_end_uses!AD17*base_building_arch_areas!$N$12</f>
        <v>831962.21239417593</v>
      </c>
      <c r="AE17" s="187">
        <f>model_eui_end_uses!AE17*base_building_arch_areas!$N$12</f>
        <v>77676.211444950284</v>
      </c>
      <c r="AF17" s="187">
        <f t="shared" si="0"/>
        <v>909638.42383912625</v>
      </c>
      <c r="AG17" s="187">
        <f>model_eui_end_uses!AH17*base_building_arch_areas!$N$12</f>
        <v>13477.78784078565</v>
      </c>
      <c r="AH17" s="187">
        <f>model_eui_end_uses!AI17*base_building_arch_areas!$N$12</f>
        <v>8777.4118932793808</v>
      </c>
      <c r="AI17" s="187">
        <f t="shared" si="1"/>
        <v>22255.19973406503</v>
      </c>
      <c r="AJ17" s="200">
        <f>sim_annual_output!F17/sim_annual_output!H17*base_building_arch_areas!$N$12</f>
        <v>978548.12983208359</v>
      </c>
      <c r="AK17">
        <f t="shared" si="2"/>
        <v>43.969415755647617</v>
      </c>
    </row>
    <row r="18" spans="1:37">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f>model_eui_end_uses!G18*base_scenario_arch_measures!$F18</f>
        <v>0</v>
      </c>
      <c r="H18">
        <f>model_eui_end_uses!H18*base_scenario_arch_measures!$F18</f>
        <v>7.7971856153768071</v>
      </c>
      <c r="I18">
        <f>model_eui_end_uses!I18*base_scenario_arch_measures!$F18</f>
        <v>7.1002653089744253E-2</v>
      </c>
      <c r="J18">
        <f>model_eui_end_uses!J18*base_scenario_arch_measures!$F18</f>
        <v>0</v>
      </c>
      <c r="K18">
        <f>model_eui_end_uses!K18*base_scenario_arch_measures!$F18</f>
        <v>1.9302096691426576</v>
      </c>
      <c r="L18">
        <f>model_eui_end_uses!L18*base_scenario_arch_measures!$F18</f>
        <v>0.63196178596812691</v>
      </c>
      <c r="M18">
        <f>model_eui_end_uses!M18*base_scenario_arch_measures!$F18</f>
        <v>0.24933637765117178</v>
      </c>
      <c r="N18">
        <f>model_eui_end_uses!N18*base_scenario_arch_measures!$F18</f>
        <v>0</v>
      </c>
      <c r="O18">
        <f>model_eui_end_uses!O18*base_scenario_arch_measures!$F18</f>
        <v>0.50360349510024249</v>
      </c>
      <c r="P18">
        <f>model_eui_end_uses!P18*base_scenario_arch_measures!$F18</f>
        <v>0.35014614809982747</v>
      </c>
      <c r="Q18">
        <f>model_eui_end_uses!Q18*base_scenario_arch_measures!$F18</f>
        <v>0</v>
      </c>
      <c r="R18" s="187">
        <f>model_eui_end_uses!R18*base_building_arch_areas!$N$12</f>
        <v>0</v>
      </c>
      <c r="S18" s="187">
        <f>model_eui_end_uses!S18*base_building_arch_areas!$N$12</f>
        <v>1751531.942198541</v>
      </c>
      <c r="T18" s="187">
        <f>model_eui_end_uses!T18*base_building_arch_areas!$N$12</f>
        <v>17690.828935855905</v>
      </c>
      <c r="U18" s="187">
        <f>model_eui_end_uses!U18*base_building_arch_areas!$N$12</f>
        <v>0</v>
      </c>
      <c r="V18" s="187">
        <f>model_eui_end_uses!V18*base_building_arch_areas!$N$12</f>
        <v>446702.63310067786</v>
      </c>
      <c r="W18" s="187">
        <f>model_eui_end_uses!W18*base_building_arch_areas!$N$12</f>
        <v>208940.24803517541</v>
      </c>
      <c r="X18" s="187">
        <f>model_eui_end_uses!X18*base_building_arch_areas!$N$12</f>
        <v>57703.169870677732</v>
      </c>
      <c r="Y18" s="187">
        <f>model_eui_end_uses!Y18*base_building_arch_areas!$N$12</f>
        <v>0</v>
      </c>
      <c r="Z18" s="187">
        <f>model_eui_end_uses!Z18*base_building_arch_areas!$N$12</f>
        <v>116157.26131915709</v>
      </c>
      <c r="AA18" s="187">
        <f>model_eui_end_uses!AA18*base_building_arch_areas!$N$12</f>
        <v>79060.262980506275</v>
      </c>
      <c r="AB18" s="187">
        <f>model_eui_end_uses!AB18*base_building_arch_areas!$N$12</f>
        <v>0</v>
      </c>
      <c r="AC18" s="187">
        <f>model_eui_end_uses!AC18*base_building_arch_areas!$N$12</f>
        <v>2677786.3464405909</v>
      </c>
      <c r="AD18" s="187">
        <f>model_eui_end_uses!AD18*base_building_arch_areas!$N$12</f>
        <v>-52947.333211267418</v>
      </c>
      <c r="AE18" s="187">
        <f>model_eui_end_uses!AE18*base_building_arch_areas!$N$12</f>
        <v>61582.931355986097</v>
      </c>
      <c r="AF18" s="187">
        <f t="shared" si="0"/>
        <v>8635.5981447186787</v>
      </c>
      <c r="AG18" s="187">
        <f>model_eui_end_uses!AH18*base_building_arch_areas!$N$12</f>
        <v>-857.74679802253218</v>
      </c>
      <c r="AH18" s="187">
        <f>model_eui_end_uses!AI18*base_building_arch_areas!$N$12</f>
        <v>6958.8712432264292</v>
      </c>
      <c r="AI18" s="187">
        <f t="shared" si="1"/>
        <v>6101.1244452038973</v>
      </c>
      <c r="AJ18" s="200">
        <f>sim_annual_output!F18/sim_annual_output!H18*base_building_arch_areas!$N$12</f>
        <v>461526.93434579432</v>
      </c>
      <c r="AK18">
        <f t="shared" si="2"/>
        <v>75.646208906392872</v>
      </c>
    </row>
    <row r="19" spans="1:37">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f>model_eui_end_uses!G19*base_scenario_arch_measures!$F19</f>
        <v>0</v>
      </c>
      <c r="H19">
        <f>model_eui_end_uses!H19*base_scenario_arch_measures!$F19</f>
        <v>2.8217192358272825</v>
      </c>
      <c r="I19">
        <f>model_eui_end_uses!I19*base_scenario_arch_measures!$F19</f>
        <v>0.14671336740586938</v>
      </c>
      <c r="J19">
        <f>model_eui_end_uses!J19*base_scenario_arch_measures!$F19</f>
        <v>0</v>
      </c>
      <c r="K19">
        <f>model_eui_end_uses!K19*base_scenario_arch_measures!$F19</f>
        <v>1.930177857918155</v>
      </c>
      <c r="L19">
        <f>model_eui_end_uses!L19*base_scenario_arch_measures!$F19</f>
        <v>0.90283436260754102</v>
      </c>
      <c r="M19">
        <f>model_eui_end_uses!M19*base_scenario_arch_measures!$F19</f>
        <v>0.24933637765117178</v>
      </c>
      <c r="N19">
        <f>model_eui_end_uses!N19*base_scenario_arch_measures!$F19</f>
        <v>0</v>
      </c>
      <c r="O19">
        <f>model_eui_end_uses!O19*base_scenario_arch_measures!$F19</f>
        <v>0.29466737256733916</v>
      </c>
      <c r="P19">
        <f>model_eui_end_uses!P19*base_scenario_arch_measures!$F19</f>
        <v>7.9209949011408223E-3</v>
      </c>
      <c r="Q19">
        <f>model_eui_end_uses!Q19*base_scenario_arch_measures!$F19</f>
        <v>0</v>
      </c>
      <c r="R19" s="187">
        <f>model_eui_end_uses!R19*base_building_arch_areas!$N$12</f>
        <v>0</v>
      </c>
      <c r="S19" s="187">
        <f>model_eui_end_uses!S19*base_building_arch_areas!$N$12</f>
        <v>1751531.942198541</v>
      </c>
      <c r="T19" s="187">
        <f>model_eui_end_uses!T19*base_building_arch_areas!$N$12</f>
        <v>17690.828935855905</v>
      </c>
      <c r="U19" s="187">
        <f>model_eui_end_uses!U19*base_building_arch_areas!$N$12</f>
        <v>0</v>
      </c>
      <c r="V19" s="187">
        <f>model_eui_end_uses!V19*base_building_arch_areas!$N$12</f>
        <v>446702.63310067786</v>
      </c>
      <c r="W19" s="187">
        <f>model_eui_end_uses!W19*base_building_arch_areas!$N$12</f>
        <v>208940.24803517541</v>
      </c>
      <c r="X19" s="187">
        <f>model_eui_end_uses!X19*base_building_arch_areas!$N$12</f>
        <v>57703.169870677732</v>
      </c>
      <c r="Y19" s="187">
        <f>model_eui_end_uses!Y19*base_building_arch_areas!$N$12</f>
        <v>0</v>
      </c>
      <c r="Z19" s="187">
        <f>model_eui_end_uses!Z19*base_building_arch_areas!$N$12</f>
        <v>116157.26131915709</v>
      </c>
      <c r="AA19" s="187">
        <f>model_eui_end_uses!AA19*base_building_arch_areas!$N$12</f>
        <v>79060.262980506275</v>
      </c>
      <c r="AB19" s="187">
        <f>model_eui_end_uses!AB19*base_building_arch_areas!$N$12</f>
        <v>0</v>
      </c>
      <c r="AC19" s="187">
        <f>model_eui_end_uses!AC19*base_building_arch_areas!$N$12</f>
        <v>2677786.3464405909</v>
      </c>
      <c r="AD19" s="187">
        <f>model_eui_end_uses!AD19*base_building_arch_areas!$N$12</f>
        <v>1098517.2865849934</v>
      </c>
      <c r="AE19" s="187">
        <f>model_eui_end_uses!AE19*base_building_arch_areas!$N$12</f>
        <v>108927.80063875321</v>
      </c>
      <c r="AF19" s="187">
        <f t="shared" si="0"/>
        <v>1207445.0872237466</v>
      </c>
      <c r="AG19" s="187">
        <f>model_eui_end_uses!AH19*base_building_arch_areas!$N$12</f>
        <v>17795.980042676892</v>
      </c>
      <c r="AH19" s="187">
        <f>model_eui_end_uses!AI19*base_building_arch_areas!$N$12</f>
        <v>12308.841472179112</v>
      </c>
      <c r="AI19" s="187">
        <f t="shared" si="1"/>
        <v>30104.821514856005</v>
      </c>
      <c r="AJ19" s="200">
        <f>sim_annual_output!F19/sim_annual_output!H19*base_building_arch_areas!$N$12</f>
        <v>983335.24385847803</v>
      </c>
      <c r="AK19">
        <f t="shared" si="2"/>
        <v>32.663712800065127</v>
      </c>
    </row>
    <row r="20" spans="1:37">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f>model_eui_end_uses!G20*base_scenario_arch_measures!$F20</f>
        <v>0</v>
      </c>
      <c r="H20">
        <f>model_eui_end_uses!H20*base_scenario_arch_measures!$F20</f>
        <v>7.9855398756565448</v>
      </c>
      <c r="I20">
        <f>model_eui_end_uses!I20*base_scenario_arch_measures!$F20</f>
        <v>0.10087339289766084</v>
      </c>
      <c r="J20">
        <f>model_eui_end_uses!J20*base_scenario_arch_measures!$F20</f>
        <v>0</v>
      </c>
      <c r="K20">
        <f>model_eui_end_uses!K20*base_scenario_arch_measures!$F20</f>
        <v>1.9302096691426576</v>
      </c>
      <c r="L20">
        <f>model_eui_end_uses!L20*base_scenario_arch_measures!$F20</f>
        <v>0.90283436260754102</v>
      </c>
      <c r="M20">
        <f>model_eui_end_uses!M20*base_scenario_arch_measures!$F20</f>
        <v>0.24933637765117178</v>
      </c>
      <c r="N20">
        <f>model_eui_end_uses!N20*base_scenario_arch_measures!$F20</f>
        <v>0</v>
      </c>
      <c r="O20">
        <f>model_eui_end_uses!O20*base_scenario_arch_measures!$F20</f>
        <v>0.42906979609071261</v>
      </c>
      <c r="P20">
        <f>model_eui_end_uses!P20*base_scenario_arch_measures!$F20</f>
        <v>0.2981347960381196</v>
      </c>
      <c r="Q20">
        <f>model_eui_end_uses!Q20*base_scenario_arch_measures!$F20</f>
        <v>0</v>
      </c>
      <c r="R20" s="187">
        <f>model_eui_end_uses!R20*base_building_arch_areas!$N$12</f>
        <v>0</v>
      </c>
      <c r="S20" s="187">
        <f>model_eui_end_uses!S20*base_building_arch_areas!$N$12</f>
        <v>1751531.942198541</v>
      </c>
      <c r="T20" s="187">
        <f>model_eui_end_uses!T20*base_building_arch_areas!$N$12</f>
        <v>17690.828935855905</v>
      </c>
      <c r="U20" s="187">
        <f>model_eui_end_uses!U20*base_building_arch_areas!$N$12</f>
        <v>0</v>
      </c>
      <c r="V20" s="187">
        <f>model_eui_end_uses!V20*base_building_arch_areas!$N$12</f>
        <v>446702.63310067786</v>
      </c>
      <c r="W20" s="187">
        <f>model_eui_end_uses!W20*base_building_arch_areas!$N$12</f>
        <v>208940.24803517541</v>
      </c>
      <c r="X20" s="187">
        <f>model_eui_end_uses!X20*base_building_arch_areas!$N$12</f>
        <v>57703.169870677732</v>
      </c>
      <c r="Y20" s="187">
        <f>model_eui_end_uses!Y20*base_building_arch_areas!$N$12</f>
        <v>0</v>
      </c>
      <c r="Z20" s="187">
        <f>model_eui_end_uses!Z20*base_building_arch_areas!$N$12</f>
        <v>116157.26131915709</v>
      </c>
      <c r="AA20" s="187">
        <f>model_eui_end_uses!AA20*base_building_arch_areas!$N$12</f>
        <v>79060.262980506275</v>
      </c>
      <c r="AB20" s="187">
        <f>model_eui_end_uses!AB20*base_building_arch_areas!$N$12</f>
        <v>0</v>
      </c>
      <c r="AC20" s="187">
        <f>model_eui_end_uses!AC20*base_building_arch_areas!$N$12</f>
        <v>2677786.3464405909</v>
      </c>
      <c r="AD20" s="187">
        <f>model_eui_end_uses!AD20*base_building_arch_areas!$N$12</f>
        <v>-96537.594605026345</v>
      </c>
      <c r="AE20" s="187">
        <f>model_eui_end_uses!AE20*base_building_arch_areas!$N$12</f>
        <v>21268.749394793063</v>
      </c>
      <c r="AF20" s="187">
        <f t="shared" si="0"/>
        <v>-75268.845210233281</v>
      </c>
      <c r="AG20" s="187">
        <f>model_eui_end_uses!AH20*base_building_arch_areas!$N$12</f>
        <v>-1563.9090326014268</v>
      </c>
      <c r="AH20" s="187">
        <f>model_eui_end_uses!AI20*base_building_arch_areas!$N$12</f>
        <v>2403.368681611616</v>
      </c>
      <c r="AI20" s="187">
        <f t="shared" si="1"/>
        <v>839.4596490101892</v>
      </c>
      <c r="AJ20" s="200">
        <f>sim_annual_output!F20/sim_annual_output!H20*base_building_arch_areas!$N$12</f>
        <v>184110.55167402691</v>
      </c>
      <c r="AK20">
        <f t="shared" si="2"/>
        <v>219.32031145405563</v>
      </c>
    </row>
    <row r="21" spans="1:37">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f>model_eui_end_uses!G21*base_scenario_arch_measures!$F21</f>
        <v>0</v>
      </c>
      <c r="H21">
        <f>model_eui_end_uses!H21*base_scenario_arch_measures!$F21</f>
        <v>2.9543402307785112</v>
      </c>
      <c r="I21">
        <f>model_eui_end_uses!I21*base_scenario_arch_measures!$F21</f>
        <v>0.19455744905774006</v>
      </c>
      <c r="J21">
        <f>model_eui_end_uses!J21*base_scenario_arch_measures!$F21</f>
        <v>0</v>
      </c>
      <c r="K21">
        <f>model_eui_end_uses!K21*base_scenario_arch_measures!$F21</f>
        <v>1.9301460466936522</v>
      </c>
      <c r="L21">
        <f>model_eui_end_uses!L21*base_scenario_arch_measures!$F21</f>
        <v>0.63196178596812691</v>
      </c>
      <c r="M21">
        <f>model_eui_end_uses!M21*base_scenario_arch_measures!$F21</f>
        <v>0.24933637765117178</v>
      </c>
      <c r="N21">
        <f>model_eui_end_uses!N21*base_scenario_arch_measures!$F21</f>
        <v>0</v>
      </c>
      <c r="O21">
        <f>model_eui_end_uses!O21*base_scenario_arch_measures!$F21</f>
        <v>0.29613068889445754</v>
      </c>
      <c r="P21">
        <f>model_eui_end_uses!P21*base_scenario_arch_measures!$F21</f>
        <v>6.998469390566189E-3</v>
      </c>
      <c r="Q21">
        <f>model_eui_end_uses!Q21*base_scenario_arch_measures!$F21</f>
        <v>0</v>
      </c>
      <c r="R21" s="187">
        <f>model_eui_end_uses!R21*base_building_arch_areas!$N$12</f>
        <v>0</v>
      </c>
      <c r="S21" s="187">
        <f>model_eui_end_uses!S21*base_building_arch_areas!$N$12</f>
        <v>1751531.942198541</v>
      </c>
      <c r="T21" s="187">
        <f>model_eui_end_uses!T21*base_building_arch_areas!$N$12</f>
        <v>17690.828935855905</v>
      </c>
      <c r="U21" s="187">
        <f>model_eui_end_uses!U21*base_building_arch_areas!$N$12</f>
        <v>0</v>
      </c>
      <c r="V21" s="187">
        <f>model_eui_end_uses!V21*base_building_arch_areas!$N$12</f>
        <v>446702.63310067786</v>
      </c>
      <c r="W21" s="187">
        <f>model_eui_end_uses!W21*base_building_arch_areas!$N$12</f>
        <v>208940.24803517541</v>
      </c>
      <c r="X21" s="187">
        <f>model_eui_end_uses!X21*base_building_arch_areas!$N$12</f>
        <v>57703.169870677732</v>
      </c>
      <c r="Y21" s="187">
        <f>model_eui_end_uses!Y21*base_building_arch_areas!$N$12</f>
        <v>0</v>
      </c>
      <c r="Z21" s="187">
        <f>model_eui_end_uses!Z21*base_building_arch_areas!$N$12</f>
        <v>116157.26131915709</v>
      </c>
      <c r="AA21" s="187">
        <f>model_eui_end_uses!AA21*base_building_arch_areas!$N$12</f>
        <v>79060.262980506275</v>
      </c>
      <c r="AB21" s="187">
        <f>model_eui_end_uses!AB21*base_building_arch_areas!$N$12</f>
        <v>0</v>
      </c>
      <c r="AC21" s="187">
        <f>model_eui_end_uses!AC21*base_building_arch_areas!$N$12</f>
        <v>2677786.3464405909</v>
      </c>
      <c r="AD21" s="187">
        <f>model_eui_end_uses!AD21*base_building_arch_areas!$N$12</f>
        <v>1067832.5695626684</v>
      </c>
      <c r="AE21" s="187">
        <f>model_eui_end_uses!AE21*base_building_arch_areas!$N$12</f>
        <v>160417.4625519352</v>
      </c>
      <c r="AF21" s="187">
        <f t="shared" si="0"/>
        <v>1228250.0321146036</v>
      </c>
      <c r="AG21" s="187">
        <f>model_eui_end_uses!AH21*base_building_arch_areas!$N$12</f>
        <v>17298.887626915224</v>
      </c>
      <c r="AH21" s="187">
        <f>model_eui_end_uses!AI21*base_building_arch_areas!$N$12</f>
        <v>18127.173268368679</v>
      </c>
      <c r="AI21" s="187">
        <f t="shared" si="1"/>
        <v>35426.060895283903</v>
      </c>
      <c r="AJ21" s="200">
        <f>sim_annual_output!F21/sim_annual_output!H21*base_building_arch_areas!$N$12</f>
        <v>1988855.1672743142</v>
      </c>
      <c r="AK21">
        <f t="shared" si="2"/>
        <v>56.141019266951034</v>
      </c>
    </row>
    <row r="22" spans="1:37">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f>model_eui_end_uses!G22*base_scenario_arch_measures!$F22</f>
        <v>0</v>
      </c>
      <c r="H22">
        <f>model_eui_end_uses!H22*base_scenario_arch_measures!$F22</f>
        <v>7.4627224009567481</v>
      </c>
      <c r="I22">
        <f>model_eui_end_uses!I22*base_scenario_arch_measures!$F22</f>
        <v>9.1998061261442818E-2</v>
      </c>
      <c r="J22">
        <f>model_eui_end_uses!J22*base_scenario_arch_measures!$F22</f>
        <v>0</v>
      </c>
      <c r="K22">
        <f>model_eui_end_uses!K22*base_scenario_arch_measures!$F22</f>
        <v>1.9302096691426576</v>
      </c>
      <c r="L22">
        <f>model_eui_end_uses!L22*base_scenario_arch_measures!$F22</f>
        <v>0.90283436260754102</v>
      </c>
      <c r="M22">
        <f>model_eui_end_uses!M22*base_scenario_arch_measures!$F22</f>
        <v>0.24933637765117178</v>
      </c>
      <c r="N22">
        <f>model_eui_end_uses!N22*base_scenario_arch_measures!$F22</f>
        <v>0</v>
      </c>
      <c r="O22">
        <f>model_eui_end_uses!O22*base_scenario_arch_measures!$F22</f>
        <v>0.51464199000263544</v>
      </c>
      <c r="P22">
        <f>model_eui_end_uses!P22*base_scenario_arch_measures!$F22</f>
        <v>0.34970079095679141</v>
      </c>
      <c r="Q22">
        <f>model_eui_end_uses!Q22*base_scenario_arch_measures!$F22</f>
        <v>0</v>
      </c>
      <c r="R22" s="187">
        <f>model_eui_end_uses!R22*base_building_arch_areas!$N$12</f>
        <v>0</v>
      </c>
      <c r="S22" s="187">
        <f>model_eui_end_uses!S22*base_building_arch_areas!$N$12</f>
        <v>1751531.942198541</v>
      </c>
      <c r="T22" s="187">
        <f>model_eui_end_uses!T22*base_building_arch_areas!$N$12</f>
        <v>17690.828935855905</v>
      </c>
      <c r="U22" s="187">
        <f>model_eui_end_uses!U22*base_building_arch_areas!$N$12</f>
        <v>0</v>
      </c>
      <c r="V22" s="187">
        <f>model_eui_end_uses!V22*base_building_arch_areas!$N$12</f>
        <v>446702.63310067786</v>
      </c>
      <c r="W22" s="187">
        <f>model_eui_end_uses!W22*base_building_arch_areas!$N$12</f>
        <v>208940.24803517541</v>
      </c>
      <c r="X22" s="187">
        <f>model_eui_end_uses!X22*base_building_arch_areas!$N$12</f>
        <v>57703.169870677732</v>
      </c>
      <c r="Y22" s="187">
        <f>model_eui_end_uses!Y22*base_building_arch_areas!$N$12</f>
        <v>0</v>
      </c>
      <c r="Z22" s="187">
        <f>model_eui_end_uses!Z22*base_building_arch_areas!$N$12</f>
        <v>116157.26131915709</v>
      </c>
      <c r="AA22" s="187">
        <f>model_eui_end_uses!AA22*base_building_arch_areas!$N$12</f>
        <v>79060.262980506275</v>
      </c>
      <c r="AB22" s="187">
        <f>model_eui_end_uses!AB22*base_building_arch_areas!$N$12</f>
        <v>0</v>
      </c>
      <c r="AC22" s="187">
        <f>model_eui_end_uses!AC22*base_building_arch_areas!$N$12</f>
        <v>2677786.3464405909</v>
      </c>
      <c r="AD22" s="187">
        <f>model_eui_end_uses!AD22*base_building_arch_areas!$N$12</f>
        <v>24456.485112323571</v>
      </c>
      <c r="AE22" s="187">
        <f>model_eui_end_uses!AE22*base_building_arch_areas!$N$12</f>
        <v>-8414.7388571299834</v>
      </c>
      <c r="AF22" s="187">
        <f t="shared" si="0"/>
        <v>16041.746255193588</v>
      </c>
      <c r="AG22" s="187">
        <f>model_eui_end_uses!AH22*base_building_arch_areas!$N$12</f>
        <v>396.19505881964182</v>
      </c>
      <c r="AH22" s="187">
        <f>model_eui_end_uses!AI22*base_building_arch_areas!$N$12</f>
        <v>-950.86549085568811</v>
      </c>
      <c r="AI22" s="187">
        <f t="shared" si="1"/>
        <v>-554.67043203604635</v>
      </c>
      <c r="AJ22" s="200">
        <f>sim_annual_output!F22/sim_annual_output!H22*base_building_arch_areas!$N$12</f>
        <v>106451.60172280988</v>
      </c>
      <c r="AK22">
        <f t="shared" si="2"/>
        <v>-191.9186521842432</v>
      </c>
    </row>
    <row r="23" spans="1:37">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f>model_eui_end_uses!G23*base_scenario_arch_measures!$F23</f>
        <v>0</v>
      </c>
      <c r="H23">
        <f>model_eui_end_uses!H23*base_scenario_arch_measures!$F23</f>
        <v>7.4524155642179144</v>
      </c>
      <c r="I23">
        <f>model_eui_end_uses!I23*base_scenario_arch_measures!$F23</f>
        <v>9.3429566364058636E-2</v>
      </c>
      <c r="J23">
        <f>model_eui_end_uses!J23*base_scenario_arch_measures!$F23</f>
        <v>0</v>
      </c>
      <c r="K23">
        <f>model_eui_end_uses!K23*base_scenario_arch_measures!$F23</f>
        <v>1.9302096691426576</v>
      </c>
      <c r="L23">
        <f>model_eui_end_uses!L23*base_scenario_arch_measures!$F23</f>
        <v>0.90283436260754102</v>
      </c>
      <c r="M23">
        <f>model_eui_end_uses!M23*base_scenario_arch_measures!$F23</f>
        <v>0.24933637765117178</v>
      </c>
      <c r="N23">
        <f>model_eui_end_uses!N23*base_scenario_arch_measures!$F23</f>
        <v>0</v>
      </c>
      <c r="O23">
        <f>model_eui_end_uses!O23*base_scenario_arch_measures!$F23</f>
        <v>0.51457836755363029</v>
      </c>
      <c r="P23">
        <f>model_eui_end_uses!P23*base_scenario_arch_measures!$F23</f>
        <v>0.27325841847710708</v>
      </c>
      <c r="Q23">
        <f>model_eui_end_uses!Q23*base_scenario_arch_measures!$F23</f>
        <v>0</v>
      </c>
      <c r="R23" s="187">
        <f>model_eui_end_uses!R23*base_building_arch_areas!$N$12</f>
        <v>0</v>
      </c>
      <c r="S23" s="187">
        <f>model_eui_end_uses!S23*base_building_arch_areas!$N$12</f>
        <v>1751531.942198541</v>
      </c>
      <c r="T23" s="187">
        <f>model_eui_end_uses!T23*base_building_arch_areas!$N$12</f>
        <v>17690.828935855905</v>
      </c>
      <c r="U23" s="187">
        <f>model_eui_end_uses!U23*base_building_arch_areas!$N$12</f>
        <v>0</v>
      </c>
      <c r="V23" s="187">
        <f>model_eui_end_uses!V23*base_building_arch_areas!$N$12</f>
        <v>446702.63310067786</v>
      </c>
      <c r="W23" s="187">
        <f>model_eui_end_uses!W23*base_building_arch_areas!$N$12</f>
        <v>208940.24803517541</v>
      </c>
      <c r="X23" s="187">
        <f>model_eui_end_uses!X23*base_building_arch_areas!$N$12</f>
        <v>57703.169870677732</v>
      </c>
      <c r="Y23" s="187">
        <f>model_eui_end_uses!Y23*base_building_arch_areas!$N$12</f>
        <v>0</v>
      </c>
      <c r="Z23" s="187">
        <f>model_eui_end_uses!Z23*base_building_arch_areas!$N$12</f>
        <v>116157.26131915709</v>
      </c>
      <c r="AA23" s="187">
        <f>model_eui_end_uses!AA23*base_building_arch_areas!$N$12</f>
        <v>79060.262980506275</v>
      </c>
      <c r="AB23" s="187">
        <f>model_eui_end_uses!AB23*base_building_arch_areas!$N$12</f>
        <v>0</v>
      </c>
      <c r="AC23" s="187">
        <f>model_eui_end_uses!AC23*base_building_arch_areas!$N$12</f>
        <v>2677786.3464405909</v>
      </c>
      <c r="AD23" s="187">
        <f>model_eui_end_uses!AD23*base_building_arch_areas!$N$12</f>
        <v>26841.765418281673</v>
      </c>
      <c r="AE23" s="187">
        <f>model_eui_end_uses!AE23*base_building_arch_areas!$N$12</f>
        <v>8959.5250998488427</v>
      </c>
      <c r="AF23" s="187">
        <f t="shared" si="0"/>
        <v>35801.290518130518</v>
      </c>
      <c r="AG23" s="187">
        <f>model_eui_end_uses!AH23*base_building_arch_areas!$N$12</f>
        <v>434.8365997761631</v>
      </c>
      <c r="AH23" s="187">
        <f>model_eui_end_uses!AI23*base_building_arch_areas!$N$12</f>
        <v>1012.4263362829192</v>
      </c>
      <c r="AI23" s="187">
        <f t="shared" si="1"/>
        <v>1447.2629360590822</v>
      </c>
      <c r="AJ23" s="200">
        <f>sim_annual_output!F23/sim_annual_output!H23*base_building_arch_areas!$N$12</f>
        <v>51022.310508883638</v>
      </c>
      <c r="AK23">
        <f t="shared" si="2"/>
        <v>35.254347525694342</v>
      </c>
    </row>
    <row r="24" spans="1:37">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f>model_eui_end_uses!G24*base_scenario_arch_measures!$F24</f>
        <v>0</v>
      </c>
      <c r="H24">
        <f>model_eui_end_uses!H24*base_scenario_arch_measures!$F24</f>
        <v>2.8978460015271175</v>
      </c>
      <c r="I24">
        <f>model_eui_end_uses!I24*base_scenario_arch_measures!$F24</f>
        <v>3.8537713561487427E-2</v>
      </c>
      <c r="J24">
        <f>model_eui_end_uses!J24*base_scenario_arch_measures!$F24</f>
        <v>0.13175112641628725</v>
      </c>
      <c r="K24">
        <f>model_eui_end_uses!K24*base_scenario_arch_measures!$F24</f>
        <v>0</v>
      </c>
      <c r="L24">
        <f>model_eui_end_uses!L24*base_scenario_arch_measures!$F24</f>
        <v>0.51346285202267128</v>
      </c>
      <c r="M24">
        <f>model_eui_end_uses!M24*base_scenario_arch_measures!$F24</f>
        <v>0.14743093589705097</v>
      </c>
      <c r="N24">
        <f>model_eui_end_uses!N24*base_scenario_arch_measures!$F24</f>
        <v>0</v>
      </c>
      <c r="O24">
        <f>model_eui_end_uses!O24*base_scenario_arch_measures!$F24</f>
        <v>0.22433666811222475</v>
      </c>
      <c r="P24">
        <f>model_eui_end_uses!P24*base_scenario_arch_measures!$F24</f>
        <v>7.7177244067655124E-2</v>
      </c>
      <c r="Q24">
        <f>model_eui_end_uses!Q24*base_scenario_arch_measures!$F24</f>
        <v>0</v>
      </c>
      <c r="R24" s="187">
        <f>model_eui_end_uses!R24*base_building_arch_areas!$N$31</f>
        <v>0</v>
      </c>
      <c r="S24" s="187">
        <f>model_eui_end_uses!S24*base_building_arch_areas!$N$31</f>
        <v>0</v>
      </c>
      <c r="T24" s="187">
        <f>model_eui_end_uses!T24*base_building_arch_areas!$N$31</f>
        <v>0</v>
      </c>
      <c r="U24" s="187">
        <f>model_eui_end_uses!U24*base_building_arch_areas!$N$31</f>
        <v>0</v>
      </c>
      <c r="V24" s="187">
        <f>model_eui_end_uses!V24*base_building_arch_areas!$N$31</f>
        <v>0</v>
      </c>
      <c r="W24" s="187">
        <f>model_eui_end_uses!W24*base_building_arch_areas!$N$31</f>
        <v>0</v>
      </c>
      <c r="X24" s="187">
        <f>model_eui_end_uses!X24*base_building_arch_areas!$N$31</f>
        <v>0</v>
      </c>
      <c r="Y24" s="187">
        <f>model_eui_end_uses!Y24*base_building_arch_areas!$N$31</f>
        <v>0</v>
      </c>
      <c r="Z24" s="187">
        <f>model_eui_end_uses!Z24*base_building_arch_areas!$N$31</f>
        <v>0</v>
      </c>
      <c r="AA24" s="187">
        <f>model_eui_end_uses!AA24*base_building_arch_areas!$N$31</f>
        <v>0</v>
      </c>
      <c r="AB24" s="187">
        <f>model_eui_end_uses!AB24*base_building_arch_areas!$N$31</f>
        <v>0</v>
      </c>
      <c r="AC24" s="187">
        <f>model_eui_end_uses!AC24*base_building_arch_areas!$N$31</f>
        <v>0</v>
      </c>
      <c r="AD24" s="187">
        <f>model_eui_end_uses!AD24*base_building_arch_areas!$N$31</f>
        <v>0</v>
      </c>
      <c r="AE24" s="187">
        <f>model_eui_end_uses!AE24*base_building_arch_areas!$N$31</f>
        <v>0</v>
      </c>
      <c r="AF24" s="187">
        <f t="shared" ref="AF24:AF46" si="3">SUM(AD24:AE24)</f>
        <v>0</v>
      </c>
      <c r="AG24" s="187">
        <f>model_eui_end_uses!AH24*base_building_arch_areas!$N$31</f>
        <v>0</v>
      </c>
      <c r="AH24" s="187">
        <f>model_eui_end_uses!AI24*base_building_arch_areas!$N$31</f>
        <v>0</v>
      </c>
      <c r="AI24" s="187">
        <f t="shared" ref="AI24:AI46" si="4">SUM(AG24:AH24)</f>
        <v>0</v>
      </c>
      <c r="AJ24" s="200">
        <f>sim_annual_output!F24/sim_annual_output!H24*base_building_arch_areas!$N$31</f>
        <v>0</v>
      </c>
      <c r="AK24">
        <f t="shared" si="2"/>
        <v>0</v>
      </c>
    </row>
    <row r="25" spans="1:37">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f>model_eui_end_uses!G25*base_scenario_arch_measures!$F25</f>
        <v>0</v>
      </c>
      <c r="H25">
        <f>model_eui_end_uses!H25*base_scenario_arch_measures!$F25</f>
        <v>2.9900242754443349</v>
      </c>
      <c r="I25">
        <f>model_eui_end_uses!I25*base_scenario_arch_measures!$F25</f>
        <v>8.2302030283229414E-3</v>
      </c>
      <c r="J25">
        <f>model_eui_end_uses!J25*base_scenario_arch_measures!$F25</f>
        <v>0.13175112641628725</v>
      </c>
      <c r="K25">
        <f>model_eui_end_uses!K25*base_scenario_arch_measures!$F25</f>
        <v>0</v>
      </c>
      <c r="L25">
        <f>model_eui_end_uses!L25*base_scenario_arch_measures!$F25</f>
        <v>0.51346285202267128</v>
      </c>
      <c r="M25">
        <f>model_eui_end_uses!M25*base_scenario_arch_measures!$F25</f>
        <v>0.14743093589705097</v>
      </c>
      <c r="N25">
        <f>model_eui_end_uses!N25*base_scenario_arch_measures!$F25</f>
        <v>0</v>
      </c>
      <c r="O25">
        <f>model_eui_end_uses!O25*base_scenario_arch_measures!$F25</f>
        <v>0.22487969181718687</v>
      </c>
      <c r="P25">
        <f>model_eui_end_uses!P25*base_scenario_arch_measures!$F25</f>
        <v>8.6001379273279721E-2</v>
      </c>
      <c r="Q25">
        <f>model_eui_end_uses!Q25*base_scenario_arch_measures!$F25</f>
        <v>0</v>
      </c>
      <c r="R25" s="187">
        <f>model_eui_end_uses!R25*base_building_arch_areas!$N$31</f>
        <v>0</v>
      </c>
      <c r="S25" s="187">
        <f>model_eui_end_uses!S25*base_building_arch_areas!$N$31</f>
        <v>0</v>
      </c>
      <c r="T25" s="187">
        <f>model_eui_end_uses!T25*base_building_arch_areas!$N$31</f>
        <v>0</v>
      </c>
      <c r="U25" s="187">
        <f>model_eui_end_uses!U25*base_building_arch_areas!$N$31</f>
        <v>0</v>
      </c>
      <c r="V25" s="187">
        <f>model_eui_end_uses!V25*base_building_arch_areas!$N$31</f>
        <v>0</v>
      </c>
      <c r="W25" s="187">
        <f>model_eui_end_uses!W25*base_building_arch_areas!$N$31</f>
        <v>0</v>
      </c>
      <c r="X25" s="187">
        <f>model_eui_end_uses!X25*base_building_arch_areas!$N$31</f>
        <v>0</v>
      </c>
      <c r="Y25" s="187">
        <f>model_eui_end_uses!Y25*base_building_arch_areas!$N$31</f>
        <v>0</v>
      </c>
      <c r="Z25" s="187">
        <f>model_eui_end_uses!Z25*base_building_arch_areas!$N$31</f>
        <v>0</v>
      </c>
      <c r="AA25" s="187">
        <f>model_eui_end_uses!AA25*base_building_arch_areas!$N$31</f>
        <v>0</v>
      </c>
      <c r="AB25" s="187">
        <f>model_eui_end_uses!AB25*base_building_arch_areas!$N$31</f>
        <v>0</v>
      </c>
      <c r="AC25" s="187">
        <f>model_eui_end_uses!AC25*base_building_arch_areas!$N$31</f>
        <v>0</v>
      </c>
      <c r="AD25" s="187">
        <f>model_eui_end_uses!AD25*base_building_arch_areas!$N$31</f>
        <v>0</v>
      </c>
      <c r="AE25" s="187">
        <f>model_eui_end_uses!AE25*base_building_arch_areas!$N$31</f>
        <v>0</v>
      </c>
      <c r="AF25" s="187">
        <f t="shared" ref="AF25:AF45" si="5">SUM(AD25:AE25)</f>
        <v>0</v>
      </c>
      <c r="AG25" s="187">
        <f>model_eui_end_uses!AH25*base_building_arch_areas!$N$31</f>
        <v>0</v>
      </c>
      <c r="AH25" s="187">
        <f>model_eui_end_uses!AI25*base_building_arch_areas!$N$31</f>
        <v>0</v>
      </c>
      <c r="AI25" s="187">
        <f t="shared" ref="AI25:AI45" si="6">SUM(AG25:AH25)</f>
        <v>0</v>
      </c>
      <c r="AJ25" s="200">
        <f>sim_annual_output!F25/sim_annual_output!H25*base_building_arch_areas!$N$31</f>
        <v>0</v>
      </c>
      <c r="AK25">
        <f t="shared" ref="AK25:AK45" si="7">IF(AI25=0,0,AJ25/AI25)</f>
        <v>0</v>
      </c>
    </row>
    <row r="26" spans="1:37">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f>model_eui_end_uses!G26*base_scenario_arch_measures!$F26</f>
        <v>0</v>
      </c>
      <c r="H26">
        <f>model_eui_end_uses!H26*base_scenario_arch_measures!$F26</f>
        <v>2.9547107651310562</v>
      </c>
      <c r="I26">
        <f>model_eui_end_uses!I26*base_scenario_arch_measures!$F26</f>
        <v>8.5526233531438393E-3</v>
      </c>
      <c r="J26">
        <f>model_eui_end_uses!J26*base_scenario_arch_measures!$F26</f>
        <v>0.13175112641628725</v>
      </c>
      <c r="K26">
        <f>model_eui_end_uses!K26*base_scenario_arch_measures!$F26</f>
        <v>0</v>
      </c>
      <c r="L26">
        <f>model_eui_end_uses!L26*base_scenario_arch_measures!$F26</f>
        <v>0.51346285202267128</v>
      </c>
      <c r="M26">
        <f>model_eui_end_uses!M26*base_scenario_arch_measures!$F26</f>
        <v>0.14743093589705097</v>
      </c>
      <c r="N26">
        <f>model_eui_end_uses!N26*base_scenario_arch_measures!$F26</f>
        <v>0</v>
      </c>
      <c r="O26">
        <f>model_eui_end_uses!O26*base_scenario_arch_measures!$F26</f>
        <v>0.22418394269520489</v>
      </c>
      <c r="P26">
        <f>model_eui_end_uses!P26*base_scenario_arch_measures!$F26</f>
        <v>8.5628050476118683E-2</v>
      </c>
      <c r="Q26">
        <f>model_eui_end_uses!Q26*base_scenario_arch_measures!$F26</f>
        <v>0</v>
      </c>
      <c r="R26" s="187">
        <f>model_eui_end_uses!R26*base_building_arch_areas!$N$31</f>
        <v>0</v>
      </c>
      <c r="S26" s="187">
        <f>model_eui_end_uses!S26*base_building_arch_areas!$N$31</f>
        <v>0</v>
      </c>
      <c r="T26" s="187">
        <f>model_eui_end_uses!T26*base_building_arch_areas!$N$31</f>
        <v>0</v>
      </c>
      <c r="U26" s="187">
        <f>model_eui_end_uses!U26*base_building_arch_areas!$N$31</f>
        <v>0</v>
      </c>
      <c r="V26" s="187">
        <f>model_eui_end_uses!V26*base_building_arch_areas!$N$31</f>
        <v>0</v>
      </c>
      <c r="W26" s="187">
        <f>model_eui_end_uses!W26*base_building_arch_areas!$N$31</f>
        <v>0</v>
      </c>
      <c r="X26" s="187">
        <f>model_eui_end_uses!X26*base_building_arch_areas!$N$31</f>
        <v>0</v>
      </c>
      <c r="Y26" s="187">
        <f>model_eui_end_uses!Y26*base_building_arch_areas!$N$31</f>
        <v>0</v>
      </c>
      <c r="Z26" s="187">
        <f>model_eui_end_uses!Z26*base_building_arch_areas!$N$31</f>
        <v>0</v>
      </c>
      <c r="AA26" s="187">
        <f>model_eui_end_uses!AA26*base_building_arch_areas!$N$31</f>
        <v>0</v>
      </c>
      <c r="AB26" s="187">
        <f>model_eui_end_uses!AB26*base_building_arch_areas!$N$31</f>
        <v>0</v>
      </c>
      <c r="AC26" s="187">
        <f>model_eui_end_uses!AC26*base_building_arch_areas!$N$31</f>
        <v>0</v>
      </c>
      <c r="AD26" s="187">
        <f>model_eui_end_uses!AD26*base_building_arch_areas!$N$31</f>
        <v>0</v>
      </c>
      <c r="AE26" s="187">
        <f>model_eui_end_uses!AE26*base_building_arch_areas!$N$31</f>
        <v>0</v>
      </c>
      <c r="AF26" s="187">
        <f t="shared" si="5"/>
        <v>0</v>
      </c>
      <c r="AG26" s="187">
        <f>model_eui_end_uses!AH26*base_building_arch_areas!$N$31</f>
        <v>0</v>
      </c>
      <c r="AH26" s="187">
        <f>model_eui_end_uses!AI26*base_building_arch_areas!$N$31</f>
        <v>0</v>
      </c>
      <c r="AI26" s="187">
        <f t="shared" si="6"/>
        <v>0</v>
      </c>
      <c r="AJ26" s="200">
        <f>sim_annual_output!F26/sim_annual_output!H26*base_building_arch_areas!$N$31</f>
        <v>0</v>
      </c>
      <c r="AK26">
        <f t="shared" si="7"/>
        <v>0</v>
      </c>
    </row>
    <row r="27" spans="1:37">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f>model_eui_end_uses!G27*base_scenario_arch_measures!$F27</f>
        <v>0</v>
      </c>
      <c r="H27">
        <f>model_eui_end_uses!H27*base_scenario_arch_measures!$F27</f>
        <v>2.1671057895567212</v>
      </c>
      <c r="I27">
        <f>model_eui_end_uses!I27*base_scenario_arch_measures!$F27</f>
        <v>8.5526233531438393E-3</v>
      </c>
      <c r="J27">
        <f>model_eui_end_uses!J27*base_scenario_arch_measures!$F27</f>
        <v>0.13175112641628725</v>
      </c>
      <c r="K27">
        <f>model_eui_end_uses!K27*base_scenario_arch_measures!$F27</f>
        <v>0</v>
      </c>
      <c r="L27">
        <f>model_eui_end_uses!L27*base_scenario_arch_measures!$F27</f>
        <v>0.51346285202267128</v>
      </c>
      <c r="M27">
        <f>model_eui_end_uses!M27*base_scenario_arch_measures!$F27</f>
        <v>0.14743093589705097</v>
      </c>
      <c r="N27">
        <f>model_eui_end_uses!N27*base_scenario_arch_measures!$F27</f>
        <v>0</v>
      </c>
      <c r="O27">
        <f>model_eui_end_uses!O27*base_scenario_arch_measures!$F27</f>
        <v>0.22418394269520489</v>
      </c>
      <c r="P27">
        <f>model_eui_end_uses!P27*base_scenario_arch_measures!$F27</f>
        <v>8.5628050476118683E-2</v>
      </c>
      <c r="Q27">
        <f>model_eui_end_uses!Q27*base_scenario_arch_measures!$F27</f>
        <v>0</v>
      </c>
      <c r="R27" s="187">
        <f>model_eui_end_uses!R27*base_building_arch_areas!$N$31</f>
        <v>0</v>
      </c>
      <c r="S27" s="187">
        <f>model_eui_end_uses!S27*base_building_arch_areas!$N$31</f>
        <v>0</v>
      </c>
      <c r="T27" s="187">
        <f>model_eui_end_uses!T27*base_building_arch_areas!$N$31</f>
        <v>0</v>
      </c>
      <c r="U27" s="187">
        <f>model_eui_end_uses!U27*base_building_arch_areas!$N$31</f>
        <v>0</v>
      </c>
      <c r="V27" s="187">
        <f>model_eui_end_uses!V27*base_building_arch_areas!$N$31</f>
        <v>0</v>
      </c>
      <c r="W27" s="187">
        <f>model_eui_end_uses!W27*base_building_arch_areas!$N$31</f>
        <v>0</v>
      </c>
      <c r="X27" s="187">
        <f>model_eui_end_uses!X27*base_building_arch_areas!$N$31</f>
        <v>0</v>
      </c>
      <c r="Y27" s="187">
        <f>model_eui_end_uses!Y27*base_building_arch_areas!$N$31</f>
        <v>0</v>
      </c>
      <c r="Z27" s="187">
        <f>model_eui_end_uses!Z27*base_building_arch_areas!$N$31</f>
        <v>0</v>
      </c>
      <c r="AA27" s="187">
        <f>model_eui_end_uses!AA27*base_building_arch_areas!$N$31</f>
        <v>0</v>
      </c>
      <c r="AB27" s="187">
        <f>model_eui_end_uses!AB27*base_building_arch_areas!$N$31</f>
        <v>0</v>
      </c>
      <c r="AC27" s="187">
        <f>model_eui_end_uses!AC27*base_building_arch_areas!$N$31</f>
        <v>0</v>
      </c>
      <c r="AD27" s="187">
        <f>model_eui_end_uses!AD27*base_building_arch_areas!$N$31</f>
        <v>0</v>
      </c>
      <c r="AE27" s="187">
        <f>model_eui_end_uses!AE27*base_building_arch_areas!$N$31</f>
        <v>0</v>
      </c>
      <c r="AF27" s="187">
        <f t="shared" si="5"/>
        <v>0</v>
      </c>
      <c r="AG27" s="187">
        <f>model_eui_end_uses!AH27*base_building_arch_areas!$N$31</f>
        <v>0</v>
      </c>
      <c r="AH27" s="187">
        <f>model_eui_end_uses!AI27*base_building_arch_areas!$N$31</f>
        <v>0</v>
      </c>
      <c r="AI27" s="187">
        <f t="shared" si="6"/>
        <v>0</v>
      </c>
      <c r="AJ27" s="200">
        <f>sim_annual_output!F27/sim_annual_output!H27*base_building_arch_areas!$N$31</f>
        <v>0</v>
      </c>
      <c r="AK27">
        <f t="shared" si="7"/>
        <v>0</v>
      </c>
    </row>
    <row r="28" spans="1:37">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f>model_eui_end_uses!G28*base_scenario_arch_measures!$F28</f>
        <v>0</v>
      </c>
      <c r="H28">
        <f>model_eui_end_uses!H28*base_scenario_arch_measures!$F28</f>
        <v>2.9547107651310562</v>
      </c>
      <c r="I28">
        <f>model_eui_end_uses!I28*base_scenario_arch_measures!$F28</f>
        <v>6.1090166808170287E-3</v>
      </c>
      <c r="J28">
        <f>model_eui_end_uses!J28*base_scenario_arch_measures!$F28</f>
        <v>0.13175112641628725</v>
      </c>
      <c r="K28">
        <f>model_eui_end_uses!K28*base_scenario_arch_measures!$F28</f>
        <v>0</v>
      </c>
      <c r="L28">
        <f>model_eui_end_uses!L28*base_scenario_arch_measures!$F28</f>
        <v>0.51346285202267128</v>
      </c>
      <c r="M28">
        <f>model_eui_end_uses!M28*base_scenario_arch_measures!$F28</f>
        <v>0.14743093589705097</v>
      </c>
      <c r="N28">
        <f>model_eui_end_uses!N28*base_scenario_arch_measures!$F28</f>
        <v>0</v>
      </c>
      <c r="O28">
        <f>model_eui_end_uses!O28*base_scenario_arch_measures!$F28</f>
        <v>0.22418394269520489</v>
      </c>
      <c r="P28">
        <f>model_eui_end_uses!P28*base_scenario_arch_measures!$F28</f>
        <v>8.5628050476118683E-2</v>
      </c>
      <c r="Q28">
        <f>model_eui_end_uses!Q28*base_scenario_arch_measures!$F28</f>
        <v>0</v>
      </c>
      <c r="R28" s="187">
        <f>model_eui_end_uses!R28*base_building_arch_areas!$N$31</f>
        <v>0</v>
      </c>
      <c r="S28" s="187">
        <f>model_eui_end_uses!S28*base_building_arch_areas!$N$31</f>
        <v>0</v>
      </c>
      <c r="T28" s="187">
        <f>model_eui_end_uses!T28*base_building_arch_areas!$N$31</f>
        <v>0</v>
      </c>
      <c r="U28" s="187">
        <f>model_eui_end_uses!U28*base_building_arch_areas!$N$31</f>
        <v>0</v>
      </c>
      <c r="V28" s="187">
        <f>model_eui_end_uses!V28*base_building_arch_areas!$N$31</f>
        <v>0</v>
      </c>
      <c r="W28" s="187">
        <f>model_eui_end_uses!W28*base_building_arch_areas!$N$31</f>
        <v>0</v>
      </c>
      <c r="X28" s="187">
        <f>model_eui_end_uses!X28*base_building_arch_areas!$N$31</f>
        <v>0</v>
      </c>
      <c r="Y28" s="187">
        <f>model_eui_end_uses!Y28*base_building_arch_areas!$N$31</f>
        <v>0</v>
      </c>
      <c r="Z28" s="187">
        <f>model_eui_end_uses!Z28*base_building_arch_areas!$N$31</f>
        <v>0</v>
      </c>
      <c r="AA28" s="187">
        <f>model_eui_end_uses!AA28*base_building_arch_areas!$N$31</f>
        <v>0</v>
      </c>
      <c r="AB28" s="187">
        <f>model_eui_end_uses!AB28*base_building_arch_areas!$N$31</f>
        <v>0</v>
      </c>
      <c r="AC28" s="187">
        <f>model_eui_end_uses!AC28*base_building_arch_areas!$N$31</f>
        <v>0</v>
      </c>
      <c r="AD28" s="187">
        <f>model_eui_end_uses!AD28*base_building_arch_areas!$N$31</f>
        <v>0</v>
      </c>
      <c r="AE28" s="187">
        <f>model_eui_end_uses!AE28*base_building_arch_areas!$N$31</f>
        <v>0</v>
      </c>
      <c r="AF28" s="187">
        <f t="shared" si="5"/>
        <v>0</v>
      </c>
      <c r="AG28" s="187">
        <f>model_eui_end_uses!AH28*base_building_arch_areas!$N$31</f>
        <v>0</v>
      </c>
      <c r="AH28" s="187">
        <f>model_eui_end_uses!AI28*base_building_arch_areas!$N$31</f>
        <v>0</v>
      </c>
      <c r="AI28" s="187">
        <f t="shared" si="6"/>
        <v>0</v>
      </c>
      <c r="AJ28" s="200">
        <f>sim_annual_output!F28/sim_annual_output!H28*base_building_arch_areas!$N$31</f>
        <v>0</v>
      </c>
      <c r="AK28">
        <f t="shared" si="7"/>
        <v>0</v>
      </c>
    </row>
    <row r="29" spans="1:37">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f>model_eui_end_uses!G29*base_scenario_arch_measures!$F29</f>
        <v>0</v>
      </c>
      <c r="H29">
        <f>model_eui_end_uses!H29*base_scenario_arch_measures!$F29</f>
        <v>2.9547107651310562</v>
      </c>
      <c r="I29">
        <f>model_eui_end_uses!I29*base_scenario_arch_measures!$F29</f>
        <v>8.5526233531438393E-3</v>
      </c>
      <c r="J29">
        <f>model_eui_end_uses!J29*base_scenario_arch_measures!$F29</f>
        <v>0.13175112641628725</v>
      </c>
      <c r="K29">
        <f>model_eui_end_uses!K29*base_scenario_arch_measures!$F29</f>
        <v>0</v>
      </c>
      <c r="L29">
        <f>model_eui_end_uses!L29*base_scenario_arch_measures!$F29</f>
        <v>0.51346285202267128</v>
      </c>
      <c r="M29">
        <f>model_eui_end_uses!M29*base_scenario_arch_measures!$F29</f>
        <v>0.14743093589705097</v>
      </c>
      <c r="N29">
        <f>model_eui_end_uses!N29*base_scenario_arch_measures!$F29</f>
        <v>0</v>
      </c>
      <c r="O29">
        <f>model_eui_end_uses!O29*base_scenario_arch_measures!$F29</f>
        <v>0.22418394269520489</v>
      </c>
      <c r="P29">
        <f>model_eui_end_uses!P29*base_scenario_arch_measures!$F29</f>
        <v>8.5628050476118683E-2</v>
      </c>
      <c r="Q29">
        <f>model_eui_end_uses!Q29*base_scenario_arch_measures!$F29</f>
        <v>0</v>
      </c>
      <c r="R29" s="187">
        <f>model_eui_end_uses!R29*base_building_arch_areas!$N$31</f>
        <v>0</v>
      </c>
      <c r="S29" s="187">
        <f>model_eui_end_uses!S29*base_building_arch_areas!$N$31</f>
        <v>0</v>
      </c>
      <c r="T29" s="187">
        <f>model_eui_end_uses!T29*base_building_arch_areas!$N$31</f>
        <v>0</v>
      </c>
      <c r="U29" s="187">
        <f>model_eui_end_uses!U29*base_building_arch_areas!$N$31</f>
        <v>0</v>
      </c>
      <c r="V29" s="187">
        <f>model_eui_end_uses!V29*base_building_arch_areas!$N$31</f>
        <v>0</v>
      </c>
      <c r="W29" s="187">
        <f>model_eui_end_uses!W29*base_building_arch_areas!$N$31</f>
        <v>0</v>
      </c>
      <c r="X29" s="187">
        <f>model_eui_end_uses!X29*base_building_arch_areas!$N$31</f>
        <v>0</v>
      </c>
      <c r="Y29" s="187">
        <f>model_eui_end_uses!Y29*base_building_arch_areas!$N$31</f>
        <v>0</v>
      </c>
      <c r="Z29" s="187">
        <f>model_eui_end_uses!Z29*base_building_arch_areas!$N$31</f>
        <v>0</v>
      </c>
      <c r="AA29" s="187">
        <f>model_eui_end_uses!AA29*base_building_arch_areas!$N$31</f>
        <v>0</v>
      </c>
      <c r="AB29" s="187">
        <f>model_eui_end_uses!AB29*base_building_arch_areas!$N$31</f>
        <v>0</v>
      </c>
      <c r="AC29" s="187">
        <f>model_eui_end_uses!AC29*base_building_arch_areas!$N$31</f>
        <v>0</v>
      </c>
      <c r="AD29" s="187">
        <f>model_eui_end_uses!AD29*base_building_arch_areas!$N$31</f>
        <v>0</v>
      </c>
      <c r="AE29" s="187">
        <f>model_eui_end_uses!AE29*base_building_arch_areas!$N$31</f>
        <v>0</v>
      </c>
      <c r="AF29" s="187">
        <f t="shared" si="5"/>
        <v>0</v>
      </c>
      <c r="AG29" s="187">
        <f>model_eui_end_uses!AH29*base_building_arch_areas!$N$31</f>
        <v>0</v>
      </c>
      <c r="AH29" s="187">
        <f>model_eui_end_uses!AI29*base_building_arch_areas!$N$31</f>
        <v>0</v>
      </c>
      <c r="AI29" s="187">
        <f t="shared" si="6"/>
        <v>0</v>
      </c>
      <c r="AJ29" s="200">
        <f>sim_annual_output!F29/sim_annual_output!H29*base_building_arch_areas!$N$31</f>
        <v>0</v>
      </c>
      <c r="AK29">
        <f t="shared" si="7"/>
        <v>0</v>
      </c>
    </row>
    <row r="30" spans="1:37">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f>model_eui_end_uses!G30*base_scenario_arch_measures!$F30</f>
        <v>0</v>
      </c>
      <c r="H30">
        <f>model_eui_end_uses!H30*base_scenario_arch_measures!$F30</f>
        <v>2.6308140946122935</v>
      </c>
      <c r="I30">
        <f>model_eui_end_uses!I30*base_scenario_arch_measures!$F30</f>
        <v>2.5318480243830575E-2</v>
      </c>
      <c r="J30">
        <f>model_eui_end_uses!J30*base_scenario_arch_measures!$F30</f>
        <v>0.13175112641628725</v>
      </c>
      <c r="K30">
        <f>model_eui_end_uses!K30*base_scenario_arch_measures!$F30</f>
        <v>0</v>
      </c>
      <c r="L30">
        <f>model_eui_end_uses!L30*base_scenario_arch_measures!$F30</f>
        <v>0.51346285202267128</v>
      </c>
      <c r="M30">
        <f>model_eui_end_uses!M30*base_scenario_arch_measures!$F30</f>
        <v>0.14743093589705097</v>
      </c>
      <c r="N30">
        <f>model_eui_end_uses!N30*base_scenario_arch_measures!$F30</f>
        <v>0</v>
      </c>
      <c r="O30">
        <f>model_eui_end_uses!O30*base_scenario_arch_measures!$F30</f>
        <v>0.22433666811222475</v>
      </c>
      <c r="P30">
        <f>model_eui_end_uses!P30*base_scenario_arch_measures!$F30</f>
        <v>7.5480294989650407E-2</v>
      </c>
      <c r="Q30">
        <f>model_eui_end_uses!Q30*base_scenario_arch_measures!$F30</f>
        <v>0</v>
      </c>
      <c r="R30" s="187">
        <f>model_eui_end_uses!R30*base_building_arch_areas!$N$31</f>
        <v>0</v>
      </c>
      <c r="S30" s="187">
        <f>model_eui_end_uses!S30*base_building_arch_areas!$N$31</f>
        <v>0</v>
      </c>
      <c r="T30" s="187">
        <f>model_eui_end_uses!T30*base_building_arch_areas!$N$31</f>
        <v>0</v>
      </c>
      <c r="U30" s="187">
        <f>model_eui_end_uses!U30*base_building_arch_areas!$N$31</f>
        <v>0</v>
      </c>
      <c r="V30" s="187">
        <f>model_eui_end_uses!V30*base_building_arch_areas!$N$31</f>
        <v>0</v>
      </c>
      <c r="W30" s="187">
        <f>model_eui_end_uses!W30*base_building_arch_areas!$N$31</f>
        <v>0</v>
      </c>
      <c r="X30" s="187">
        <f>model_eui_end_uses!X30*base_building_arch_areas!$N$31</f>
        <v>0</v>
      </c>
      <c r="Y30" s="187">
        <f>model_eui_end_uses!Y30*base_building_arch_areas!$N$31</f>
        <v>0</v>
      </c>
      <c r="Z30" s="187">
        <f>model_eui_end_uses!Z30*base_building_arch_areas!$N$31</f>
        <v>0</v>
      </c>
      <c r="AA30" s="187">
        <f>model_eui_end_uses!AA30*base_building_arch_areas!$N$31</f>
        <v>0</v>
      </c>
      <c r="AB30" s="187">
        <f>model_eui_end_uses!AB30*base_building_arch_areas!$N$31</f>
        <v>0</v>
      </c>
      <c r="AC30" s="187">
        <f>model_eui_end_uses!AC30*base_building_arch_areas!$N$31</f>
        <v>0</v>
      </c>
      <c r="AD30" s="187">
        <f>model_eui_end_uses!AD30*base_building_arch_areas!$N$31</f>
        <v>0</v>
      </c>
      <c r="AE30" s="187">
        <f>model_eui_end_uses!AE30*base_building_arch_areas!$N$31</f>
        <v>0</v>
      </c>
      <c r="AF30" s="187">
        <f t="shared" si="5"/>
        <v>0</v>
      </c>
      <c r="AG30" s="187">
        <f>model_eui_end_uses!AH30*base_building_arch_areas!$N$31</f>
        <v>0</v>
      </c>
      <c r="AH30" s="187">
        <f>model_eui_end_uses!AI30*base_building_arch_areas!$N$31</f>
        <v>0</v>
      </c>
      <c r="AI30" s="187">
        <f t="shared" si="6"/>
        <v>0</v>
      </c>
      <c r="AJ30" s="200">
        <f>sim_annual_output!F30/sim_annual_output!H30*base_building_arch_areas!$N$31</f>
        <v>0</v>
      </c>
      <c r="AK30">
        <f t="shared" si="7"/>
        <v>0</v>
      </c>
    </row>
    <row r="31" spans="1:37">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f>model_eui_end_uses!G31*base_scenario_arch_measures!$F31</f>
        <v>0</v>
      </c>
      <c r="H31">
        <f>model_eui_end_uses!H31*base_scenario_arch_measures!$F31</f>
        <v>2.9588513208813878</v>
      </c>
      <c r="I31">
        <f>model_eui_end_uses!I31*base_scenario_arch_measures!$F31</f>
        <v>8.1792945559827999E-3</v>
      </c>
      <c r="J31">
        <f>model_eui_end_uses!J31*base_scenario_arch_measures!$F31</f>
        <v>0.13175112641628725</v>
      </c>
      <c r="K31">
        <f>model_eui_end_uses!K31*base_scenario_arch_measures!$F31</f>
        <v>0</v>
      </c>
      <c r="L31">
        <f>model_eui_end_uses!L31*base_scenario_arch_measures!$F31</f>
        <v>0.51346285202267128</v>
      </c>
      <c r="M31">
        <f>model_eui_end_uses!M31*base_scenario_arch_measures!$F31</f>
        <v>0.14743093589705097</v>
      </c>
      <c r="N31">
        <f>model_eui_end_uses!N31*base_scenario_arch_measures!$F31</f>
        <v>0</v>
      </c>
      <c r="O31">
        <f>model_eui_end_uses!O31*base_scenario_arch_measures!$F31</f>
        <v>0.22418394269520489</v>
      </c>
      <c r="P31">
        <f>model_eui_end_uses!P31*base_scenario_arch_measures!$F31</f>
        <v>8.1894762504508278E-2</v>
      </c>
      <c r="Q31">
        <f>model_eui_end_uses!Q31*base_scenario_arch_measures!$F31</f>
        <v>0</v>
      </c>
      <c r="R31" s="187">
        <f>model_eui_end_uses!R31*base_building_arch_areas!$N$31</f>
        <v>0</v>
      </c>
      <c r="S31" s="187">
        <f>model_eui_end_uses!S31*base_building_arch_areas!$N$31</f>
        <v>0</v>
      </c>
      <c r="T31" s="187">
        <f>model_eui_end_uses!T31*base_building_arch_areas!$N$31</f>
        <v>0</v>
      </c>
      <c r="U31" s="187">
        <f>model_eui_end_uses!U31*base_building_arch_areas!$N$31</f>
        <v>0</v>
      </c>
      <c r="V31" s="187">
        <f>model_eui_end_uses!V31*base_building_arch_areas!$N$31</f>
        <v>0</v>
      </c>
      <c r="W31" s="187">
        <f>model_eui_end_uses!W31*base_building_arch_areas!$N$31</f>
        <v>0</v>
      </c>
      <c r="X31" s="187">
        <f>model_eui_end_uses!X31*base_building_arch_areas!$N$31</f>
        <v>0</v>
      </c>
      <c r="Y31" s="187">
        <f>model_eui_end_uses!Y31*base_building_arch_areas!$N$31</f>
        <v>0</v>
      </c>
      <c r="Z31" s="187">
        <f>model_eui_end_uses!Z31*base_building_arch_areas!$N$31</f>
        <v>0</v>
      </c>
      <c r="AA31" s="187">
        <f>model_eui_end_uses!AA31*base_building_arch_areas!$N$31</f>
        <v>0</v>
      </c>
      <c r="AB31" s="187">
        <f>model_eui_end_uses!AB31*base_building_arch_areas!$N$31</f>
        <v>0</v>
      </c>
      <c r="AC31" s="187">
        <f>model_eui_end_uses!AC31*base_building_arch_areas!$N$31</f>
        <v>0</v>
      </c>
      <c r="AD31" s="187">
        <f>model_eui_end_uses!AD31*base_building_arch_areas!$N$31</f>
        <v>0</v>
      </c>
      <c r="AE31" s="187">
        <f>model_eui_end_uses!AE31*base_building_arch_areas!$N$31</f>
        <v>0</v>
      </c>
      <c r="AF31" s="187">
        <f t="shared" si="5"/>
        <v>0</v>
      </c>
      <c r="AG31" s="187">
        <f>model_eui_end_uses!AH31*base_building_arch_areas!$N$31</f>
        <v>0</v>
      </c>
      <c r="AH31" s="187">
        <f>model_eui_end_uses!AI31*base_building_arch_areas!$N$31</f>
        <v>0</v>
      </c>
      <c r="AI31" s="187">
        <f t="shared" si="6"/>
        <v>0</v>
      </c>
      <c r="AJ31" s="200">
        <f>sim_annual_output!F31/sim_annual_output!H31*base_building_arch_areas!$N$31</f>
        <v>0</v>
      </c>
      <c r="AK31">
        <f t="shared" si="7"/>
        <v>0</v>
      </c>
    </row>
    <row r="32" spans="1:37">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f>model_eui_end_uses!G32*base_scenario_arch_measures!$F32</f>
        <v>0</v>
      </c>
      <c r="H32">
        <f>model_eui_end_uses!H32*base_scenario_arch_measures!$F32</f>
        <v>3.1341122216577162</v>
      </c>
      <c r="I32">
        <f>model_eui_end_uses!I32*base_scenario_arch_measures!$F32</f>
        <v>5.7526573744360356E-3</v>
      </c>
      <c r="J32">
        <f>model_eui_end_uses!J32*base_scenario_arch_measures!$F32</f>
        <v>0.13175112641628725</v>
      </c>
      <c r="K32">
        <f>model_eui_end_uses!K32*base_scenario_arch_measures!$F32</f>
        <v>0</v>
      </c>
      <c r="L32">
        <f>model_eui_end_uses!L32*base_scenario_arch_measures!$F32</f>
        <v>0.35941381472140188</v>
      </c>
      <c r="M32">
        <f>model_eui_end_uses!M32*base_scenario_arch_measures!$F32</f>
        <v>0.14743093589705097</v>
      </c>
      <c r="N32">
        <f>model_eui_end_uses!N32*base_scenario_arch_measures!$F32</f>
        <v>0</v>
      </c>
      <c r="O32">
        <f>model_eui_end_uses!O32*base_scenario_arch_measures!$F32</f>
        <v>0.22650876293207139</v>
      </c>
      <c r="P32">
        <f>model_eui_end_uses!P32*base_scenario_arch_measures!$F32</f>
        <v>6.8285230898910337E-2</v>
      </c>
      <c r="Q32">
        <f>model_eui_end_uses!Q32*base_scenario_arch_measures!$F32</f>
        <v>0</v>
      </c>
      <c r="R32" s="187">
        <f>model_eui_end_uses!R32*base_building_arch_areas!$N$31</f>
        <v>0</v>
      </c>
      <c r="S32" s="187">
        <f>model_eui_end_uses!S32*base_building_arch_areas!$N$31</f>
        <v>0</v>
      </c>
      <c r="T32" s="187">
        <f>model_eui_end_uses!T32*base_building_arch_areas!$N$31</f>
        <v>0</v>
      </c>
      <c r="U32" s="187">
        <f>model_eui_end_uses!U32*base_building_arch_areas!$N$31</f>
        <v>0</v>
      </c>
      <c r="V32" s="187">
        <f>model_eui_end_uses!V32*base_building_arch_areas!$N$31</f>
        <v>0</v>
      </c>
      <c r="W32" s="187">
        <f>model_eui_end_uses!W32*base_building_arch_areas!$N$31</f>
        <v>0</v>
      </c>
      <c r="X32" s="187">
        <f>model_eui_end_uses!X32*base_building_arch_areas!$N$31</f>
        <v>0</v>
      </c>
      <c r="Y32" s="187">
        <f>model_eui_end_uses!Y32*base_building_arch_areas!$N$31</f>
        <v>0</v>
      </c>
      <c r="Z32" s="187">
        <f>model_eui_end_uses!Z32*base_building_arch_areas!$N$31</f>
        <v>0</v>
      </c>
      <c r="AA32" s="187">
        <f>model_eui_end_uses!AA32*base_building_arch_areas!$N$31</f>
        <v>0</v>
      </c>
      <c r="AB32" s="187">
        <f>model_eui_end_uses!AB32*base_building_arch_areas!$N$31</f>
        <v>0</v>
      </c>
      <c r="AC32" s="187">
        <f>model_eui_end_uses!AC32*base_building_arch_areas!$N$31</f>
        <v>0</v>
      </c>
      <c r="AD32" s="187">
        <f>model_eui_end_uses!AD32*base_building_arch_areas!$N$31</f>
        <v>0</v>
      </c>
      <c r="AE32" s="187">
        <f>model_eui_end_uses!AE32*base_building_arch_areas!$N$31</f>
        <v>0</v>
      </c>
      <c r="AF32" s="187">
        <f t="shared" si="5"/>
        <v>0</v>
      </c>
      <c r="AG32" s="187">
        <f>model_eui_end_uses!AH32*base_building_arch_areas!$N$31</f>
        <v>0</v>
      </c>
      <c r="AH32" s="187">
        <f>model_eui_end_uses!AI32*base_building_arch_areas!$N$31</f>
        <v>0</v>
      </c>
      <c r="AI32" s="187">
        <f t="shared" si="6"/>
        <v>0</v>
      </c>
      <c r="AJ32" s="200">
        <f>sim_annual_output!F32/sim_annual_output!H32*base_building_arch_areas!$N$31</f>
        <v>0</v>
      </c>
      <c r="AK32">
        <f t="shared" si="7"/>
        <v>0</v>
      </c>
    </row>
    <row r="33" spans="1:37">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f>model_eui_end_uses!G33*base_scenario_arch_measures!$F33</f>
        <v>0</v>
      </c>
      <c r="H33">
        <f>model_eui_end_uses!H33*base_scenario_arch_measures!$F33</f>
        <v>2.9113706856788153</v>
      </c>
      <c r="I33">
        <f>model_eui_end_uses!I33*base_scenario_arch_measures!$F33</f>
        <v>8.315050482223179E-3</v>
      </c>
      <c r="J33">
        <f>model_eui_end_uses!J33*base_scenario_arch_measures!$F33</f>
        <v>0.13175112641628725</v>
      </c>
      <c r="K33">
        <f>model_eui_end_uses!K33*base_scenario_arch_measures!$F33</f>
        <v>0</v>
      </c>
      <c r="L33">
        <f>model_eui_end_uses!L33*base_scenario_arch_measures!$F33</f>
        <v>0.51346285202267128</v>
      </c>
      <c r="M33">
        <f>model_eui_end_uses!M33*base_scenario_arch_measures!$F33</f>
        <v>0.14743093589705097</v>
      </c>
      <c r="N33">
        <f>model_eui_end_uses!N33*base_scenario_arch_measures!$F33</f>
        <v>0</v>
      </c>
      <c r="O33">
        <f>model_eui_end_uses!O33*base_scenario_arch_measures!$F33</f>
        <v>0.22247002412642017</v>
      </c>
      <c r="P33">
        <f>model_eui_end_uses!P33*base_scenario_arch_measures!$F33</f>
        <v>8.4575942047755759E-2</v>
      </c>
      <c r="Q33">
        <f>model_eui_end_uses!Q33*base_scenario_arch_measures!$F33</f>
        <v>0</v>
      </c>
      <c r="R33" s="187">
        <f>model_eui_end_uses!R33*base_building_arch_areas!$N$31</f>
        <v>0</v>
      </c>
      <c r="S33" s="187">
        <f>model_eui_end_uses!S33*base_building_arch_areas!$N$31</f>
        <v>0</v>
      </c>
      <c r="T33" s="187">
        <f>model_eui_end_uses!T33*base_building_arch_areas!$N$31</f>
        <v>0</v>
      </c>
      <c r="U33" s="187">
        <f>model_eui_end_uses!U33*base_building_arch_areas!$N$31</f>
        <v>0</v>
      </c>
      <c r="V33" s="187">
        <f>model_eui_end_uses!V33*base_building_arch_areas!$N$31</f>
        <v>0</v>
      </c>
      <c r="W33" s="187">
        <f>model_eui_end_uses!W33*base_building_arch_areas!$N$31</f>
        <v>0</v>
      </c>
      <c r="X33" s="187">
        <f>model_eui_end_uses!X33*base_building_arch_areas!$N$31</f>
        <v>0</v>
      </c>
      <c r="Y33" s="187">
        <f>model_eui_end_uses!Y33*base_building_arch_areas!$N$31</f>
        <v>0</v>
      </c>
      <c r="Z33" s="187">
        <f>model_eui_end_uses!Z33*base_building_arch_areas!$N$31</f>
        <v>0</v>
      </c>
      <c r="AA33" s="187">
        <f>model_eui_end_uses!AA33*base_building_arch_areas!$N$31</f>
        <v>0</v>
      </c>
      <c r="AB33" s="187">
        <f>model_eui_end_uses!AB33*base_building_arch_areas!$N$31</f>
        <v>0</v>
      </c>
      <c r="AC33" s="187">
        <f>model_eui_end_uses!AC33*base_building_arch_areas!$N$31</f>
        <v>0</v>
      </c>
      <c r="AD33" s="187">
        <f>model_eui_end_uses!AD33*base_building_arch_areas!$N$31</f>
        <v>0</v>
      </c>
      <c r="AE33" s="187">
        <f>model_eui_end_uses!AE33*base_building_arch_areas!$N$31</f>
        <v>0</v>
      </c>
      <c r="AF33" s="187">
        <f t="shared" si="5"/>
        <v>0</v>
      </c>
      <c r="AG33" s="187">
        <f>model_eui_end_uses!AH33*base_building_arch_areas!$N$31</f>
        <v>0</v>
      </c>
      <c r="AH33" s="187">
        <f>model_eui_end_uses!AI33*base_building_arch_areas!$N$31</f>
        <v>0</v>
      </c>
      <c r="AI33" s="187">
        <f t="shared" si="6"/>
        <v>0</v>
      </c>
      <c r="AJ33" s="200">
        <f>sim_annual_output!F33/sim_annual_output!H33*base_building_arch_areas!$N$31</f>
        <v>0</v>
      </c>
      <c r="AK33">
        <f t="shared" si="7"/>
        <v>0</v>
      </c>
    </row>
    <row r="34" spans="1:37">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f>model_eui_end_uses!G34*base_scenario_arch_measures!$F34</f>
        <v>0</v>
      </c>
      <c r="H34">
        <f>model_eui_end_uses!H34*base_scenario_arch_measures!$F34</f>
        <v>2.8808765107470706</v>
      </c>
      <c r="I34">
        <f>model_eui_end_uses!I34*base_scenario_arch_measures!$F34</f>
        <v>8.5695928439238865E-3</v>
      </c>
      <c r="J34">
        <f>model_eui_end_uses!J34*base_scenario_arch_measures!$F34</f>
        <v>0.13175112641628725</v>
      </c>
      <c r="K34">
        <f>model_eui_end_uses!K34*base_scenario_arch_measures!$F34</f>
        <v>0</v>
      </c>
      <c r="L34">
        <f>model_eui_end_uses!L34*base_scenario_arch_measures!$F34</f>
        <v>0.51346285202267128</v>
      </c>
      <c r="M34">
        <f>model_eui_end_uses!M34*base_scenario_arch_measures!$F34</f>
        <v>0.14743093589705097</v>
      </c>
      <c r="N34">
        <f>model_eui_end_uses!N34*base_scenario_arch_measures!$F34</f>
        <v>0</v>
      </c>
      <c r="O34">
        <f>model_eui_end_uses!O34*base_scenario_arch_measures!$F34</f>
        <v>0.22109549537323631</v>
      </c>
      <c r="P34">
        <f>model_eui_end_uses!P34*base_scenario_arch_measures!$F34</f>
        <v>8.3472925147052693E-2</v>
      </c>
      <c r="Q34">
        <f>model_eui_end_uses!Q34*base_scenario_arch_measures!$F34</f>
        <v>0</v>
      </c>
      <c r="R34" s="187">
        <f>model_eui_end_uses!R34*base_building_arch_areas!$N$31</f>
        <v>0</v>
      </c>
      <c r="S34" s="187">
        <f>model_eui_end_uses!S34*base_building_arch_areas!$N$31</f>
        <v>0</v>
      </c>
      <c r="T34" s="187">
        <f>model_eui_end_uses!T34*base_building_arch_areas!$N$31</f>
        <v>0</v>
      </c>
      <c r="U34" s="187">
        <f>model_eui_end_uses!U34*base_building_arch_areas!$N$31</f>
        <v>0</v>
      </c>
      <c r="V34" s="187">
        <f>model_eui_end_uses!V34*base_building_arch_areas!$N$31</f>
        <v>0</v>
      </c>
      <c r="W34" s="187">
        <f>model_eui_end_uses!W34*base_building_arch_areas!$N$31</f>
        <v>0</v>
      </c>
      <c r="X34" s="187">
        <f>model_eui_end_uses!X34*base_building_arch_areas!$N$31</f>
        <v>0</v>
      </c>
      <c r="Y34" s="187">
        <f>model_eui_end_uses!Y34*base_building_arch_areas!$N$31</f>
        <v>0</v>
      </c>
      <c r="Z34" s="187">
        <f>model_eui_end_uses!Z34*base_building_arch_areas!$N$31</f>
        <v>0</v>
      </c>
      <c r="AA34" s="187">
        <f>model_eui_end_uses!AA34*base_building_arch_areas!$N$31</f>
        <v>0</v>
      </c>
      <c r="AB34" s="187">
        <f>model_eui_end_uses!AB34*base_building_arch_areas!$N$31</f>
        <v>0</v>
      </c>
      <c r="AC34" s="187">
        <f>model_eui_end_uses!AC34*base_building_arch_areas!$N$31</f>
        <v>0</v>
      </c>
      <c r="AD34" s="187">
        <f>model_eui_end_uses!AD34*base_building_arch_areas!$N$31</f>
        <v>0</v>
      </c>
      <c r="AE34" s="187">
        <f>model_eui_end_uses!AE34*base_building_arch_areas!$N$31</f>
        <v>0</v>
      </c>
      <c r="AF34" s="187">
        <f t="shared" si="5"/>
        <v>0</v>
      </c>
      <c r="AG34" s="187">
        <f>model_eui_end_uses!AH34*base_building_arch_areas!$N$31</f>
        <v>0</v>
      </c>
      <c r="AH34" s="187">
        <f>model_eui_end_uses!AI34*base_building_arch_areas!$N$31</f>
        <v>0</v>
      </c>
      <c r="AI34" s="187">
        <f t="shared" si="6"/>
        <v>0</v>
      </c>
      <c r="AJ34" s="200">
        <f>sim_annual_output!F34/sim_annual_output!H34*base_building_arch_areas!$N$31</f>
        <v>0</v>
      </c>
      <c r="AK34">
        <f t="shared" si="7"/>
        <v>0</v>
      </c>
    </row>
    <row r="35" spans="1:37">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f>model_eui_end_uses!G35*base_scenario_arch_measures!$F35</f>
        <v>0</v>
      </c>
      <c r="H35">
        <f>model_eui_end_uses!H35*base_scenario_arch_measures!$F35</f>
        <v>2.8974217642576163</v>
      </c>
      <c r="I35">
        <f>model_eui_end_uses!I35*base_scenario_arch_measures!$F35</f>
        <v>8.7223182609443128E-3</v>
      </c>
      <c r="J35">
        <f>model_eui_end_uses!J35*base_scenario_arch_measures!$F35</f>
        <v>0.13175112641628725</v>
      </c>
      <c r="K35">
        <f>model_eui_end_uses!K35*base_scenario_arch_measures!$F35</f>
        <v>0</v>
      </c>
      <c r="L35">
        <f>model_eui_end_uses!L35*base_scenario_arch_measures!$F35</f>
        <v>0.51346285202267128</v>
      </c>
      <c r="M35">
        <f>model_eui_end_uses!M35*base_scenario_arch_measures!$F35</f>
        <v>0.14743093589705097</v>
      </c>
      <c r="N35">
        <f>model_eui_end_uses!N35*base_scenario_arch_measures!$F35</f>
        <v>0</v>
      </c>
      <c r="O35">
        <f>model_eui_end_uses!O35*base_scenario_arch_measures!$F35</f>
        <v>0.22189306143989851</v>
      </c>
      <c r="P35">
        <f>model_eui_end_uses!P35*base_scenario_arch_measures!$F35</f>
        <v>8.3778375981093528E-2</v>
      </c>
      <c r="Q35">
        <f>model_eui_end_uses!Q35*base_scenario_arch_measures!$F35</f>
        <v>0</v>
      </c>
      <c r="R35" s="187">
        <f>model_eui_end_uses!R35*base_building_arch_areas!$N$31</f>
        <v>0</v>
      </c>
      <c r="S35" s="187">
        <f>model_eui_end_uses!S35*base_building_arch_areas!$N$31</f>
        <v>0</v>
      </c>
      <c r="T35" s="187">
        <f>model_eui_end_uses!T35*base_building_arch_areas!$N$31</f>
        <v>0</v>
      </c>
      <c r="U35" s="187">
        <f>model_eui_end_uses!U35*base_building_arch_areas!$N$31</f>
        <v>0</v>
      </c>
      <c r="V35" s="187">
        <f>model_eui_end_uses!V35*base_building_arch_areas!$N$31</f>
        <v>0</v>
      </c>
      <c r="W35" s="187">
        <f>model_eui_end_uses!W35*base_building_arch_areas!$N$31</f>
        <v>0</v>
      </c>
      <c r="X35" s="187">
        <f>model_eui_end_uses!X35*base_building_arch_areas!$N$31</f>
        <v>0</v>
      </c>
      <c r="Y35" s="187">
        <f>model_eui_end_uses!Y35*base_building_arch_areas!$N$31</f>
        <v>0</v>
      </c>
      <c r="Z35" s="187">
        <f>model_eui_end_uses!Z35*base_building_arch_areas!$N$31</f>
        <v>0</v>
      </c>
      <c r="AA35" s="187">
        <f>model_eui_end_uses!AA35*base_building_arch_areas!$N$31</f>
        <v>0</v>
      </c>
      <c r="AB35" s="187">
        <f>model_eui_end_uses!AB35*base_building_arch_areas!$N$31</f>
        <v>0</v>
      </c>
      <c r="AC35" s="187">
        <f>model_eui_end_uses!AC35*base_building_arch_areas!$N$31</f>
        <v>0</v>
      </c>
      <c r="AD35" s="187">
        <f>model_eui_end_uses!AD35*base_building_arch_areas!$N$31</f>
        <v>0</v>
      </c>
      <c r="AE35" s="187">
        <f>model_eui_end_uses!AE35*base_building_arch_areas!$N$31</f>
        <v>0</v>
      </c>
      <c r="AF35" s="187">
        <f t="shared" si="5"/>
        <v>0</v>
      </c>
      <c r="AG35" s="187">
        <f>model_eui_end_uses!AH35*base_building_arch_areas!$N$31</f>
        <v>0</v>
      </c>
      <c r="AH35" s="187">
        <f>model_eui_end_uses!AI35*base_building_arch_areas!$N$31</f>
        <v>0</v>
      </c>
      <c r="AI35" s="187">
        <f t="shared" si="6"/>
        <v>0</v>
      </c>
      <c r="AJ35" s="200">
        <f>sim_annual_output!F35/sim_annual_output!H35*base_building_arch_areas!$N$31</f>
        <v>0</v>
      </c>
      <c r="AK35">
        <f t="shared" si="7"/>
        <v>0</v>
      </c>
    </row>
    <row r="36" spans="1:37">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f>model_eui_end_uses!G36*base_scenario_arch_measures!$F36</f>
        <v>0</v>
      </c>
      <c r="H36">
        <f>model_eui_end_uses!H36*base_scenario_arch_measures!$F36</f>
        <v>2.9555083311977186</v>
      </c>
      <c r="I36">
        <f>model_eui_end_uses!I36*base_scenario_arch_measures!$F36</f>
        <v>8.518684371583745E-3</v>
      </c>
      <c r="J36">
        <f>model_eui_end_uses!J36*base_scenario_arch_measures!$F36</f>
        <v>0.13175112641628725</v>
      </c>
      <c r="K36">
        <f>model_eui_end_uses!K36*base_scenario_arch_measures!$F36</f>
        <v>0</v>
      </c>
      <c r="L36">
        <f>model_eui_end_uses!L36*base_scenario_arch_measures!$F36</f>
        <v>0.51346285202267128</v>
      </c>
      <c r="M36">
        <f>model_eui_end_uses!M36*base_scenario_arch_measures!$F36</f>
        <v>0.14743093589705097</v>
      </c>
      <c r="N36">
        <f>model_eui_end_uses!N36*base_scenario_arch_measures!$F36</f>
        <v>0</v>
      </c>
      <c r="O36">
        <f>model_eui_end_uses!O36*base_scenario_arch_measures!$F36</f>
        <v>0.223505163064003</v>
      </c>
      <c r="P36">
        <f>model_eui_end_uses!P36*base_scenario_arch_measures!$F36</f>
        <v>8.5645019966898731E-2</v>
      </c>
      <c r="Q36">
        <f>model_eui_end_uses!Q36*base_scenario_arch_measures!$F36</f>
        <v>0</v>
      </c>
      <c r="R36" s="187">
        <f>model_eui_end_uses!R36*base_building_arch_areas!$N$31</f>
        <v>0</v>
      </c>
      <c r="S36" s="187">
        <f>model_eui_end_uses!S36*base_building_arch_areas!$N$31</f>
        <v>0</v>
      </c>
      <c r="T36" s="187">
        <f>model_eui_end_uses!T36*base_building_arch_areas!$N$31</f>
        <v>0</v>
      </c>
      <c r="U36" s="187">
        <f>model_eui_end_uses!U36*base_building_arch_areas!$N$31</f>
        <v>0</v>
      </c>
      <c r="V36" s="187">
        <f>model_eui_end_uses!V36*base_building_arch_areas!$N$31</f>
        <v>0</v>
      </c>
      <c r="W36" s="187">
        <f>model_eui_end_uses!W36*base_building_arch_areas!$N$31</f>
        <v>0</v>
      </c>
      <c r="X36" s="187">
        <f>model_eui_end_uses!X36*base_building_arch_areas!$N$31</f>
        <v>0</v>
      </c>
      <c r="Y36" s="187">
        <f>model_eui_end_uses!Y36*base_building_arch_areas!$N$31</f>
        <v>0</v>
      </c>
      <c r="Z36" s="187">
        <f>model_eui_end_uses!Z36*base_building_arch_areas!$N$31</f>
        <v>0</v>
      </c>
      <c r="AA36" s="187">
        <f>model_eui_end_uses!AA36*base_building_arch_areas!$N$31</f>
        <v>0</v>
      </c>
      <c r="AB36" s="187">
        <f>model_eui_end_uses!AB36*base_building_arch_areas!$N$31</f>
        <v>0</v>
      </c>
      <c r="AC36" s="187">
        <f>model_eui_end_uses!AC36*base_building_arch_areas!$N$31</f>
        <v>0</v>
      </c>
      <c r="AD36" s="187">
        <f>model_eui_end_uses!AD36*base_building_arch_areas!$N$31</f>
        <v>0</v>
      </c>
      <c r="AE36" s="187">
        <f>model_eui_end_uses!AE36*base_building_arch_areas!$N$31</f>
        <v>0</v>
      </c>
      <c r="AF36" s="187">
        <f t="shared" si="5"/>
        <v>0</v>
      </c>
      <c r="AG36" s="187">
        <f>model_eui_end_uses!AH36*base_building_arch_areas!$N$31</f>
        <v>0</v>
      </c>
      <c r="AH36" s="187">
        <f>model_eui_end_uses!AI36*base_building_arch_areas!$N$31</f>
        <v>0</v>
      </c>
      <c r="AI36" s="187">
        <f t="shared" si="6"/>
        <v>0</v>
      </c>
      <c r="AJ36" s="200">
        <f>sim_annual_output!F36/sim_annual_output!H36*base_building_arch_areas!$N$31</f>
        <v>0</v>
      </c>
      <c r="AK36">
        <f t="shared" si="7"/>
        <v>0</v>
      </c>
    </row>
    <row r="37" spans="1:37">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f>model_eui_end_uses!G37*base_scenario_arch_measures!$F37</f>
        <v>0</v>
      </c>
      <c r="H37">
        <f>model_eui_end_uses!H37*base_scenario_arch_measures!$F37</f>
        <v>2.5658548839062725</v>
      </c>
      <c r="I37">
        <f>model_eui_end_uses!I37*base_scenario_arch_measures!$F37</f>
        <v>1.4593762070840682E-2</v>
      </c>
      <c r="J37">
        <f>model_eui_end_uses!J37*base_scenario_arch_measures!$F37</f>
        <v>0.13175112641628725</v>
      </c>
      <c r="K37">
        <f>model_eui_end_uses!K37*base_scenario_arch_measures!$F37</f>
        <v>0</v>
      </c>
      <c r="L37">
        <f>model_eui_end_uses!L37*base_scenario_arch_measures!$F37</f>
        <v>0.51346285202267128</v>
      </c>
      <c r="M37">
        <f>model_eui_end_uses!M37*base_scenario_arch_measures!$F37</f>
        <v>0.14743093589705097</v>
      </c>
      <c r="N37">
        <f>model_eui_end_uses!N37*base_scenario_arch_measures!$F37</f>
        <v>0</v>
      </c>
      <c r="O37">
        <f>model_eui_end_uses!O37*base_scenario_arch_measures!$F37</f>
        <v>0.22409909524130467</v>
      </c>
      <c r="P37">
        <f>model_eui_end_uses!P37*base_scenario_arch_measures!$F37</f>
        <v>8.1657189633587618E-2</v>
      </c>
      <c r="Q37">
        <f>model_eui_end_uses!Q37*base_scenario_arch_measures!$F37</f>
        <v>2.6760886960134594E-2</v>
      </c>
      <c r="R37" s="187">
        <f>model_eui_end_uses!R37*base_building_arch_areas!$N$31</f>
        <v>0</v>
      </c>
      <c r="S37" s="187">
        <f>model_eui_end_uses!S37*base_building_arch_areas!$N$31</f>
        <v>0</v>
      </c>
      <c r="T37" s="187">
        <f>model_eui_end_uses!T37*base_building_arch_areas!$N$31</f>
        <v>0</v>
      </c>
      <c r="U37" s="187">
        <f>model_eui_end_uses!U37*base_building_arch_areas!$N$31</f>
        <v>0</v>
      </c>
      <c r="V37" s="187">
        <f>model_eui_end_uses!V37*base_building_arch_areas!$N$31</f>
        <v>0</v>
      </c>
      <c r="W37" s="187">
        <f>model_eui_end_uses!W37*base_building_arch_areas!$N$31</f>
        <v>0</v>
      </c>
      <c r="X37" s="187">
        <f>model_eui_end_uses!X37*base_building_arch_areas!$N$31</f>
        <v>0</v>
      </c>
      <c r="Y37" s="187">
        <f>model_eui_end_uses!Y37*base_building_arch_areas!$N$31</f>
        <v>0</v>
      </c>
      <c r="Z37" s="187">
        <f>model_eui_end_uses!Z37*base_building_arch_areas!$N$31</f>
        <v>0</v>
      </c>
      <c r="AA37" s="187">
        <f>model_eui_end_uses!AA37*base_building_arch_areas!$N$31</f>
        <v>0</v>
      </c>
      <c r="AB37" s="187">
        <f>model_eui_end_uses!AB37*base_building_arch_areas!$N$31</f>
        <v>0</v>
      </c>
      <c r="AC37" s="187">
        <f>model_eui_end_uses!AC37*base_building_arch_areas!$N$31</f>
        <v>0</v>
      </c>
      <c r="AD37" s="187">
        <f>model_eui_end_uses!AD37*base_building_arch_areas!$N$31</f>
        <v>0</v>
      </c>
      <c r="AE37" s="187">
        <f>model_eui_end_uses!AE37*base_building_arch_areas!$N$31</f>
        <v>0</v>
      </c>
      <c r="AF37" s="187">
        <f t="shared" si="5"/>
        <v>0</v>
      </c>
      <c r="AG37" s="187">
        <f>model_eui_end_uses!AH37*base_building_arch_areas!$N$31</f>
        <v>0</v>
      </c>
      <c r="AH37" s="187">
        <f>model_eui_end_uses!AI37*base_building_arch_areas!$N$31</f>
        <v>0</v>
      </c>
      <c r="AI37" s="187">
        <f t="shared" si="6"/>
        <v>0</v>
      </c>
      <c r="AJ37" s="200">
        <f>sim_annual_output!F37/sim_annual_output!H37*base_building_arch_areas!$N$31</f>
        <v>0</v>
      </c>
      <c r="AK37">
        <f t="shared" si="7"/>
        <v>0</v>
      </c>
    </row>
    <row r="38" spans="1:37">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f>model_eui_end_uses!G38*base_scenario_arch_measures!$F38</f>
        <v>0</v>
      </c>
      <c r="H38">
        <f>model_eui_end_uses!H38*base_scenario_arch_measures!$F38</f>
        <v>1.3408273444946575</v>
      </c>
      <c r="I38">
        <f>model_eui_end_uses!I38*base_scenario_arch_measures!$F38</f>
        <v>1.5034968831121912E-2</v>
      </c>
      <c r="J38">
        <f>model_eui_end_uses!J38*base_scenario_arch_measures!$F38</f>
        <v>0.13175112641628725</v>
      </c>
      <c r="K38">
        <f>model_eui_end_uses!K38*base_scenario_arch_measures!$F38</f>
        <v>0</v>
      </c>
      <c r="L38">
        <f>model_eui_end_uses!L38*base_scenario_arch_measures!$F38</f>
        <v>0.51346285202267128</v>
      </c>
      <c r="M38">
        <f>model_eui_end_uses!M38*base_scenario_arch_measures!$F38</f>
        <v>0.14743093589705097</v>
      </c>
      <c r="N38">
        <f>model_eui_end_uses!N38*base_scenario_arch_measures!$F38</f>
        <v>0</v>
      </c>
      <c r="O38">
        <f>model_eui_end_uses!O38*base_scenario_arch_measures!$F38</f>
        <v>0.16217742338491209</v>
      </c>
      <c r="P38">
        <f>model_eui_end_uses!P38*base_scenario_arch_measures!$F38</f>
        <v>4.4290370935923459E-2</v>
      </c>
      <c r="Q38">
        <f>model_eui_end_uses!Q38*base_scenario_arch_measures!$F38</f>
        <v>0</v>
      </c>
      <c r="R38" s="187">
        <f>model_eui_end_uses!R38*base_building_arch_areas!$N$31</f>
        <v>0</v>
      </c>
      <c r="S38" s="187">
        <f>model_eui_end_uses!S38*base_building_arch_areas!$N$31</f>
        <v>0</v>
      </c>
      <c r="T38" s="187">
        <f>model_eui_end_uses!T38*base_building_arch_areas!$N$31</f>
        <v>0</v>
      </c>
      <c r="U38" s="187">
        <f>model_eui_end_uses!U38*base_building_arch_areas!$N$31</f>
        <v>0</v>
      </c>
      <c r="V38" s="187">
        <f>model_eui_end_uses!V38*base_building_arch_areas!$N$31</f>
        <v>0</v>
      </c>
      <c r="W38" s="187">
        <f>model_eui_end_uses!W38*base_building_arch_areas!$N$31</f>
        <v>0</v>
      </c>
      <c r="X38" s="187">
        <f>model_eui_end_uses!X38*base_building_arch_areas!$N$31</f>
        <v>0</v>
      </c>
      <c r="Y38" s="187">
        <f>model_eui_end_uses!Y38*base_building_arch_areas!$N$31</f>
        <v>0</v>
      </c>
      <c r="Z38" s="187">
        <f>model_eui_end_uses!Z38*base_building_arch_areas!$N$31</f>
        <v>0</v>
      </c>
      <c r="AA38" s="187">
        <f>model_eui_end_uses!AA38*base_building_arch_areas!$N$31</f>
        <v>0</v>
      </c>
      <c r="AB38" s="187">
        <f>model_eui_end_uses!AB38*base_building_arch_areas!$N$31</f>
        <v>0</v>
      </c>
      <c r="AC38" s="187">
        <f>model_eui_end_uses!AC38*base_building_arch_areas!$N$31</f>
        <v>0</v>
      </c>
      <c r="AD38" s="187">
        <f>model_eui_end_uses!AD38*base_building_arch_areas!$N$31</f>
        <v>0</v>
      </c>
      <c r="AE38" s="187">
        <f>model_eui_end_uses!AE38*base_building_arch_areas!$N$31</f>
        <v>0</v>
      </c>
      <c r="AF38" s="187">
        <f t="shared" si="5"/>
        <v>0</v>
      </c>
      <c r="AG38" s="187">
        <f>model_eui_end_uses!AH38*base_building_arch_areas!$N$31</f>
        <v>0</v>
      </c>
      <c r="AH38" s="187">
        <f>model_eui_end_uses!AI38*base_building_arch_areas!$N$31</f>
        <v>0</v>
      </c>
      <c r="AI38" s="187">
        <f t="shared" si="6"/>
        <v>0</v>
      </c>
      <c r="AJ38" s="200">
        <f>sim_annual_output!F38/sim_annual_output!H38*base_building_arch_areas!$N$31</f>
        <v>0</v>
      </c>
      <c r="AK38">
        <f t="shared" si="7"/>
        <v>0</v>
      </c>
    </row>
    <row r="39" spans="1:37">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f>model_eui_end_uses!G39*base_scenario_arch_measures!$F39</f>
        <v>0</v>
      </c>
      <c r="H39">
        <f>model_eui_end_uses!H39*base_scenario_arch_measures!$F39</f>
        <v>1.588887360717389</v>
      </c>
      <c r="I39">
        <f>model_eui_end_uses!I39*base_scenario_arch_measures!$F39</f>
        <v>1.5696778971543757E-2</v>
      </c>
      <c r="J39">
        <f>model_eui_end_uses!J39*base_scenario_arch_measures!$F39</f>
        <v>0.13175112641628725</v>
      </c>
      <c r="K39">
        <f>model_eui_end_uses!K39*base_scenario_arch_measures!$F39</f>
        <v>0</v>
      </c>
      <c r="L39">
        <f>model_eui_end_uses!L39*base_scenario_arch_measures!$F39</f>
        <v>0.51346285202267128</v>
      </c>
      <c r="M39">
        <f>model_eui_end_uses!M39*base_scenario_arch_measures!$F39</f>
        <v>0.14743093589705097</v>
      </c>
      <c r="N39">
        <f>model_eui_end_uses!N39*base_scenario_arch_measures!$F39</f>
        <v>0</v>
      </c>
      <c r="O39">
        <f>model_eui_end_uses!O39*base_scenario_arch_measures!$F39</f>
        <v>0.1716633687309585</v>
      </c>
      <c r="P39">
        <f>model_eui_end_uses!P39*base_scenario_arch_measures!$F39</f>
        <v>4.7531543674912496E-2</v>
      </c>
      <c r="Q39">
        <f>model_eui_end_uses!Q39*base_scenario_arch_measures!$F39</f>
        <v>0</v>
      </c>
      <c r="R39" s="187">
        <f>model_eui_end_uses!R39*base_building_arch_areas!$N$31</f>
        <v>0</v>
      </c>
      <c r="S39" s="187">
        <f>model_eui_end_uses!S39*base_building_arch_areas!$N$31</f>
        <v>0</v>
      </c>
      <c r="T39" s="187">
        <f>model_eui_end_uses!T39*base_building_arch_areas!$N$31</f>
        <v>0</v>
      </c>
      <c r="U39" s="187">
        <f>model_eui_end_uses!U39*base_building_arch_areas!$N$31</f>
        <v>0</v>
      </c>
      <c r="V39" s="187">
        <f>model_eui_end_uses!V39*base_building_arch_areas!$N$31</f>
        <v>0</v>
      </c>
      <c r="W39" s="187">
        <f>model_eui_end_uses!W39*base_building_arch_areas!$N$31</f>
        <v>0</v>
      </c>
      <c r="X39" s="187">
        <f>model_eui_end_uses!X39*base_building_arch_areas!$N$31</f>
        <v>0</v>
      </c>
      <c r="Y39" s="187">
        <f>model_eui_end_uses!Y39*base_building_arch_areas!$N$31</f>
        <v>0</v>
      </c>
      <c r="Z39" s="187">
        <f>model_eui_end_uses!Z39*base_building_arch_areas!$N$31</f>
        <v>0</v>
      </c>
      <c r="AA39" s="187">
        <f>model_eui_end_uses!AA39*base_building_arch_areas!$N$31</f>
        <v>0</v>
      </c>
      <c r="AB39" s="187">
        <f>model_eui_end_uses!AB39*base_building_arch_areas!$N$31</f>
        <v>0</v>
      </c>
      <c r="AC39" s="187">
        <f>model_eui_end_uses!AC39*base_building_arch_areas!$N$31</f>
        <v>0</v>
      </c>
      <c r="AD39" s="187">
        <f>model_eui_end_uses!AD39*base_building_arch_areas!$N$31</f>
        <v>0</v>
      </c>
      <c r="AE39" s="187">
        <f>model_eui_end_uses!AE39*base_building_arch_areas!$N$31</f>
        <v>0</v>
      </c>
      <c r="AF39" s="187">
        <f t="shared" si="5"/>
        <v>0</v>
      </c>
      <c r="AG39" s="187">
        <f>model_eui_end_uses!AH39*base_building_arch_areas!$N$31</f>
        <v>0</v>
      </c>
      <c r="AH39" s="187">
        <f>model_eui_end_uses!AI39*base_building_arch_areas!$N$31</f>
        <v>0</v>
      </c>
      <c r="AI39" s="187">
        <f t="shared" si="6"/>
        <v>0</v>
      </c>
      <c r="AJ39" s="200">
        <f>sim_annual_output!F39/sim_annual_output!H39*base_building_arch_areas!$N$31</f>
        <v>0</v>
      </c>
      <c r="AK39">
        <f t="shared" si="7"/>
        <v>0</v>
      </c>
    </row>
    <row r="40" spans="1:37">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f>model_eui_end_uses!G40*base_scenario_arch_measures!$F40</f>
        <v>0</v>
      </c>
      <c r="H40">
        <f>model_eui_end_uses!H40*base_scenario_arch_measures!$F40</f>
        <v>3.1321946691995706</v>
      </c>
      <c r="I40">
        <f>model_eui_end_uses!I40*base_scenario_arch_measures!$F40</f>
        <v>5.684779411315846E-3</v>
      </c>
      <c r="J40">
        <f>model_eui_end_uses!J40*base_scenario_arch_measures!$F40</f>
        <v>0.13175112641628725</v>
      </c>
      <c r="K40">
        <f>model_eui_end_uses!K40*base_scenario_arch_measures!$F40</f>
        <v>0</v>
      </c>
      <c r="L40">
        <f>model_eui_end_uses!L40*base_scenario_arch_measures!$F40</f>
        <v>0.35941381472140188</v>
      </c>
      <c r="M40">
        <f>model_eui_end_uses!M40*base_scenario_arch_measures!$F40</f>
        <v>0.14743093589705097</v>
      </c>
      <c r="N40">
        <f>model_eui_end_uses!N40*base_scenario_arch_measures!$F40</f>
        <v>0</v>
      </c>
      <c r="O40">
        <f>model_eui_end_uses!O40*base_scenario_arch_measures!$F40</f>
        <v>0.22638997649661105</v>
      </c>
      <c r="P40">
        <f>model_eui_end_uses!P40*base_scenario_arch_measures!$F40</f>
        <v>8.7308030063343367E-2</v>
      </c>
      <c r="Q40">
        <f>model_eui_end_uses!Q40*base_scenario_arch_measures!$F40</f>
        <v>0</v>
      </c>
      <c r="R40" s="187">
        <f>model_eui_end_uses!R40*base_building_arch_areas!$N$31</f>
        <v>0</v>
      </c>
      <c r="S40" s="187">
        <f>model_eui_end_uses!S40*base_building_arch_areas!$N$31</f>
        <v>0</v>
      </c>
      <c r="T40" s="187">
        <f>model_eui_end_uses!T40*base_building_arch_areas!$N$31</f>
        <v>0</v>
      </c>
      <c r="U40" s="187">
        <f>model_eui_end_uses!U40*base_building_arch_areas!$N$31</f>
        <v>0</v>
      </c>
      <c r="V40" s="187">
        <f>model_eui_end_uses!V40*base_building_arch_areas!$N$31</f>
        <v>0</v>
      </c>
      <c r="W40" s="187">
        <f>model_eui_end_uses!W40*base_building_arch_areas!$N$31</f>
        <v>0</v>
      </c>
      <c r="X40" s="187">
        <f>model_eui_end_uses!X40*base_building_arch_areas!$N$31</f>
        <v>0</v>
      </c>
      <c r="Y40" s="187">
        <f>model_eui_end_uses!Y40*base_building_arch_areas!$N$31</f>
        <v>0</v>
      </c>
      <c r="Z40" s="187">
        <f>model_eui_end_uses!Z40*base_building_arch_areas!$N$31</f>
        <v>0</v>
      </c>
      <c r="AA40" s="187">
        <f>model_eui_end_uses!AA40*base_building_arch_areas!$N$31</f>
        <v>0</v>
      </c>
      <c r="AB40" s="187">
        <f>model_eui_end_uses!AB40*base_building_arch_areas!$N$31</f>
        <v>0</v>
      </c>
      <c r="AC40" s="187">
        <f>model_eui_end_uses!AC40*base_building_arch_areas!$N$31</f>
        <v>0</v>
      </c>
      <c r="AD40" s="187">
        <f>model_eui_end_uses!AD40*base_building_arch_areas!$N$31</f>
        <v>0</v>
      </c>
      <c r="AE40" s="187">
        <f>model_eui_end_uses!AE40*base_building_arch_areas!$N$31</f>
        <v>0</v>
      </c>
      <c r="AF40" s="187">
        <f t="shared" si="5"/>
        <v>0</v>
      </c>
      <c r="AG40" s="187">
        <f>model_eui_end_uses!AH40*base_building_arch_areas!$N$31</f>
        <v>0</v>
      </c>
      <c r="AH40" s="187">
        <f>model_eui_end_uses!AI40*base_building_arch_areas!$N$31</f>
        <v>0</v>
      </c>
      <c r="AI40" s="187">
        <f t="shared" si="6"/>
        <v>0</v>
      </c>
      <c r="AJ40" s="200">
        <f>sim_annual_output!F40/sim_annual_output!H40*base_building_arch_areas!$N$31</f>
        <v>0</v>
      </c>
      <c r="AK40">
        <f t="shared" si="7"/>
        <v>0</v>
      </c>
    </row>
    <row r="41" spans="1:37">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f>model_eui_end_uses!G41*base_scenario_arch_measures!$F41</f>
        <v>0</v>
      </c>
      <c r="H41">
        <f>model_eui_end_uses!H41*base_scenario_arch_measures!$F41</f>
        <v>1.1537556781354161</v>
      </c>
      <c r="I41">
        <f>model_eui_end_uses!I41*base_scenario_arch_measures!$F41</f>
        <v>1.5696778971543757E-2</v>
      </c>
      <c r="J41">
        <f>model_eui_end_uses!J41*base_scenario_arch_measures!$F41</f>
        <v>0.13175112641628725</v>
      </c>
      <c r="K41">
        <f>model_eui_end_uses!K41*base_scenario_arch_measures!$F41</f>
        <v>0</v>
      </c>
      <c r="L41">
        <f>model_eui_end_uses!L41*base_scenario_arch_measures!$F41</f>
        <v>0.51346285202267128</v>
      </c>
      <c r="M41">
        <f>model_eui_end_uses!M41*base_scenario_arch_measures!$F41</f>
        <v>0.14743093589705097</v>
      </c>
      <c r="N41">
        <f>model_eui_end_uses!N41*base_scenario_arch_measures!$F41</f>
        <v>0</v>
      </c>
      <c r="O41">
        <f>model_eui_end_uses!O41*base_scenario_arch_measures!$F41</f>
        <v>0.1716633687309585</v>
      </c>
      <c r="P41">
        <f>model_eui_end_uses!P41*base_scenario_arch_measures!$F41</f>
        <v>4.7531543674912496E-2</v>
      </c>
      <c r="Q41">
        <f>model_eui_end_uses!Q41*base_scenario_arch_measures!$F41</f>
        <v>0</v>
      </c>
      <c r="R41" s="187">
        <f>model_eui_end_uses!R41*base_building_arch_areas!$N$31</f>
        <v>0</v>
      </c>
      <c r="S41" s="187">
        <f>model_eui_end_uses!S41*base_building_arch_areas!$N$31</f>
        <v>0</v>
      </c>
      <c r="T41" s="187">
        <f>model_eui_end_uses!T41*base_building_arch_areas!$N$31</f>
        <v>0</v>
      </c>
      <c r="U41" s="187">
        <f>model_eui_end_uses!U41*base_building_arch_areas!$N$31</f>
        <v>0</v>
      </c>
      <c r="V41" s="187">
        <f>model_eui_end_uses!V41*base_building_arch_areas!$N$31</f>
        <v>0</v>
      </c>
      <c r="W41" s="187">
        <f>model_eui_end_uses!W41*base_building_arch_areas!$N$31</f>
        <v>0</v>
      </c>
      <c r="X41" s="187">
        <f>model_eui_end_uses!X41*base_building_arch_areas!$N$31</f>
        <v>0</v>
      </c>
      <c r="Y41" s="187">
        <f>model_eui_end_uses!Y41*base_building_arch_areas!$N$31</f>
        <v>0</v>
      </c>
      <c r="Z41" s="187">
        <f>model_eui_end_uses!Z41*base_building_arch_areas!$N$31</f>
        <v>0</v>
      </c>
      <c r="AA41" s="187">
        <f>model_eui_end_uses!AA41*base_building_arch_areas!$N$31</f>
        <v>0</v>
      </c>
      <c r="AB41" s="187">
        <f>model_eui_end_uses!AB41*base_building_arch_areas!$N$31</f>
        <v>0</v>
      </c>
      <c r="AC41" s="187">
        <f>model_eui_end_uses!AC41*base_building_arch_areas!$N$31</f>
        <v>0</v>
      </c>
      <c r="AD41" s="187">
        <f>model_eui_end_uses!AD41*base_building_arch_areas!$N$31</f>
        <v>0</v>
      </c>
      <c r="AE41" s="187">
        <f>model_eui_end_uses!AE41*base_building_arch_areas!$N$31</f>
        <v>0</v>
      </c>
      <c r="AF41" s="187">
        <f t="shared" si="5"/>
        <v>0</v>
      </c>
      <c r="AG41" s="187">
        <f>model_eui_end_uses!AH41*base_building_arch_areas!$N$31</f>
        <v>0</v>
      </c>
      <c r="AH41" s="187">
        <f>model_eui_end_uses!AI41*base_building_arch_areas!$N$31</f>
        <v>0</v>
      </c>
      <c r="AI41" s="187">
        <f t="shared" si="6"/>
        <v>0</v>
      </c>
      <c r="AJ41" s="200">
        <f>sim_annual_output!F41/sim_annual_output!H41*base_building_arch_areas!$N$31</f>
        <v>0</v>
      </c>
      <c r="AK41">
        <f t="shared" si="7"/>
        <v>0</v>
      </c>
    </row>
    <row r="42" spans="1:37">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f>model_eui_end_uses!G42*base_scenario_arch_measures!$F42</f>
        <v>0</v>
      </c>
      <c r="H42">
        <f>model_eui_end_uses!H42*base_scenario_arch_measures!$F42</f>
        <v>3.4417860589907536</v>
      </c>
      <c r="I42">
        <f>model_eui_end_uses!I42*base_scenario_arch_measures!$F42</f>
        <v>1.0538053774409376E-2</v>
      </c>
      <c r="J42">
        <f>model_eui_end_uses!J42*base_scenario_arch_measures!$F42</f>
        <v>0.13175112641628725</v>
      </c>
      <c r="K42">
        <f>model_eui_end_uses!K42*base_scenario_arch_measures!$F42</f>
        <v>0</v>
      </c>
      <c r="L42">
        <f>model_eui_end_uses!L42*base_scenario_arch_measures!$F42</f>
        <v>0.51346285202267128</v>
      </c>
      <c r="M42">
        <f>model_eui_end_uses!M42*base_scenario_arch_measures!$F42</f>
        <v>0.14743093589705097</v>
      </c>
      <c r="N42">
        <f>model_eui_end_uses!N42*base_scenario_arch_measures!$F42</f>
        <v>0</v>
      </c>
      <c r="O42">
        <f>model_eui_end_uses!O42*base_scenario_arch_measures!$F42</f>
        <v>0.24716063321138898</v>
      </c>
      <c r="P42">
        <f>model_eui_end_uses!P42*base_scenario_arch_measures!$F42</f>
        <v>9.3705528087421205E-2</v>
      </c>
      <c r="Q42">
        <f>model_eui_end_uses!Q42*base_scenario_arch_measures!$F42</f>
        <v>0</v>
      </c>
      <c r="R42" s="187">
        <f>model_eui_end_uses!R42*base_building_arch_areas!$N$31</f>
        <v>0</v>
      </c>
      <c r="S42" s="187">
        <f>model_eui_end_uses!S42*base_building_arch_areas!$N$31</f>
        <v>0</v>
      </c>
      <c r="T42" s="187">
        <f>model_eui_end_uses!T42*base_building_arch_areas!$N$31</f>
        <v>0</v>
      </c>
      <c r="U42" s="187">
        <f>model_eui_end_uses!U42*base_building_arch_areas!$N$31</f>
        <v>0</v>
      </c>
      <c r="V42" s="187">
        <f>model_eui_end_uses!V42*base_building_arch_areas!$N$31</f>
        <v>0</v>
      </c>
      <c r="W42" s="187">
        <f>model_eui_end_uses!W42*base_building_arch_areas!$N$31</f>
        <v>0</v>
      </c>
      <c r="X42" s="187">
        <f>model_eui_end_uses!X42*base_building_arch_areas!$N$31</f>
        <v>0</v>
      </c>
      <c r="Y42" s="187">
        <f>model_eui_end_uses!Y42*base_building_arch_areas!$N$31</f>
        <v>0</v>
      </c>
      <c r="Z42" s="187">
        <f>model_eui_end_uses!Z42*base_building_arch_areas!$N$31</f>
        <v>0</v>
      </c>
      <c r="AA42" s="187">
        <f>model_eui_end_uses!AA42*base_building_arch_areas!$N$31</f>
        <v>0</v>
      </c>
      <c r="AB42" s="187">
        <f>model_eui_end_uses!AB42*base_building_arch_areas!$N$31</f>
        <v>0</v>
      </c>
      <c r="AC42" s="187">
        <f>model_eui_end_uses!AC42*base_building_arch_areas!$N$31</f>
        <v>0</v>
      </c>
      <c r="AD42" s="187">
        <f>model_eui_end_uses!AD42*base_building_arch_areas!$N$31</f>
        <v>0</v>
      </c>
      <c r="AE42" s="187">
        <f>model_eui_end_uses!AE42*base_building_arch_areas!$N$31</f>
        <v>0</v>
      </c>
      <c r="AF42" s="187">
        <f t="shared" si="5"/>
        <v>0</v>
      </c>
      <c r="AG42" s="187">
        <f>model_eui_end_uses!AH42*base_building_arch_areas!$N$31</f>
        <v>0</v>
      </c>
      <c r="AH42" s="187">
        <f>model_eui_end_uses!AI42*base_building_arch_areas!$N$31</f>
        <v>0</v>
      </c>
      <c r="AI42" s="187">
        <f t="shared" si="6"/>
        <v>0</v>
      </c>
      <c r="AJ42" s="200">
        <f>sim_annual_output!F42/sim_annual_output!H42*base_building_arch_areas!$N$31</f>
        <v>0</v>
      </c>
      <c r="AK42">
        <f t="shared" si="7"/>
        <v>0</v>
      </c>
    </row>
    <row r="43" spans="1:37">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f>model_eui_end_uses!G43*base_scenario_arch_measures!$F43</f>
        <v>0</v>
      </c>
      <c r="H43">
        <f>model_eui_end_uses!H43*base_scenario_arch_measures!$F43</f>
        <v>1.0296577920609302</v>
      </c>
      <c r="I43">
        <f>model_eui_end_uses!I43*base_scenario_arch_measures!$F43</f>
        <v>1.7784026337489576E-2</v>
      </c>
      <c r="J43">
        <f>model_eui_end_uses!J43*base_scenario_arch_measures!$F43</f>
        <v>0.13175112641628725</v>
      </c>
      <c r="K43">
        <f>model_eui_end_uses!K43*base_scenario_arch_measures!$F43</f>
        <v>0</v>
      </c>
      <c r="L43">
        <f>model_eui_end_uses!L43*base_scenario_arch_measures!$F43</f>
        <v>0.35941381472140188</v>
      </c>
      <c r="M43">
        <f>model_eui_end_uses!M43*base_scenario_arch_measures!$F43</f>
        <v>0.14743093589705097</v>
      </c>
      <c r="N43">
        <f>model_eui_end_uses!N43*base_scenario_arch_measures!$F43</f>
        <v>0</v>
      </c>
      <c r="O43">
        <f>model_eui_end_uses!O43*base_scenario_arch_measures!$F43</f>
        <v>0.17453121267278651</v>
      </c>
      <c r="P43">
        <f>model_eui_end_uses!P43*base_scenario_arch_measures!$F43</f>
        <v>3.3752317161514084E-2</v>
      </c>
      <c r="Q43">
        <f>model_eui_end_uses!Q43*base_scenario_arch_measures!$F43</f>
        <v>0</v>
      </c>
      <c r="R43" s="187">
        <f>model_eui_end_uses!R43*base_building_arch_areas!$N$31</f>
        <v>0</v>
      </c>
      <c r="S43" s="187">
        <f>model_eui_end_uses!S43*base_building_arch_areas!$N$31</f>
        <v>0</v>
      </c>
      <c r="T43" s="187">
        <f>model_eui_end_uses!T43*base_building_arch_areas!$N$31</f>
        <v>0</v>
      </c>
      <c r="U43" s="187">
        <f>model_eui_end_uses!U43*base_building_arch_areas!$N$31</f>
        <v>0</v>
      </c>
      <c r="V43" s="187">
        <f>model_eui_end_uses!V43*base_building_arch_areas!$N$31</f>
        <v>0</v>
      </c>
      <c r="W43" s="187">
        <f>model_eui_end_uses!W43*base_building_arch_areas!$N$31</f>
        <v>0</v>
      </c>
      <c r="X43" s="187">
        <f>model_eui_end_uses!X43*base_building_arch_areas!$N$31</f>
        <v>0</v>
      </c>
      <c r="Y43" s="187">
        <f>model_eui_end_uses!Y43*base_building_arch_areas!$N$31</f>
        <v>0</v>
      </c>
      <c r="Z43" s="187">
        <f>model_eui_end_uses!Z43*base_building_arch_areas!$N$31</f>
        <v>0</v>
      </c>
      <c r="AA43" s="187">
        <f>model_eui_end_uses!AA43*base_building_arch_areas!$N$31</f>
        <v>0</v>
      </c>
      <c r="AB43" s="187">
        <f>model_eui_end_uses!AB43*base_building_arch_areas!$N$31</f>
        <v>0</v>
      </c>
      <c r="AC43" s="187">
        <f>model_eui_end_uses!AC43*base_building_arch_areas!$N$31</f>
        <v>0</v>
      </c>
      <c r="AD43" s="187">
        <f>model_eui_end_uses!AD43*base_building_arch_areas!$N$31</f>
        <v>0</v>
      </c>
      <c r="AE43" s="187">
        <f>model_eui_end_uses!AE43*base_building_arch_areas!$N$31</f>
        <v>0</v>
      </c>
      <c r="AF43" s="187">
        <f t="shared" si="5"/>
        <v>0</v>
      </c>
      <c r="AG43" s="187">
        <f>model_eui_end_uses!AH43*base_building_arch_areas!$N$31</f>
        <v>0</v>
      </c>
      <c r="AH43" s="187">
        <f>model_eui_end_uses!AI43*base_building_arch_areas!$N$31</f>
        <v>0</v>
      </c>
      <c r="AI43" s="187">
        <f t="shared" si="6"/>
        <v>0</v>
      </c>
      <c r="AJ43" s="200">
        <f>sim_annual_output!F43/sim_annual_output!H43*base_building_arch_areas!$N$31</f>
        <v>0</v>
      </c>
      <c r="AK43">
        <f t="shared" si="7"/>
        <v>0</v>
      </c>
    </row>
    <row r="44" spans="1:37">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f>model_eui_end_uses!G44*base_scenario_arch_measures!$F44</f>
        <v>0</v>
      </c>
      <c r="H44">
        <f>model_eui_end_uses!H44*base_scenario_arch_measures!$F44</f>
        <v>2.9566283175892019</v>
      </c>
      <c r="I44">
        <f>model_eui_end_uses!I44*base_scenario_arch_measures!$F44</f>
        <v>8.6374708070440769E-3</v>
      </c>
      <c r="J44">
        <f>model_eui_end_uses!J44*base_scenario_arch_measures!$F44</f>
        <v>0.13175112641628725</v>
      </c>
      <c r="K44">
        <f>model_eui_end_uses!K44*base_scenario_arch_measures!$F44</f>
        <v>0</v>
      </c>
      <c r="L44">
        <f>model_eui_end_uses!L44*base_scenario_arch_measures!$F44</f>
        <v>0.51346285202267128</v>
      </c>
      <c r="M44">
        <f>model_eui_end_uses!M44*base_scenario_arch_measures!$F44</f>
        <v>0.14743093589705097</v>
      </c>
      <c r="N44">
        <f>model_eui_end_uses!N44*base_scenario_arch_measures!$F44</f>
        <v>0</v>
      </c>
      <c r="O44">
        <f>model_eui_end_uses!O44*base_scenario_arch_measures!$F44</f>
        <v>0.22428575963988517</v>
      </c>
      <c r="P44">
        <f>model_eui_end_uses!P44*base_scenario_arch_measures!$F44</f>
        <v>8.5628050476118683E-2</v>
      </c>
      <c r="Q44">
        <f>model_eui_end_uses!Q44*base_scenario_arch_measures!$F44</f>
        <v>0</v>
      </c>
      <c r="R44" s="187">
        <f>model_eui_end_uses!R44*base_building_arch_areas!$N$31</f>
        <v>0</v>
      </c>
      <c r="S44" s="187">
        <f>model_eui_end_uses!S44*base_building_arch_areas!$N$31</f>
        <v>0</v>
      </c>
      <c r="T44" s="187">
        <f>model_eui_end_uses!T44*base_building_arch_areas!$N$31</f>
        <v>0</v>
      </c>
      <c r="U44" s="187">
        <f>model_eui_end_uses!U44*base_building_arch_areas!$N$31</f>
        <v>0</v>
      </c>
      <c r="V44" s="187">
        <f>model_eui_end_uses!V44*base_building_arch_areas!$N$31</f>
        <v>0</v>
      </c>
      <c r="W44" s="187">
        <f>model_eui_end_uses!W44*base_building_arch_areas!$N$31</f>
        <v>0</v>
      </c>
      <c r="X44" s="187">
        <f>model_eui_end_uses!X44*base_building_arch_areas!$N$31</f>
        <v>0</v>
      </c>
      <c r="Y44" s="187">
        <f>model_eui_end_uses!Y44*base_building_arch_areas!$N$31</f>
        <v>0</v>
      </c>
      <c r="Z44" s="187">
        <f>model_eui_end_uses!Z44*base_building_arch_areas!$N$31</f>
        <v>0</v>
      </c>
      <c r="AA44" s="187">
        <f>model_eui_end_uses!AA44*base_building_arch_areas!$N$31</f>
        <v>0</v>
      </c>
      <c r="AB44" s="187">
        <f>model_eui_end_uses!AB44*base_building_arch_areas!$N$31</f>
        <v>0</v>
      </c>
      <c r="AC44" s="187">
        <f>model_eui_end_uses!AC44*base_building_arch_areas!$N$31</f>
        <v>0</v>
      </c>
      <c r="AD44" s="187">
        <f>model_eui_end_uses!AD44*base_building_arch_areas!$N$31</f>
        <v>0</v>
      </c>
      <c r="AE44" s="187">
        <f>model_eui_end_uses!AE44*base_building_arch_areas!$N$31</f>
        <v>0</v>
      </c>
      <c r="AF44" s="187">
        <f t="shared" si="5"/>
        <v>0</v>
      </c>
      <c r="AG44" s="187">
        <f>model_eui_end_uses!AH44*base_building_arch_areas!$N$31</f>
        <v>0</v>
      </c>
      <c r="AH44" s="187">
        <f>model_eui_end_uses!AI44*base_building_arch_areas!$N$31</f>
        <v>0</v>
      </c>
      <c r="AI44" s="187">
        <f t="shared" si="6"/>
        <v>0</v>
      </c>
      <c r="AJ44" s="200">
        <f>sim_annual_output!F44/sim_annual_output!H44*base_building_arch_areas!$N$31</f>
        <v>0</v>
      </c>
      <c r="AK44">
        <f t="shared" si="7"/>
        <v>0</v>
      </c>
    </row>
    <row r="45" spans="1:37">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f>model_eui_end_uses!G45*base_scenario_arch_measures!$F45</f>
        <v>0</v>
      </c>
      <c r="H45">
        <f>model_eui_end_uses!H45*base_scenario_arch_measures!$F45</f>
        <v>2.9547107651310562</v>
      </c>
      <c r="I45">
        <f>model_eui_end_uses!I45*base_scenario_arch_measures!$F45</f>
        <v>8.5526233531438393E-3</v>
      </c>
      <c r="J45">
        <f>model_eui_end_uses!J45*base_scenario_arch_measures!$F45</f>
        <v>0.13175112641628725</v>
      </c>
      <c r="K45">
        <f>model_eui_end_uses!K45*base_scenario_arch_measures!$F45</f>
        <v>0</v>
      </c>
      <c r="L45">
        <f>model_eui_end_uses!L45*base_scenario_arch_measures!$F45</f>
        <v>0.51346285202267128</v>
      </c>
      <c r="M45">
        <f>model_eui_end_uses!M45*base_scenario_arch_measures!$F45</f>
        <v>0.14743093589705097</v>
      </c>
      <c r="N45">
        <f>model_eui_end_uses!N45*base_scenario_arch_measures!$F45</f>
        <v>0</v>
      </c>
      <c r="O45">
        <f>model_eui_end_uses!O45*base_scenario_arch_measures!$F45</f>
        <v>0.22418394269520489</v>
      </c>
      <c r="P45">
        <f>model_eui_end_uses!P45*base_scenario_arch_measures!$F45</f>
        <v>6.6978580108846705E-2</v>
      </c>
      <c r="Q45">
        <f>model_eui_end_uses!Q45*base_scenario_arch_measures!$F45</f>
        <v>0</v>
      </c>
      <c r="R45" s="187">
        <f>model_eui_end_uses!R45*base_building_arch_areas!$N$31</f>
        <v>0</v>
      </c>
      <c r="S45" s="187">
        <f>model_eui_end_uses!S45*base_building_arch_areas!$N$31</f>
        <v>0</v>
      </c>
      <c r="T45" s="187">
        <f>model_eui_end_uses!T45*base_building_arch_areas!$N$31</f>
        <v>0</v>
      </c>
      <c r="U45" s="187">
        <f>model_eui_end_uses!U45*base_building_arch_areas!$N$31</f>
        <v>0</v>
      </c>
      <c r="V45" s="187">
        <f>model_eui_end_uses!V45*base_building_arch_areas!$N$31</f>
        <v>0</v>
      </c>
      <c r="W45" s="187">
        <f>model_eui_end_uses!W45*base_building_arch_areas!$N$31</f>
        <v>0</v>
      </c>
      <c r="X45" s="187">
        <f>model_eui_end_uses!X45*base_building_arch_areas!$N$31</f>
        <v>0</v>
      </c>
      <c r="Y45" s="187">
        <f>model_eui_end_uses!Y45*base_building_arch_areas!$N$31</f>
        <v>0</v>
      </c>
      <c r="Z45" s="187">
        <f>model_eui_end_uses!Z45*base_building_arch_areas!$N$31</f>
        <v>0</v>
      </c>
      <c r="AA45" s="187">
        <f>model_eui_end_uses!AA45*base_building_arch_areas!$N$31</f>
        <v>0</v>
      </c>
      <c r="AB45" s="187">
        <f>model_eui_end_uses!AB45*base_building_arch_areas!$N$31</f>
        <v>0</v>
      </c>
      <c r="AC45" s="187">
        <f>model_eui_end_uses!AC45*base_building_arch_areas!$N$31</f>
        <v>0</v>
      </c>
      <c r="AD45" s="187">
        <f>model_eui_end_uses!AD45*base_building_arch_areas!$N$31</f>
        <v>0</v>
      </c>
      <c r="AE45" s="187">
        <f>model_eui_end_uses!AE45*base_building_arch_areas!$N$31</f>
        <v>0</v>
      </c>
      <c r="AF45" s="187">
        <f t="shared" si="5"/>
        <v>0</v>
      </c>
      <c r="AG45" s="187">
        <f>model_eui_end_uses!AH45*base_building_arch_areas!$N$31</f>
        <v>0</v>
      </c>
      <c r="AH45" s="187">
        <f>model_eui_end_uses!AI45*base_building_arch_areas!$N$31</f>
        <v>0</v>
      </c>
      <c r="AI45" s="187">
        <f t="shared" si="6"/>
        <v>0</v>
      </c>
      <c r="AJ45" s="200">
        <f>sim_annual_output!F45/sim_annual_output!H45*base_building_arch_areas!$N$31</f>
        <v>0</v>
      </c>
      <c r="AK45">
        <f t="shared" si="7"/>
        <v>0</v>
      </c>
    </row>
    <row r="46" spans="1:37">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f>model_eui_end_uses!G46*base_scenario_arch_measures!$F46</f>
        <v>0</v>
      </c>
      <c r="H46">
        <f>model_eui_end_uses!H46*base_scenario_arch_measures!$F46</f>
        <v>26.96377477322169</v>
      </c>
      <c r="I46">
        <f>model_eui_end_uses!I46*base_scenario_arch_measures!$F46</f>
        <v>0.42554838164132475</v>
      </c>
      <c r="J46">
        <f>model_eui_end_uses!J46*base_scenario_arch_measures!$F46</f>
        <v>2.2440712259266662</v>
      </c>
      <c r="K46">
        <f>model_eui_end_uses!K46*base_scenario_arch_measures!$F46</f>
        <v>0</v>
      </c>
      <c r="L46">
        <f>model_eui_end_uses!L46*base_scenario_arch_measures!$F46</f>
        <v>3.3373541446381716</v>
      </c>
      <c r="M46">
        <f>model_eui_end_uses!M46*base_scenario_arch_measures!$F46</f>
        <v>0.51593222082051671</v>
      </c>
      <c r="N46">
        <f>model_eui_end_uses!N46*base_scenario_arch_measures!$F46</f>
        <v>0</v>
      </c>
      <c r="O46">
        <f>model_eui_end_uses!O46*base_scenario_arch_measures!$F46</f>
        <v>1.4661747389863176</v>
      </c>
      <c r="P46">
        <f>model_eui_end_uses!P46*base_scenario_arch_measures!$F46</f>
        <v>0.60444458285905711</v>
      </c>
      <c r="Q46">
        <f>model_eui_end_uses!Q46*base_scenario_arch_measures!$F46</f>
        <v>0</v>
      </c>
      <c r="R46" s="187">
        <f>model_eui_end_uses!R46*base_building_arch_areas!$N$22</f>
        <v>0</v>
      </c>
      <c r="S46" s="187">
        <f>model_eui_end_uses!S46*base_building_arch_areas!$N$22</f>
        <v>0</v>
      </c>
      <c r="T46" s="187">
        <f>model_eui_end_uses!T46*base_building_arch_areas!$N$22</f>
        <v>0</v>
      </c>
      <c r="U46" s="187">
        <f>model_eui_end_uses!U46*base_building_arch_areas!$N$22</f>
        <v>0</v>
      </c>
      <c r="V46" s="187">
        <f>model_eui_end_uses!V46*base_building_arch_areas!$N$22</f>
        <v>0</v>
      </c>
      <c r="W46" s="187">
        <f>model_eui_end_uses!W46*base_building_arch_areas!$N$22</f>
        <v>0</v>
      </c>
      <c r="X46" s="187">
        <f>model_eui_end_uses!X46*base_building_arch_areas!$N$22</f>
        <v>0</v>
      </c>
      <c r="Y46" s="187">
        <f>model_eui_end_uses!Y46*base_building_arch_areas!$N$22</f>
        <v>0</v>
      </c>
      <c r="Z46" s="187">
        <f>model_eui_end_uses!Z46*base_building_arch_areas!$N$22</f>
        <v>0</v>
      </c>
      <c r="AA46" s="187">
        <f>model_eui_end_uses!AA46*base_building_arch_areas!$N$22</f>
        <v>0</v>
      </c>
      <c r="AB46" s="187">
        <f>model_eui_end_uses!AB46*base_building_arch_areas!$N$22</f>
        <v>0</v>
      </c>
      <c r="AC46" s="187">
        <f>model_eui_end_uses!AC46*base_building_arch_areas!$N$22</f>
        <v>0</v>
      </c>
      <c r="AD46" s="187">
        <f>model_eui_end_uses!AD46*base_building_arch_areas!$N$22</f>
        <v>0</v>
      </c>
      <c r="AE46" s="187">
        <f>model_eui_end_uses!AE46*base_building_arch_areas!$N$22</f>
        <v>0</v>
      </c>
      <c r="AF46" s="187">
        <f t="shared" si="3"/>
        <v>0</v>
      </c>
      <c r="AG46" s="187">
        <f>model_eui_end_uses!AH46*base_building_arch_areas!$N$22</f>
        <v>0</v>
      </c>
      <c r="AH46" s="187">
        <f>model_eui_end_uses!AI46*base_building_arch_areas!$N$22</f>
        <v>0</v>
      </c>
      <c r="AI46" s="187">
        <f t="shared" si="4"/>
        <v>0</v>
      </c>
      <c r="AJ46" s="200">
        <f>sim_annual_output!F46/sim_annual_output!H46*base_building_arch_areas!$N$22</f>
        <v>0</v>
      </c>
      <c r="AK46">
        <f t="shared" si="2"/>
        <v>0</v>
      </c>
    </row>
    <row r="47" spans="1:37">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f>model_eui_end_uses!G47*base_scenario_arch_measures!$F47</f>
        <v>0</v>
      </c>
      <c r="H47">
        <f>model_eui_end_uses!H47*base_scenario_arch_measures!$F47</f>
        <v>25.686321490441532</v>
      </c>
      <c r="I47">
        <f>model_eui_end_uses!I47*base_scenario_arch_measures!$F47</f>
        <v>0.12458083056746029</v>
      </c>
      <c r="J47">
        <f>model_eui_end_uses!J47*base_scenario_arch_measures!$F47</f>
        <v>2.2441562930694228</v>
      </c>
      <c r="K47">
        <f>model_eui_end_uses!K47*base_scenario_arch_measures!$F47</f>
        <v>0</v>
      </c>
      <c r="L47">
        <f>model_eui_end_uses!L47*base_scenario_arch_measures!$F47</f>
        <v>3.3373541446381716</v>
      </c>
      <c r="M47">
        <f>model_eui_end_uses!M47*base_scenario_arch_measures!$F47</f>
        <v>0.51593222082051671</v>
      </c>
      <c r="N47">
        <f>model_eui_end_uses!N47*base_scenario_arch_measures!$F47</f>
        <v>0</v>
      </c>
      <c r="O47">
        <f>model_eui_end_uses!O47*base_scenario_arch_measures!$F47</f>
        <v>1.4612833782777963</v>
      </c>
      <c r="P47">
        <f>model_eui_end_uses!P47*base_scenario_arch_measures!$F47</f>
        <v>0.5885370271635193</v>
      </c>
      <c r="Q47">
        <f>model_eui_end_uses!Q47*base_scenario_arch_measures!$F47</f>
        <v>0</v>
      </c>
      <c r="R47" s="187">
        <f>model_eui_end_uses!R47*base_building_arch_areas!$N$22</f>
        <v>0</v>
      </c>
      <c r="S47" s="187">
        <f>model_eui_end_uses!S47*base_building_arch_areas!$N$22</f>
        <v>0</v>
      </c>
      <c r="T47" s="187">
        <f>model_eui_end_uses!T47*base_building_arch_areas!$N$22</f>
        <v>0</v>
      </c>
      <c r="U47" s="187">
        <f>model_eui_end_uses!U47*base_building_arch_areas!$N$22</f>
        <v>0</v>
      </c>
      <c r="V47" s="187">
        <f>model_eui_end_uses!V47*base_building_arch_areas!$N$22</f>
        <v>0</v>
      </c>
      <c r="W47" s="187">
        <f>model_eui_end_uses!W47*base_building_arch_areas!$N$22</f>
        <v>0</v>
      </c>
      <c r="X47" s="187">
        <f>model_eui_end_uses!X47*base_building_arch_areas!$N$22</f>
        <v>0</v>
      </c>
      <c r="Y47" s="187">
        <f>model_eui_end_uses!Y47*base_building_arch_areas!$N$22</f>
        <v>0</v>
      </c>
      <c r="Z47" s="187">
        <f>model_eui_end_uses!Z47*base_building_arch_areas!$N$22</f>
        <v>0</v>
      </c>
      <c r="AA47" s="187">
        <f>model_eui_end_uses!AA47*base_building_arch_areas!$N$22</f>
        <v>0</v>
      </c>
      <c r="AB47" s="187">
        <f>model_eui_end_uses!AB47*base_building_arch_areas!$N$22</f>
        <v>0</v>
      </c>
      <c r="AC47" s="187">
        <f>model_eui_end_uses!AC47*base_building_arch_areas!$N$22</f>
        <v>0</v>
      </c>
      <c r="AD47" s="187">
        <f>model_eui_end_uses!AD47*base_building_arch_areas!$N$22</f>
        <v>0</v>
      </c>
      <c r="AE47" s="187">
        <f>model_eui_end_uses!AE47*base_building_arch_areas!$N$22</f>
        <v>0</v>
      </c>
      <c r="AF47" s="187">
        <f t="shared" ref="AF47:AF68" si="8">SUM(AD47:AE47)</f>
        <v>0</v>
      </c>
      <c r="AG47" s="187">
        <f>model_eui_end_uses!AH47*base_building_arch_areas!$N$22</f>
        <v>0</v>
      </c>
      <c r="AH47" s="187">
        <f>model_eui_end_uses!AI47*base_building_arch_areas!$N$22</f>
        <v>0</v>
      </c>
      <c r="AI47" s="187">
        <f t="shared" ref="AI47:AI68" si="9">SUM(AG47:AH47)</f>
        <v>0</v>
      </c>
      <c r="AJ47" s="200">
        <f>sim_annual_output!F47/sim_annual_output!H47*base_building_arch_areas!$N$22</f>
        <v>0</v>
      </c>
      <c r="AK47">
        <f t="shared" ref="AK47:AK68" si="10">IF(AI47=0,0,AJ47/AI47)</f>
        <v>0</v>
      </c>
    </row>
    <row r="48" spans="1:37">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f>model_eui_end_uses!G48*base_scenario_arch_measures!$F48</f>
        <v>0</v>
      </c>
      <c r="H48">
        <f>model_eui_end_uses!H48*base_scenario_arch_measures!$F48</f>
        <v>25.31147312588331</v>
      </c>
      <c r="I48">
        <f>model_eui_end_uses!I48*base_scenario_arch_measures!$F48</f>
        <v>0.17332430336715626</v>
      </c>
      <c r="J48">
        <f>model_eui_end_uses!J48*base_scenario_arch_measures!$F48</f>
        <v>2.2441137594980445</v>
      </c>
      <c r="K48">
        <f>model_eui_end_uses!K48*base_scenario_arch_measures!$F48</f>
        <v>0</v>
      </c>
      <c r="L48">
        <f>model_eui_end_uses!L48*base_scenario_arch_measures!$F48</f>
        <v>3.3373541446381716</v>
      </c>
      <c r="M48">
        <f>model_eui_end_uses!M48*base_scenario_arch_measures!$F48</f>
        <v>0.51593222082051671</v>
      </c>
      <c r="N48">
        <f>model_eui_end_uses!N48*base_scenario_arch_measures!$F48</f>
        <v>0</v>
      </c>
      <c r="O48">
        <f>model_eui_end_uses!O48*base_scenario_arch_measures!$F48</f>
        <v>1.4671955446993998</v>
      </c>
      <c r="P48">
        <f>model_eui_end_uses!P48*base_scenario_arch_measures!$F48</f>
        <v>0.59763921143850618</v>
      </c>
      <c r="Q48">
        <f>model_eui_end_uses!Q48*base_scenario_arch_measures!$F48</f>
        <v>0</v>
      </c>
      <c r="R48" s="187">
        <f>model_eui_end_uses!R48*base_building_arch_areas!$N$22</f>
        <v>0</v>
      </c>
      <c r="S48" s="187">
        <f>model_eui_end_uses!S48*base_building_arch_areas!$N$22</f>
        <v>0</v>
      </c>
      <c r="T48" s="187">
        <f>model_eui_end_uses!T48*base_building_arch_areas!$N$22</f>
        <v>0</v>
      </c>
      <c r="U48" s="187">
        <f>model_eui_end_uses!U48*base_building_arch_areas!$N$22</f>
        <v>0</v>
      </c>
      <c r="V48" s="187">
        <f>model_eui_end_uses!V48*base_building_arch_areas!$N$22</f>
        <v>0</v>
      </c>
      <c r="W48" s="187">
        <f>model_eui_end_uses!W48*base_building_arch_areas!$N$22</f>
        <v>0</v>
      </c>
      <c r="X48" s="187">
        <f>model_eui_end_uses!X48*base_building_arch_areas!$N$22</f>
        <v>0</v>
      </c>
      <c r="Y48" s="187">
        <f>model_eui_end_uses!Y48*base_building_arch_areas!$N$22</f>
        <v>0</v>
      </c>
      <c r="Z48" s="187">
        <f>model_eui_end_uses!Z48*base_building_arch_areas!$N$22</f>
        <v>0</v>
      </c>
      <c r="AA48" s="187">
        <f>model_eui_end_uses!AA48*base_building_arch_areas!$N$22</f>
        <v>0</v>
      </c>
      <c r="AB48" s="187">
        <f>model_eui_end_uses!AB48*base_building_arch_areas!$N$22</f>
        <v>0</v>
      </c>
      <c r="AC48" s="187">
        <f>model_eui_end_uses!AC48*base_building_arch_areas!$N$22</f>
        <v>0</v>
      </c>
      <c r="AD48" s="187">
        <f>model_eui_end_uses!AD48*base_building_arch_areas!$N$22</f>
        <v>0</v>
      </c>
      <c r="AE48" s="187">
        <f>model_eui_end_uses!AE48*base_building_arch_areas!$N$22</f>
        <v>0</v>
      </c>
      <c r="AF48" s="187">
        <f t="shared" si="8"/>
        <v>0</v>
      </c>
      <c r="AG48" s="187">
        <f>model_eui_end_uses!AH48*base_building_arch_areas!$N$22</f>
        <v>0</v>
      </c>
      <c r="AH48" s="187">
        <f>model_eui_end_uses!AI48*base_building_arch_areas!$N$22</f>
        <v>0</v>
      </c>
      <c r="AI48" s="187">
        <f t="shared" si="9"/>
        <v>0</v>
      </c>
      <c r="AJ48" s="200">
        <f>sim_annual_output!F48/sim_annual_output!H48*base_building_arch_areas!$N$22</f>
        <v>0</v>
      </c>
      <c r="AK48">
        <f t="shared" si="10"/>
        <v>0</v>
      </c>
    </row>
    <row r="49" spans="1:37">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f>model_eui_end_uses!G49*base_scenario_arch_measures!$F49</f>
        <v>0</v>
      </c>
      <c r="H49">
        <f>model_eui_end_uses!H49*base_scenario_arch_measures!$F49</f>
        <v>20.322710538905699</v>
      </c>
      <c r="I49">
        <f>model_eui_end_uses!I49*base_scenario_arch_measures!$F49</f>
        <v>0.17332430336715626</v>
      </c>
      <c r="J49">
        <f>model_eui_end_uses!J49*base_scenario_arch_measures!$F49</f>
        <v>2.2441137594980445</v>
      </c>
      <c r="K49">
        <f>model_eui_end_uses!K49*base_scenario_arch_measures!$F49</f>
        <v>0</v>
      </c>
      <c r="L49">
        <f>model_eui_end_uses!L49*base_scenario_arch_measures!$F49</f>
        <v>3.3373541446381716</v>
      </c>
      <c r="M49">
        <f>model_eui_end_uses!M49*base_scenario_arch_measures!$F49</f>
        <v>0.51593222082051671</v>
      </c>
      <c r="N49">
        <f>model_eui_end_uses!N49*base_scenario_arch_measures!$F49</f>
        <v>0</v>
      </c>
      <c r="O49">
        <f>model_eui_end_uses!O49*base_scenario_arch_measures!$F49</f>
        <v>1.4671955446993998</v>
      </c>
      <c r="P49">
        <f>model_eui_end_uses!P49*base_scenario_arch_measures!$F49</f>
        <v>3.1900178533832438E-2</v>
      </c>
      <c r="Q49">
        <f>model_eui_end_uses!Q49*base_scenario_arch_measures!$F49</f>
        <v>0</v>
      </c>
      <c r="R49" s="187">
        <f>model_eui_end_uses!R49*base_building_arch_areas!$N$22</f>
        <v>0</v>
      </c>
      <c r="S49" s="187">
        <f>model_eui_end_uses!S49*base_building_arch_areas!$N$22</f>
        <v>0</v>
      </c>
      <c r="T49" s="187">
        <f>model_eui_end_uses!T49*base_building_arch_areas!$N$22</f>
        <v>0</v>
      </c>
      <c r="U49" s="187">
        <f>model_eui_end_uses!U49*base_building_arch_areas!$N$22</f>
        <v>0</v>
      </c>
      <c r="V49" s="187">
        <f>model_eui_end_uses!V49*base_building_arch_areas!$N$22</f>
        <v>0</v>
      </c>
      <c r="W49" s="187">
        <f>model_eui_end_uses!W49*base_building_arch_areas!$N$22</f>
        <v>0</v>
      </c>
      <c r="X49" s="187">
        <f>model_eui_end_uses!X49*base_building_arch_areas!$N$22</f>
        <v>0</v>
      </c>
      <c r="Y49" s="187">
        <f>model_eui_end_uses!Y49*base_building_arch_areas!$N$22</f>
        <v>0</v>
      </c>
      <c r="Z49" s="187">
        <f>model_eui_end_uses!Z49*base_building_arch_areas!$N$22</f>
        <v>0</v>
      </c>
      <c r="AA49" s="187">
        <f>model_eui_end_uses!AA49*base_building_arch_areas!$N$22</f>
        <v>0</v>
      </c>
      <c r="AB49" s="187">
        <f>model_eui_end_uses!AB49*base_building_arch_areas!$N$22</f>
        <v>0</v>
      </c>
      <c r="AC49" s="187">
        <f>model_eui_end_uses!AC49*base_building_arch_areas!$N$22</f>
        <v>0</v>
      </c>
      <c r="AD49" s="187">
        <f>model_eui_end_uses!AD49*base_building_arch_areas!$N$22</f>
        <v>0</v>
      </c>
      <c r="AE49" s="187">
        <f>model_eui_end_uses!AE49*base_building_arch_areas!$N$22</f>
        <v>0</v>
      </c>
      <c r="AF49" s="187">
        <f t="shared" si="8"/>
        <v>0</v>
      </c>
      <c r="AG49" s="187">
        <f>model_eui_end_uses!AH49*base_building_arch_areas!$N$22</f>
        <v>0</v>
      </c>
      <c r="AH49" s="187">
        <f>model_eui_end_uses!AI49*base_building_arch_areas!$N$22</f>
        <v>0</v>
      </c>
      <c r="AI49" s="187">
        <f t="shared" si="9"/>
        <v>0</v>
      </c>
      <c r="AJ49" s="200">
        <f>sim_annual_output!F49/sim_annual_output!H49*base_building_arch_areas!$N$22</f>
        <v>0</v>
      </c>
      <c r="AK49">
        <f t="shared" si="10"/>
        <v>0</v>
      </c>
    </row>
    <row r="50" spans="1:37">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f>model_eui_end_uses!G50*base_scenario_arch_measures!$F50</f>
        <v>0</v>
      </c>
      <c r="H50">
        <f>model_eui_end_uses!H50*base_scenario_arch_measures!$F50</f>
        <v>25.31147312588331</v>
      </c>
      <c r="I50">
        <f>model_eui_end_uses!I50*base_scenario_arch_measures!$F50</f>
        <v>0.12381522628264831</v>
      </c>
      <c r="J50">
        <f>model_eui_end_uses!J50*base_scenario_arch_measures!$F50</f>
        <v>2.2441137594980445</v>
      </c>
      <c r="K50">
        <f>model_eui_end_uses!K50*base_scenario_arch_measures!$F50</f>
        <v>0</v>
      </c>
      <c r="L50">
        <f>model_eui_end_uses!L50*base_scenario_arch_measures!$F50</f>
        <v>3.3373541446381716</v>
      </c>
      <c r="M50">
        <f>model_eui_end_uses!M50*base_scenario_arch_measures!$F50</f>
        <v>0.51593222082051671</v>
      </c>
      <c r="N50">
        <f>model_eui_end_uses!N50*base_scenario_arch_measures!$F50</f>
        <v>0</v>
      </c>
      <c r="O50">
        <f>model_eui_end_uses!O50*base_scenario_arch_measures!$F50</f>
        <v>1.4671955446993998</v>
      </c>
      <c r="P50">
        <f>model_eui_end_uses!P50*base_scenario_arch_measures!$F50</f>
        <v>0.59763921143850618</v>
      </c>
      <c r="Q50">
        <f>model_eui_end_uses!Q50*base_scenario_arch_measures!$F50</f>
        <v>0</v>
      </c>
      <c r="R50" s="187">
        <f>model_eui_end_uses!R50*base_building_arch_areas!$N$22</f>
        <v>0</v>
      </c>
      <c r="S50" s="187">
        <f>model_eui_end_uses!S50*base_building_arch_areas!$N$22</f>
        <v>0</v>
      </c>
      <c r="T50" s="187">
        <f>model_eui_end_uses!T50*base_building_arch_areas!$N$22</f>
        <v>0</v>
      </c>
      <c r="U50" s="187">
        <f>model_eui_end_uses!U50*base_building_arch_areas!$N$22</f>
        <v>0</v>
      </c>
      <c r="V50" s="187">
        <f>model_eui_end_uses!V50*base_building_arch_areas!$N$22</f>
        <v>0</v>
      </c>
      <c r="W50" s="187">
        <f>model_eui_end_uses!W50*base_building_arch_areas!$N$22</f>
        <v>0</v>
      </c>
      <c r="X50" s="187">
        <f>model_eui_end_uses!X50*base_building_arch_areas!$N$22</f>
        <v>0</v>
      </c>
      <c r="Y50" s="187">
        <f>model_eui_end_uses!Y50*base_building_arch_areas!$N$22</f>
        <v>0</v>
      </c>
      <c r="Z50" s="187">
        <f>model_eui_end_uses!Z50*base_building_arch_areas!$N$22</f>
        <v>0</v>
      </c>
      <c r="AA50" s="187">
        <f>model_eui_end_uses!AA50*base_building_arch_areas!$N$22</f>
        <v>0</v>
      </c>
      <c r="AB50" s="187">
        <f>model_eui_end_uses!AB50*base_building_arch_areas!$N$22</f>
        <v>0</v>
      </c>
      <c r="AC50" s="187">
        <f>model_eui_end_uses!AC50*base_building_arch_areas!$N$22</f>
        <v>0</v>
      </c>
      <c r="AD50" s="187">
        <f>model_eui_end_uses!AD50*base_building_arch_areas!$N$22</f>
        <v>0</v>
      </c>
      <c r="AE50" s="187">
        <f>model_eui_end_uses!AE50*base_building_arch_areas!$N$22</f>
        <v>0</v>
      </c>
      <c r="AF50" s="187">
        <f t="shared" si="8"/>
        <v>0</v>
      </c>
      <c r="AG50" s="187">
        <f>model_eui_end_uses!AH50*base_building_arch_areas!$N$22</f>
        <v>0</v>
      </c>
      <c r="AH50" s="187">
        <f>model_eui_end_uses!AI50*base_building_arch_areas!$N$22</f>
        <v>0</v>
      </c>
      <c r="AI50" s="187">
        <f t="shared" si="9"/>
        <v>0</v>
      </c>
      <c r="AJ50" s="200">
        <f>sim_annual_output!F50/sim_annual_output!H50*base_building_arch_areas!$N$22</f>
        <v>0</v>
      </c>
      <c r="AK50">
        <f t="shared" si="10"/>
        <v>0</v>
      </c>
    </row>
    <row r="51" spans="1:37">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f>model_eui_end_uses!G51*base_scenario_arch_measures!$F51</f>
        <v>0</v>
      </c>
      <c r="H51">
        <f>model_eui_end_uses!H51*base_scenario_arch_measures!$F51</f>
        <v>17.674145049170036</v>
      </c>
      <c r="I51">
        <f>model_eui_end_uses!I51*base_scenario_arch_measures!$F51</f>
        <v>0.25962491969401763</v>
      </c>
      <c r="J51">
        <f>model_eui_end_uses!J51*base_scenario_arch_measures!$F51</f>
        <v>2.2441137594980445</v>
      </c>
      <c r="K51">
        <f>model_eui_end_uses!K51*base_scenario_arch_measures!$F51</f>
        <v>0</v>
      </c>
      <c r="L51">
        <f>model_eui_end_uses!L51*base_scenario_arch_measures!$F51</f>
        <v>3.3373541446381716</v>
      </c>
      <c r="M51">
        <f>model_eui_end_uses!M51*base_scenario_arch_measures!$F51</f>
        <v>0.51593222082051671</v>
      </c>
      <c r="N51">
        <f>model_eui_end_uses!N51*base_scenario_arch_measures!$F51</f>
        <v>0</v>
      </c>
      <c r="O51">
        <f>model_eui_end_uses!O51*base_scenario_arch_measures!$F51</f>
        <v>1.4673231454135351</v>
      </c>
      <c r="P51">
        <f>model_eui_end_uses!P51*base_scenario_arch_measures!$F51</f>
        <v>0.5848366064535947</v>
      </c>
      <c r="Q51">
        <f>model_eui_end_uses!Q51*base_scenario_arch_measures!$F51</f>
        <v>0</v>
      </c>
      <c r="R51" s="187">
        <f>model_eui_end_uses!R51*base_building_arch_areas!$N$22</f>
        <v>0</v>
      </c>
      <c r="S51" s="187">
        <f>model_eui_end_uses!S51*base_building_arch_areas!$N$22</f>
        <v>0</v>
      </c>
      <c r="T51" s="187">
        <f>model_eui_end_uses!T51*base_building_arch_areas!$N$22</f>
        <v>0</v>
      </c>
      <c r="U51" s="187">
        <f>model_eui_end_uses!U51*base_building_arch_areas!$N$22</f>
        <v>0</v>
      </c>
      <c r="V51" s="187">
        <f>model_eui_end_uses!V51*base_building_arch_areas!$N$22</f>
        <v>0</v>
      </c>
      <c r="W51" s="187">
        <f>model_eui_end_uses!W51*base_building_arch_areas!$N$22</f>
        <v>0</v>
      </c>
      <c r="X51" s="187">
        <f>model_eui_end_uses!X51*base_building_arch_areas!$N$22</f>
        <v>0</v>
      </c>
      <c r="Y51" s="187">
        <f>model_eui_end_uses!Y51*base_building_arch_areas!$N$22</f>
        <v>0</v>
      </c>
      <c r="Z51" s="187">
        <f>model_eui_end_uses!Z51*base_building_arch_areas!$N$22</f>
        <v>0</v>
      </c>
      <c r="AA51" s="187">
        <f>model_eui_end_uses!AA51*base_building_arch_areas!$N$22</f>
        <v>0</v>
      </c>
      <c r="AB51" s="187">
        <f>model_eui_end_uses!AB51*base_building_arch_areas!$N$22</f>
        <v>0</v>
      </c>
      <c r="AC51" s="187">
        <f>model_eui_end_uses!AC51*base_building_arch_areas!$N$22</f>
        <v>0</v>
      </c>
      <c r="AD51" s="187">
        <f>model_eui_end_uses!AD51*base_building_arch_areas!$N$22</f>
        <v>0</v>
      </c>
      <c r="AE51" s="187">
        <f>model_eui_end_uses!AE51*base_building_arch_areas!$N$22</f>
        <v>0</v>
      </c>
      <c r="AF51" s="187">
        <f t="shared" si="8"/>
        <v>0</v>
      </c>
      <c r="AG51" s="187">
        <f>model_eui_end_uses!AH51*base_building_arch_areas!$N$22</f>
        <v>0</v>
      </c>
      <c r="AH51" s="187">
        <f>model_eui_end_uses!AI51*base_building_arch_areas!$N$22</f>
        <v>0</v>
      </c>
      <c r="AI51" s="187">
        <f t="shared" si="9"/>
        <v>0</v>
      </c>
      <c r="AJ51" s="200">
        <f>sim_annual_output!F51/sim_annual_output!H51*base_building_arch_areas!$N$22</f>
        <v>0</v>
      </c>
      <c r="AK51">
        <f t="shared" si="10"/>
        <v>0</v>
      </c>
    </row>
    <row r="52" spans="1:37">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f>model_eui_end_uses!G52*base_scenario_arch_measures!$F52</f>
        <v>0</v>
      </c>
      <c r="H52">
        <f>model_eui_end_uses!H52*base_scenario_arch_measures!$F52</f>
        <v>24.467479469020859</v>
      </c>
      <c r="I52">
        <f>model_eui_end_uses!I52*base_scenario_arch_measures!$F52</f>
        <v>0.23061702401391929</v>
      </c>
      <c r="J52">
        <f>model_eui_end_uses!J52*base_scenario_arch_measures!$F52</f>
        <v>2.2440286923552875</v>
      </c>
      <c r="K52">
        <f>model_eui_end_uses!K52*base_scenario_arch_measures!$F52</f>
        <v>0</v>
      </c>
      <c r="L52">
        <f>model_eui_end_uses!L52*base_scenario_arch_measures!$F52</f>
        <v>3.3373541446381716</v>
      </c>
      <c r="M52">
        <f>model_eui_end_uses!M52*base_scenario_arch_measures!$F52</f>
        <v>0.51593222082051671</v>
      </c>
      <c r="N52">
        <f>model_eui_end_uses!N52*base_scenario_arch_measures!$F52</f>
        <v>0</v>
      </c>
      <c r="O52">
        <f>model_eui_end_uses!O52*base_scenario_arch_measures!$F52</f>
        <v>1.4708534318379463</v>
      </c>
      <c r="P52">
        <f>model_eui_end_uses!P52*base_scenario_arch_measures!$F52</f>
        <v>0.59189717930241625</v>
      </c>
      <c r="Q52">
        <f>model_eui_end_uses!Q52*base_scenario_arch_measures!$F52</f>
        <v>0</v>
      </c>
      <c r="R52" s="187">
        <f>model_eui_end_uses!R52*base_building_arch_areas!$N$22</f>
        <v>0</v>
      </c>
      <c r="S52" s="187">
        <f>model_eui_end_uses!S52*base_building_arch_areas!$N$22</f>
        <v>0</v>
      </c>
      <c r="T52" s="187">
        <f>model_eui_end_uses!T52*base_building_arch_areas!$N$22</f>
        <v>0</v>
      </c>
      <c r="U52" s="187">
        <f>model_eui_end_uses!U52*base_building_arch_areas!$N$22</f>
        <v>0</v>
      </c>
      <c r="V52" s="187">
        <f>model_eui_end_uses!V52*base_building_arch_areas!$N$22</f>
        <v>0</v>
      </c>
      <c r="W52" s="187">
        <f>model_eui_end_uses!W52*base_building_arch_areas!$N$22</f>
        <v>0</v>
      </c>
      <c r="X52" s="187">
        <f>model_eui_end_uses!X52*base_building_arch_areas!$N$22</f>
        <v>0</v>
      </c>
      <c r="Y52" s="187">
        <f>model_eui_end_uses!Y52*base_building_arch_areas!$N$22</f>
        <v>0</v>
      </c>
      <c r="Z52" s="187">
        <f>model_eui_end_uses!Z52*base_building_arch_areas!$N$22</f>
        <v>0</v>
      </c>
      <c r="AA52" s="187">
        <f>model_eui_end_uses!AA52*base_building_arch_areas!$N$22</f>
        <v>0</v>
      </c>
      <c r="AB52" s="187">
        <f>model_eui_end_uses!AB52*base_building_arch_areas!$N$22</f>
        <v>0</v>
      </c>
      <c r="AC52" s="187">
        <f>model_eui_end_uses!AC52*base_building_arch_areas!$N$22</f>
        <v>0</v>
      </c>
      <c r="AD52" s="187">
        <f>model_eui_end_uses!AD52*base_building_arch_areas!$N$22</f>
        <v>0</v>
      </c>
      <c r="AE52" s="187">
        <f>model_eui_end_uses!AE52*base_building_arch_areas!$N$22</f>
        <v>0</v>
      </c>
      <c r="AF52" s="187">
        <f t="shared" si="8"/>
        <v>0</v>
      </c>
      <c r="AG52" s="187">
        <f>model_eui_end_uses!AH52*base_building_arch_areas!$N$22</f>
        <v>0</v>
      </c>
      <c r="AH52" s="187">
        <f>model_eui_end_uses!AI52*base_building_arch_areas!$N$22</f>
        <v>0</v>
      </c>
      <c r="AI52" s="187">
        <f t="shared" si="9"/>
        <v>0</v>
      </c>
      <c r="AJ52" s="200">
        <f>sim_annual_output!F52/sim_annual_output!H52*base_building_arch_areas!$N$22</f>
        <v>0</v>
      </c>
      <c r="AK52">
        <f t="shared" si="10"/>
        <v>0</v>
      </c>
    </row>
    <row r="53" spans="1:37">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f>model_eui_end_uses!G53*base_scenario_arch_measures!$F53</f>
        <v>0</v>
      </c>
      <c r="H53">
        <f>model_eui_end_uses!H53*base_scenario_arch_measures!$F53</f>
        <v>25.311558193026062</v>
      </c>
      <c r="I53">
        <f>model_eui_end_uses!I53*base_scenario_arch_measures!$F53</f>
        <v>0.15741674767161848</v>
      </c>
      <c r="J53">
        <f>model_eui_end_uses!J53*base_scenario_arch_measures!$F53</f>
        <v>2.2441137594980445</v>
      </c>
      <c r="K53">
        <f>model_eui_end_uses!K53*base_scenario_arch_measures!$F53</f>
        <v>0</v>
      </c>
      <c r="L53">
        <f>model_eui_end_uses!L53*base_scenario_arch_measures!$F53</f>
        <v>3.3373541446381716</v>
      </c>
      <c r="M53">
        <f>model_eui_end_uses!M53*base_scenario_arch_measures!$F53</f>
        <v>0.51593222082051671</v>
      </c>
      <c r="N53">
        <f>model_eui_end_uses!N53*base_scenario_arch_measures!$F53</f>
        <v>0</v>
      </c>
      <c r="O53">
        <f>model_eui_end_uses!O53*base_scenario_arch_measures!$F53</f>
        <v>1.4671955446993998</v>
      </c>
      <c r="P53">
        <f>model_eui_end_uses!P53*base_scenario_arch_measures!$F53</f>
        <v>0.59691614072507271</v>
      </c>
      <c r="Q53">
        <f>model_eui_end_uses!Q53*base_scenario_arch_measures!$F53</f>
        <v>0</v>
      </c>
      <c r="R53" s="187">
        <f>model_eui_end_uses!R53*base_building_arch_areas!$N$22</f>
        <v>0</v>
      </c>
      <c r="S53" s="187">
        <f>model_eui_end_uses!S53*base_building_arch_areas!$N$22</f>
        <v>0</v>
      </c>
      <c r="T53" s="187">
        <f>model_eui_end_uses!T53*base_building_arch_areas!$N$22</f>
        <v>0</v>
      </c>
      <c r="U53" s="187">
        <f>model_eui_end_uses!U53*base_building_arch_areas!$N$22</f>
        <v>0</v>
      </c>
      <c r="V53" s="187">
        <f>model_eui_end_uses!V53*base_building_arch_areas!$N$22</f>
        <v>0</v>
      </c>
      <c r="W53" s="187">
        <f>model_eui_end_uses!W53*base_building_arch_areas!$N$22</f>
        <v>0</v>
      </c>
      <c r="X53" s="187">
        <f>model_eui_end_uses!X53*base_building_arch_areas!$N$22</f>
        <v>0</v>
      </c>
      <c r="Y53" s="187">
        <f>model_eui_end_uses!Y53*base_building_arch_areas!$N$22</f>
        <v>0</v>
      </c>
      <c r="Z53" s="187">
        <f>model_eui_end_uses!Z53*base_building_arch_areas!$N$22</f>
        <v>0</v>
      </c>
      <c r="AA53" s="187">
        <f>model_eui_end_uses!AA53*base_building_arch_areas!$N$22</f>
        <v>0</v>
      </c>
      <c r="AB53" s="187">
        <f>model_eui_end_uses!AB53*base_building_arch_areas!$N$22</f>
        <v>0</v>
      </c>
      <c r="AC53" s="187">
        <f>model_eui_end_uses!AC53*base_building_arch_areas!$N$22</f>
        <v>0</v>
      </c>
      <c r="AD53" s="187">
        <f>model_eui_end_uses!AD53*base_building_arch_areas!$N$22</f>
        <v>0</v>
      </c>
      <c r="AE53" s="187">
        <f>model_eui_end_uses!AE53*base_building_arch_areas!$N$22</f>
        <v>0</v>
      </c>
      <c r="AF53" s="187">
        <f t="shared" si="8"/>
        <v>0</v>
      </c>
      <c r="AG53" s="187">
        <f>model_eui_end_uses!AH53*base_building_arch_areas!$N$22</f>
        <v>0</v>
      </c>
      <c r="AH53" s="187">
        <f>model_eui_end_uses!AI53*base_building_arch_areas!$N$22</f>
        <v>0</v>
      </c>
      <c r="AI53" s="187">
        <f t="shared" si="9"/>
        <v>0</v>
      </c>
      <c r="AJ53" s="200">
        <f>sim_annual_output!F53/sim_annual_output!H53*base_building_arch_areas!$N$22</f>
        <v>0</v>
      </c>
      <c r="AK53">
        <f t="shared" si="10"/>
        <v>0</v>
      </c>
    </row>
    <row r="54" spans="1:37">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f>model_eui_end_uses!G54*base_scenario_arch_measures!$F54</f>
        <v>0</v>
      </c>
      <c r="H54">
        <f>model_eui_end_uses!H54*base_scenario_arch_measures!$F54</f>
        <v>18.857684206346601</v>
      </c>
      <c r="I54">
        <f>model_eui_end_uses!I54*base_scenario_arch_measures!$F54</f>
        <v>0.16719946908866043</v>
      </c>
      <c r="J54">
        <f>model_eui_end_uses!J54*base_scenario_arch_measures!$F54</f>
        <v>2.2441562930694228</v>
      </c>
      <c r="K54">
        <f>model_eui_end_uses!K54*base_scenario_arch_measures!$F54</f>
        <v>0</v>
      </c>
      <c r="L54">
        <f>model_eui_end_uses!L54*base_scenario_arch_measures!$F54</f>
        <v>2.3361564079609956</v>
      </c>
      <c r="M54">
        <f>model_eui_end_uses!M54*base_scenario_arch_measures!$F54</f>
        <v>0.51593222082051671</v>
      </c>
      <c r="N54">
        <f>model_eui_end_uses!N54*base_scenario_arch_measures!$F54</f>
        <v>0</v>
      </c>
      <c r="O54">
        <f>model_eui_end_uses!O54*base_scenario_arch_measures!$F54</f>
        <v>0.97342331456705233</v>
      </c>
      <c r="P54">
        <f>model_eui_end_uses!P54*base_scenario_arch_measures!$F54</f>
        <v>0.46114898088508177</v>
      </c>
      <c r="Q54">
        <f>model_eui_end_uses!Q54*base_scenario_arch_measures!$F54</f>
        <v>0</v>
      </c>
      <c r="R54" s="187">
        <f>model_eui_end_uses!R54*base_building_arch_areas!$N$22</f>
        <v>0</v>
      </c>
      <c r="S54" s="187">
        <f>model_eui_end_uses!S54*base_building_arch_areas!$N$22</f>
        <v>0</v>
      </c>
      <c r="T54" s="187">
        <f>model_eui_end_uses!T54*base_building_arch_areas!$N$22</f>
        <v>0</v>
      </c>
      <c r="U54" s="187">
        <f>model_eui_end_uses!U54*base_building_arch_areas!$N$22</f>
        <v>0</v>
      </c>
      <c r="V54" s="187">
        <f>model_eui_end_uses!V54*base_building_arch_areas!$N$22</f>
        <v>0</v>
      </c>
      <c r="W54" s="187">
        <f>model_eui_end_uses!W54*base_building_arch_areas!$N$22</f>
        <v>0</v>
      </c>
      <c r="X54" s="187">
        <f>model_eui_end_uses!X54*base_building_arch_areas!$N$22</f>
        <v>0</v>
      </c>
      <c r="Y54" s="187">
        <f>model_eui_end_uses!Y54*base_building_arch_areas!$N$22</f>
        <v>0</v>
      </c>
      <c r="Z54" s="187">
        <f>model_eui_end_uses!Z54*base_building_arch_areas!$N$22</f>
        <v>0</v>
      </c>
      <c r="AA54" s="187">
        <f>model_eui_end_uses!AA54*base_building_arch_areas!$N$22</f>
        <v>0</v>
      </c>
      <c r="AB54" s="187">
        <f>model_eui_end_uses!AB54*base_building_arch_areas!$N$22</f>
        <v>0</v>
      </c>
      <c r="AC54" s="187">
        <f>model_eui_end_uses!AC54*base_building_arch_areas!$N$22</f>
        <v>0</v>
      </c>
      <c r="AD54" s="187">
        <f>model_eui_end_uses!AD54*base_building_arch_areas!$N$22</f>
        <v>0</v>
      </c>
      <c r="AE54" s="187">
        <f>model_eui_end_uses!AE54*base_building_arch_areas!$N$22</f>
        <v>0</v>
      </c>
      <c r="AF54" s="187">
        <f t="shared" si="8"/>
        <v>0</v>
      </c>
      <c r="AG54" s="187">
        <f>model_eui_end_uses!AH54*base_building_arch_areas!$N$22</f>
        <v>0</v>
      </c>
      <c r="AH54" s="187">
        <f>model_eui_end_uses!AI54*base_building_arch_areas!$N$22</f>
        <v>0</v>
      </c>
      <c r="AI54" s="187">
        <f t="shared" si="9"/>
        <v>0</v>
      </c>
      <c r="AJ54" s="200">
        <f>sim_annual_output!F54/sim_annual_output!H54*base_building_arch_areas!$N$22</f>
        <v>0</v>
      </c>
      <c r="AK54">
        <f t="shared" si="10"/>
        <v>0</v>
      </c>
    </row>
    <row r="55" spans="1:37">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f>model_eui_end_uses!G55*base_scenario_arch_measures!$F55</f>
        <v>0</v>
      </c>
      <c r="H55">
        <f>model_eui_end_uses!H55*base_scenario_arch_measures!$F55</f>
        <v>24.396193203390592</v>
      </c>
      <c r="I55">
        <f>model_eui_end_uses!I55*base_scenario_arch_measures!$F55</f>
        <v>0.16962388265723169</v>
      </c>
      <c r="J55">
        <f>model_eui_end_uses!J55*base_scenario_arch_measures!$F55</f>
        <v>2.2441137594980445</v>
      </c>
      <c r="K55">
        <f>model_eui_end_uses!K55*base_scenario_arch_measures!$F55</f>
        <v>0</v>
      </c>
      <c r="L55">
        <f>model_eui_end_uses!L55*base_scenario_arch_measures!$F55</f>
        <v>3.3373541446381716</v>
      </c>
      <c r="M55">
        <f>model_eui_end_uses!M55*base_scenario_arch_measures!$F55</f>
        <v>0.51593222082051671</v>
      </c>
      <c r="N55">
        <f>model_eui_end_uses!N55*base_scenario_arch_measures!$F55</f>
        <v>0</v>
      </c>
      <c r="O55">
        <f>model_eui_end_uses!O55*base_scenario_arch_measures!$F55</f>
        <v>1.4343170940238634</v>
      </c>
      <c r="P55">
        <f>model_eui_end_uses!P55*base_scenario_arch_measures!$F55</f>
        <v>0.57220413575419715</v>
      </c>
      <c r="Q55">
        <f>model_eui_end_uses!Q55*base_scenario_arch_measures!$F55</f>
        <v>0</v>
      </c>
      <c r="R55" s="187">
        <f>model_eui_end_uses!R55*base_building_arch_areas!$N$22</f>
        <v>0</v>
      </c>
      <c r="S55" s="187">
        <f>model_eui_end_uses!S55*base_building_arch_areas!$N$22</f>
        <v>0</v>
      </c>
      <c r="T55" s="187">
        <f>model_eui_end_uses!T55*base_building_arch_areas!$N$22</f>
        <v>0</v>
      </c>
      <c r="U55" s="187">
        <f>model_eui_end_uses!U55*base_building_arch_areas!$N$22</f>
        <v>0</v>
      </c>
      <c r="V55" s="187">
        <f>model_eui_end_uses!V55*base_building_arch_areas!$N$22</f>
        <v>0</v>
      </c>
      <c r="W55" s="187">
        <f>model_eui_end_uses!W55*base_building_arch_areas!$N$22</f>
        <v>0</v>
      </c>
      <c r="X55" s="187">
        <f>model_eui_end_uses!X55*base_building_arch_areas!$N$22</f>
        <v>0</v>
      </c>
      <c r="Y55" s="187">
        <f>model_eui_end_uses!Y55*base_building_arch_areas!$N$22</f>
        <v>0</v>
      </c>
      <c r="Z55" s="187">
        <f>model_eui_end_uses!Z55*base_building_arch_areas!$N$22</f>
        <v>0</v>
      </c>
      <c r="AA55" s="187">
        <f>model_eui_end_uses!AA55*base_building_arch_areas!$N$22</f>
        <v>0</v>
      </c>
      <c r="AB55" s="187">
        <f>model_eui_end_uses!AB55*base_building_arch_areas!$N$22</f>
        <v>0</v>
      </c>
      <c r="AC55" s="187">
        <f>model_eui_end_uses!AC55*base_building_arch_areas!$N$22</f>
        <v>0</v>
      </c>
      <c r="AD55" s="187">
        <f>model_eui_end_uses!AD55*base_building_arch_areas!$N$22</f>
        <v>0</v>
      </c>
      <c r="AE55" s="187">
        <f>model_eui_end_uses!AE55*base_building_arch_areas!$N$22</f>
        <v>0</v>
      </c>
      <c r="AF55" s="187">
        <f t="shared" si="8"/>
        <v>0</v>
      </c>
      <c r="AG55" s="187">
        <f>model_eui_end_uses!AH55*base_building_arch_areas!$N$22</f>
        <v>0</v>
      </c>
      <c r="AH55" s="187">
        <f>model_eui_end_uses!AI55*base_building_arch_areas!$N$22</f>
        <v>0</v>
      </c>
      <c r="AI55" s="187">
        <f t="shared" si="9"/>
        <v>0</v>
      </c>
      <c r="AJ55" s="200">
        <f>sim_annual_output!F55/sim_annual_output!H55*base_building_arch_areas!$N$22</f>
        <v>0</v>
      </c>
      <c r="AK55">
        <f t="shared" si="10"/>
        <v>0</v>
      </c>
    </row>
    <row r="56" spans="1:37">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f>model_eui_end_uses!G56*base_scenario_arch_measures!$F56</f>
        <v>0</v>
      </c>
      <c r="H56">
        <f>model_eui_end_uses!H56*base_scenario_arch_measures!$F56</f>
        <v>24.934965952041331</v>
      </c>
      <c r="I56">
        <f>model_eui_end_uses!I56*base_scenario_arch_measures!$F56</f>
        <v>0.17396230693783291</v>
      </c>
      <c r="J56">
        <f>model_eui_end_uses!J56*base_scenario_arch_measures!$F56</f>
        <v>2.2441137594980445</v>
      </c>
      <c r="K56">
        <f>model_eui_end_uses!K56*base_scenario_arch_measures!$F56</f>
        <v>0</v>
      </c>
      <c r="L56">
        <f>model_eui_end_uses!L56*base_scenario_arch_measures!$F56</f>
        <v>3.3373541446381716</v>
      </c>
      <c r="M56">
        <f>model_eui_end_uses!M56*base_scenario_arch_measures!$F56</f>
        <v>0.51593222082051671</v>
      </c>
      <c r="N56">
        <f>model_eui_end_uses!N56*base_scenario_arch_measures!$F56</f>
        <v>0</v>
      </c>
      <c r="O56">
        <f>model_eui_end_uses!O56*base_scenario_arch_measures!$F56</f>
        <v>1.4523087947169449</v>
      </c>
      <c r="P56">
        <f>model_eui_end_uses!P56*base_scenario_arch_measures!$F56</f>
        <v>0.58513434145324383</v>
      </c>
      <c r="Q56">
        <f>model_eui_end_uses!Q56*base_scenario_arch_measures!$F56</f>
        <v>0</v>
      </c>
      <c r="R56" s="187">
        <f>model_eui_end_uses!R56*base_building_arch_areas!$N$22</f>
        <v>0</v>
      </c>
      <c r="S56" s="187">
        <f>model_eui_end_uses!S56*base_building_arch_areas!$N$22</f>
        <v>0</v>
      </c>
      <c r="T56" s="187">
        <f>model_eui_end_uses!T56*base_building_arch_areas!$N$22</f>
        <v>0</v>
      </c>
      <c r="U56" s="187">
        <f>model_eui_end_uses!U56*base_building_arch_areas!$N$22</f>
        <v>0</v>
      </c>
      <c r="V56" s="187">
        <f>model_eui_end_uses!V56*base_building_arch_areas!$N$22</f>
        <v>0</v>
      </c>
      <c r="W56" s="187">
        <f>model_eui_end_uses!W56*base_building_arch_areas!$N$22</f>
        <v>0</v>
      </c>
      <c r="X56" s="187">
        <f>model_eui_end_uses!X56*base_building_arch_areas!$N$22</f>
        <v>0</v>
      </c>
      <c r="Y56" s="187">
        <f>model_eui_end_uses!Y56*base_building_arch_areas!$N$22</f>
        <v>0</v>
      </c>
      <c r="Z56" s="187">
        <f>model_eui_end_uses!Z56*base_building_arch_areas!$N$22</f>
        <v>0</v>
      </c>
      <c r="AA56" s="187">
        <f>model_eui_end_uses!AA56*base_building_arch_areas!$N$22</f>
        <v>0</v>
      </c>
      <c r="AB56" s="187">
        <f>model_eui_end_uses!AB56*base_building_arch_areas!$N$22</f>
        <v>0</v>
      </c>
      <c r="AC56" s="187">
        <f>model_eui_end_uses!AC56*base_building_arch_areas!$N$22</f>
        <v>0</v>
      </c>
      <c r="AD56" s="187">
        <f>model_eui_end_uses!AD56*base_building_arch_areas!$N$22</f>
        <v>0</v>
      </c>
      <c r="AE56" s="187">
        <f>model_eui_end_uses!AE56*base_building_arch_areas!$N$22</f>
        <v>0</v>
      </c>
      <c r="AF56" s="187">
        <f t="shared" si="8"/>
        <v>0</v>
      </c>
      <c r="AG56" s="187">
        <f>model_eui_end_uses!AH56*base_building_arch_areas!$N$22</f>
        <v>0</v>
      </c>
      <c r="AH56" s="187">
        <f>model_eui_end_uses!AI56*base_building_arch_areas!$N$22</f>
        <v>0</v>
      </c>
      <c r="AI56" s="187">
        <f t="shared" si="9"/>
        <v>0</v>
      </c>
      <c r="AJ56" s="200">
        <f>sim_annual_output!F56/sim_annual_output!H56*base_building_arch_areas!$N$22</f>
        <v>0</v>
      </c>
      <c r="AK56">
        <f t="shared" si="10"/>
        <v>0</v>
      </c>
    </row>
    <row r="57" spans="1:37">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f>model_eui_end_uses!G57*base_scenario_arch_measures!$F57</f>
        <v>0</v>
      </c>
      <c r="H57">
        <f>model_eui_end_uses!H57*base_scenario_arch_measures!$F57</f>
        <v>24.40291350766838</v>
      </c>
      <c r="I57">
        <f>model_eui_end_uses!I57*base_scenario_arch_measures!$F57</f>
        <v>0.17481297836540177</v>
      </c>
      <c r="J57">
        <f>model_eui_end_uses!J57*base_scenario_arch_measures!$F57</f>
        <v>2.2441137594980445</v>
      </c>
      <c r="K57">
        <f>model_eui_end_uses!K57*base_scenario_arch_measures!$F57</f>
        <v>0</v>
      </c>
      <c r="L57">
        <f>model_eui_end_uses!L57*base_scenario_arch_measures!$F57</f>
        <v>3.3373541446381716</v>
      </c>
      <c r="M57">
        <f>model_eui_end_uses!M57*base_scenario_arch_measures!$F57</f>
        <v>0.51593222082051671</v>
      </c>
      <c r="N57">
        <f>model_eui_end_uses!N57*base_scenario_arch_measures!$F57</f>
        <v>0</v>
      </c>
      <c r="O57">
        <f>model_eui_end_uses!O57*base_scenario_arch_measures!$F57</f>
        <v>1.4373369775917326</v>
      </c>
      <c r="P57">
        <f>model_eui_end_uses!P57*base_scenario_arch_measures!$F57</f>
        <v>0.57509641860793126</v>
      </c>
      <c r="Q57">
        <f>model_eui_end_uses!Q57*base_scenario_arch_measures!$F57</f>
        <v>0</v>
      </c>
      <c r="R57" s="187">
        <f>model_eui_end_uses!R57*base_building_arch_areas!$N$22</f>
        <v>0</v>
      </c>
      <c r="S57" s="187">
        <f>model_eui_end_uses!S57*base_building_arch_areas!$N$22</f>
        <v>0</v>
      </c>
      <c r="T57" s="187">
        <f>model_eui_end_uses!T57*base_building_arch_areas!$N$22</f>
        <v>0</v>
      </c>
      <c r="U57" s="187">
        <f>model_eui_end_uses!U57*base_building_arch_areas!$N$22</f>
        <v>0</v>
      </c>
      <c r="V57" s="187">
        <f>model_eui_end_uses!V57*base_building_arch_areas!$N$22</f>
        <v>0</v>
      </c>
      <c r="W57" s="187">
        <f>model_eui_end_uses!W57*base_building_arch_areas!$N$22</f>
        <v>0</v>
      </c>
      <c r="X57" s="187">
        <f>model_eui_end_uses!X57*base_building_arch_areas!$N$22</f>
        <v>0</v>
      </c>
      <c r="Y57" s="187">
        <f>model_eui_end_uses!Y57*base_building_arch_areas!$N$22</f>
        <v>0</v>
      </c>
      <c r="Z57" s="187">
        <f>model_eui_end_uses!Z57*base_building_arch_areas!$N$22</f>
        <v>0</v>
      </c>
      <c r="AA57" s="187">
        <f>model_eui_end_uses!AA57*base_building_arch_areas!$N$22</f>
        <v>0</v>
      </c>
      <c r="AB57" s="187">
        <f>model_eui_end_uses!AB57*base_building_arch_areas!$N$22</f>
        <v>0</v>
      </c>
      <c r="AC57" s="187">
        <f>model_eui_end_uses!AC57*base_building_arch_areas!$N$22</f>
        <v>0</v>
      </c>
      <c r="AD57" s="187">
        <f>model_eui_end_uses!AD57*base_building_arch_areas!$N$22</f>
        <v>0</v>
      </c>
      <c r="AE57" s="187">
        <f>model_eui_end_uses!AE57*base_building_arch_areas!$N$22</f>
        <v>0</v>
      </c>
      <c r="AF57" s="187">
        <f t="shared" si="8"/>
        <v>0</v>
      </c>
      <c r="AG57" s="187">
        <f>model_eui_end_uses!AH57*base_building_arch_areas!$N$22</f>
        <v>0</v>
      </c>
      <c r="AH57" s="187">
        <f>model_eui_end_uses!AI57*base_building_arch_areas!$N$22</f>
        <v>0</v>
      </c>
      <c r="AI57" s="187">
        <f t="shared" si="9"/>
        <v>0</v>
      </c>
      <c r="AJ57" s="200">
        <f>sim_annual_output!F57/sim_annual_output!H57*base_building_arch_areas!$N$22</f>
        <v>0</v>
      </c>
      <c r="AK57">
        <f t="shared" si="10"/>
        <v>0</v>
      </c>
    </row>
    <row r="58" spans="1:37">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f>model_eui_end_uses!G58*base_scenario_arch_measures!$F58</f>
        <v>0</v>
      </c>
      <c r="H58">
        <f>model_eui_end_uses!H58*base_scenario_arch_measures!$F58</f>
        <v>25.311388058740551</v>
      </c>
      <c r="I58">
        <f>model_eui_end_uses!I58*base_scenario_arch_measures!$F58</f>
        <v>0.17332430336715626</v>
      </c>
      <c r="J58">
        <f>model_eui_end_uses!J58*base_scenario_arch_measures!$F58</f>
        <v>2.2441137594980445</v>
      </c>
      <c r="K58">
        <f>model_eui_end_uses!K58*base_scenario_arch_measures!$F58</f>
        <v>0</v>
      </c>
      <c r="L58">
        <f>model_eui_end_uses!L58*base_scenario_arch_measures!$F58</f>
        <v>3.3373541446381716</v>
      </c>
      <c r="M58">
        <f>model_eui_end_uses!M58*base_scenario_arch_measures!$F58</f>
        <v>0.51593222082051671</v>
      </c>
      <c r="N58">
        <f>model_eui_end_uses!N58*base_scenario_arch_measures!$F58</f>
        <v>0</v>
      </c>
      <c r="O58">
        <f>model_eui_end_uses!O58*base_scenario_arch_measures!$F58</f>
        <v>0.96925502457196488</v>
      </c>
      <c r="P58">
        <f>model_eui_end_uses!P58*base_scenario_arch_measures!$F58</f>
        <v>0.59755414429574927</v>
      </c>
      <c r="Q58">
        <f>model_eui_end_uses!Q58*base_scenario_arch_measures!$F58</f>
        <v>0</v>
      </c>
      <c r="R58" s="187">
        <f>model_eui_end_uses!R58*base_building_arch_areas!$N$22</f>
        <v>0</v>
      </c>
      <c r="S58" s="187">
        <f>model_eui_end_uses!S58*base_building_arch_areas!$N$22</f>
        <v>0</v>
      </c>
      <c r="T58" s="187">
        <f>model_eui_end_uses!T58*base_building_arch_areas!$N$22</f>
        <v>0</v>
      </c>
      <c r="U58" s="187">
        <f>model_eui_end_uses!U58*base_building_arch_areas!$N$22</f>
        <v>0</v>
      </c>
      <c r="V58" s="187">
        <f>model_eui_end_uses!V58*base_building_arch_areas!$N$22</f>
        <v>0</v>
      </c>
      <c r="W58" s="187">
        <f>model_eui_end_uses!W58*base_building_arch_areas!$N$22</f>
        <v>0</v>
      </c>
      <c r="X58" s="187">
        <f>model_eui_end_uses!X58*base_building_arch_areas!$N$22</f>
        <v>0</v>
      </c>
      <c r="Y58" s="187">
        <f>model_eui_end_uses!Y58*base_building_arch_areas!$N$22</f>
        <v>0</v>
      </c>
      <c r="Z58" s="187">
        <f>model_eui_end_uses!Z58*base_building_arch_areas!$N$22</f>
        <v>0</v>
      </c>
      <c r="AA58" s="187">
        <f>model_eui_end_uses!AA58*base_building_arch_areas!$N$22</f>
        <v>0</v>
      </c>
      <c r="AB58" s="187">
        <f>model_eui_end_uses!AB58*base_building_arch_areas!$N$22</f>
        <v>0</v>
      </c>
      <c r="AC58" s="187">
        <f>model_eui_end_uses!AC58*base_building_arch_areas!$N$22</f>
        <v>0</v>
      </c>
      <c r="AD58" s="187">
        <f>model_eui_end_uses!AD58*base_building_arch_areas!$N$22</f>
        <v>0</v>
      </c>
      <c r="AE58" s="187">
        <f>model_eui_end_uses!AE58*base_building_arch_areas!$N$22</f>
        <v>0</v>
      </c>
      <c r="AF58" s="187">
        <f t="shared" si="8"/>
        <v>0</v>
      </c>
      <c r="AG58" s="187">
        <f>model_eui_end_uses!AH58*base_building_arch_areas!$N$22</f>
        <v>0</v>
      </c>
      <c r="AH58" s="187">
        <f>model_eui_end_uses!AI58*base_building_arch_areas!$N$22</f>
        <v>0</v>
      </c>
      <c r="AI58" s="187">
        <f t="shared" si="9"/>
        <v>0</v>
      </c>
      <c r="AJ58" s="200">
        <f>sim_annual_output!F58/sim_annual_output!H58*base_building_arch_areas!$N$22</f>
        <v>0</v>
      </c>
      <c r="AK58">
        <f t="shared" si="10"/>
        <v>0</v>
      </c>
    </row>
    <row r="59" spans="1:37">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f>model_eui_end_uses!G59*base_scenario_arch_measures!$F59</f>
        <v>0</v>
      </c>
      <c r="H59">
        <f>model_eui_end_uses!H59*base_scenario_arch_measures!$F59</f>
        <v>25.321808783728269</v>
      </c>
      <c r="I59">
        <f>model_eui_end_uses!I59*base_scenario_arch_measures!$F59</f>
        <v>0.17294150122475027</v>
      </c>
      <c r="J59">
        <f>model_eui_end_uses!J59*base_scenario_arch_measures!$F59</f>
        <v>2.2441137594980445</v>
      </c>
      <c r="K59">
        <f>model_eui_end_uses!K59*base_scenario_arch_measures!$F59</f>
        <v>0</v>
      </c>
      <c r="L59">
        <f>model_eui_end_uses!L59*base_scenario_arch_measures!$F59</f>
        <v>3.3373541446381716</v>
      </c>
      <c r="M59">
        <f>model_eui_end_uses!M59*base_scenario_arch_measures!$F59</f>
        <v>0.51593222082051671</v>
      </c>
      <c r="N59">
        <f>model_eui_end_uses!N59*base_scenario_arch_measures!$F59</f>
        <v>0</v>
      </c>
      <c r="O59">
        <f>model_eui_end_uses!O59*base_scenario_arch_measures!$F59</f>
        <v>1.4592417668516309</v>
      </c>
      <c r="P59">
        <f>model_eui_end_uses!P59*base_scenario_arch_measures!$F59</f>
        <v>0.59763921143850618</v>
      </c>
      <c r="Q59">
        <f>model_eui_end_uses!Q59*base_scenario_arch_measures!$F59</f>
        <v>0</v>
      </c>
      <c r="R59" s="187">
        <f>model_eui_end_uses!R59*base_building_arch_areas!$N$22</f>
        <v>0</v>
      </c>
      <c r="S59" s="187">
        <f>model_eui_end_uses!S59*base_building_arch_areas!$N$22</f>
        <v>0</v>
      </c>
      <c r="T59" s="187">
        <f>model_eui_end_uses!T59*base_building_arch_areas!$N$22</f>
        <v>0</v>
      </c>
      <c r="U59" s="187">
        <f>model_eui_end_uses!U59*base_building_arch_areas!$N$22</f>
        <v>0</v>
      </c>
      <c r="V59" s="187">
        <f>model_eui_end_uses!V59*base_building_arch_areas!$N$22</f>
        <v>0</v>
      </c>
      <c r="W59" s="187">
        <f>model_eui_end_uses!W59*base_building_arch_areas!$N$22</f>
        <v>0</v>
      </c>
      <c r="X59" s="187">
        <f>model_eui_end_uses!X59*base_building_arch_areas!$N$22</f>
        <v>0</v>
      </c>
      <c r="Y59" s="187">
        <f>model_eui_end_uses!Y59*base_building_arch_areas!$N$22</f>
        <v>0</v>
      </c>
      <c r="Z59" s="187">
        <f>model_eui_end_uses!Z59*base_building_arch_areas!$N$22</f>
        <v>0</v>
      </c>
      <c r="AA59" s="187">
        <f>model_eui_end_uses!AA59*base_building_arch_areas!$N$22</f>
        <v>0</v>
      </c>
      <c r="AB59" s="187">
        <f>model_eui_end_uses!AB59*base_building_arch_areas!$N$22</f>
        <v>0</v>
      </c>
      <c r="AC59" s="187">
        <f>model_eui_end_uses!AC59*base_building_arch_areas!$N$22</f>
        <v>0</v>
      </c>
      <c r="AD59" s="187">
        <f>model_eui_end_uses!AD59*base_building_arch_areas!$N$22</f>
        <v>0</v>
      </c>
      <c r="AE59" s="187">
        <f>model_eui_end_uses!AE59*base_building_arch_areas!$N$22</f>
        <v>0</v>
      </c>
      <c r="AF59" s="187">
        <f t="shared" si="8"/>
        <v>0</v>
      </c>
      <c r="AG59" s="187">
        <f>model_eui_end_uses!AH59*base_building_arch_areas!$N$22</f>
        <v>0</v>
      </c>
      <c r="AH59" s="187">
        <f>model_eui_end_uses!AI59*base_building_arch_areas!$N$22</f>
        <v>0</v>
      </c>
      <c r="AI59" s="187">
        <f t="shared" si="9"/>
        <v>0</v>
      </c>
      <c r="AJ59" s="200">
        <f>sim_annual_output!F59/sim_annual_output!H59*base_building_arch_areas!$N$22</f>
        <v>0</v>
      </c>
      <c r="AK59">
        <f t="shared" si="10"/>
        <v>0</v>
      </c>
    </row>
    <row r="60" spans="1:37">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f>model_eui_end_uses!G60*base_scenario_arch_measures!$F60</f>
        <v>0</v>
      </c>
      <c r="H60">
        <f>model_eui_end_uses!H60*base_scenario_arch_measures!$F60</f>
        <v>15.887735051275422</v>
      </c>
      <c r="I60">
        <f>model_eui_end_uses!I60*base_scenario_arch_measures!$F60</f>
        <v>0.26238960183361643</v>
      </c>
      <c r="J60">
        <f>model_eui_end_uses!J60*base_scenario_arch_measures!$F60</f>
        <v>2.2441137594980445</v>
      </c>
      <c r="K60">
        <f>model_eui_end_uses!K60*base_scenario_arch_measures!$F60</f>
        <v>0</v>
      </c>
      <c r="L60">
        <f>model_eui_end_uses!L60*base_scenario_arch_measures!$F60</f>
        <v>3.3373541446381716</v>
      </c>
      <c r="M60">
        <f>model_eui_end_uses!M60*base_scenario_arch_measures!$F60</f>
        <v>0.51593222082051671</v>
      </c>
      <c r="N60">
        <f>model_eui_end_uses!N60*base_scenario_arch_measures!$F60</f>
        <v>0</v>
      </c>
      <c r="O60">
        <f>model_eui_end_uses!O60*base_scenario_arch_measures!$F60</f>
        <v>1.467110477556643</v>
      </c>
      <c r="P60">
        <f>model_eui_end_uses!P60*base_scenario_arch_measures!$F60</f>
        <v>0.57543668717895868</v>
      </c>
      <c r="Q60">
        <f>model_eui_end_uses!Q60*base_scenario_arch_measures!$F60</f>
        <v>0.26825923468384166</v>
      </c>
      <c r="R60" s="187">
        <f>model_eui_end_uses!R60*base_building_arch_areas!$N$22</f>
        <v>0</v>
      </c>
      <c r="S60" s="187">
        <f>model_eui_end_uses!S60*base_building_arch_areas!$N$22</f>
        <v>0</v>
      </c>
      <c r="T60" s="187">
        <f>model_eui_end_uses!T60*base_building_arch_areas!$N$22</f>
        <v>0</v>
      </c>
      <c r="U60" s="187">
        <f>model_eui_end_uses!U60*base_building_arch_areas!$N$22</f>
        <v>0</v>
      </c>
      <c r="V60" s="187">
        <f>model_eui_end_uses!V60*base_building_arch_areas!$N$22</f>
        <v>0</v>
      </c>
      <c r="W60" s="187">
        <f>model_eui_end_uses!W60*base_building_arch_areas!$N$22</f>
        <v>0</v>
      </c>
      <c r="X60" s="187">
        <f>model_eui_end_uses!X60*base_building_arch_areas!$N$22</f>
        <v>0</v>
      </c>
      <c r="Y60" s="187">
        <f>model_eui_end_uses!Y60*base_building_arch_areas!$N$22</f>
        <v>0</v>
      </c>
      <c r="Z60" s="187">
        <f>model_eui_end_uses!Z60*base_building_arch_areas!$N$22</f>
        <v>0</v>
      </c>
      <c r="AA60" s="187">
        <f>model_eui_end_uses!AA60*base_building_arch_areas!$N$22</f>
        <v>0</v>
      </c>
      <c r="AB60" s="187">
        <f>model_eui_end_uses!AB60*base_building_arch_areas!$N$22</f>
        <v>0</v>
      </c>
      <c r="AC60" s="187">
        <f>model_eui_end_uses!AC60*base_building_arch_areas!$N$22</f>
        <v>0</v>
      </c>
      <c r="AD60" s="187">
        <f>model_eui_end_uses!AD60*base_building_arch_areas!$N$22</f>
        <v>0</v>
      </c>
      <c r="AE60" s="187">
        <f>model_eui_end_uses!AE60*base_building_arch_areas!$N$22</f>
        <v>0</v>
      </c>
      <c r="AF60" s="187">
        <f t="shared" si="8"/>
        <v>0</v>
      </c>
      <c r="AG60" s="187">
        <f>model_eui_end_uses!AH60*base_building_arch_areas!$N$22</f>
        <v>0</v>
      </c>
      <c r="AH60" s="187">
        <f>model_eui_end_uses!AI60*base_building_arch_areas!$N$22</f>
        <v>0</v>
      </c>
      <c r="AI60" s="187">
        <f t="shared" si="9"/>
        <v>0</v>
      </c>
      <c r="AJ60" s="200">
        <f>sim_annual_output!F60/sim_annual_output!H60*base_building_arch_areas!$N$22</f>
        <v>0</v>
      </c>
      <c r="AK60">
        <f t="shared" si="10"/>
        <v>0</v>
      </c>
    </row>
    <row r="61" spans="1:37">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f>model_eui_end_uses!G61*base_scenario_arch_measures!$F61</f>
        <v>0</v>
      </c>
      <c r="H61">
        <f>model_eui_end_uses!H61*base_scenario_arch_measures!$F61</f>
        <v>14.147771713326065</v>
      </c>
      <c r="I61">
        <f>model_eui_end_uses!I61*base_scenario_arch_measures!$F61</f>
        <v>0.22232297759512287</v>
      </c>
      <c r="J61">
        <f>model_eui_end_uses!J61*base_scenario_arch_measures!$F61</f>
        <v>2.2440712259266662</v>
      </c>
      <c r="K61">
        <f>model_eui_end_uses!K61*base_scenario_arch_measures!$F61</f>
        <v>0</v>
      </c>
      <c r="L61">
        <f>model_eui_end_uses!L61*base_scenario_arch_measures!$F61</f>
        <v>3.3373541446381716</v>
      </c>
      <c r="M61">
        <f>model_eui_end_uses!M61*base_scenario_arch_measures!$F61</f>
        <v>0.51593222082051671</v>
      </c>
      <c r="N61">
        <f>model_eui_end_uses!N61*base_scenario_arch_measures!$F61</f>
        <v>0</v>
      </c>
      <c r="O61">
        <f>model_eui_end_uses!O61*base_scenario_arch_measures!$F61</f>
        <v>1.2071452892915979</v>
      </c>
      <c r="P61">
        <f>model_eui_end_uses!P61*base_scenario_arch_measures!$F61</f>
        <v>0.35132729958594128</v>
      </c>
      <c r="Q61">
        <f>model_eui_end_uses!Q61*base_scenario_arch_measures!$F61</f>
        <v>0</v>
      </c>
      <c r="R61" s="187">
        <f>model_eui_end_uses!R61*base_building_arch_areas!$N$22</f>
        <v>0</v>
      </c>
      <c r="S61" s="187">
        <f>model_eui_end_uses!S61*base_building_arch_areas!$N$22</f>
        <v>0</v>
      </c>
      <c r="T61" s="187">
        <f>model_eui_end_uses!T61*base_building_arch_areas!$N$22</f>
        <v>0</v>
      </c>
      <c r="U61" s="187">
        <f>model_eui_end_uses!U61*base_building_arch_areas!$N$22</f>
        <v>0</v>
      </c>
      <c r="V61" s="187">
        <f>model_eui_end_uses!V61*base_building_arch_areas!$N$22</f>
        <v>0</v>
      </c>
      <c r="W61" s="187">
        <f>model_eui_end_uses!W61*base_building_arch_areas!$N$22</f>
        <v>0</v>
      </c>
      <c r="X61" s="187">
        <f>model_eui_end_uses!X61*base_building_arch_areas!$N$22</f>
        <v>0</v>
      </c>
      <c r="Y61" s="187">
        <f>model_eui_end_uses!Y61*base_building_arch_areas!$N$22</f>
        <v>0</v>
      </c>
      <c r="Z61" s="187">
        <f>model_eui_end_uses!Z61*base_building_arch_areas!$N$22</f>
        <v>0</v>
      </c>
      <c r="AA61" s="187">
        <f>model_eui_end_uses!AA61*base_building_arch_areas!$N$22</f>
        <v>0</v>
      </c>
      <c r="AB61" s="187">
        <f>model_eui_end_uses!AB61*base_building_arch_areas!$N$22</f>
        <v>0</v>
      </c>
      <c r="AC61" s="187">
        <f>model_eui_end_uses!AC61*base_building_arch_areas!$N$22</f>
        <v>0</v>
      </c>
      <c r="AD61" s="187">
        <f>model_eui_end_uses!AD61*base_building_arch_areas!$N$22</f>
        <v>0</v>
      </c>
      <c r="AE61" s="187">
        <f>model_eui_end_uses!AE61*base_building_arch_areas!$N$22</f>
        <v>0</v>
      </c>
      <c r="AF61" s="187">
        <f t="shared" si="8"/>
        <v>0</v>
      </c>
      <c r="AG61" s="187">
        <f>model_eui_end_uses!AH61*base_building_arch_areas!$N$22</f>
        <v>0</v>
      </c>
      <c r="AH61" s="187">
        <f>model_eui_end_uses!AI61*base_building_arch_areas!$N$22</f>
        <v>0</v>
      </c>
      <c r="AI61" s="187">
        <f t="shared" si="9"/>
        <v>0</v>
      </c>
      <c r="AJ61" s="200">
        <f>sim_annual_output!F61/sim_annual_output!H61*base_building_arch_areas!$N$22</f>
        <v>0</v>
      </c>
      <c r="AK61">
        <f t="shared" si="10"/>
        <v>0</v>
      </c>
    </row>
    <row r="62" spans="1:37">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f>model_eui_end_uses!G62*base_scenario_arch_measures!$F62</f>
        <v>0</v>
      </c>
      <c r="H62">
        <f>model_eui_end_uses!H62*base_scenario_arch_measures!$F62</f>
        <v>12.877719271965749</v>
      </c>
      <c r="I62">
        <f>model_eui_end_uses!I62*base_scenario_arch_measures!$F62</f>
        <v>0.10412218273442908</v>
      </c>
      <c r="J62">
        <f>model_eui_end_uses!J62*base_scenario_arch_measures!$F62</f>
        <v>2.2440712259266662</v>
      </c>
      <c r="K62">
        <f>model_eui_end_uses!K62*base_scenario_arch_measures!$F62</f>
        <v>0</v>
      </c>
      <c r="L62">
        <f>model_eui_end_uses!L62*base_scenario_arch_measures!$F62</f>
        <v>3.3373541446381716</v>
      </c>
      <c r="M62">
        <f>model_eui_end_uses!M62*base_scenario_arch_measures!$F62</f>
        <v>0.51593222082051671</v>
      </c>
      <c r="N62">
        <f>model_eui_end_uses!N62*base_scenario_arch_measures!$F62</f>
        <v>0</v>
      </c>
      <c r="O62">
        <f>model_eui_end_uses!O62*base_scenario_arch_measures!$F62</f>
        <v>1.2151841342821237</v>
      </c>
      <c r="P62">
        <f>model_eui_end_uses!P62*base_scenario_arch_measures!$F62</f>
        <v>0.3435861895950646</v>
      </c>
      <c r="Q62">
        <f>model_eui_end_uses!Q62*base_scenario_arch_measures!$F62</f>
        <v>0</v>
      </c>
      <c r="R62" s="187">
        <f>model_eui_end_uses!R62*base_building_arch_areas!$N$22</f>
        <v>0</v>
      </c>
      <c r="S62" s="187">
        <f>model_eui_end_uses!S62*base_building_arch_areas!$N$22</f>
        <v>0</v>
      </c>
      <c r="T62" s="187">
        <f>model_eui_end_uses!T62*base_building_arch_areas!$N$22</f>
        <v>0</v>
      </c>
      <c r="U62" s="187">
        <f>model_eui_end_uses!U62*base_building_arch_areas!$N$22</f>
        <v>0</v>
      </c>
      <c r="V62" s="187">
        <f>model_eui_end_uses!V62*base_building_arch_areas!$N$22</f>
        <v>0</v>
      </c>
      <c r="W62" s="187">
        <f>model_eui_end_uses!W62*base_building_arch_areas!$N$22</f>
        <v>0</v>
      </c>
      <c r="X62" s="187">
        <f>model_eui_end_uses!X62*base_building_arch_areas!$N$22</f>
        <v>0</v>
      </c>
      <c r="Y62" s="187">
        <f>model_eui_end_uses!Y62*base_building_arch_areas!$N$22</f>
        <v>0</v>
      </c>
      <c r="Z62" s="187">
        <f>model_eui_end_uses!Z62*base_building_arch_areas!$N$22</f>
        <v>0</v>
      </c>
      <c r="AA62" s="187">
        <f>model_eui_end_uses!AA62*base_building_arch_areas!$N$22</f>
        <v>0</v>
      </c>
      <c r="AB62" s="187">
        <f>model_eui_end_uses!AB62*base_building_arch_areas!$N$22</f>
        <v>0</v>
      </c>
      <c r="AC62" s="187">
        <f>model_eui_end_uses!AC62*base_building_arch_areas!$N$22</f>
        <v>0</v>
      </c>
      <c r="AD62" s="187">
        <f>model_eui_end_uses!AD62*base_building_arch_areas!$N$22</f>
        <v>0</v>
      </c>
      <c r="AE62" s="187">
        <f>model_eui_end_uses!AE62*base_building_arch_areas!$N$22</f>
        <v>0</v>
      </c>
      <c r="AF62" s="187">
        <f t="shared" si="8"/>
        <v>0</v>
      </c>
      <c r="AG62" s="187">
        <f>model_eui_end_uses!AH62*base_building_arch_areas!$N$22</f>
        <v>0</v>
      </c>
      <c r="AH62" s="187">
        <f>model_eui_end_uses!AI62*base_building_arch_areas!$N$22</f>
        <v>0</v>
      </c>
      <c r="AI62" s="187">
        <f t="shared" si="9"/>
        <v>0</v>
      </c>
      <c r="AJ62" s="200">
        <f>sim_annual_output!F62/sim_annual_output!H62*base_building_arch_areas!$N$22</f>
        <v>0</v>
      </c>
      <c r="AK62">
        <f t="shared" si="10"/>
        <v>0</v>
      </c>
    </row>
    <row r="63" spans="1:37">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f>model_eui_end_uses!G63*base_scenario_arch_measures!$F63</f>
        <v>0</v>
      </c>
      <c r="H63">
        <f>model_eui_end_uses!H63*base_scenario_arch_measures!$F63</f>
        <v>26.552432604420769</v>
      </c>
      <c r="I63">
        <f>model_eui_end_uses!I63*base_scenario_arch_measures!$F63</f>
        <v>0.11620171700590697</v>
      </c>
      <c r="J63">
        <f>model_eui_end_uses!J63*base_scenario_arch_measures!$F63</f>
        <v>2.2441562930694228</v>
      </c>
      <c r="K63">
        <f>model_eui_end_uses!K63*base_scenario_arch_measures!$F63</f>
        <v>0</v>
      </c>
      <c r="L63">
        <f>model_eui_end_uses!L63*base_scenario_arch_measures!$F63</f>
        <v>2.3361564079609956</v>
      </c>
      <c r="M63">
        <f>model_eui_end_uses!M63*base_scenario_arch_measures!$F63</f>
        <v>0.51593222082051671</v>
      </c>
      <c r="N63">
        <f>model_eui_end_uses!N63*base_scenario_arch_measures!$F63</f>
        <v>0</v>
      </c>
      <c r="O63">
        <f>model_eui_end_uses!O63*base_scenario_arch_measures!$F63</f>
        <v>1.4707258311238107</v>
      </c>
      <c r="P63">
        <f>model_eui_end_uses!P63*base_scenario_arch_measures!$F63</f>
        <v>0.60389164643113735</v>
      </c>
      <c r="Q63">
        <f>model_eui_end_uses!Q63*base_scenario_arch_measures!$F63</f>
        <v>0</v>
      </c>
      <c r="R63" s="187">
        <f>model_eui_end_uses!R63*base_building_arch_areas!$N$22</f>
        <v>0</v>
      </c>
      <c r="S63" s="187">
        <f>model_eui_end_uses!S63*base_building_arch_areas!$N$22</f>
        <v>0</v>
      </c>
      <c r="T63" s="187">
        <f>model_eui_end_uses!T63*base_building_arch_areas!$N$22</f>
        <v>0</v>
      </c>
      <c r="U63" s="187">
        <f>model_eui_end_uses!U63*base_building_arch_areas!$N$22</f>
        <v>0</v>
      </c>
      <c r="V63" s="187">
        <f>model_eui_end_uses!V63*base_building_arch_areas!$N$22</f>
        <v>0</v>
      </c>
      <c r="W63" s="187">
        <f>model_eui_end_uses!W63*base_building_arch_areas!$N$22</f>
        <v>0</v>
      </c>
      <c r="X63" s="187">
        <f>model_eui_end_uses!X63*base_building_arch_areas!$N$22</f>
        <v>0</v>
      </c>
      <c r="Y63" s="187">
        <f>model_eui_end_uses!Y63*base_building_arch_areas!$N$22</f>
        <v>0</v>
      </c>
      <c r="Z63" s="187">
        <f>model_eui_end_uses!Z63*base_building_arch_areas!$N$22</f>
        <v>0</v>
      </c>
      <c r="AA63" s="187">
        <f>model_eui_end_uses!AA63*base_building_arch_areas!$N$22</f>
        <v>0</v>
      </c>
      <c r="AB63" s="187">
        <f>model_eui_end_uses!AB63*base_building_arch_areas!$N$22</f>
        <v>0</v>
      </c>
      <c r="AC63" s="187">
        <f>model_eui_end_uses!AC63*base_building_arch_areas!$N$22</f>
        <v>0</v>
      </c>
      <c r="AD63" s="187">
        <f>model_eui_end_uses!AD63*base_building_arch_areas!$N$22</f>
        <v>0</v>
      </c>
      <c r="AE63" s="187">
        <f>model_eui_end_uses!AE63*base_building_arch_areas!$N$22</f>
        <v>0</v>
      </c>
      <c r="AF63" s="187">
        <f t="shared" si="8"/>
        <v>0</v>
      </c>
      <c r="AG63" s="187">
        <f>model_eui_end_uses!AH63*base_building_arch_areas!$N$22</f>
        <v>0</v>
      </c>
      <c r="AH63" s="187">
        <f>model_eui_end_uses!AI63*base_building_arch_areas!$N$22</f>
        <v>0</v>
      </c>
      <c r="AI63" s="187">
        <f t="shared" si="9"/>
        <v>0</v>
      </c>
      <c r="AJ63" s="200">
        <f>sim_annual_output!F63/sim_annual_output!H63*base_building_arch_areas!$N$22</f>
        <v>0</v>
      </c>
      <c r="AK63">
        <f t="shared" si="10"/>
        <v>0</v>
      </c>
    </row>
    <row r="64" spans="1:37">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f>model_eui_end_uses!G64*base_scenario_arch_measures!$F64</f>
        <v>0</v>
      </c>
      <c r="H64">
        <f>model_eui_end_uses!H64*base_scenario_arch_measures!$F64</f>
        <v>10.131879504487589</v>
      </c>
      <c r="I64">
        <f>model_eui_end_uses!I64*base_scenario_arch_measures!$F64</f>
        <v>0.10412218273442908</v>
      </c>
      <c r="J64">
        <f>model_eui_end_uses!J64*base_scenario_arch_measures!$F64</f>
        <v>2.2440712259266662</v>
      </c>
      <c r="K64">
        <f>model_eui_end_uses!K64*base_scenario_arch_measures!$F64</f>
        <v>0</v>
      </c>
      <c r="L64">
        <f>model_eui_end_uses!L64*base_scenario_arch_measures!$F64</f>
        <v>3.3373541446381716</v>
      </c>
      <c r="M64">
        <f>model_eui_end_uses!M64*base_scenario_arch_measures!$F64</f>
        <v>0.51593222082051671</v>
      </c>
      <c r="N64">
        <f>model_eui_end_uses!N64*base_scenario_arch_measures!$F64</f>
        <v>0</v>
      </c>
      <c r="O64">
        <f>model_eui_end_uses!O64*base_scenario_arch_measures!$F64</f>
        <v>1.2151841342821237</v>
      </c>
      <c r="P64">
        <f>model_eui_end_uses!P64*base_scenario_arch_measures!$F64</f>
        <v>1.8587170692379702E-2</v>
      </c>
      <c r="Q64">
        <f>model_eui_end_uses!Q64*base_scenario_arch_measures!$F64</f>
        <v>0</v>
      </c>
      <c r="R64" s="187">
        <f>model_eui_end_uses!R64*base_building_arch_areas!$N$22</f>
        <v>0</v>
      </c>
      <c r="S64" s="187">
        <f>model_eui_end_uses!S64*base_building_arch_areas!$N$22</f>
        <v>0</v>
      </c>
      <c r="T64" s="187">
        <f>model_eui_end_uses!T64*base_building_arch_areas!$N$22</f>
        <v>0</v>
      </c>
      <c r="U64" s="187">
        <f>model_eui_end_uses!U64*base_building_arch_areas!$N$22</f>
        <v>0</v>
      </c>
      <c r="V64" s="187">
        <f>model_eui_end_uses!V64*base_building_arch_areas!$N$22</f>
        <v>0</v>
      </c>
      <c r="W64" s="187">
        <f>model_eui_end_uses!W64*base_building_arch_areas!$N$22</f>
        <v>0</v>
      </c>
      <c r="X64" s="187">
        <f>model_eui_end_uses!X64*base_building_arch_areas!$N$22</f>
        <v>0</v>
      </c>
      <c r="Y64" s="187">
        <f>model_eui_end_uses!Y64*base_building_arch_areas!$N$22</f>
        <v>0</v>
      </c>
      <c r="Z64" s="187">
        <f>model_eui_end_uses!Z64*base_building_arch_areas!$N$22</f>
        <v>0</v>
      </c>
      <c r="AA64" s="187">
        <f>model_eui_end_uses!AA64*base_building_arch_areas!$N$22</f>
        <v>0</v>
      </c>
      <c r="AB64" s="187">
        <f>model_eui_end_uses!AB64*base_building_arch_areas!$N$22</f>
        <v>0</v>
      </c>
      <c r="AC64" s="187">
        <f>model_eui_end_uses!AC64*base_building_arch_areas!$N$22</f>
        <v>0</v>
      </c>
      <c r="AD64" s="187">
        <f>model_eui_end_uses!AD64*base_building_arch_areas!$N$22</f>
        <v>0</v>
      </c>
      <c r="AE64" s="187">
        <f>model_eui_end_uses!AE64*base_building_arch_areas!$N$22</f>
        <v>0</v>
      </c>
      <c r="AF64" s="187">
        <f t="shared" si="8"/>
        <v>0</v>
      </c>
      <c r="AG64" s="187">
        <f>model_eui_end_uses!AH64*base_building_arch_areas!$N$22</f>
        <v>0</v>
      </c>
      <c r="AH64" s="187">
        <f>model_eui_end_uses!AI64*base_building_arch_areas!$N$22</f>
        <v>0</v>
      </c>
      <c r="AI64" s="187">
        <f t="shared" si="9"/>
        <v>0</v>
      </c>
      <c r="AJ64" s="200">
        <f>sim_annual_output!F64/sim_annual_output!H64*base_building_arch_areas!$N$22</f>
        <v>0</v>
      </c>
      <c r="AK64">
        <f t="shared" si="10"/>
        <v>0</v>
      </c>
    </row>
    <row r="65" spans="1:37">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f>model_eui_end_uses!G65*base_scenario_arch_measures!$F65</f>
        <v>0</v>
      </c>
      <c r="H65">
        <f>model_eui_end_uses!H65*base_scenario_arch_measures!$F65</f>
        <v>23.69370873850422</v>
      </c>
      <c r="I65">
        <f>model_eui_end_uses!I65*base_scenario_arch_measures!$F65</f>
        <v>7.4859085626060112E-2</v>
      </c>
      <c r="J65">
        <f>model_eui_end_uses!J65*base_scenario_arch_measures!$F65</f>
        <v>2.2441137594980445</v>
      </c>
      <c r="K65">
        <f>model_eui_end_uses!K65*base_scenario_arch_measures!$F65</f>
        <v>0</v>
      </c>
      <c r="L65">
        <f>model_eui_end_uses!L65*base_scenario_arch_measures!$F65</f>
        <v>3.3373541446381716</v>
      </c>
      <c r="M65">
        <f>model_eui_end_uses!M65*base_scenario_arch_measures!$F65</f>
        <v>0.51593222082051671</v>
      </c>
      <c r="N65">
        <f>model_eui_end_uses!N65*base_scenario_arch_measures!$F65</f>
        <v>0</v>
      </c>
      <c r="O65">
        <f>model_eui_end_uses!O65*base_scenario_arch_measures!$F65</f>
        <v>1.599134683115331</v>
      </c>
      <c r="P65">
        <f>model_eui_end_uses!P65*base_scenario_arch_measures!$F65</f>
        <v>0.63451581782361643</v>
      </c>
      <c r="Q65">
        <f>model_eui_end_uses!Q65*base_scenario_arch_measures!$F65</f>
        <v>0</v>
      </c>
      <c r="R65" s="187">
        <f>model_eui_end_uses!R65*base_building_arch_areas!$N$22</f>
        <v>0</v>
      </c>
      <c r="S65" s="187">
        <f>model_eui_end_uses!S65*base_building_arch_areas!$N$22</f>
        <v>0</v>
      </c>
      <c r="T65" s="187">
        <f>model_eui_end_uses!T65*base_building_arch_areas!$N$22</f>
        <v>0</v>
      </c>
      <c r="U65" s="187">
        <f>model_eui_end_uses!U65*base_building_arch_areas!$N$22</f>
        <v>0</v>
      </c>
      <c r="V65" s="187">
        <f>model_eui_end_uses!V65*base_building_arch_areas!$N$22</f>
        <v>0</v>
      </c>
      <c r="W65" s="187">
        <f>model_eui_end_uses!W65*base_building_arch_areas!$N$22</f>
        <v>0</v>
      </c>
      <c r="X65" s="187">
        <f>model_eui_end_uses!X65*base_building_arch_areas!$N$22</f>
        <v>0</v>
      </c>
      <c r="Y65" s="187">
        <f>model_eui_end_uses!Y65*base_building_arch_areas!$N$22</f>
        <v>0</v>
      </c>
      <c r="Z65" s="187">
        <f>model_eui_end_uses!Z65*base_building_arch_areas!$N$22</f>
        <v>0</v>
      </c>
      <c r="AA65" s="187">
        <f>model_eui_end_uses!AA65*base_building_arch_areas!$N$22</f>
        <v>0</v>
      </c>
      <c r="AB65" s="187">
        <f>model_eui_end_uses!AB65*base_building_arch_areas!$N$22</f>
        <v>0</v>
      </c>
      <c r="AC65" s="187">
        <f>model_eui_end_uses!AC65*base_building_arch_areas!$N$22</f>
        <v>0</v>
      </c>
      <c r="AD65" s="187">
        <f>model_eui_end_uses!AD65*base_building_arch_areas!$N$22</f>
        <v>0</v>
      </c>
      <c r="AE65" s="187">
        <f>model_eui_end_uses!AE65*base_building_arch_areas!$N$22</f>
        <v>0</v>
      </c>
      <c r="AF65" s="187">
        <f t="shared" si="8"/>
        <v>0</v>
      </c>
      <c r="AG65" s="187">
        <f>model_eui_end_uses!AH65*base_building_arch_areas!$N$22</f>
        <v>0</v>
      </c>
      <c r="AH65" s="187">
        <f>model_eui_end_uses!AI65*base_building_arch_areas!$N$22</f>
        <v>0</v>
      </c>
      <c r="AI65" s="187">
        <f t="shared" si="9"/>
        <v>0</v>
      </c>
      <c r="AJ65" s="200">
        <f>sim_annual_output!F65/sim_annual_output!H65*base_building_arch_areas!$N$22</f>
        <v>0</v>
      </c>
      <c r="AK65">
        <f t="shared" si="10"/>
        <v>0</v>
      </c>
    </row>
    <row r="66" spans="1:37">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f>model_eui_end_uses!G66*base_scenario_arch_measures!$F66</f>
        <v>0</v>
      </c>
      <c r="H66">
        <f>model_eui_end_uses!H66*base_scenario_arch_measures!$F66</f>
        <v>6.2267447155185787</v>
      </c>
      <c r="I66">
        <f>model_eui_end_uses!I66*base_scenario_arch_measures!$F66</f>
        <v>0.31028240320574352</v>
      </c>
      <c r="J66">
        <f>model_eui_end_uses!J66*base_scenario_arch_measures!$F66</f>
        <v>2.2440286923552875</v>
      </c>
      <c r="K66">
        <f>model_eui_end_uses!K66*base_scenario_arch_measures!$F66</f>
        <v>0</v>
      </c>
      <c r="L66">
        <f>model_eui_end_uses!L66*base_scenario_arch_measures!$F66</f>
        <v>2.3361564079609956</v>
      </c>
      <c r="M66">
        <f>model_eui_end_uses!M66*base_scenario_arch_measures!$F66</f>
        <v>0.51593222082051671</v>
      </c>
      <c r="N66">
        <f>model_eui_end_uses!N66*base_scenario_arch_measures!$F66</f>
        <v>0</v>
      </c>
      <c r="O66">
        <f>model_eui_end_uses!O66*base_scenario_arch_measures!$F66</f>
        <v>0.64102345424451834</v>
      </c>
      <c r="P66">
        <f>model_eui_end_uses!P66*base_scenario_arch_measures!$F66</f>
        <v>7.5284421339844552E-3</v>
      </c>
      <c r="Q66">
        <f>model_eui_end_uses!Q66*base_scenario_arch_measures!$F66</f>
        <v>0</v>
      </c>
      <c r="R66" s="187">
        <f>model_eui_end_uses!R66*base_building_arch_areas!$N$22</f>
        <v>0</v>
      </c>
      <c r="S66" s="187">
        <f>model_eui_end_uses!S66*base_building_arch_areas!$N$22</f>
        <v>0</v>
      </c>
      <c r="T66" s="187">
        <f>model_eui_end_uses!T66*base_building_arch_areas!$N$22</f>
        <v>0</v>
      </c>
      <c r="U66" s="187">
        <f>model_eui_end_uses!U66*base_building_arch_areas!$N$22</f>
        <v>0</v>
      </c>
      <c r="V66" s="187">
        <f>model_eui_end_uses!V66*base_building_arch_areas!$N$22</f>
        <v>0</v>
      </c>
      <c r="W66" s="187">
        <f>model_eui_end_uses!W66*base_building_arch_areas!$N$22</f>
        <v>0</v>
      </c>
      <c r="X66" s="187">
        <f>model_eui_end_uses!X66*base_building_arch_areas!$N$22</f>
        <v>0</v>
      </c>
      <c r="Y66" s="187">
        <f>model_eui_end_uses!Y66*base_building_arch_areas!$N$22</f>
        <v>0</v>
      </c>
      <c r="Z66" s="187">
        <f>model_eui_end_uses!Z66*base_building_arch_areas!$N$22</f>
        <v>0</v>
      </c>
      <c r="AA66" s="187">
        <f>model_eui_end_uses!AA66*base_building_arch_areas!$N$22</f>
        <v>0</v>
      </c>
      <c r="AB66" s="187">
        <f>model_eui_end_uses!AB66*base_building_arch_areas!$N$22</f>
        <v>0</v>
      </c>
      <c r="AC66" s="187">
        <f>model_eui_end_uses!AC66*base_building_arch_areas!$N$22</f>
        <v>0</v>
      </c>
      <c r="AD66" s="187">
        <f>model_eui_end_uses!AD66*base_building_arch_areas!$N$22</f>
        <v>0</v>
      </c>
      <c r="AE66" s="187">
        <f>model_eui_end_uses!AE66*base_building_arch_areas!$N$22</f>
        <v>0</v>
      </c>
      <c r="AF66" s="187">
        <f t="shared" si="8"/>
        <v>0</v>
      </c>
      <c r="AG66" s="187">
        <f>model_eui_end_uses!AH66*base_building_arch_areas!$N$22</f>
        <v>0</v>
      </c>
      <c r="AH66" s="187">
        <f>model_eui_end_uses!AI66*base_building_arch_areas!$N$22</f>
        <v>0</v>
      </c>
      <c r="AI66" s="187">
        <f t="shared" si="9"/>
        <v>0</v>
      </c>
      <c r="AJ66" s="200">
        <f>sim_annual_output!F66/sim_annual_output!H66*base_building_arch_areas!$N$22</f>
        <v>0</v>
      </c>
      <c r="AK66">
        <f t="shared" si="10"/>
        <v>0</v>
      </c>
    </row>
    <row r="67" spans="1:37">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f>model_eui_end_uses!G67*base_scenario_arch_measures!$F67</f>
        <v>0</v>
      </c>
      <c r="H67">
        <f>model_eui_end_uses!H67*base_scenario_arch_measures!$F67</f>
        <v>25.339205014422053</v>
      </c>
      <c r="I67">
        <f>model_eui_end_uses!I67*base_scenario_arch_measures!$F67</f>
        <v>0.17030441979928679</v>
      </c>
      <c r="J67">
        <f>model_eui_end_uses!J67*base_scenario_arch_measures!$F67</f>
        <v>2.2441137594980445</v>
      </c>
      <c r="K67">
        <f>model_eui_end_uses!K67*base_scenario_arch_measures!$F67</f>
        <v>0</v>
      </c>
      <c r="L67">
        <f>model_eui_end_uses!L67*base_scenario_arch_measures!$F67</f>
        <v>3.3373541446381716</v>
      </c>
      <c r="M67">
        <f>model_eui_end_uses!M67*base_scenario_arch_measures!$F67</f>
        <v>0.51593222082051671</v>
      </c>
      <c r="N67">
        <f>model_eui_end_uses!N67*base_scenario_arch_measures!$F67</f>
        <v>0</v>
      </c>
      <c r="O67">
        <f>model_eui_end_uses!O67*base_scenario_arch_measures!$F67</f>
        <v>1.4676208804131845</v>
      </c>
      <c r="P67">
        <f>model_eui_end_uses!P67*base_scenario_arch_measures!$F67</f>
        <v>0.59615053644026061</v>
      </c>
      <c r="Q67">
        <f>model_eui_end_uses!Q67*base_scenario_arch_measures!$F67</f>
        <v>0</v>
      </c>
      <c r="R67" s="187">
        <f>model_eui_end_uses!R67*base_building_arch_areas!$N$22</f>
        <v>0</v>
      </c>
      <c r="S67" s="187">
        <f>model_eui_end_uses!S67*base_building_arch_areas!$N$22</f>
        <v>0</v>
      </c>
      <c r="T67" s="187">
        <f>model_eui_end_uses!T67*base_building_arch_areas!$N$22</f>
        <v>0</v>
      </c>
      <c r="U67" s="187">
        <f>model_eui_end_uses!U67*base_building_arch_areas!$N$22</f>
        <v>0</v>
      </c>
      <c r="V67" s="187">
        <f>model_eui_end_uses!V67*base_building_arch_areas!$N$22</f>
        <v>0</v>
      </c>
      <c r="W67" s="187">
        <f>model_eui_end_uses!W67*base_building_arch_areas!$N$22</f>
        <v>0</v>
      </c>
      <c r="X67" s="187">
        <f>model_eui_end_uses!X67*base_building_arch_areas!$N$22</f>
        <v>0</v>
      </c>
      <c r="Y67" s="187">
        <f>model_eui_end_uses!Y67*base_building_arch_areas!$N$22</f>
        <v>0</v>
      </c>
      <c r="Z67" s="187">
        <f>model_eui_end_uses!Z67*base_building_arch_areas!$N$22</f>
        <v>0</v>
      </c>
      <c r="AA67" s="187">
        <f>model_eui_end_uses!AA67*base_building_arch_areas!$N$22</f>
        <v>0</v>
      </c>
      <c r="AB67" s="187">
        <f>model_eui_end_uses!AB67*base_building_arch_areas!$N$22</f>
        <v>0</v>
      </c>
      <c r="AC67" s="187">
        <f>model_eui_end_uses!AC67*base_building_arch_areas!$N$22</f>
        <v>0</v>
      </c>
      <c r="AD67" s="187">
        <f>model_eui_end_uses!AD67*base_building_arch_areas!$N$22</f>
        <v>0</v>
      </c>
      <c r="AE67" s="187">
        <f>model_eui_end_uses!AE67*base_building_arch_areas!$N$22</f>
        <v>0</v>
      </c>
      <c r="AF67" s="187">
        <f t="shared" si="8"/>
        <v>0</v>
      </c>
      <c r="AG67" s="187">
        <f>model_eui_end_uses!AH67*base_building_arch_areas!$N$22</f>
        <v>0</v>
      </c>
      <c r="AH67" s="187">
        <f>model_eui_end_uses!AI67*base_building_arch_areas!$N$22</f>
        <v>0</v>
      </c>
      <c r="AI67" s="187">
        <f t="shared" si="9"/>
        <v>0</v>
      </c>
      <c r="AJ67" s="200">
        <f>sim_annual_output!F67/sim_annual_output!H67*base_building_arch_areas!$N$22</f>
        <v>0</v>
      </c>
      <c r="AK67">
        <f t="shared" si="10"/>
        <v>0</v>
      </c>
    </row>
    <row r="68" spans="1:37">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f>model_eui_end_uses!G68*base_scenario_arch_measures!$F68</f>
        <v>0</v>
      </c>
      <c r="H68">
        <f>model_eui_end_uses!H68*base_scenario_arch_measures!$F68</f>
        <v>25.31147312588331</v>
      </c>
      <c r="I68">
        <f>model_eui_end_uses!I68*base_scenario_arch_measures!$F68</f>
        <v>0.17332430336715626</v>
      </c>
      <c r="J68">
        <f>model_eui_end_uses!J68*base_scenario_arch_measures!$F68</f>
        <v>2.2441137594980445</v>
      </c>
      <c r="K68">
        <f>model_eui_end_uses!K68*base_scenario_arch_measures!$F68</f>
        <v>0</v>
      </c>
      <c r="L68">
        <f>model_eui_end_uses!L68*base_scenario_arch_measures!$F68</f>
        <v>3.3373541446381716</v>
      </c>
      <c r="M68">
        <f>model_eui_end_uses!M68*base_scenario_arch_measures!$F68</f>
        <v>0.51593222082051671</v>
      </c>
      <c r="N68">
        <f>model_eui_end_uses!N68*base_scenario_arch_measures!$F68</f>
        <v>0</v>
      </c>
      <c r="O68">
        <f>model_eui_end_uses!O68*base_scenario_arch_measures!$F68</f>
        <v>1.4671955446993998</v>
      </c>
      <c r="P68">
        <f>model_eui_end_uses!P68*base_scenario_arch_measures!$F68</f>
        <v>0.46740141587771294</v>
      </c>
      <c r="Q68">
        <f>model_eui_end_uses!Q68*base_scenario_arch_measures!$F68</f>
        <v>0</v>
      </c>
      <c r="R68" s="187">
        <f>model_eui_end_uses!R68*base_building_arch_areas!$N$22</f>
        <v>0</v>
      </c>
      <c r="S68" s="187">
        <f>model_eui_end_uses!S68*base_building_arch_areas!$N$22</f>
        <v>0</v>
      </c>
      <c r="T68" s="187">
        <f>model_eui_end_uses!T68*base_building_arch_areas!$N$22</f>
        <v>0</v>
      </c>
      <c r="U68" s="187">
        <f>model_eui_end_uses!U68*base_building_arch_areas!$N$22</f>
        <v>0</v>
      </c>
      <c r="V68" s="187">
        <f>model_eui_end_uses!V68*base_building_arch_areas!$N$22</f>
        <v>0</v>
      </c>
      <c r="W68" s="187">
        <f>model_eui_end_uses!W68*base_building_arch_areas!$N$22</f>
        <v>0</v>
      </c>
      <c r="X68" s="187">
        <f>model_eui_end_uses!X68*base_building_arch_areas!$N$22</f>
        <v>0</v>
      </c>
      <c r="Y68" s="187">
        <f>model_eui_end_uses!Y68*base_building_arch_areas!$N$22</f>
        <v>0</v>
      </c>
      <c r="Z68" s="187">
        <f>model_eui_end_uses!Z68*base_building_arch_areas!$N$22</f>
        <v>0</v>
      </c>
      <c r="AA68" s="187">
        <f>model_eui_end_uses!AA68*base_building_arch_areas!$N$22</f>
        <v>0</v>
      </c>
      <c r="AB68" s="187">
        <f>model_eui_end_uses!AB68*base_building_arch_areas!$N$22</f>
        <v>0</v>
      </c>
      <c r="AC68" s="187">
        <f>model_eui_end_uses!AC68*base_building_arch_areas!$N$22</f>
        <v>0</v>
      </c>
      <c r="AD68" s="187">
        <f>model_eui_end_uses!AD68*base_building_arch_areas!$N$22</f>
        <v>0</v>
      </c>
      <c r="AE68" s="187">
        <f>model_eui_end_uses!AE68*base_building_arch_areas!$N$22</f>
        <v>0</v>
      </c>
      <c r="AF68" s="187">
        <f t="shared" si="8"/>
        <v>0</v>
      </c>
      <c r="AG68" s="187">
        <f>model_eui_end_uses!AH68*base_building_arch_areas!$N$22</f>
        <v>0</v>
      </c>
      <c r="AH68" s="187">
        <f>model_eui_end_uses!AI68*base_building_arch_areas!$N$22</f>
        <v>0</v>
      </c>
      <c r="AI68" s="187">
        <f t="shared" si="9"/>
        <v>0</v>
      </c>
      <c r="AJ68" s="200">
        <f>sim_annual_output!F68/sim_annual_output!H68*base_building_arch_areas!$N$22</f>
        <v>0</v>
      </c>
      <c r="AK68">
        <f t="shared" si="10"/>
        <v>0</v>
      </c>
    </row>
    <row r="69" spans="1:37">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f>model_eui_end_uses!G69*base_scenario_arch_measures!$F69</f>
        <v>0</v>
      </c>
      <c r="H69">
        <f>model_eui_end_uses!H69*base_scenario_arch_measures!$F69</f>
        <v>0</v>
      </c>
      <c r="I69">
        <f>model_eui_end_uses!I69*base_scenario_arch_measures!$F69</f>
        <v>0</v>
      </c>
      <c r="J69">
        <f>model_eui_end_uses!J69*base_scenario_arch_measures!$F69</f>
        <v>0</v>
      </c>
      <c r="K69">
        <f>model_eui_end_uses!K69*base_scenario_arch_measures!$F69</f>
        <v>0</v>
      </c>
      <c r="L69">
        <f>model_eui_end_uses!L69*base_scenario_arch_measures!$F69</f>
        <v>0</v>
      </c>
      <c r="M69">
        <f>model_eui_end_uses!M69*base_scenario_arch_measures!$F69</f>
        <v>0</v>
      </c>
      <c r="N69">
        <f>model_eui_end_uses!N69*base_scenario_arch_measures!$F69</f>
        <v>0</v>
      </c>
      <c r="O69">
        <f>model_eui_end_uses!O69*base_scenario_arch_measures!$F69</f>
        <v>0</v>
      </c>
      <c r="P69">
        <f>model_eui_end_uses!P69*base_scenario_arch_measures!$F69</f>
        <v>0</v>
      </c>
      <c r="Q69">
        <f>model_eui_end_uses!Q69*base_scenario_arch_measures!$F69</f>
        <v>0</v>
      </c>
      <c r="R69" s="187">
        <f>model_eui_end_uses!R69*base_building_arch_areas!$N$23</f>
        <v>0</v>
      </c>
      <c r="S69" s="187">
        <f>model_eui_end_uses!S69*base_building_arch_areas!$N$23</f>
        <v>1251966.2135688032</v>
      </c>
      <c r="T69" s="187">
        <f>model_eui_end_uses!T69*base_building_arch_areas!$N$23</f>
        <v>8246.7619171664701</v>
      </c>
      <c r="U69" s="187">
        <f>model_eui_end_uses!U69*base_building_arch_areas!$N$23</f>
        <v>207486.48485918122</v>
      </c>
      <c r="V69" s="187">
        <f>model_eui_end_uses!V69*base_building_arch_areas!$N$23</f>
        <v>0</v>
      </c>
      <c r="W69" s="187">
        <f>model_eui_end_uses!W69*base_building_arch_areas!$N$23</f>
        <v>308571.25754341914</v>
      </c>
      <c r="X69" s="187">
        <f>model_eui_end_uses!X69*base_building_arch_areas!$N$23</f>
        <v>47703.014809360655</v>
      </c>
      <c r="Y69" s="187">
        <f>model_eui_end_uses!Y69*base_building_arch_areas!$N$23</f>
        <v>0</v>
      </c>
      <c r="Z69" s="187">
        <f>model_eui_end_uses!Z69*base_building_arch_areas!$N$23</f>
        <v>98162.815552881395</v>
      </c>
      <c r="AA69" s="187">
        <f>model_eui_end_uses!AA69*base_building_arch_areas!$N$23</f>
        <v>25672.323221393759</v>
      </c>
      <c r="AB69" s="187">
        <f>model_eui_end_uses!AB69*base_building_arch_areas!$N$23</f>
        <v>0</v>
      </c>
      <c r="AC69" s="187">
        <f>model_eui_end_uses!AC69*base_building_arch_areas!$N$23</f>
        <v>1947808.8714722055</v>
      </c>
      <c r="AD69" s="187">
        <f>model_eui_end_uses!AD69*base_building_arch_areas!$N$23</f>
        <v>-317301.7351095184</v>
      </c>
      <c r="AE69" s="187">
        <f>model_eui_end_uses!AE69*base_building_arch_areas!$N$23</f>
        <v>-31421.853942851612</v>
      </c>
      <c r="AF69" s="187">
        <f t="shared" ref="AF69:AF114" si="11">SUM(AD69:AE69)</f>
        <v>-348723.58905236999</v>
      </c>
      <c r="AG69" s="187">
        <f>model_eui_end_uses!AH69*base_building_arch_areas!$N$23</f>
        <v>-5140.288108774198</v>
      </c>
      <c r="AH69" s="187">
        <f>model_eui_end_uses!AI69*base_building_arch_areas!$N$23</f>
        <v>-3550.6694955422322</v>
      </c>
      <c r="AI69" s="187">
        <f t="shared" ref="AI69:AI114" si="12">SUM(AG69:AH69)</f>
        <v>-8690.9576043164307</v>
      </c>
      <c r="AJ69" s="200">
        <f>sim_annual_output!F69/sim_annual_output!H69*base_building_arch_areas!$N$23</f>
        <v>25452.786563321526</v>
      </c>
      <c r="AK69">
        <f t="shared" ref="AK69:AK114" si="13">IF(AI69=0,0,AJ69/AI69)</f>
        <v>-2.9286515620189202</v>
      </c>
    </row>
    <row r="70" spans="1:37">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f>model_eui_end_uses!G70*base_scenario_arch_measures!$F70</f>
        <v>0</v>
      </c>
      <c r="H70">
        <f>model_eui_end_uses!H70*base_scenario_arch_measures!$F70</f>
        <v>0</v>
      </c>
      <c r="I70">
        <f>model_eui_end_uses!I70*base_scenario_arch_measures!$F70</f>
        <v>0</v>
      </c>
      <c r="J70">
        <f>model_eui_end_uses!J70*base_scenario_arch_measures!$F70</f>
        <v>0</v>
      </c>
      <c r="K70">
        <f>model_eui_end_uses!K70*base_scenario_arch_measures!$F70</f>
        <v>0</v>
      </c>
      <c r="L70">
        <f>model_eui_end_uses!L70*base_scenario_arch_measures!$F70</f>
        <v>0</v>
      </c>
      <c r="M70">
        <f>model_eui_end_uses!M70*base_scenario_arch_measures!$F70</f>
        <v>0</v>
      </c>
      <c r="N70">
        <f>model_eui_end_uses!N70*base_scenario_arch_measures!$F70</f>
        <v>0</v>
      </c>
      <c r="O70">
        <f>model_eui_end_uses!O70*base_scenario_arch_measures!$F70</f>
        <v>0</v>
      </c>
      <c r="P70">
        <f>model_eui_end_uses!P70*base_scenario_arch_measures!$F70</f>
        <v>0</v>
      </c>
      <c r="Q70">
        <f>model_eui_end_uses!Q70*base_scenario_arch_measures!$F70</f>
        <v>0</v>
      </c>
      <c r="R70" s="187">
        <f>model_eui_end_uses!R70*base_building_arch_areas!$N$23</f>
        <v>0</v>
      </c>
      <c r="S70" s="187">
        <f>model_eui_end_uses!S70*base_building_arch_areas!$N$23</f>
        <v>1251966.2135688032</v>
      </c>
      <c r="T70" s="187">
        <f>model_eui_end_uses!T70*base_building_arch_areas!$N$23</f>
        <v>8246.7619171664701</v>
      </c>
      <c r="U70" s="187">
        <f>model_eui_end_uses!U70*base_building_arch_areas!$N$23</f>
        <v>207486.48485918122</v>
      </c>
      <c r="V70" s="187">
        <f>model_eui_end_uses!V70*base_building_arch_areas!$N$23</f>
        <v>0</v>
      </c>
      <c r="W70" s="187">
        <f>model_eui_end_uses!W70*base_building_arch_areas!$N$23</f>
        <v>308571.25754341914</v>
      </c>
      <c r="X70" s="187">
        <f>model_eui_end_uses!X70*base_building_arch_areas!$N$23</f>
        <v>47703.014809360655</v>
      </c>
      <c r="Y70" s="187">
        <f>model_eui_end_uses!Y70*base_building_arch_areas!$N$23</f>
        <v>0</v>
      </c>
      <c r="Z70" s="187">
        <f>model_eui_end_uses!Z70*base_building_arch_areas!$N$23</f>
        <v>98162.815552881395</v>
      </c>
      <c r="AA70" s="187">
        <f>model_eui_end_uses!AA70*base_building_arch_areas!$N$23</f>
        <v>25672.323221393759</v>
      </c>
      <c r="AB70" s="187">
        <f>model_eui_end_uses!AB70*base_building_arch_areas!$N$23</f>
        <v>0</v>
      </c>
      <c r="AC70" s="187">
        <f>model_eui_end_uses!AC70*base_building_arch_areas!$N$23</f>
        <v>1947808.8714722055</v>
      </c>
      <c r="AD70" s="187">
        <f>model_eui_end_uses!AD70*base_building_arch_areas!$N$23</f>
        <v>0</v>
      </c>
      <c r="AE70" s="187">
        <f>model_eui_end_uses!AE70*base_building_arch_areas!$N$23</f>
        <v>0</v>
      </c>
      <c r="AF70" s="187">
        <f t="shared" ref="AF70:AF89" si="14">SUM(AD70:AE70)</f>
        <v>0</v>
      </c>
      <c r="AG70" s="187">
        <f>model_eui_end_uses!AH70*base_building_arch_areas!$N$23</f>
        <v>0</v>
      </c>
      <c r="AH70" s="187">
        <f>model_eui_end_uses!AI70*base_building_arch_areas!$N$23</f>
        <v>0</v>
      </c>
      <c r="AI70" s="187">
        <f t="shared" ref="AI70:AI89" si="15">SUM(AG70:AH70)</f>
        <v>0</v>
      </c>
      <c r="AJ70" s="200">
        <f>sim_annual_output!F70/sim_annual_output!H70*base_building_arch_areas!$N$23</f>
        <v>0</v>
      </c>
      <c r="AK70">
        <f t="shared" ref="AK70:AK89" si="16">IF(AI70=0,0,AJ70/AI70)</f>
        <v>0</v>
      </c>
    </row>
    <row r="71" spans="1:37">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f>model_eui_end_uses!G71*base_scenario_arch_measures!$F71</f>
        <v>0</v>
      </c>
      <c r="H71">
        <f>model_eui_end_uses!H71*base_scenario_arch_measures!$F71</f>
        <v>0</v>
      </c>
      <c r="I71">
        <f>model_eui_end_uses!I71*base_scenario_arch_measures!$F71</f>
        <v>0</v>
      </c>
      <c r="J71">
        <f>model_eui_end_uses!J71*base_scenario_arch_measures!$F71</f>
        <v>0</v>
      </c>
      <c r="K71">
        <f>model_eui_end_uses!K71*base_scenario_arch_measures!$F71</f>
        <v>0</v>
      </c>
      <c r="L71">
        <f>model_eui_end_uses!L71*base_scenario_arch_measures!$F71</f>
        <v>0</v>
      </c>
      <c r="M71">
        <f>model_eui_end_uses!M71*base_scenario_arch_measures!$F71</f>
        <v>0</v>
      </c>
      <c r="N71">
        <f>model_eui_end_uses!N71*base_scenario_arch_measures!$F71</f>
        <v>0</v>
      </c>
      <c r="O71">
        <f>model_eui_end_uses!O71*base_scenario_arch_measures!$F71</f>
        <v>0</v>
      </c>
      <c r="P71">
        <f>model_eui_end_uses!P71*base_scenario_arch_measures!$F71</f>
        <v>0</v>
      </c>
      <c r="Q71">
        <f>model_eui_end_uses!Q71*base_scenario_arch_measures!$F71</f>
        <v>0</v>
      </c>
      <c r="R71" s="187">
        <f>model_eui_end_uses!R71*base_building_arch_areas!$N$23</f>
        <v>0</v>
      </c>
      <c r="S71" s="187">
        <f>model_eui_end_uses!S71*base_building_arch_areas!$N$23</f>
        <v>1251966.2135688032</v>
      </c>
      <c r="T71" s="187">
        <f>model_eui_end_uses!T71*base_building_arch_areas!$N$23</f>
        <v>8246.7619171664701</v>
      </c>
      <c r="U71" s="187">
        <f>model_eui_end_uses!U71*base_building_arch_areas!$N$23</f>
        <v>207486.48485918122</v>
      </c>
      <c r="V71" s="187">
        <f>model_eui_end_uses!V71*base_building_arch_areas!$N$23</f>
        <v>0</v>
      </c>
      <c r="W71" s="187">
        <f>model_eui_end_uses!W71*base_building_arch_areas!$N$23</f>
        <v>308571.25754341914</v>
      </c>
      <c r="X71" s="187">
        <f>model_eui_end_uses!X71*base_building_arch_areas!$N$23</f>
        <v>47703.014809360655</v>
      </c>
      <c r="Y71" s="187">
        <f>model_eui_end_uses!Y71*base_building_arch_areas!$N$23</f>
        <v>0</v>
      </c>
      <c r="Z71" s="187">
        <f>model_eui_end_uses!Z71*base_building_arch_areas!$N$23</f>
        <v>98162.815552881395</v>
      </c>
      <c r="AA71" s="187">
        <f>model_eui_end_uses!AA71*base_building_arch_areas!$N$23</f>
        <v>25672.323221393759</v>
      </c>
      <c r="AB71" s="187">
        <f>model_eui_end_uses!AB71*base_building_arch_areas!$N$23</f>
        <v>0</v>
      </c>
      <c r="AC71" s="187">
        <f>model_eui_end_uses!AC71*base_building_arch_areas!$N$23</f>
        <v>1947808.8714722055</v>
      </c>
      <c r="AD71" s="187">
        <f>model_eui_end_uses!AD71*base_building_arch_areas!$N$23</f>
        <v>-11514.792033125104</v>
      </c>
      <c r="AE71" s="187">
        <f>model_eui_end_uses!AE71*base_building_arch_areas!$N$23</f>
        <v>-22073.950711042129</v>
      </c>
      <c r="AF71" s="187">
        <f t="shared" si="14"/>
        <v>-33588.742744167233</v>
      </c>
      <c r="AG71" s="187">
        <f>model_eui_end_uses!AH71*base_building_arch_areas!$N$23</f>
        <v>-186.53963093662668</v>
      </c>
      <c r="AH71" s="187">
        <f>model_eui_end_uses!AI71*base_building_arch_areas!$N$23</f>
        <v>-2494.3564303477606</v>
      </c>
      <c r="AI71" s="187">
        <f t="shared" si="15"/>
        <v>-2680.8960612843871</v>
      </c>
      <c r="AJ71" s="200">
        <f>sim_annual_output!F71/sim_annual_output!H71*base_building_arch_areas!$N$23</f>
        <v>59587.79586166954</v>
      </c>
      <c r="AK71">
        <f t="shared" si="16"/>
        <v>-22.226820622475643</v>
      </c>
    </row>
    <row r="72" spans="1:37">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f>model_eui_end_uses!G72*base_scenario_arch_measures!$F72</f>
        <v>0</v>
      </c>
      <c r="H72">
        <f>model_eui_end_uses!H72*base_scenario_arch_measures!$F72</f>
        <v>0</v>
      </c>
      <c r="I72">
        <f>model_eui_end_uses!I72*base_scenario_arch_measures!$F72</f>
        <v>0</v>
      </c>
      <c r="J72">
        <f>model_eui_end_uses!J72*base_scenario_arch_measures!$F72</f>
        <v>0</v>
      </c>
      <c r="K72">
        <f>model_eui_end_uses!K72*base_scenario_arch_measures!$F72</f>
        <v>0</v>
      </c>
      <c r="L72">
        <f>model_eui_end_uses!L72*base_scenario_arch_measures!$F72</f>
        <v>0</v>
      </c>
      <c r="M72">
        <f>model_eui_end_uses!M72*base_scenario_arch_measures!$F72</f>
        <v>0</v>
      </c>
      <c r="N72">
        <f>model_eui_end_uses!N72*base_scenario_arch_measures!$F72</f>
        <v>0</v>
      </c>
      <c r="O72">
        <f>model_eui_end_uses!O72*base_scenario_arch_measures!$F72</f>
        <v>0</v>
      </c>
      <c r="P72">
        <f>model_eui_end_uses!P72*base_scenario_arch_measures!$F72</f>
        <v>0</v>
      </c>
      <c r="Q72">
        <f>model_eui_end_uses!Q72*base_scenario_arch_measures!$F72</f>
        <v>0</v>
      </c>
      <c r="R72" s="187">
        <f>model_eui_end_uses!R72*base_building_arch_areas!$N$23</f>
        <v>0</v>
      </c>
      <c r="S72" s="187">
        <f>model_eui_end_uses!S72*base_building_arch_areas!$N$23</f>
        <v>1251966.2135688032</v>
      </c>
      <c r="T72" s="187">
        <f>model_eui_end_uses!T72*base_building_arch_areas!$N$23</f>
        <v>8246.7619171664701</v>
      </c>
      <c r="U72" s="187">
        <f>model_eui_end_uses!U72*base_building_arch_areas!$N$23</f>
        <v>207486.48485918122</v>
      </c>
      <c r="V72" s="187">
        <f>model_eui_end_uses!V72*base_building_arch_areas!$N$23</f>
        <v>0</v>
      </c>
      <c r="W72" s="187">
        <f>model_eui_end_uses!W72*base_building_arch_areas!$N$23</f>
        <v>308571.25754341914</v>
      </c>
      <c r="X72" s="187">
        <f>model_eui_end_uses!X72*base_building_arch_areas!$N$23</f>
        <v>47703.014809360655</v>
      </c>
      <c r="Y72" s="187">
        <f>model_eui_end_uses!Y72*base_building_arch_areas!$N$23</f>
        <v>0</v>
      </c>
      <c r="Z72" s="187">
        <f>model_eui_end_uses!Z72*base_building_arch_areas!$N$23</f>
        <v>98162.815552881395</v>
      </c>
      <c r="AA72" s="187">
        <f>model_eui_end_uses!AA72*base_building_arch_areas!$N$23</f>
        <v>25672.323221393759</v>
      </c>
      <c r="AB72" s="187">
        <f>model_eui_end_uses!AB72*base_building_arch_areas!$N$23</f>
        <v>0</v>
      </c>
      <c r="AC72" s="187">
        <f>model_eui_end_uses!AC72*base_building_arch_areas!$N$23</f>
        <v>1947808.8714722055</v>
      </c>
      <c r="AD72" s="187">
        <f>model_eui_end_uses!AD72*base_building_arch_areas!$N$23</f>
        <v>262634.00148503977</v>
      </c>
      <c r="AE72" s="187">
        <f>model_eui_end_uses!AE72*base_building_arch_areas!$N$23</f>
        <v>7515.2894724392354</v>
      </c>
      <c r="AF72" s="187">
        <f t="shared" si="14"/>
        <v>270149.29095747898</v>
      </c>
      <c r="AG72" s="187">
        <f>model_eui_end_uses!AH72*base_building_arch_areas!$N$23</f>
        <v>4254.6708240576445</v>
      </c>
      <c r="AH72" s="187">
        <f>model_eui_end_uses!AI72*base_building_arch_areas!$N$23</f>
        <v>849.2277103856336</v>
      </c>
      <c r="AI72" s="187">
        <f t="shared" si="15"/>
        <v>5103.8985344432785</v>
      </c>
      <c r="AJ72" s="200">
        <f>sim_annual_output!F72/sim_annual_output!H72*base_building_arch_areas!$N$23</f>
        <v>1681.6299936201112</v>
      </c>
      <c r="AK72">
        <f t="shared" si="16"/>
        <v>0.32947951105841089</v>
      </c>
    </row>
    <row r="73" spans="1:37">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f>model_eui_end_uses!G73*base_scenario_arch_measures!$F73</f>
        <v>0</v>
      </c>
      <c r="H73">
        <f>model_eui_end_uses!H73*base_scenario_arch_measures!$F73</f>
        <v>0</v>
      </c>
      <c r="I73">
        <f>model_eui_end_uses!I73*base_scenario_arch_measures!$F73</f>
        <v>0</v>
      </c>
      <c r="J73">
        <f>model_eui_end_uses!J73*base_scenario_arch_measures!$F73</f>
        <v>0</v>
      </c>
      <c r="K73">
        <f>model_eui_end_uses!K73*base_scenario_arch_measures!$F73</f>
        <v>0</v>
      </c>
      <c r="L73">
        <f>model_eui_end_uses!L73*base_scenario_arch_measures!$F73</f>
        <v>0</v>
      </c>
      <c r="M73">
        <f>model_eui_end_uses!M73*base_scenario_arch_measures!$F73</f>
        <v>0</v>
      </c>
      <c r="N73">
        <f>model_eui_end_uses!N73*base_scenario_arch_measures!$F73</f>
        <v>0</v>
      </c>
      <c r="O73">
        <f>model_eui_end_uses!O73*base_scenario_arch_measures!$F73</f>
        <v>0</v>
      </c>
      <c r="P73">
        <f>model_eui_end_uses!P73*base_scenario_arch_measures!$F73</f>
        <v>0</v>
      </c>
      <c r="Q73">
        <f>model_eui_end_uses!Q73*base_scenario_arch_measures!$F73</f>
        <v>0</v>
      </c>
      <c r="R73" s="187">
        <f>model_eui_end_uses!R73*base_building_arch_areas!$N$23</f>
        <v>0</v>
      </c>
      <c r="S73" s="187">
        <f>model_eui_end_uses!S73*base_building_arch_areas!$N$23</f>
        <v>1251966.2135688032</v>
      </c>
      <c r="T73" s="187">
        <f>model_eui_end_uses!T73*base_building_arch_areas!$N$23</f>
        <v>8246.7619171664701</v>
      </c>
      <c r="U73" s="187">
        <f>model_eui_end_uses!U73*base_building_arch_areas!$N$23</f>
        <v>207486.48485918122</v>
      </c>
      <c r="V73" s="187">
        <f>model_eui_end_uses!V73*base_building_arch_areas!$N$23</f>
        <v>0</v>
      </c>
      <c r="W73" s="187">
        <f>model_eui_end_uses!W73*base_building_arch_areas!$N$23</f>
        <v>308571.25754341914</v>
      </c>
      <c r="X73" s="187">
        <f>model_eui_end_uses!X73*base_building_arch_areas!$N$23</f>
        <v>47703.014809360655</v>
      </c>
      <c r="Y73" s="187">
        <f>model_eui_end_uses!Y73*base_building_arch_areas!$N$23</f>
        <v>0</v>
      </c>
      <c r="Z73" s="187">
        <f>model_eui_end_uses!Z73*base_building_arch_areas!$N$23</f>
        <v>98162.815552881395</v>
      </c>
      <c r="AA73" s="187">
        <f>model_eui_end_uses!AA73*base_building_arch_areas!$N$23</f>
        <v>25672.323221393759</v>
      </c>
      <c r="AB73" s="187">
        <f>model_eui_end_uses!AB73*base_building_arch_areas!$N$23</f>
        <v>0</v>
      </c>
      <c r="AC73" s="187">
        <f>model_eui_end_uses!AC73*base_building_arch_areas!$N$23</f>
        <v>1947808.8714722055</v>
      </c>
      <c r="AD73" s="187">
        <f>model_eui_end_uses!AD73*base_building_arch_areas!$N$23</f>
        <v>-11514.792033125104</v>
      </c>
      <c r="AE73" s="187">
        <f>model_eui_end_uses!AE73*base_building_arch_areas!$N$23</f>
        <v>-22073.950711042129</v>
      </c>
      <c r="AF73" s="187">
        <f t="shared" si="14"/>
        <v>-33588.742744167233</v>
      </c>
      <c r="AG73" s="187">
        <f>model_eui_end_uses!AH73*base_building_arch_areas!$N$23</f>
        <v>-186.53963093662668</v>
      </c>
      <c r="AH73" s="187">
        <f>model_eui_end_uses!AI73*base_building_arch_areas!$N$23</f>
        <v>-2494.3564303477606</v>
      </c>
      <c r="AI73" s="187">
        <f t="shared" si="15"/>
        <v>-2680.8960612843871</v>
      </c>
      <c r="AJ73" s="200">
        <f>sim_annual_output!F73/sim_annual_output!H73*base_building_arch_areas!$N$23</f>
        <v>35758.650178501128</v>
      </c>
      <c r="AK73">
        <f t="shared" si="16"/>
        <v>-13.338320233634706</v>
      </c>
    </row>
    <row r="74" spans="1:37">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f>model_eui_end_uses!G74*base_scenario_arch_measures!$F74</f>
        <v>0</v>
      </c>
      <c r="H74">
        <f>model_eui_end_uses!H74*base_scenario_arch_measures!$F74</f>
        <v>0</v>
      </c>
      <c r="I74">
        <f>model_eui_end_uses!I74*base_scenario_arch_measures!$F74</f>
        <v>0</v>
      </c>
      <c r="J74">
        <f>model_eui_end_uses!J74*base_scenario_arch_measures!$F74</f>
        <v>0</v>
      </c>
      <c r="K74">
        <f>model_eui_end_uses!K74*base_scenario_arch_measures!$F74</f>
        <v>0</v>
      </c>
      <c r="L74">
        <f>model_eui_end_uses!L74*base_scenario_arch_measures!$F74</f>
        <v>0</v>
      </c>
      <c r="M74">
        <f>model_eui_end_uses!M74*base_scenario_arch_measures!$F74</f>
        <v>0</v>
      </c>
      <c r="N74">
        <f>model_eui_end_uses!N74*base_scenario_arch_measures!$F74</f>
        <v>0</v>
      </c>
      <c r="O74">
        <f>model_eui_end_uses!O74*base_scenario_arch_measures!$F74</f>
        <v>0</v>
      </c>
      <c r="P74">
        <f>model_eui_end_uses!P74*base_scenario_arch_measures!$F74</f>
        <v>0</v>
      </c>
      <c r="Q74">
        <f>model_eui_end_uses!Q74*base_scenario_arch_measures!$F74</f>
        <v>0</v>
      </c>
      <c r="R74" s="187">
        <f>model_eui_end_uses!R74*base_building_arch_areas!$N$23</f>
        <v>0</v>
      </c>
      <c r="S74" s="187">
        <f>model_eui_end_uses!S74*base_building_arch_areas!$N$23</f>
        <v>1251966.2135688032</v>
      </c>
      <c r="T74" s="187">
        <f>model_eui_end_uses!T74*base_building_arch_areas!$N$23</f>
        <v>8246.7619171664701</v>
      </c>
      <c r="U74" s="187">
        <f>model_eui_end_uses!U74*base_building_arch_areas!$N$23</f>
        <v>207486.48485918122</v>
      </c>
      <c r="V74" s="187">
        <f>model_eui_end_uses!V74*base_building_arch_areas!$N$23</f>
        <v>0</v>
      </c>
      <c r="W74" s="187">
        <f>model_eui_end_uses!W74*base_building_arch_areas!$N$23</f>
        <v>308571.25754341914</v>
      </c>
      <c r="X74" s="187">
        <f>model_eui_end_uses!X74*base_building_arch_areas!$N$23</f>
        <v>47703.014809360655</v>
      </c>
      <c r="Y74" s="187">
        <f>model_eui_end_uses!Y74*base_building_arch_areas!$N$23</f>
        <v>0</v>
      </c>
      <c r="Z74" s="187">
        <f>model_eui_end_uses!Z74*base_building_arch_areas!$N$23</f>
        <v>98162.815552881395</v>
      </c>
      <c r="AA74" s="187">
        <f>model_eui_end_uses!AA74*base_building_arch_areas!$N$23</f>
        <v>25672.323221393759</v>
      </c>
      <c r="AB74" s="187">
        <f>model_eui_end_uses!AB74*base_building_arch_areas!$N$23</f>
        <v>0</v>
      </c>
      <c r="AC74" s="187">
        <f>model_eui_end_uses!AC74*base_building_arch_areas!$N$23</f>
        <v>1947808.8714722055</v>
      </c>
      <c r="AD74" s="187">
        <f>model_eui_end_uses!AD74*base_building_arch_areas!$N$23</f>
        <v>657436.42190767173</v>
      </c>
      <c r="AE74" s="187">
        <f>model_eui_end_uses!AE74*base_building_arch_areas!$N$23</f>
        <v>-30442.624702329907</v>
      </c>
      <c r="AF74" s="187">
        <f t="shared" si="14"/>
        <v>626993.79720534186</v>
      </c>
      <c r="AG74" s="187">
        <f>model_eui_end_uses!AH74*base_building_arch_areas!$N$23</f>
        <v>10650.470034904281</v>
      </c>
      <c r="AH74" s="187">
        <f>model_eui_end_uses!AI74*base_building_arch_areas!$N$23</f>
        <v>-3440.0165913632795</v>
      </c>
      <c r="AI74" s="187">
        <f t="shared" si="15"/>
        <v>7210.4534435410023</v>
      </c>
      <c r="AJ74" s="200">
        <f>sim_annual_output!F74/sim_annual_output!H74*base_building_arch_areas!$N$23</f>
        <v>13553.145375485845</v>
      </c>
      <c r="AK74">
        <f t="shared" si="16"/>
        <v>1.8796522967118683</v>
      </c>
    </row>
    <row r="75" spans="1:37">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f>model_eui_end_uses!G75*base_scenario_arch_measures!$F75</f>
        <v>0</v>
      </c>
      <c r="H75">
        <f>model_eui_end_uses!H75*base_scenario_arch_measures!$F75</f>
        <v>0</v>
      </c>
      <c r="I75">
        <f>model_eui_end_uses!I75*base_scenario_arch_measures!$F75</f>
        <v>0</v>
      </c>
      <c r="J75">
        <f>model_eui_end_uses!J75*base_scenario_arch_measures!$F75</f>
        <v>0</v>
      </c>
      <c r="K75">
        <f>model_eui_end_uses!K75*base_scenario_arch_measures!$F75</f>
        <v>0</v>
      </c>
      <c r="L75">
        <f>model_eui_end_uses!L75*base_scenario_arch_measures!$F75</f>
        <v>0</v>
      </c>
      <c r="M75">
        <f>model_eui_end_uses!M75*base_scenario_arch_measures!$F75</f>
        <v>0</v>
      </c>
      <c r="N75">
        <f>model_eui_end_uses!N75*base_scenario_arch_measures!$F75</f>
        <v>0</v>
      </c>
      <c r="O75">
        <f>model_eui_end_uses!O75*base_scenario_arch_measures!$F75</f>
        <v>0</v>
      </c>
      <c r="P75">
        <f>model_eui_end_uses!P75*base_scenario_arch_measures!$F75</f>
        <v>0</v>
      </c>
      <c r="Q75">
        <f>model_eui_end_uses!Q75*base_scenario_arch_measures!$F75</f>
        <v>0</v>
      </c>
      <c r="R75" s="187">
        <f>model_eui_end_uses!R75*base_building_arch_areas!$N$23</f>
        <v>0</v>
      </c>
      <c r="S75" s="187">
        <f>model_eui_end_uses!S75*base_building_arch_areas!$N$23</f>
        <v>1251966.2135688032</v>
      </c>
      <c r="T75" s="187">
        <f>model_eui_end_uses!T75*base_building_arch_areas!$N$23</f>
        <v>8246.7619171664701</v>
      </c>
      <c r="U75" s="187">
        <f>model_eui_end_uses!U75*base_building_arch_areas!$N$23</f>
        <v>207486.48485918122</v>
      </c>
      <c r="V75" s="187">
        <f>model_eui_end_uses!V75*base_building_arch_areas!$N$23</f>
        <v>0</v>
      </c>
      <c r="W75" s="187">
        <f>model_eui_end_uses!W75*base_building_arch_areas!$N$23</f>
        <v>308571.25754341914</v>
      </c>
      <c r="X75" s="187">
        <f>model_eui_end_uses!X75*base_building_arch_areas!$N$23</f>
        <v>47703.014809360655</v>
      </c>
      <c r="Y75" s="187">
        <f>model_eui_end_uses!Y75*base_building_arch_areas!$N$23</f>
        <v>0</v>
      </c>
      <c r="Z75" s="187">
        <f>model_eui_end_uses!Z75*base_building_arch_areas!$N$23</f>
        <v>98162.815552881395</v>
      </c>
      <c r="AA75" s="187">
        <f>model_eui_end_uses!AA75*base_building_arch_areas!$N$23</f>
        <v>25672.323221393759</v>
      </c>
      <c r="AB75" s="187">
        <f>model_eui_end_uses!AB75*base_building_arch_areas!$N$23</f>
        <v>0</v>
      </c>
      <c r="AC75" s="187">
        <f>model_eui_end_uses!AC75*base_building_arch_areas!$N$23</f>
        <v>1947808.8714722055</v>
      </c>
      <c r="AD75" s="187">
        <f>model_eui_end_uses!AD75*base_building_arch_areas!$N$23</f>
        <v>9347.903231809596</v>
      </c>
      <c r="AE75" s="187">
        <f>model_eui_end_uses!AE75*base_building_arch_areas!$N$23</f>
        <v>-23261.610271835707</v>
      </c>
      <c r="AF75" s="187">
        <f t="shared" si="14"/>
        <v>-13913.707040026111</v>
      </c>
      <c r="AG75" s="187">
        <f>model_eui_end_uses!AH75*base_building_arch_areas!$N$23</f>
        <v>151.43603235531543</v>
      </c>
      <c r="AH75" s="187">
        <f>model_eui_end_uses!AI75*base_building_arch_areas!$N$23</f>
        <v>-2628.5619607174349</v>
      </c>
      <c r="AI75" s="187">
        <f t="shared" si="15"/>
        <v>-2477.1259283621193</v>
      </c>
      <c r="AJ75" s="200">
        <f>sim_annual_output!F75/sim_annual_output!H75*base_building_arch_areas!$N$23</f>
        <v>25452.786563321526</v>
      </c>
      <c r="AK75">
        <f t="shared" si="16"/>
        <v>-10.275128233045043</v>
      </c>
    </row>
    <row r="76" spans="1:37">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f>model_eui_end_uses!G76*base_scenario_arch_measures!$F76</f>
        <v>0</v>
      </c>
      <c r="H76">
        <f>model_eui_end_uses!H76*base_scenario_arch_measures!$F76</f>
        <v>0</v>
      </c>
      <c r="I76">
        <f>model_eui_end_uses!I76*base_scenario_arch_measures!$F76</f>
        <v>0</v>
      </c>
      <c r="J76">
        <f>model_eui_end_uses!J76*base_scenario_arch_measures!$F76</f>
        <v>0</v>
      </c>
      <c r="K76">
        <f>model_eui_end_uses!K76*base_scenario_arch_measures!$F76</f>
        <v>0</v>
      </c>
      <c r="L76">
        <f>model_eui_end_uses!L76*base_scenario_arch_measures!$F76</f>
        <v>0</v>
      </c>
      <c r="M76">
        <f>model_eui_end_uses!M76*base_scenario_arch_measures!$F76</f>
        <v>0</v>
      </c>
      <c r="N76">
        <f>model_eui_end_uses!N76*base_scenario_arch_measures!$F76</f>
        <v>0</v>
      </c>
      <c r="O76">
        <f>model_eui_end_uses!O76*base_scenario_arch_measures!$F76</f>
        <v>0</v>
      </c>
      <c r="P76">
        <f>model_eui_end_uses!P76*base_scenario_arch_measures!$F76</f>
        <v>0</v>
      </c>
      <c r="Q76">
        <f>model_eui_end_uses!Q76*base_scenario_arch_measures!$F76</f>
        <v>0</v>
      </c>
      <c r="R76" s="187">
        <f>model_eui_end_uses!R76*base_building_arch_areas!$N$23</f>
        <v>0</v>
      </c>
      <c r="S76" s="187">
        <f>model_eui_end_uses!S76*base_building_arch_areas!$N$23</f>
        <v>1251966.2135688032</v>
      </c>
      <c r="T76" s="187">
        <f>model_eui_end_uses!T76*base_building_arch_areas!$N$23</f>
        <v>8246.7619171664701</v>
      </c>
      <c r="U76" s="187">
        <f>model_eui_end_uses!U76*base_building_arch_areas!$N$23</f>
        <v>207486.48485918122</v>
      </c>
      <c r="V76" s="187">
        <f>model_eui_end_uses!V76*base_building_arch_areas!$N$23</f>
        <v>0</v>
      </c>
      <c r="W76" s="187">
        <f>model_eui_end_uses!W76*base_building_arch_areas!$N$23</f>
        <v>308571.25754341914</v>
      </c>
      <c r="X76" s="187">
        <f>model_eui_end_uses!X76*base_building_arch_areas!$N$23</f>
        <v>47703.014809360655</v>
      </c>
      <c r="Y76" s="187">
        <f>model_eui_end_uses!Y76*base_building_arch_areas!$N$23</f>
        <v>0</v>
      </c>
      <c r="Z76" s="187">
        <f>model_eui_end_uses!Z76*base_building_arch_areas!$N$23</f>
        <v>98162.815552881395</v>
      </c>
      <c r="AA76" s="187">
        <f>model_eui_end_uses!AA76*base_building_arch_areas!$N$23</f>
        <v>25672.323221393759</v>
      </c>
      <c r="AB76" s="187">
        <f>model_eui_end_uses!AB76*base_building_arch_areas!$N$23</f>
        <v>0</v>
      </c>
      <c r="AC76" s="187">
        <f>model_eui_end_uses!AC76*base_building_arch_areas!$N$23</f>
        <v>1947808.8714722055</v>
      </c>
      <c r="AD76" s="187">
        <f>model_eui_end_uses!AD76*base_building_arch_areas!$N$23</f>
        <v>-11538.387918438957</v>
      </c>
      <c r="AE76" s="187">
        <f>model_eui_end_uses!AE76*base_building_arch_areas!$N$23</f>
        <v>-19753.688655187034</v>
      </c>
      <c r="AF76" s="187">
        <f t="shared" si="14"/>
        <v>-31292.076573625993</v>
      </c>
      <c r="AG76" s="187">
        <f>model_eui_end_uses!AH76*base_building_arch_areas!$N$23</f>
        <v>-186.9218842787111</v>
      </c>
      <c r="AH76" s="187">
        <f>model_eui_end_uses!AI76*base_building_arch_areas!$N$23</f>
        <v>-2232.1668180361348</v>
      </c>
      <c r="AI76" s="187">
        <f t="shared" si="15"/>
        <v>-2419.0887023148462</v>
      </c>
      <c r="AJ76" s="200">
        <f>sim_annual_output!F76/sim_annual_output!H76*base_building_arch_areas!$N$23</f>
        <v>8487.1881886094088</v>
      </c>
      <c r="AK76">
        <f t="shared" si="16"/>
        <v>-3.5084237219114569</v>
      </c>
    </row>
    <row r="77" spans="1:37">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f>model_eui_end_uses!G77*base_scenario_arch_measures!$F77</f>
        <v>0</v>
      </c>
      <c r="H77">
        <f>model_eui_end_uses!H77*base_scenario_arch_measures!$F77</f>
        <v>0</v>
      </c>
      <c r="I77">
        <f>model_eui_end_uses!I77*base_scenario_arch_measures!$F77</f>
        <v>0</v>
      </c>
      <c r="J77">
        <f>model_eui_end_uses!J77*base_scenario_arch_measures!$F77</f>
        <v>0</v>
      </c>
      <c r="K77">
        <f>model_eui_end_uses!K77*base_scenario_arch_measures!$F77</f>
        <v>0</v>
      </c>
      <c r="L77">
        <f>model_eui_end_uses!L77*base_scenario_arch_measures!$F77</f>
        <v>0</v>
      </c>
      <c r="M77">
        <f>model_eui_end_uses!M77*base_scenario_arch_measures!$F77</f>
        <v>0</v>
      </c>
      <c r="N77">
        <f>model_eui_end_uses!N77*base_scenario_arch_measures!$F77</f>
        <v>0</v>
      </c>
      <c r="O77">
        <f>model_eui_end_uses!O77*base_scenario_arch_measures!$F77</f>
        <v>0</v>
      </c>
      <c r="P77">
        <f>model_eui_end_uses!P77*base_scenario_arch_measures!$F77</f>
        <v>0</v>
      </c>
      <c r="Q77">
        <f>model_eui_end_uses!Q77*base_scenario_arch_measures!$F77</f>
        <v>0</v>
      </c>
      <c r="R77" s="187">
        <f>model_eui_end_uses!R77*base_building_arch_areas!$N$23</f>
        <v>0</v>
      </c>
      <c r="S77" s="187">
        <f>model_eui_end_uses!S77*base_building_arch_areas!$N$23</f>
        <v>1251966.2135688032</v>
      </c>
      <c r="T77" s="187">
        <f>model_eui_end_uses!T77*base_building_arch_areas!$N$23</f>
        <v>8246.7619171664701</v>
      </c>
      <c r="U77" s="187">
        <f>model_eui_end_uses!U77*base_building_arch_areas!$N$23</f>
        <v>207486.48485918122</v>
      </c>
      <c r="V77" s="187">
        <f>model_eui_end_uses!V77*base_building_arch_areas!$N$23</f>
        <v>0</v>
      </c>
      <c r="W77" s="187">
        <f>model_eui_end_uses!W77*base_building_arch_areas!$N$23</f>
        <v>308571.25754341914</v>
      </c>
      <c r="X77" s="187">
        <f>model_eui_end_uses!X77*base_building_arch_areas!$N$23</f>
        <v>47703.014809360655</v>
      </c>
      <c r="Y77" s="187">
        <f>model_eui_end_uses!Y77*base_building_arch_areas!$N$23</f>
        <v>0</v>
      </c>
      <c r="Z77" s="187">
        <f>model_eui_end_uses!Z77*base_building_arch_areas!$N$23</f>
        <v>98162.815552881395</v>
      </c>
      <c r="AA77" s="187">
        <f>model_eui_end_uses!AA77*base_building_arch_areas!$N$23</f>
        <v>25672.323221393759</v>
      </c>
      <c r="AB77" s="187">
        <f>model_eui_end_uses!AB77*base_building_arch_areas!$N$23</f>
        <v>0</v>
      </c>
      <c r="AC77" s="187">
        <f>model_eui_end_uses!AC77*base_building_arch_areas!$N$23</f>
        <v>1947808.8714722055</v>
      </c>
      <c r="AD77" s="187">
        <f>model_eui_end_uses!AD77*base_building_arch_areas!$N$23</f>
        <v>617488.58807144035</v>
      </c>
      <c r="AE77" s="187">
        <f>model_eui_end_uses!AE77*base_building_arch_areas!$N$23</f>
        <v>133344.28055572903</v>
      </c>
      <c r="AF77" s="187">
        <f t="shared" si="14"/>
        <v>750832.8686271694</v>
      </c>
      <c r="AG77" s="187">
        <f>model_eui_end_uses!AH77*base_building_arch_areas!$N$23</f>
        <v>10003.315126757334</v>
      </c>
      <c r="AH77" s="187">
        <f>model_eui_end_uses!AI77*base_building_arch_areas!$N$23</f>
        <v>15067.903702797381</v>
      </c>
      <c r="AI77" s="187">
        <f t="shared" si="15"/>
        <v>25071.218829554717</v>
      </c>
      <c r="AJ77" s="200">
        <f>sim_annual_output!F77/sim_annual_output!H77*base_building_arch_areas!$N$23</f>
        <v>244870.3434732836</v>
      </c>
      <c r="AK77">
        <f t="shared" si="16"/>
        <v>9.7669899951023922</v>
      </c>
    </row>
    <row r="78" spans="1:37">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f>model_eui_end_uses!G78*base_scenario_arch_measures!$F78</f>
        <v>0</v>
      </c>
      <c r="H78">
        <f>model_eui_end_uses!H78*base_scenario_arch_measures!$F78</f>
        <v>0</v>
      </c>
      <c r="I78">
        <f>model_eui_end_uses!I78*base_scenario_arch_measures!$F78</f>
        <v>0</v>
      </c>
      <c r="J78">
        <f>model_eui_end_uses!J78*base_scenario_arch_measures!$F78</f>
        <v>0</v>
      </c>
      <c r="K78">
        <f>model_eui_end_uses!K78*base_scenario_arch_measures!$F78</f>
        <v>0</v>
      </c>
      <c r="L78">
        <f>model_eui_end_uses!L78*base_scenario_arch_measures!$F78</f>
        <v>0</v>
      </c>
      <c r="M78">
        <f>model_eui_end_uses!M78*base_scenario_arch_measures!$F78</f>
        <v>0</v>
      </c>
      <c r="N78">
        <f>model_eui_end_uses!N78*base_scenario_arch_measures!$F78</f>
        <v>0</v>
      </c>
      <c r="O78">
        <f>model_eui_end_uses!O78*base_scenario_arch_measures!$F78</f>
        <v>0</v>
      </c>
      <c r="P78">
        <f>model_eui_end_uses!P78*base_scenario_arch_measures!$F78</f>
        <v>0</v>
      </c>
      <c r="Q78">
        <f>model_eui_end_uses!Q78*base_scenario_arch_measures!$F78</f>
        <v>0</v>
      </c>
      <c r="R78" s="187">
        <f>model_eui_end_uses!R78*base_building_arch_areas!$N$23</f>
        <v>0</v>
      </c>
      <c r="S78" s="187">
        <f>model_eui_end_uses!S78*base_building_arch_areas!$N$23</f>
        <v>1251966.2135688032</v>
      </c>
      <c r="T78" s="187">
        <f>model_eui_end_uses!T78*base_building_arch_areas!$N$23</f>
        <v>8246.7619171664701</v>
      </c>
      <c r="U78" s="187">
        <f>model_eui_end_uses!U78*base_building_arch_areas!$N$23</f>
        <v>207486.48485918122</v>
      </c>
      <c r="V78" s="187">
        <f>model_eui_end_uses!V78*base_building_arch_areas!$N$23</f>
        <v>0</v>
      </c>
      <c r="W78" s="187">
        <f>model_eui_end_uses!W78*base_building_arch_areas!$N$23</f>
        <v>308571.25754341914</v>
      </c>
      <c r="X78" s="187">
        <f>model_eui_end_uses!X78*base_building_arch_areas!$N$23</f>
        <v>47703.014809360655</v>
      </c>
      <c r="Y78" s="187">
        <f>model_eui_end_uses!Y78*base_building_arch_areas!$N$23</f>
        <v>0</v>
      </c>
      <c r="Z78" s="187">
        <f>model_eui_end_uses!Z78*base_building_arch_areas!$N$23</f>
        <v>98162.815552881395</v>
      </c>
      <c r="AA78" s="187">
        <f>model_eui_end_uses!AA78*base_building_arch_areas!$N$23</f>
        <v>25672.323221393759</v>
      </c>
      <c r="AB78" s="187">
        <f>model_eui_end_uses!AB78*base_building_arch_areas!$N$23</f>
        <v>0</v>
      </c>
      <c r="AC78" s="187">
        <f>model_eui_end_uses!AC78*base_building_arch_areas!$N$23</f>
        <v>1947808.8714722055</v>
      </c>
      <c r="AD78" s="187">
        <f>model_eui_end_uses!AD78*base_building_arch_areas!$N$23</f>
        <v>44293.409381519268</v>
      </c>
      <c r="AE78" s="187">
        <f>model_eui_end_uses!AE78*base_building_arch_areas!$N$23</f>
        <v>-19462.672736316905</v>
      </c>
      <c r="AF78" s="187">
        <f t="shared" si="14"/>
        <v>24830.736645202363</v>
      </c>
      <c r="AG78" s="187">
        <f>model_eui_end_uses!AH78*base_building_arch_areas!$N$23</f>
        <v>717.55323198061217</v>
      </c>
      <c r="AH78" s="187">
        <f>model_eui_end_uses!AI78*base_building_arch_areas!$N$23</f>
        <v>-2199.2820192038103</v>
      </c>
      <c r="AI78" s="187">
        <f t="shared" si="15"/>
        <v>-1481.7287872231982</v>
      </c>
      <c r="AJ78" s="200">
        <f>sim_annual_output!F78/sim_annual_output!H78*base_building_arch_areas!$N$23</f>
        <v>0</v>
      </c>
      <c r="AK78">
        <f t="shared" si="16"/>
        <v>0</v>
      </c>
    </row>
    <row r="79" spans="1:37">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f>model_eui_end_uses!G79*base_scenario_arch_measures!$F79</f>
        <v>0</v>
      </c>
      <c r="H79">
        <f>model_eui_end_uses!H79*base_scenario_arch_measures!$F79</f>
        <v>0</v>
      </c>
      <c r="I79">
        <f>model_eui_end_uses!I79*base_scenario_arch_measures!$F79</f>
        <v>0</v>
      </c>
      <c r="J79">
        <f>model_eui_end_uses!J79*base_scenario_arch_measures!$F79</f>
        <v>0</v>
      </c>
      <c r="K79">
        <f>model_eui_end_uses!K79*base_scenario_arch_measures!$F79</f>
        <v>0</v>
      </c>
      <c r="L79">
        <f>model_eui_end_uses!L79*base_scenario_arch_measures!$F79</f>
        <v>0</v>
      </c>
      <c r="M79">
        <f>model_eui_end_uses!M79*base_scenario_arch_measures!$F79</f>
        <v>0</v>
      </c>
      <c r="N79">
        <f>model_eui_end_uses!N79*base_scenario_arch_measures!$F79</f>
        <v>0</v>
      </c>
      <c r="O79">
        <f>model_eui_end_uses!O79*base_scenario_arch_measures!$F79</f>
        <v>0</v>
      </c>
      <c r="P79">
        <f>model_eui_end_uses!P79*base_scenario_arch_measures!$F79</f>
        <v>0</v>
      </c>
      <c r="Q79">
        <f>model_eui_end_uses!Q79*base_scenario_arch_measures!$F79</f>
        <v>0</v>
      </c>
      <c r="R79" s="187">
        <f>model_eui_end_uses!R79*base_building_arch_areas!$N$23</f>
        <v>0</v>
      </c>
      <c r="S79" s="187">
        <f>model_eui_end_uses!S79*base_building_arch_areas!$N$23</f>
        <v>1251966.2135688032</v>
      </c>
      <c r="T79" s="187">
        <f>model_eui_end_uses!T79*base_building_arch_areas!$N$23</f>
        <v>8246.7619171664701</v>
      </c>
      <c r="U79" s="187">
        <f>model_eui_end_uses!U79*base_building_arch_areas!$N$23</f>
        <v>207486.48485918122</v>
      </c>
      <c r="V79" s="187">
        <f>model_eui_end_uses!V79*base_building_arch_areas!$N$23</f>
        <v>0</v>
      </c>
      <c r="W79" s="187">
        <f>model_eui_end_uses!W79*base_building_arch_areas!$N$23</f>
        <v>308571.25754341914</v>
      </c>
      <c r="X79" s="187">
        <f>model_eui_end_uses!X79*base_building_arch_areas!$N$23</f>
        <v>47703.014809360655</v>
      </c>
      <c r="Y79" s="187">
        <f>model_eui_end_uses!Y79*base_building_arch_areas!$N$23</f>
        <v>0</v>
      </c>
      <c r="Z79" s="187">
        <f>model_eui_end_uses!Z79*base_building_arch_areas!$N$23</f>
        <v>98162.815552881395</v>
      </c>
      <c r="AA79" s="187">
        <f>model_eui_end_uses!AA79*base_building_arch_areas!$N$23</f>
        <v>25672.323221393759</v>
      </c>
      <c r="AB79" s="187">
        <f>model_eui_end_uses!AB79*base_building_arch_areas!$N$23</f>
        <v>0</v>
      </c>
      <c r="AC79" s="187">
        <f>model_eui_end_uses!AC79*base_building_arch_areas!$N$23</f>
        <v>1947808.8714722055</v>
      </c>
      <c r="AD79" s="187">
        <f>model_eui_end_uses!AD79*base_building_arch_areas!$N$23</f>
        <v>212.36296782399222</v>
      </c>
      <c r="AE79" s="187">
        <f>model_eui_end_uses!AE79*base_building_arch_areas!$N$23</f>
        <v>-21806.530677485967</v>
      </c>
      <c r="AF79" s="187">
        <f t="shared" si="14"/>
        <v>-21594.167709661975</v>
      </c>
      <c r="AG79" s="187">
        <f>model_eui_end_uses!AH79*base_building_arch_areas!$N$23</f>
        <v>3.4402800787486738</v>
      </c>
      <c r="AH79" s="187">
        <f>model_eui_end_uses!AI79*base_building_arch_areas!$N$23</f>
        <v>-2464.1379665559143</v>
      </c>
      <c r="AI79" s="187">
        <f t="shared" si="15"/>
        <v>-2460.6976864771655</v>
      </c>
      <c r="AJ79" s="200">
        <f>sim_annual_output!F79/sim_annual_output!H79*base_building_arch_areas!$N$23</f>
        <v>0</v>
      </c>
      <c r="AK79">
        <f t="shared" si="16"/>
        <v>0</v>
      </c>
    </row>
    <row r="80" spans="1:37">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f>model_eui_end_uses!G80*base_scenario_arch_measures!$F80</f>
        <v>0</v>
      </c>
      <c r="H80">
        <f>model_eui_end_uses!H80*base_scenario_arch_measures!$F80</f>
        <v>0</v>
      </c>
      <c r="I80">
        <f>model_eui_end_uses!I80*base_scenario_arch_measures!$F80</f>
        <v>0</v>
      </c>
      <c r="J80">
        <f>model_eui_end_uses!J80*base_scenario_arch_measures!$F80</f>
        <v>0</v>
      </c>
      <c r="K80">
        <f>model_eui_end_uses!K80*base_scenario_arch_measures!$F80</f>
        <v>0</v>
      </c>
      <c r="L80">
        <f>model_eui_end_uses!L80*base_scenario_arch_measures!$F80</f>
        <v>0</v>
      </c>
      <c r="M80">
        <f>model_eui_end_uses!M80*base_scenario_arch_measures!$F80</f>
        <v>0</v>
      </c>
      <c r="N80">
        <f>model_eui_end_uses!N80*base_scenario_arch_measures!$F80</f>
        <v>0</v>
      </c>
      <c r="O80">
        <f>model_eui_end_uses!O80*base_scenario_arch_measures!$F80</f>
        <v>0</v>
      </c>
      <c r="P80">
        <f>model_eui_end_uses!P80*base_scenario_arch_measures!$F80</f>
        <v>0</v>
      </c>
      <c r="Q80">
        <f>model_eui_end_uses!Q80*base_scenario_arch_measures!$F80</f>
        <v>0</v>
      </c>
      <c r="R80" s="187">
        <f>model_eui_end_uses!R80*base_building_arch_areas!$N$23</f>
        <v>0</v>
      </c>
      <c r="S80" s="187">
        <f>model_eui_end_uses!S80*base_building_arch_areas!$N$23</f>
        <v>1251966.2135688032</v>
      </c>
      <c r="T80" s="187">
        <f>model_eui_end_uses!T80*base_building_arch_areas!$N$23</f>
        <v>8246.7619171664701</v>
      </c>
      <c r="U80" s="187">
        <f>model_eui_end_uses!U80*base_building_arch_areas!$N$23</f>
        <v>207486.48485918122</v>
      </c>
      <c r="V80" s="187">
        <f>model_eui_end_uses!V80*base_building_arch_areas!$N$23</f>
        <v>0</v>
      </c>
      <c r="W80" s="187">
        <f>model_eui_end_uses!W80*base_building_arch_areas!$N$23</f>
        <v>308571.25754341914</v>
      </c>
      <c r="X80" s="187">
        <f>model_eui_end_uses!X80*base_building_arch_areas!$N$23</f>
        <v>47703.014809360655</v>
      </c>
      <c r="Y80" s="187">
        <f>model_eui_end_uses!Y80*base_building_arch_areas!$N$23</f>
        <v>0</v>
      </c>
      <c r="Z80" s="187">
        <f>model_eui_end_uses!Z80*base_building_arch_areas!$N$23</f>
        <v>98162.815552881395</v>
      </c>
      <c r="AA80" s="187">
        <f>model_eui_end_uses!AA80*base_building_arch_areas!$N$23</f>
        <v>25672.323221393759</v>
      </c>
      <c r="AB80" s="187">
        <f>model_eui_end_uses!AB80*base_building_arch_areas!$N$23</f>
        <v>0</v>
      </c>
      <c r="AC80" s="187">
        <f>model_eui_end_uses!AC80*base_building_arch_areas!$N$23</f>
        <v>1947808.8714722055</v>
      </c>
      <c r="AD80" s="187">
        <f>model_eui_end_uses!AD80*base_building_arch_areas!$N$23</f>
        <v>27866.740555575459</v>
      </c>
      <c r="AE80" s="187">
        <f>model_eui_end_uses!AE80*base_building_arch_areas!$N$23</f>
        <v>-21995.297759996105</v>
      </c>
      <c r="AF80" s="187">
        <f t="shared" si="14"/>
        <v>5871.4427955793544</v>
      </c>
      <c r="AG80" s="187">
        <f>model_eui_end_uses!AH80*base_building_arch_areas!$N$23</f>
        <v>451.4411970003224</v>
      </c>
      <c r="AH80" s="187">
        <f>model_eui_end_uses!AI80*base_building_arch_areas!$N$23</f>
        <v>-2485.4686468795603</v>
      </c>
      <c r="AI80" s="187">
        <f t="shared" si="15"/>
        <v>-2034.0274498792378</v>
      </c>
      <c r="AJ80" s="200">
        <f>sim_annual_output!F80/sim_annual_output!H80*base_building_arch_areas!$N$23</f>
        <v>488110.00556543458</v>
      </c>
      <c r="AK80">
        <f t="shared" si="16"/>
        <v>-239.972182083587</v>
      </c>
    </row>
    <row r="81" spans="1:37">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f>model_eui_end_uses!G81*base_scenario_arch_measures!$F81</f>
        <v>0</v>
      </c>
      <c r="H81">
        <f>model_eui_end_uses!H81*base_scenario_arch_measures!$F81</f>
        <v>0</v>
      </c>
      <c r="I81">
        <f>model_eui_end_uses!I81*base_scenario_arch_measures!$F81</f>
        <v>0</v>
      </c>
      <c r="J81">
        <f>model_eui_end_uses!J81*base_scenario_arch_measures!$F81</f>
        <v>0</v>
      </c>
      <c r="K81">
        <f>model_eui_end_uses!K81*base_scenario_arch_measures!$F81</f>
        <v>0</v>
      </c>
      <c r="L81">
        <f>model_eui_end_uses!L81*base_scenario_arch_measures!$F81</f>
        <v>0</v>
      </c>
      <c r="M81">
        <f>model_eui_end_uses!M81*base_scenario_arch_measures!$F81</f>
        <v>0</v>
      </c>
      <c r="N81">
        <f>model_eui_end_uses!N81*base_scenario_arch_measures!$F81</f>
        <v>0</v>
      </c>
      <c r="O81">
        <f>model_eui_end_uses!O81*base_scenario_arch_measures!$F81</f>
        <v>0</v>
      </c>
      <c r="P81">
        <f>model_eui_end_uses!P81*base_scenario_arch_measures!$F81</f>
        <v>0</v>
      </c>
      <c r="Q81">
        <f>model_eui_end_uses!Q81*base_scenario_arch_measures!$F81</f>
        <v>0</v>
      </c>
      <c r="R81" s="187">
        <f>model_eui_end_uses!R81*base_building_arch_areas!$N$23</f>
        <v>0</v>
      </c>
      <c r="S81" s="187">
        <f>model_eui_end_uses!S81*base_building_arch_areas!$N$23</f>
        <v>1251966.2135688032</v>
      </c>
      <c r="T81" s="187">
        <f>model_eui_end_uses!T81*base_building_arch_areas!$N$23</f>
        <v>8246.7619171664701</v>
      </c>
      <c r="U81" s="187">
        <f>model_eui_end_uses!U81*base_building_arch_areas!$N$23</f>
        <v>207486.48485918122</v>
      </c>
      <c r="V81" s="187">
        <f>model_eui_end_uses!V81*base_building_arch_areas!$N$23</f>
        <v>0</v>
      </c>
      <c r="W81" s="187">
        <f>model_eui_end_uses!W81*base_building_arch_areas!$N$23</f>
        <v>308571.25754341914</v>
      </c>
      <c r="X81" s="187">
        <f>model_eui_end_uses!X81*base_building_arch_areas!$N$23</f>
        <v>47703.014809360655</v>
      </c>
      <c r="Y81" s="187">
        <f>model_eui_end_uses!Y81*base_building_arch_areas!$N$23</f>
        <v>0</v>
      </c>
      <c r="Z81" s="187">
        <f>model_eui_end_uses!Z81*base_building_arch_areas!$N$23</f>
        <v>98162.815552881395</v>
      </c>
      <c r="AA81" s="187">
        <f>model_eui_end_uses!AA81*base_building_arch_areas!$N$23</f>
        <v>25672.323221393759</v>
      </c>
      <c r="AB81" s="187">
        <f>model_eui_end_uses!AB81*base_building_arch_areas!$N$23</f>
        <v>0</v>
      </c>
      <c r="AC81" s="187">
        <f>model_eui_end_uses!AC81*base_building_arch_areas!$N$23</f>
        <v>1947808.8714722055</v>
      </c>
      <c r="AD81" s="187">
        <f>model_eui_end_uses!AD81*base_building_arch_areas!$N$23</f>
        <v>-11510.859385572758</v>
      </c>
      <c r="AE81" s="187">
        <f>model_eui_end_uses!AE81*base_building_arch_areas!$N$23</f>
        <v>23965.554183697008</v>
      </c>
      <c r="AF81" s="187">
        <f t="shared" si="14"/>
        <v>12454.69479812425</v>
      </c>
      <c r="AG81" s="187">
        <f>model_eui_end_uses!AH81*base_building_arch_areas!$N$23</f>
        <v>-186.47592204627867</v>
      </c>
      <c r="AH81" s="187">
        <f>model_eui_end_uses!AI81*base_building_arch_areas!$N$23</f>
        <v>2708.1076227577619</v>
      </c>
      <c r="AI81" s="187">
        <f t="shared" si="15"/>
        <v>2521.6317007114831</v>
      </c>
      <c r="AJ81" s="200">
        <f>sim_annual_output!F81/sim_annual_output!H81*base_building_arch_areas!$N$23</f>
        <v>11920.726492826019</v>
      </c>
      <c r="AK81">
        <f t="shared" si="16"/>
        <v>4.7273860371689347</v>
      </c>
    </row>
    <row r="82" spans="1:37">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f>model_eui_end_uses!G82*base_scenario_arch_measures!$F82</f>
        <v>0</v>
      </c>
      <c r="H82">
        <f>model_eui_end_uses!H82*base_scenario_arch_measures!$F82</f>
        <v>0</v>
      </c>
      <c r="I82">
        <f>model_eui_end_uses!I82*base_scenario_arch_measures!$F82</f>
        <v>0</v>
      </c>
      <c r="J82">
        <f>model_eui_end_uses!J82*base_scenario_arch_measures!$F82</f>
        <v>0</v>
      </c>
      <c r="K82">
        <f>model_eui_end_uses!K82*base_scenario_arch_measures!$F82</f>
        <v>0</v>
      </c>
      <c r="L82">
        <f>model_eui_end_uses!L82*base_scenario_arch_measures!$F82</f>
        <v>0</v>
      </c>
      <c r="M82">
        <f>model_eui_end_uses!M82*base_scenario_arch_measures!$F82</f>
        <v>0</v>
      </c>
      <c r="N82">
        <f>model_eui_end_uses!N82*base_scenario_arch_measures!$F82</f>
        <v>0</v>
      </c>
      <c r="O82">
        <f>model_eui_end_uses!O82*base_scenario_arch_measures!$F82</f>
        <v>0</v>
      </c>
      <c r="P82">
        <f>model_eui_end_uses!P82*base_scenario_arch_measures!$F82</f>
        <v>0</v>
      </c>
      <c r="Q82">
        <f>model_eui_end_uses!Q82*base_scenario_arch_measures!$F82</f>
        <v>0</v>
      </c>
      <c r="R82" s="187">
        <f>model_eui_end_uses!R82*base_building_arch_areas!$N$23</f>
        <v>0</v>
      </c>
      <c r="S82" s="187">
        <f>model_eui_end_uses!S82*base_building_arch_areas!$N$23</f>
        <v>1251966.2135688032</v>
      </c>
      <c r="T82" s="187">
        <f>model_eui_end_uses!T82*base_building_arch_areas!$N$23</f>
        <v>8246.7619171664701</v>
      </c>
      <c r="U82" s="187">
        <f>model_eui_end_uses!U82*base_building_arch_areas!$N$23</f>
        <v>207486.48485918122</v>
      </c>
      <c r="V82" s="187">
        <f>model_eui_end_uses!V82*base_building_arch_areas!$N$23</f>
        <v>0</v>
      </c>
      <c r="W82" s="187">
        <f>model_eui_end_uses!W82*base_building_arch_areas!$N$23</f>
        <v>308571.25754341914</v>
      </c>
      <c r="X82" s="187">
        <f>model_eui_end_uses!X82*base_building_arch_areas!$N$23</f>
        <v>47703.014809360655</v>
      </c>
      <c r="Y82" s="187">
        <f>model_eui_end_uses!Y82*base_building_arch_areas!$N$23</f>
        <v>0</v>
      </c>
      <c r="Z82" s="187">
        <f>model_eui_end_uses!Z82*base_building_arch_areas!$N$23</f>
        <v>98162.815552881395</v>
      </c>
      <c r="AA82" s="187">
        <f>model_eui_end_uses!AA82*base_building_arch_areas!$N$23</f>
        <v>25672.323221393759</v>
      </c>
      <c r="AB82" s="187">
        <f>model_eui_end_uses!AB82*base_building_arch_areas!$N$23</f>
        <v>0</v>
      </c>
      <c r="AC82" s="187">
        <f>model_eui_end_uses!AC82*base_building_arch_areas!$N$23</f>
        <v>1947808.8714722055</v>
      </c>
      <c r="AD82" s="187">
        <f>model_eui_end_uses!AD82*base_building_arch_areas!$N$23</f>
        <v>-12081.09328065575</v>
      </c>
      <c r="AE82" s="187">
        <f>model_eui_end_uses!AE82*base_building_arch_areas!$N$23</f>
        <v>-21594.167709661746</v>
      </c>
      <c r="AF82" s="187">
        <f t="shared" si="14"/>
        <v>-33675.260990317496</v>
      </c>
      <c r="AG82" s="187">
        <f>model_eui_end_uses!AH82*base_building_arch_areas!$N$23</f>
        <v>-195.71371114662315</v>
      </c>
      <c r="AH82" s="187">
        <f>model_eui_end_uses!AI82*base_building_arch_areas!$N$23</f>
        <v>-2440.1409511917773</v>
      </c>
      <c r="AI82" s="187">
        <f t="shared" si="15"/>
        <v>-2635.8546623384004</v>
      </c>
      <c r="AJ82" s="200">
        <f>sim_annual_output!F82/sim_annual_output!H82*base_building_arch_areas!$N$23</f>
        <v>7309.8680132303489</v>
      </c>
      <c r="AK82">
        <f t="shared" si="16"/>
        <v>-2.7732439567610281</v>
      </c>
    </row>
    <row r="83" spans="1:37">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f>model_eui_end_uses!G83*base_scenario_arch_measures!$F83</f>
        <v>0</v>
      </c>
      <c r="H83">
        <f>model_eui_end_uses!H83*base_scenario_arch_measures!$F83</f>
        <v>0</v>
      </c>
      <c r="I83">
        <f>model_eui_end_uses!I83*base_scenario_arch_measures!$F83</f>
        <v>0</v>
      </c>
      <c r="J83">
        <f>model_eui_end_uses!J83*base_scenario_arch_measures!$F83</f>
        <v>0</v>
      </c>
      <c r="K83">
        <f>model_eui_end_uses!K83*base_scenario_arch_measures!$F83</f>
        <v>0</v>
      </c>
      <c r="L83">
        <f>model_eui_end_uses!L83*base_scenario_arch_measures!$F83</f>
        <v>0</v>
      </c>
      <c r="M83">
        <f>model_eui_end_uses!M83*base_scenario_arch_measures!$F83</f>
        <v>0</v>
      </c>
      <c r="N83">
        <f>model_eui_end_uses!N83*base_scenario_arch_measures!$F83</f>
        <v>0</v>
      </c>
      <c r="O83">
        <f>model_eui_end_uses!O83*base_scenario_arch_measures!$F83</f>
        <v>0</v>
      </c>
      <c r="P83">
        <f>model_eui_end_uses!P83*base_scenario_arch_measures!$F83</f>
        <v>0</v>
      </c>
      <c r="Q83">
        <f>model_eui_end_uses!Q83*base_scenario_arch_measures!$F83</f>
        <v>0</v>
      </c>
      <c r="R83" s="187">
        <f>model_eui_end_uses!R83*base_building_arch_areas!$N$23</f>
        <v>0</v>
      </c>
      <c r="S83" s="187">
        <f>model_eui_end_uses!S83*base_building_arch_areas!$N$23</f>
        <v>1251966.2135688032</v>
      </c>
      <c r="T83" s="187">
        <f>model_eui_end_uses!T83*base_building_arch_areas!$N$23</f>
        <v>8246.7619171664701</v>
      </c>
      <c r="U83" s="187">
        <f>model_eui_end_uses!U83*base_building_arch_areas!$N$23</f>
        <v>207486.48485918122</v>
      </c>
      <c r="V83" s="187">
        <f>model_eui_end_uses!V83*base_building_arch_areas!$N$23</f>
        <v>0</v>
      </c>
      <c r="W83" s="187">
        <f>model_eui_end_uses!W83*base_building_arch_areas!$N$23</f>
        <v>308571.25754341914</v>
      </c>
      <c r="X83" s="187">
        <f>model_eui_end_uses!X83*base_building_arch_areas!$N$23</f>
        <v>47703.014809360655</v>
      </c>
      <c r="Y83" s="187">
        <f>model_eui_end_uses!Y83*base_building_arch_areas!$N$23</f>
        <v>0</v>
      </c>
      <c r="Z83" s="187">
        <f>model_eui_end_uses!Z83*base_building_arch_areas!$N$23</f>
        <v>98162.815552881395</v>
      </c>
      <c r="AA83" s="187">
        <f>model_eui_end_uses!AA83*base_building_arch_areas!$N$23</f>
        <v>25672.323221393759</v>
      </c>
      <c r="AB83" s="187">
        <f>model_eui_end_uses!AB83*base_building_arch_areas!$N$23</f>
        <v>0</v>
      </c>
      <c r="AC83" s="187">
        <f>model_eui_end_uses!AC83*base_building_arch_areas!$N$23</f>
        <v>1947808.8714722055</v>
      </c>
      <c r="AD83" s="187">
        <f>model_eui_end_uses!AD83*base_building_arch_areas!$N$23</f>
        <v>829851.55589546962</v>
      </c>
      <c r="AE83" s="187">
        <f>model_eui_end_uses!AE83*base_building_arch_areas!$N$23</f>
        <v>-56618.326810417442</v>
      </c>
      <c r="AF83" s="187">
        <f t="shared" si="14"/>
        <v>773233.22908505215</v>
      </c>
      <c r="AG83" s="187">
        <f>model_eui_end_uses!AH83*base_building_arch_areas!$N$23</f>
        <v>13443.595205506606</v>
      </c>
      <c r="AH83" s="187">
        <f>model_eui_end_uses!AI83*base_building_arch_areas!$N$23</f>
        <v>-6397.8709295771714</v>
      </c>
      <c r="AI83" s="187">
        <f t="shared" si="15"/>
        <v>7045.724275929435</v>
      </c>
      <c r="AJ83" s="200">
        <f>sim_annual_output!F83/sim_annual_output!H83*base_building_arch_areas!$N$23</f>
        <v>520127.61586737062</v>
      </c>
      <c r="AK83">
        <f t="shared" si="16"/>
        <v>73.821738617320236</v>
      </c>
    </row>
    <row r="84" spans="1:37">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f>model_eui_end_uses!G84*base_scenario_arch_measures!$F84</f>
        <v>0</v>
      </c>
      <c r="H84">
        <f>model_eui_end_uses!H84*base_scenario_arch_measures!$F84</f>
        <v>0</v>
      </c>
      <c r="I84">
        <f>model_eui_end_uses!I84*base_scenario_arch_measures!$F84</f>
        <v>0</v>
      </c>
      <c r="J84">
        <f>model_eui_end_uses!J84*base_scenario_arch_measures!$F84</f>
        <v>0</v>
      </c>
      <c r="K84">
        <f>model_eui_end_uses!K84*base_scenario_arch_measures!$F84</f>
        <v>0</v>
      </c>
      <c r="L84">
        <f>model_eui_end_uses!L84*base_scenario_arch_measures!$F84</f>
        <v>0</v>
      </c>
      <c r="M84">
        <f>model_eui_end_uses!M84*base_scenario_arch_measures!$F84</f>
        <v>0</v>
      </c>
      <c r="N84">
        <f>model_eui_end_uses!N84*base_scenario_arch_measures!$F84</f>
        <v>0</v>
      </c>
      <c r="O84">
        <f>model_eui_end_uses!O84*base_scenario_arch_measures!$F84</f>
        <v>0</v>
      </c>
      <c r="P84">
        <f>model_eui_end_uses!P84*base_scenario_arch_measures!$F84</f>
        <v>0</v>
      </c>
      <c r="Q84">
        <f>model_eui_end_uses!Q84*base_scenario_arch_measures!$F84</f>
        <v>0</v>
      </c>
      <c r="R84" s="187">
        <f>model_eui_end_uses!R84*base_building_arch_areas!$N$23</f>
        <v>0</v>
      </c>
      <c r="S84" s="187">
        <f>model_eui_end_uses!S84*base_building_arch_areas!$N$23</f>
        <v>1251966.2135688032</v>
      </c>
      <c r="T84" s="187">
        <f>model_eui_end_uses!T84*base_building_arch_areas!$N$23</f>
        <v>8246.7619171664701</v>
      </c>
      <c r="U84" s="187">
        <f>model_eui_end_uses!U84*base_building_arch_areas!$N$23</f>
        <v>207486.48485918122</v>
      </c>
      <c r="V84" s="187">
        <f>model_eui_end_uses!V84*base_building_arch_areas!$N$23</f>
        <v>0</v>
      </c>
      <c r="W84" s="187">
        <f>model_eui_end_uses!W84*base_building_arch_areas!$N$23</f>
        <v>308571.25754341914</v>
      </c>
      <c r="X84" s="187">
        <f>model_eui_end_uses!X84*base_building_arch_areas!$N$23</f>
        <v>47703.014809360655</v>
      </c>
      <c r="Y84" s="187">
        <f>model_eui_end_uses!Y84*base_building_arch_areas!$N$23</f>
        <v>0</v>
      </c>
      <c r="Z84" s="187">
        <f>model_eui_end_uses!Z84*base_building_arch_areas!$N$23</f>
        <v>98162.815552881395</v>
      </c>
      <c r="AA84" s="187">
        <f>model_eui_end_uses!AA84*base_building_arch_areas!$N$23</f>
        <v>25672.323221393759</v>
      </c>
      <c r="AB84" s="187">
        <f>model_eui_end_uses!AB84*base_building_arch_areas!$N$23</f>
        <v>0</v>
      </c>
      <c r="AC84" s="187">
        <f>model_eui_end_uses!AC84*base_building_arch_areas!$N$23</f>
        <v>1947808.8714722055</v>
      </c>
      <c r="AD84" s="187">
        <f>model_eui_end_uses!AD84*base_building_arch_areas!$N$23</f>
        <v>-45524.328065388094</v>
      </c>
      <c r="AE84" s="187">
        <f>model_eui_end_uses!AE84*base_building_arch_areas!$N$23</f>
        <v>87489.610095947908</v>
      </c>
      <c r="AF84" s="187">
        <f t="shared" si="14"/>
        <v>41965.282030559814</v>
      </c>
      <c r="AG84" s="187">
        <f>model_eui_end_uses!AH84*base_building_arch_areas!$N$23</f>
        <v>-737.49411465928699</v>
      </c>
      <c r="AH84" s="187">
        <f>model_eui_end_uses!AI84*base_building_arch_areas!$N$23</f>
        <v>9886.3259408421145</v>
      </c>
      <c r="AI84" s="187">
        <f t="shared" si="15"/>
        <v>9148.8318261828281</v>
      </c>
      <c r="AJ84" s="200">
        <f>sim_annual_output!F84/sim_annual_output!H84*base_building_arch_areas!$N$23</f>
        <v>196219.23287497679</v>
      </c>
      <c r="AK84">
        <f t="shared" si="16"/>
        <v>21.44746308631683</v>
      </c>
    </row>
    <row r="85" spans="1:37">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f>model_eui_end_uses!G85*base_scenario_arch_measures!$F85</f>
        <v>0</v>
      </c>
      <c r="H85">
        <f>model_eui_end_uses!H85*base_scenario_arch_measures!$F85</f>
        <v>0</v>
      </c>
      <c r="I85">
        <f>model_eui_end_uses!I85*base_scenario_arch_measures!$F85</f>
        <v>0</v>
      </c>
      <c r="J85">
        <f>model_eui_end_uses!J85*base_scenario_arch_measures!$F85</f>
        <v>0</v>
      </c>
      <c r="K85">
        <f>model_eui_end_uses!K85*base_scenario_arch_measures!$F85</f>
        <v>0</v>
      </c>
      <c r="L85">
        <f>model_eui_end_uses!L85*base_scenario_arch_measures!$F85</f>
        <v>0</v>
      </c>
      <c r="M85">
        <f>model_eui_end_uses!M85*base_scenario_arch_measures!$F85</f>
        <v>0</v>
      </c>
      <c r="N85">
        <f>model_eui_end_uses!N85*base_scenario_arch_measures!$F85</f>
        <v>0</v>
      </c>
      <c r="O85">
        <f>model_eui_end_uses!O85*base_scenario_arch_measures!$F85</f>
        <v>0</v>
      </c>
      <c r="P85">
        <f>model_eui_end_uses!P85*base_scenario_arch_measures!$F85</f>
        <v>0</v>
      </c>
      <c r="Q85">
        <f>model_eui_end_uses!Q85*base_scenario_arch_measures!$F85</f>
        <v>0</v>
      </c>
      <c r="R85" s="187">
        <f>model_eui_end_uses!R85*base_building_arch_areas!$N$23</f>
        <v>0</v>
      </c>
      <c r="S85" s="187">
        <f>model_eui_end_uses!S85*base_building_arch_areas!$N$23</f>
        <v>1251966.2135688032</v>
      </c>
      <c r="T85" s="187">
        <f>model_eui_end_uses!T85*base_building_arch_areas!$N$23</f>
        <v>8246.7619171664701</v>
      </c>
      <c r="U85" s="187">
        <f>model_eui_end_uses!U85*base_building_arch_areas!$N$23</f>
        <v>207486.48485918122</v>
      </c>
      <c r="V85" s="187">
        <f>model_eui_end_uses!V85*base_building_arch_areas!$N$23</f>
        <v>0</v>
      </c>
      <c r="W85" s="187">
        <f>model_eui_end_uses!W85*base_building_arch_areas!$N$23</f>
        <v>308571.25754341914</v>
      </c>
      <c r="X85" s="187">
        <f>model_eui_end_uses!X85*base_building_arch_areas!$N$23</f>
        <v>47703.014809360655</v>
      </c>
      <c r="Y85" s="187">
        <f>model_eui_end_uses!Y85*base_building_arch_areas!$N$23</f>
        <v>0</v>
      </c>
      <c r="Z85" s="187">
        <f>model_eui_end_uses!Z85*base_building_arch_areas!$N$23</f>
        <v>98162.815552881395</v>
      </c>
      <c r="AA85" s="187">
        <f>model_eui_end_uses!AA85*base_building_arch_areas!$N$23</f>
        <v>25672.323221393759</v>
      </c>
      <c r="AB85" s="187">
        <f>model_eui_end_uses!AB85*base_building_arch_areas!$N$23</f>
        <v>0</v>
      </c>
      <c r="AC85" s="187">
        <f>model_eui_end_uses!AC85*base_building_arch_areas!$N$23</f>
        <v>1947808.8714722055</v>
      </c>
      <c r="AD85" s="187">
        <f>model_eui_end_uses!AD85*base_building_arch_areas!$N$23</f>
        <v>366058.69946289429</v>
      </c>
      <c r="AE85" s="187">
        <f>model_eui_end_uses!AE85*base_building_arch_areas!$N$23</f>
        <v>15349.123396614574</v>
      </c>
      <c r="AF85" s="187">
        <f t="shared" si="14"/>
        <v>381407.82285950886</v>
      </c>
      <c r="AG85" s="187">
        <f>model_eui_end_uses!AH85*base_building_arch_areas!$N$23</f>
        <v>5930.1509312988874</v>
      </c>
      <c r="AH85" s="187">
        <f>model_eui_end_uses!AI85*base_building_arch_areas!$N$23</f>
        <v>1734.4509438174466</v>
      </c>
      <c r="AI85" s="187">
        <f t="shared" si="15"/>
        <v>7664.6018751163338</v>
      </c>
      <c r="AJ85" s="200">
        <f>sim_annual_output!F85/sim_annual_output!H85*base_building_arch_areas!$N$23</f>
        <v>9443.1036121027828</v>
      </c>
      <c r="AK85">
        <f t="shared" si="16"/>
        <v>1.2320409808577899</v>
      </c>
    </row>
    <row r="86" spans="1:37">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f>model_eui_end_uses!G86*base_scenario_arch_measures!$F86</f>
        <v>0</v>
      </c>
      <c r="H86">
        <f>model_eui_end_uses!H86*base_scenario_arch_measures!$F86</f>
        <v>0</v>
      </c>
      <c r="I86">
        <f>model_eui_end_uses!I86*base_scenario_arch_measures!$F86</f>
        <v>0</v>
      </c>
      <c r="J86">
        <f>model_eui_end_uses!J86*base_scenario_arch_measures!$F86</f>
        <v>0</v>
      </c>
      <c r="K86">
        <f>model_eui_end_uses!K86*base_scenario_arch_measures!$F86</f>
        <v>0</v>
      </c>
      <c r="L86">
        <f>model_eui_end_uses!L86*base_scenario_arch_measures!$F86</f>
        <v>0</v>
      </c>
      <c r="M86">
        <f>model_eui_end_uses!M86*base_scenario_arch_measures!$F86</f>
        <v>0</v>
      </c>
      <c r="N86">
        <f>model_eui_end_uses!N86*base_scenario_arch_measures!$F86</f>
        <v>0</v>
      </c>
      <c r="O86">
        <f>model_eui_end_uses!O86*base_scenario_arch_measures!$F86</f>
        <v>0</v>
      </c>
      <c r="P86">
        <f>model_eui_end_uses!P86*base_scenario_arch_measures!$F86</f>
        <v>0</v>
      </c>
      <c r="Q86">
        <f>model_eui_end_uses!Q86*base_scenario_arch_measures!$F86</f>
        <v>0</v>
      </c>
      <c r="R86" s="187">
        <f>model_eui_end_uses!R86*base_building_arch_areas!$N$23</f>
        <v>0</v>
      </c>
      <c r="S86" s="187">
        <f>model_eui_end_uses!S86*base_building_arch_areas!$N$23</f>
        <v>1251966.2135688032</v>
      </c>
      <c r="T86" s="187">
        <f>model_eui_end_uses!T86*base_building_arch_areas!$N$23</f>
        <v>8246.7619171664701</v>
      </c>
      <c r="U86" s="187">
        <f>model_eui_end_uses!U86*base_building_arch_areas!$N$23</f>
        <v>207486.48485918122</v>
      </c>
      <c r="V86" s="187">
        <f>model_eui_end_uses!V86*base_building_arch_areas!$N$23</f>
        <v>0</v>
      </c>
      <c r="W86" s="187">
        <f>model_eui_end_uses!W86*base_building_arch_areas!$N$23</f>
        <v>308571.25754341914</v>
      </c>
      <c r="X86" s="187">
        <f>model_eui_end_uses!X86*base_building_arch_areas!$N$23</f>
        <v>47703.014809360655</v>
      </c>
      <c r="Y86" s="187">
        <f>model_eui_end_uses!Y86*base_building_arch_areas!$N$23</f>
        <v>0</v>
      </c>
      <c r="Z86" s="187">
        <f>model_eui_end_uses!Z86*base_building_arch_areas!$N$23</f>
        <v>98162.815552881395</v>
      </c>
      <c r="AA86" s="187">
        <f>model_eui_end_uses!AA86*base_building_arch_areas!$N$23</f>
        <v>25672.323221393759</v>
      </c>
      <c r="AB86" s="187">
        <f>model_eui_end_uses!AB86*base_building_arch_areas!$N$23</f>
        <v>0</v>
      </c>
      <c r="AC86" s="187">
        <f>model_eui_end_uses!AC86*base_building_arch_areas!$N$23</f>
        <v>1947808.8714722055</v>
      </c>
      <c r="AD86" s="187">
        <f>model_eui_end_uses!AD86*base_building_arch_areas!$N$23</f>
        <v>120185.6418457437</v>
      </c>
      <c r="AE86" s="187">
        <f>model_eui_end_uses!AE86*base_building_arch_areas!$N$23</f>
        <v>-13886.178507160024</v>
      </c>
      <c r="AF86" s="187">
        <f t="shared" si="14"/>
        <v>106299.46333858368</v>
      </c>
      <c r="AG86" s="187">
        <f>model_eui_end_uses!AH86*base_building_arch_areas!$N$23</f>
        <v>1947.0073979010479</v>
      </c>
      <c r="AH86" s="187">
        <f>model_eui_end_uses!AI86*base_building_arch_areas!$N$23</f>
        <v>-1569.1381713090827</v>
      </c>
      <c r="AI86" s="187">
        <f t="shared" si="15"/>
        <v>377.86922659196512</v>
      </c>
      <c r="AJ86" s="200">
        <f>sim_annual_output!F86/sim_annual_output!H86*base_building_arch_areas!$N$23</f>
        <v>7761.4736184826725</v>
      </c>
      <c r="AK86">
        <f t="shared" si="16"/>
        <v>20.540105074139184</v>
      </c>
    </row>
    <row r="87" spans="1:37">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f>model_eui_end_uses!G87*base_scenario_arch_measures!$F87</f>
        <v>0</v>
      </c>
      <c r="H87">
        <f>model_eui_end_uses!H87*base_scenario_arch_measures!$F87</f>
        <v>0</v>
      </c>
      <c r="I87">
        <f>model_eui_end_uses!I87*base_scenario_arch_measures!$F87</f>
        <v>0</v>
      </c>
      <c r="J87">
        <f>model_eui_end_uses!J87*base_scenario_arch_measures!$F87</f>
        <v>0</v>
      </c>
      <c r="K87">
        <f>model_eui_end_uses!K87*base_scenario_arch_measures!$F87</f>
        <v>0</v>
      </c>
      <c r="L87">
        <f>model_eui_end_uses!L87*base_scenario_arch_measures!$F87</f>
        <v>0</v>
      </c>
      <c r="M87">
        <f>model_eui_end_uses!M87*base_scenario_arch_measures!$F87</f>
        <v>0</v>
      </c>
      <c r="N87">
        <f>model_eui_end_uses!N87*base_scenario_arch_measures!$F87</f>
        <v>0</v>
      </c>
      <c r="O87">
        <f>model_eui_end_uses!O87*base_scenario_arch_measures!$F87</f>
        <v>0</v>
      </c>
      <c r="P87">
        <f>model_eui_end_uses!P87*base_scenario_arch_measures!$F87</f>
        <v>0</v>
      </c>
      <c r="Q87">
        <f>model_eui_end_uses!Q87*base_scenario_arch_measures!$F87</f>
        <v>0</v>
      </c>
      <c r="R87" s="187">
        <f>model_eui_end_uses!R87*base_building_arch_areas!$N$23</f>
        <v>0</v>
      </c>
      <c r="S87" s="187">
        <f>model_eui_end_uses!S87*base_building_arch_areas!$N$23</f>
        <v>1251966.2135688032</v>
      </c>
      <c r="T87" s="187">
        <f>model_eui_end_uses!T87*base_building_arch_areas!$N$23</f>
        <v>8246.7619171664701</v>
      </c>
      <c r="U87" s="187">
        <f>model_eui_end_uses!U87*base_building_arch_areas!$N$23</f>
        <v>207486.48485918122</v>
      </c>
      <c r="V87" s="187">
        <f>model_eui_end_uses!V87*base_building_arch_areas!$N$23</f>
        <v>0</v>
      </c>
      <c r="W87" s="187">
        <f>model_eui_end_uses!W87*base_building_arch_areas!$N$23</f>
        <v>308571.25754341914</v>
      </c>
      <c r="X87" s="187">
        <f>model_eui_end_uses!X87*base_building_arch_areas!$N$23</f>
        <v>47703.014809360655</v>
      </c>
      <c r="Y87" s="187">
        <f>model_eui_end_uses!Y87*base_building_arch_areas!$N$23</f>
        <v>0</v>
      </c>
      <c r="Z87" s="187">
        <f>model_eui_end_uses!Z87*base_building_arch_areas!$N$23</f>
        <v>98162.815552881395</v>
      </c>
      <c r="AA87" s="187">
        <f>model_eui_end_uses!AA87*base_building_arch_areas!$N$23</f>
        <v>25672.323221393759</v>
      </c>
      <c r="AB87" s="187">
        <f>model_eui_end_uses!AB87*base_building_arch_areas!$N$23</f>
        <v>0</v>
      </c>
      <c r="AC87" s="187">
        <f>model_eui_end_uses!AC87*base_building_arch_areas!$N$23</f>
        <v>1947808.8714722055</v>
      </c>
      <c r="AD87" s="187">
        <f>model_eui_end_uses!AD87*base_building_arch_areas!$N$23</f>
        <v>725011.1047987882</v>
      </c>
      <c r="AE87" s="187">
        <f>model_eui_end_uses!AE87*base_building_arch_areas!$N$23</f>
        <v>148138.90064746977</v>
      </c>
      <c r="AF87" s="187">
        <f t="shared" si="14"/>
        <v>873150.005446258</v>
      </c>
      <c r="AG87" s="187">
        <f>model_eui_end_uses!AH87*base_building_arch_areas!$N$23</f>
        <v>11745.179897740367</v>
      </c>
      <c r="AH87" s="187">
        <f>model_eui_end_uses!AI87*base_building_arch_areas!$N$23</f>
        <v>16739.695773164083</v>
      </c>
      <c r="AI87" s="187">
        <f t="shared" si="15"/>
        <v>28484.87567090445</v>
      </c>
      <c r="AJ87" s="200">
        <f>sim_annual_output!F87/sim_annual_output!H87*base_building_arch_areas!$N$23</f>
        <v>307961.95595614612</v>
      </c>
      <c r="AK87">
        <f t="shared" si="16"/>
        <v>10.811420050209675</v>
      </c>
    </row>
    <row r="88" spans="1:37">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f>model_eui_end_uses!G88*base_scenario_arch_measures!$F88</f>
        <v>0</v>
      </c>
      <c r="H88">
        <f>model_eui_end_uses!H88*base_scenario_arch_measures!$F88</f>
        <v>0</v>
      </c>
      <c r="I88">
        <f>model_eui_end_uses!I88*base_scenario_arch_measures!$F88</f>
        <v>0</v>
      </c>
      <c r="J88">
        <f>model_eui_end_uses!J88*base_scenario_arch_measures!$F88</f>
        <v>0</v>
      </c>
      <c r="K88">
        <f>model_eui_end_uses!K88*base_scenario_arch_measures!$F88</f>
        <v>0</v>
      </c>
      <c r="L88">
        <f>model_eui_end_uses!L88*base_scenario_arch_measures!$F88</f>
        <v>0</v>
      </c>
      <c r="M88">
        <f>model_eui_end_uses!M88*base_scenario_arch_measures!$F88</f>
        <v>0</v>
      </c>
      <c r="N88">
        <f>model_eui_end_uses!N88*base_scenario_arch_measures!$F88</f>
        <v>0</v>
      </c>
      <c r="O88">
        <f>model_eui_end_uses!O88*base_scenario_arch_measures!$F88</f>
        <v>0</v>
      </c>
      <c r="P88">
        <f>model_eui_end_uses!P88*base_scenario_arch_measures!$F88</f>
        <v>0</v>
      </c>
      <c r="Q88">
        <f>model_eui_end_uses!Q88*base_scenario_arch_measures!$F88</f>
        <v>0</v>
      </c>
      <c r="R88" s="187">
        <f>model_eui_end_uses!R88*base_building_arch_areas!$N$23</f>
        <v>0</v>
      </c>
      <c r="S88" s="187">
        <f>model_eui_end_uses!S88*base_building_arch_areas!$N$23</f>
        <v>1251966.2135688032</v>
      </c>
      <c r="T88" s="187">
        <f>model_eui_end_uses!T88*base_building_arch_areas!$N$23</f>
        <v>8246.7619171664701</v>
      </c>
      <c r="U88" s="187">
        <f>model_eui_end_uses!U88*base_building_arch_areas!$N$23</f>
        <v>207486.48485918122</v>
      </c>
      <c r="V88" s="187">
        <f>model_eui_end_uses!V88*base_building_arch_areas!$N$23</f>
        <v>0</v>
      </c>
      <c r="W88" s="187">
        <f>model_eui_end_uses!W88*base_building_arch_areas!$N$23</f>
        <v>308571.25754341914</v>
      </c>
      <c r="X88" s="187">
        <f>model_eui_end_uses!X88*base_building_arch_areas!$N$23</f>
        <v>47703.014809360655</v>
      </c>
      <c r="Y88" s="187">
        <f>model_eui_end_uses!Y88*base_building_arch_areas!$N$23</f>
        <v>0</v>
      </c>
      <c r="Z88" s="187">
        <f>model_eui_end_uses!Z88*base_building_arch_areas!$N$23</f>
        <v>98162.815552881395</v>
      </c>
      <c r="AA88" s="187">
        <f>model_eui_end_uses!AA88*base_building_arch_areas!$N$23</f>
        <v>25672.323221393759</v>
      </c>
      <c r="AB88" s="187">
        <f>model_eui_end_uses!AB88*base_building_arch_areas!$N$23</f>
        <v>0</v>
      </c>
      <c r="AC88" s="187">
        <f>model_eui_end_uses!AC88*base_building_arch_areas!$N$23</f>
        <v>1947808.8714722055</v>
      </c>
      <c r="AD88" s="187">
        <f>model_eui_end_uses!AD88*base_building_arch_areas!$N$23</f>
        <v>-10932.760195385072</v>
      </c>
      <c r="AE88" s="187">
        <f>model_eui_end_uses!AE88*base_building_arch_areas!$N$23</f>
        <v>-21708.21448867855</v>
      </c>
      <c r="AF88" s="187">
        <f t="shared" si="14"/>
        <v>-32640.974684063622</v>
      </c>
      <c r="AG88" s="187">
        <f>model_eui_end_uses!AH88*base_building_arch_areas!$N$23</f>
        <v>-177.11071516523816</v>
      </c>
      <c r="AH88" s="187">
        <f>model_eui_end_uses!AI88*base_building_arch_areas!$N$23</f>
        <v>-2453.0282372206761</v>
      </c>
      <c r="AI88" s="187">
        <f t="shared" si="15"/>
        <v>-2630.1389523859143</v>
      </c>
      <c r="AJ88" s="200">
        <f>sim_annual_output!F88/sim_annual_output!H88*base_building_arch_areas!$N$23</f>
        <v>4487.8397516820733</v>
      </c>
      <c r="AK88">
        <f t="shared" si="16"/>
        <v>-1.7063127967482314</v>
      </c>
    </row>
    <row r="89" spans="1:37">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f>model_eui_end_uses!G89*base_scenario_arch_measures!$F89</f>
        <v>0</v>
      </c>
      <c r="H89">
        <f>model_eui_end_uses!H89*base_scenario_arch_measures!$F89</f>
        <v>0</v>
      </c>
      <c r="I89">
        <f>model_eui_end_uses!I89*base_scenario_arch_measures!$F89</f>
        <v>0</v>
      </c>
      <c r="J89">
        <f>model_eui_end_uses!J89*base_scenario_arch_measures!$F89</f>
        <v>0</v>
      </c>
      <c r="K89">
        <f>model_eui_end_uses!K89*base_scenario_arch_measures!$F89</f>
        <v>0</v>
      </c>
      <c r="L89">
        <f>model_eui_end_uses!L89*base_scenario_arch_measures!$F89</f>
        <v>0</v>
      </c>
      <c r="M89">
        <f>model_eui_end_uses!M89*base_scenario_arch_measures!$F89</f>
        <v>0</v>
      </c>
      <c r="N89">
        <f>model_eui_end_uses!N89*base_scenario_arch_measures!$F89</f>
        <v>0</v>
      </c>
      <c r="O89">
        <f>model_eui_end_uses!O89*base_scenario_arch_measures!$F89</f>
        <v>0</v>
      </c>
      <c r="P89">
        <f>model_eui_end_uses!P89*base_scenario_arch_measures!$F89</f>
        <v>0</v>
      </c>
      <c r="Q89">
        <f>model_eui_end_uses!Q89*base_scenario_arch_measures!$F89</f>
        <v>0</v>
      </c>
      <c r="R89" s="187">
        <f>model_eui_end_uses!R89*base_building_arch_areas!$N$23</f>
        <v>0</v>
      </c>
      <c r="S89" s="187">
        <f>model_eui_end_uses!S89*base_building_arch_areas!$N$23</f>
        <v>1251966.2135688032</v>
      </c>
      <c r="T89" s="187">
        <f>model_eui_end_uses!T89*base_building_arch_areas!$N$23</f>
        <v>8246.7619171664701</v>
      </c>
      <c r="U89" s="187">
        <f>model_eui_end_uses!U89*base_building_arch_areas!$N$23</f>
        <v>207486.48485918122</v>
      </c>
      <c r="V89" s="187">
        <f>model_eui_end_uses!V89*base_building_arch_areas!$N$23</f>
        <v>0</v>
      </c>
      <c r="W89" s="187">
        <f>model_eui_end_uses!W89*base_building_arch_areas!$N$23</f>
        <v>308571.25754341914</v>
      </c>
      <c r="X89" s="187">
        <f>model_eui_end_uses!X89*base_building_arch_areas!$N$23</f>
        <v>47703.014809360655</v>
      </c>
      <c r="Y89" s="187">
        <f>model_eui_end_uses!Y89*base_building_arch_areas!$N$23</f>
        <v>0</v>
      </c>
      <c r="Z89" s="187">
        <f>model_eui_end_uses!Z89*base_building_arch_areas!$N$23</f>
        <v>98162.815552881395</v>
      </c>
      <c r="AA89" s="187">
        <f>model_eui_end_uses!AA89*base_building_arch_areas!$N$23</f>
        <v>25672.323221393759</v>
      </c>
      <c r="AB89" s="187">
        <f>model_eui_end_uses!AB89*base_building_arch_areas!$N$23</f>
        <v>0</v>
      </c>
      <c r="AC89" s="187">
        <f>model_eui_end_uses!AC89*base_building_arch_areas!$N$23</f>
        <v>1947808.8714722055</v>
      </c>
      <c r="AD89" s="187">
        <f>model_eui_end_uses!AD89*base_building_arch_areas!$N$23</f>
        <v>-11514.792033125104</v>
      </c>
      <c r="AE89" s="187">
        <f>model_eui_end_uses!AE89*base_building_arch_areas!$N$23</f>
        <v>-15223.27867494107</v>
      </c>
      <c r="AF89" s="187">
        <f t="shared" si="14"/>
        <v>-26738.070708066174</v>
      </c>
      <c r="AG89" s="187">
        <f>model_eui_end_uses!AH89*base_building_arch_areas!$N$23</f>
        <v>-186.53963093662668</v>
      </c>
      <c r="AH89" s="187">
        <f>model_eui_end_uses!AI89*base_building_arch_areas!$N$23</f>
        <v>-1720.2304902683409</v>
      </c>
      <c r="AI89" s="187">
        <f t="shared" si="15"/>
        <v>-1906.7701212049676</v>
      </c>
      <c r="AJ89" s="200">
        <f>sim_annual_output!F89/sim_annual_output!H89*base_building_arch_areas!$N$23</f>
        <v>18689.38087933866</v>
      </c>
      <c r="AK89">
        <f t="shared" si="16"/>
        <v>-9.8015910106290427</v>
      </c>
    </row>
    <row r="90" spans="1:37">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f>model_eui_end_uses!G90*base_scenario_arch_measures!$F90</f>
        <v>0</v>
      </c>
      <c r="H90">
        <f>model_eui_end_uses!H90*base_scenario_arch_measures!$F90</f>
        <v>123.12343481705726</v>
      </c>
      <c r="I90">
        <f>model_eui_end_uses!I90*base_scenario_arch_measures!$F90</f>
        <v>1.2982634337387391</v>
      </c>
      <c r="J90">
        <f>model_eui_end_uses!J90*base_scenario_arch_measures!$F90</f>
        <v>0</v>
      </c>
      <c r="K90">
        <f>model_eui_end_uses!K90*base_scenario_arch_measures!$F90</f>
        <v>1.569718515338657</v>
      </c>
      <c r="L90">
        <f>model_eui_end_uses!L90*base_scenario_arch_measures!$F90</f>
        <v>15.368299861784338</v>
      </c>
      <c r="M90">
        <f>model_eui_end_uses!M90*base_scenario_arch_measures!$F90</f>
        <v>1.7102521860010982</v>
      </c>
      <c r="N90">
        <f>model_eui_end_uses!N90*base_scenario_arch_measures!$F90</f>
        <v>0</v>
      </c>
      <c r="O90">
        <f>model_eui_end_uses!O90*base_scenario_arch_measures!$F90</f>
        <v>2.8553278350090898</v>
      </c>
      <c r="P90">
        <f>model_eui_end_uses!P90*base_scenario_arch_measures!$F90</f>
        <v>2.782931701637529</v>
      </c>
      <c r="Q90">
        <f>model_eui_end_uses!Q90*base_scenario_arch_measures!$F90</f>
        <v>0</v>
      </c>
      <c r="R90" s="187">
        <f>model_eui_end_uses!R90*base_building_arch_areas!$N$2</f>
        <v>0</v>
      </c>
      <c r="S90" s="187">
        <f>model_eui_end_uses!S90*base_building_arch_areas!$N$2</f>
        <v>9853497.6168439332</v>
      </c>
      <c r="T90" s="187">
        <f>model_eui_end_uses!T90*base_building_arch_areas!$N$2</f>
        <v>7677.7797736273496</v>
      </c>
      <c r="U90" s="187">
        <f>model_eui_end_uses!U90*base_building_arch_areas!$N$2</f>
        <v>0</v>
      </c>
      <c r="V90" s="187">
        <f>model_eui_end_uses!V90*base_building_arch_areas!$N$2</f>
        <v>126663.72999944557</v>
      </c>
      <c r="W90" s="187">
        <f>model_eui_end_uses!W90*base_building_arch_areas!$N$2</f>
        <v>1240098.8872986569</v>
      </c>
      <c r="X90" s="187">
        <f>model_eui_end_uses!X90*base_building_arch_areas!$N$2</f>
        <v>138003.67327123534</v>
      </c>
      <c r="Y90" s="187">
        <f>model_eui_end_uses!Y90*base_building_arch_areas!$N$2</f>
        <v>0</v>
      </c>
      <c r="Z90" s="187">
        <f>model_eui_end_uses!Z90*base_building_arch_areas!$N$2</f>
        <v>229479.21566367269</v>
      </c>
      <c r="AA90" s="187">
        <f>model_eui_end_uses!AA90*base_building_arch_areas!$N$2</f>
        <v>197688.10197184997</v>
      </c>
      <c r="AB90" s="187">
        <f>model_eui_end_uses!AB90*base_building_arch_areas!$N$2</f>
        <v>0</v>
      </c>
      <c r="AC90" s="187">
        <f>model_eui_end_uses!AC90*base_building_arch_areas!$N$2</f>
        <v>11793109.004822422</v>
      </c>
      <c r="AD90" s="187">
        <f>model_eui_end_uses!AD90*base_building_arch_areas!$N$2</f>
        <v>-81578.864627965304</v>
      </c>
      <c r="AE90" s="187">
        <f>model_eui_end_uses!AE90*base_building_arch_areas!$N$2</f>
        <v>-124876.82984752723</v>
      </c>
      <c r="AF90" s="187">
        <f t="shared" si="11"/>
        <v>-206455.69447549252</v>
      </c>
      <c r="AG90" s="187">
        <f>model_eui_end_uses!AH90*base_building_arch_areas!$N$2</f>
        <v>-1321.577606973038</v>
      </c>
      <c r="AH90" s="187">
        <f>model_eui_end_uses!AI90*base_building_arch_areas!$N$2</f>
        <v>-14111.081772770578</v>
      </c>
      <c r="AI90" s="187">
        <f t="shared" si="12"/>
        <v>-15432.659379743616</v>
      </c>
      <c r="AJ90" s="200">
        <f>sim_annual_output!F90/sim_annual_output!H90*base_building_arch_areas!$N$2</f>
        <v>24802.220953936612</v>
      </c>
      <c r="AK90">
        <f t="shared" si="13"/>
        <v>-1.6071255344682307</v>
      </c>
    </row>
    <row r="91" spans="1:37">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f>model_eui_end_uses!G91*base_scenario_arch_measures!$F91</f>
        <v>0</v>
      </c>
      <c r="H91">
        <f>model_eui_end_uses!H91*base_scenario_arch_measures!$F91</f>
        <v>122.11244410750383</v>
      </c>
      <c r="I91">
        <f>model_eui_end_uses!I91*base_scenario_arch_measures!$F91</f>
        <v>9.5149203859765122E-2</v>
      </c>
      <c r="J91">
        <f>model_eui_end_uses!J91*base_scenario_arch_measures!$F91</f>
        <v>0</v>
      </c>
      <c r="K91">
        <f>model_eui_end_uses!K91*base_scenario_arch_measures!$F91</f>
        <v>1.569718515338657</v>
      </c>
      <c r="L91">
        <f>model_eui_end_uses!L91*base_scenario_arch_measures!$F91</f>
        <v>15.368299861784338</v>
      </c>
      <c r="M91">
        <f>model_eui_end_uses!M91*base_scenario_arch_measures!$F91</f>
        <v>1.7102521860010982</v>
      </c>
      <c r="N91">
        <f>model_eui_end_uses!N91*base_scenario_arch_measures!$F91</f>
        <v>0</v>
      </c>
      <c r="O91">
        <f>model_eui_end_uses!O91*base_scenario_arch_measures!$F91</f>
        <v>2.8438904626781203</v>
      </c>
      <c r="P91">
        <f>model_eui_end_uses!P91*base_scenario_arch_measures!$F91</f>
        <v>2.4499094881283514</v>
      </c>
      <c r="Q91">
        <f>model_eui_end_uses!Q91*base_scenario_arch_measures!$F91</f>
        <v>0</v>
      </c>
      <c r="R91" s="187">
        <f>model_eui_end_uses!R91*base_building_arch_areas!$N$2</f>
        <v>0</v>
      </c>
      <c r="S91" s="187">
        <f>model_eui_end_uses!S91*base_building_arch_areas!$N$2</f>
        <v>9853497.6168439332</v>
      </c>
      <c r="T91" s="187">
        <f>model_eui_end_uses!T91*base_building_arch_areas!$N$2</f>
        <v>7677.7797736273496</v>
      </c>
      <c r="U91" s="187">
        <f>model_eui_end_uses!U91*base_building_arch_areas!$N$2</f>
        <v>0</v>
      </c>
      <c r="V91" s="187">
        <f>model_eui_end_uses!V91*base_building_arch_areas!$N$2</f>
        <v>126663.72999944557</v>
      </c>
      <c r="W91" s="187">
        <f>model_eui_end_uses!W91*base_building_arch_areas!$N$2</f>
        <v>1240098.8872986569</v>
      </c>
      <c r="X91" s="187">
        <f>model_eui_end_uses!X91*base_building_arch_areas!$N$2</f>
        <v>138003.67327123534</v>
      </c>
      <c r="Y91" s="187">
        <f>model_eui_end_uses!Y91*base_building_arch_areas!$N$2</f>
        <v>0</v>
      </c>
      <c r="Z91" s="187">
        <f>model_eui_end_uses!Z91*base_building_arch_areas!$N$2</f>
        <v>229479.21566367269</v>
      </c>
      <c r="AA91" s="187">
        <f>model_eui_end_uses!AA91*base_building_arch_areas!$N$2</f>
        <v>197688.10197184997</v>
      </c>
      <c r="AB91" s="187">
        <f>model_eui_end_uses!AB91*base_building_arch_areas!$N$2</f>
        <v>0</v>
      </c>
      <c r="AC91" s="187">
        <f>model_eui_end_uses!AC91*base_building_arch_areas!$N$2</f>
        <v>11793109.004822422</v>
      </c>
      <c r="AD91" s="187">
        <f>model_eui_end_uses!AD91*base_building_arch_areas!$N$2</f>
        <v>0</v>
      </c>
      <c r="AE91" s="187">
        <f>model_eui_end_uses!AE91*base_building_arch_areas!$N$2</f>
        <v>0</v>
      </c>
      <c r="AF91" s="187">
        <f t="shared" ref="AF91:AF113" si="17">SUM(AD91:AE91)</f>
        <v>0</v>
      </c>
      <c r="AG91" s="187">
        <f>model_eui_end_uses!AH91*base_building_arch_areas!$N$2</f>
        <v>0</v>
      </c>
      <c r="AH91" s="187">
        <f>model_eui_end_uses!AI91*base_building_arch_areas!$N$2</f>
        <v>0</v>
      </c>
      <c r="AI91" s="187">
        <f t="shared" ref="AI91:AI113" si="18">SUM(AG91:AH91)</f>
        <v>0</v>
      </c>
      <c r="AJ91" s="200">
        <f>sim_annual_output!F91/sim_annual_output!H91*base_building_arch_areas!$N$2</f>
        <v>0</v>
      </c>
      <c r="AK91">
        <f t="shared" ref="AK91:AK113" si="19">IF(AI91=0,0,AJ91/AI91)</f>
        <v>0</v>
      </c>
    </row>
    <row r="92" spans="1:37">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f>model_eui_end_uses!G92*base_scenario_arch_measures!$F92</f>
        <v>0</v>
      </c>
      <c r="H92">
        <f>model_eui_end_uses!H92*base_scenario_arch_measures!$F92</f>
        <v>121.12371977174367</v>
      </c>
      <c r="I92">
        <f>model_eui_end_uses!I92*base_scenario_arch_measures!$F92</f>
        <v>0.11826729686917097</v>
      </c>
      <c r="J92">
        <f>model_eui_end_uses!J92*base_scenario_arch_measures!$F92</f>
        <v>0</v>
      </c>
      <c r="K92">
        <f>model_eui_end_uses!K92*base_scenario_arch_measures!$F92</f>
        <v>1.569718515338657</v>
      </c>
      <c r="L92">
        <f>model_eui_end_uses!L92*base_scenario_arch_measures!$F92</f>
        <v>15.368299861784338</v>
      </c>
      <c r="M92">
        <f>model_eui_end_uses!M92*base_scenario_arch_measures!$F92</f>
        <v>1.7102521860010982</v>
      </c>
      <c r="N92">
        <f>model_eui_end_uses!N92*base_scenario_arch_measures!$F92</f>
        <v>0</v>
      </c>
      <c r="O92">
        <f>model_eui_end_uses!O92*base_scenario_arch_measures!$F92</f>
        <v>2.8553278350090898</v>
      </c>
      <c r="P92">
        <f>model_eui_end_uses!P92*base_scenario_arch_measures!$F92</f>
        <v>2.4493011172596826</v>
      </c>
      <c r="Q92">
        <f>model_eui_end_uses!Q92*base_scenario_arch_measures!$F92</f>
        <v>0</v>
      </c>
      <c r="R92" s="187">
        <f>model_eui_end_uses!R92*base_building_arch_areas!$N$2</f>
        <v>0</v>
      </c>
      <c r="S92" s="187">
        <f>model_eui_end_uses!S92*base_building_arch_areas!$N$2</f>
        <v>9853497.6168439332</v>
      </c>
      <c r="T92" s="187">
        <f>model_eui_end_uses!T92*base_building_arch_areas!$N$2</f>
        <v>7677.7797736273496</v>
      </c>
      <c r="U92" s="187">
        <f>model_eui_end_uses!U92*base_building_arch_areas!$N$2</f>
        <v>0</v>
      </c>
      <c r="V92" s="187">
        <f>model_eui_end_uses!V92*base_building_arch_areas!$N$2</f>
        <v>126663.72999944557</v>
      </c>
      <c r="W92" s="187">
        <f>model_eui_end_uses!W92*base_building_arch_areas!$N$2</f>
        <v>1240098.8872986569</v>
      </c>
      <c r="X92" s="187">
        <f>model_eui_end_uses!X92*base_building_arch_areas!$N$2</f>
        <v>138003.67327123534</v>
      </c>
      <c r="Y92" s="187">
        <f>model_eui_end_uses!Y92*base_building_arch_areas!$N$2</f>
        <v>0</v>
      </c>
      <c r="Z92" s="187">
        <f>model_eui_end_uses!Z92*base_building_arch_areas!$N$2</f>
        <v>229479.21566367269</v>
      </c>
      <c r="AA92" s="187">
        <f>model_eui_end_uses!AA92*base_building_arch_areas!$N$2</f>
        <v>197688.10197184997</v>
      </c>
      <c r="AB92" s="187">
        <f>model_eui_end_uses!AB92*base_building_arch_areas!$N$2</f>
        <v>0</v>
      </c>
      <c r="AC92" s="187">
        <f>model_eui_end_uses!AC92*base_building_arch_areas!$N$2</f>
        <v>11793109.004822422</v>
      </c>
      <c r="AD92" s="187">
        <f>model_eui_end_uses!AD92*base_building_arch_areas!$N$2</f>
        <v>79782.146343344284</v>
      </c>
      <c r="AE92" s="187">
        <f>model_eui_end_uses!AE92*base_building_arch_areas!$N$2</f>
        <v>-2739.2590240947284</v>
      </c>
      <c r="AF92" s="187">
        <f t="shared" si="17"/>
        <v>77042.887319249552</v>
      </c>
      <c r="AG92" s="187">
        <f>model_eui_end_uses!AH92*base_building_arch_areas!$N$2</f>
        <v>1292.4707707621774</v>
      </c>
      <c r="AH92" s="187">
        <f>model_eui_end_uses!AI92*base_building_arch_areas!$N$2</f>
        <v>-309.53626972270433</v>
      </c>
      <c r="AI92" s="187">
        <f t="shared" si="18"/>
        <v>982.93450103947305</v>
      </c>
      <c r="AJ92" s="200">
        <f>sim_annual_output!F92/sim_annual_output!H92*base_building_arch_areas!$N$2</f>
        <v>599376.04907809768</v>
      </c>
      <c r="AK92">
        <f t="shared" si="19"/>
        <v>609.78228808150027</v>
      </c>
    </row>
    <row r="93" spans="1:37">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f>model_eui_end_uses!G93*base_scenario_arch_measures!$F93</f>
        <v>0</v>
      </c>
      <c r="H93">
        <f>model_eui_end_uses!H93*base_scenario_arch_measures!$F93</f>
        <v>99.912504413092591</v>
      </c>
      <c r="I93">
        <f>model_eui_end_uses!I93*base_scenario_arch_measures!$F93</f>
        <v>0.11826729686917097</v>
      </c>
      <c r="J93">
        <f>model_eui_end_uses!J93*base_scenario_arch_measures!$F93</f>
        <v>0</v>
      </c>
      <c r="K93">
        <f>model_eui_end_uses!K93*base_scenario_arch_measures!$F93</f>
        <v>1.569718515338657</v>
      </c>
      <c r="L93">
        <f>model_eui_end_uses!L93*base_scenario_arch_measures!$F93</f>
        <v>15.368299861784338</v>
      </c>
      <c r="M93">
        <f>model_eui_end_uses!M93*base_scenario_arch_measures!$F93</f>
        <v>1.7102521860010982</v>
      </c>
      <c r="N93">
        <f>model_eui_end_uses!N93*base_scenario_arch_measures!$F93</f>
        <v>0</v>
      </c>
      <c r="O93">
        <f>model_eui_end_uses!O93*base_scenario_arch_measures!$F93</f>
        <v>2.8553278350090898</v>
      </c>
      <c r="P93">
        <f>model_eui_end_uses!P93*base_scenario_arch_measures!$F93</f>
        <v>0.10451811523726118</v>
      </c>
      <c r="Q93">
        <f>model_eui_end_uses!Q93*base_scenario_arch_measures!$F93</f>
        <v>0</v>
      </c>
      <c r="R93" s="187">
        <f>model_eui_end_uses!R93*base_building_arch_areas!$N$2</f>
        <v>0</v>
      </c>
      <c r="S93" s="187">
        <f>model_eui_end_uses!S93*base_building_arch_areas!$N$2</f>
        <v>9853497.6168439332</v>
      </c>
      <c r="T93" s="187">
        <f>model_eui_end_uses!T93*base_building_arch_areas!$N$2</f>
        <v>7677.7797736273496</v>
      </c>
      <c r="U93" s="187">
        <f>model_eui_end_uses!U93*base_building_arch_areas!$N$2</f>
        <v>0</v>
      </c>
      <c r="V93" s="187">
        <f>model_eui_end_uses!V93*base_building_arch_areas!$N$2</f>
        <v>126663.72999944557</v>
      </c>
      <c r="W93" s="187">
        <f>model_eui_end_uses!W93*base_building_arch_areas!$N$2</f>
        <v>1240098.8872986569</v>
      </c>
      <c r="X93" s="187">
        <f>model_eui_end_uses!X93*base_building_arch_areas!$N$2</f>
        <v>138003.67327123534</v>
      </c>
      <c r="Y93" s="187">
        <f>model_eui_end_uses!Y93*base_building_arch_areas!$N$2</f>
        <v>0</v>
      </c>
      <c r="Z93" s="187">
        <f>model_eui_end_uses!Z93*base_building_arch_areas!$N$2</f>
        <v>229479.21566367269</v>
      </c>
      <c r="AA93" s="187">
        <f>model_eui_end_uses!AA93*base_building_arch_areas!$N$2</f>
        <v>197688.10197184997</v>
      </c>
      <c r="AB93" s="187">
        <f>model_eui_end_uses!AB93*base_building_arch_areas!$N$2</f>
        <v>0</v>
      </c>
      <c r="AC93" s="187">
        <f>model_eui_end_uses!AC93*base_building_arch_areas!$N$2</f>
        <v>11793109.004822422</v>
      </c>
      <c r="AD93" s="187">
        <f>model_eui_end_uses!AD93*base_building_arch_areas!$N$2</f>
        <v>1791357.5841654786</v>
      </c>
      <c r="AE93" s="187">
        <f>model_eui_end_uses!AE93*base_building_arch_areas!$N$2</f>
        <v>186465.97629249451</v>
      </c>
      <c r="AF93" s="187">
        <f t="shared" si="17"/>
        <v>1977823.560457973</v>
      </c>
      <c r="AG93" s="187">
        <f>model_eui_end_uses!AH93*base_building_arch_areas!$N$2</f>
        <v>29019.992863480751</v>
      </c>
      <c r="AH93" s="187">
        <f>model_eui_end_uses!AI93*base_building_arch_areas!$N$2</f>
        <v>21070.65532105188</v>
      </c>
      <c r="AI93" s="187">
        <f t="shared" si="18"/>
        <v>50090.648184532634</v>
      </c>
      <c r="AJ93" s="200">
        <f>sim_annual_output!F93/sim_annual_output!H93*base_building_arch_areas!$N$2</f>
        <v>3277.0700330104951</v>
      </c>
      <c r="AK93">
        <f t="shared" si="19"/>
        <v>6.5422791514652689E-2</v>
      </c>
    </row>
    <row r="94" spans="1:37">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f>model_eui_end_uses!G94*base_scenario_arch_measures!$F94</f>
        <v>0</v>
      </c>
      <c r="H94">
        <f>model_eui_end_uses!H94*base_scenario_arch_measures!$F94</f>
        <v>121.12371977174367</v>
      </c>
      <c r="I94">
        <f>model_eui_end_uses!I94*base_scenario_arch_measures!$F94</f>
        <v>8.4441876571198213E-2</v>
      </c>
      <c r="J94">
        <f>model_eui_end_uses!J94*base_scenario_arch_measures!$F94</f>
        <v>0</v>
      </c>
      <c r="K94">
        <f>model_eui_end_uses!K94*base_scenario_arch_measures!$F94</f>
        <v>1.569718515338657</v>
      </c>
      <c r="L94">
        <f>model_eui_end_uses!L94*base_scenario_arch_measures!$F94</f>
        <v>15.368299861784338</v>
      </c>
      <c r="M94">
        <f>model_eui_end_uses!M94*base_scenario_arch_measures!$F94</f>
        <v>1.7102521860010982</v>
      </c>
      <c r="N94">
        <f>model_eui_end_uses!N94*base_scenario_arch_measures!$F94</f>
        <v>0</v>
      </c>
      <c r="O94">
        <f>model_eui_end_uses!O94*base_scenario_arch_measures!$F94</f>
        <v>2.8553278350090898</v>
      </c>
      <c r="P94">
        <f>model_eui_end_uses!P94*base_scenario_arch_measures!$F94</f>
        <v>2.4493011172596826</v>
      </c>
      <c r="Q94">
        <f>model_eui_end_uses!Q94*base_scenario_arch_measures!$F94</f>
        <v>0</v>
      </c>
      <c r="R94" s="187">
        <f>model_eui_end_uses!R94*base_building_arch_areas!$N$2</f>
        <v>0</v>
      </c>
      <c r="S94" s="187">
        <f>model_eui_end_uses!S94*base_building_arch_areas!$N$2</f>
        <v>9853497.6168439332</v>
      </c>
      <c r="T94" s="187">
        <f>model_eui_end_uses!T94*base_building_arch_areas!$N$2</f>
        <v>7677.7797736273496</v>
      </c>
      <c r="U94" s="187">
        <f>model_eui_end_uses!U94*base_building_arch_areas!$N$2</f>
        <v>0</v>
      </c>
      <c r="V94" s="187">
        <f>model_eui_end_uses!V94*base_building_arch_areas!$N$2</f>
        <v>126663.72999944557</v>
      </c>
      <c r="W94" s="187">
        <f>model_eui_end_uses!W94*base_building_arch_areas!$N$2</f>
        <v>1240098.8872986569</v>
      </c>
      <c r="X94" s="187">
        <f>model_eui_end_uses!X94*base_building_arch_areas!$N$2</f>
        <v>138003.67327123534</v>
      </c>
      <c r="Y94" s="187">
        <f>model_eui_end_uses!Y94*base_building_arch_areas!$N$2</f>
        <v>0</v>
      </c>
      <c r="Z94" s="187">
        <f>model_eui_end_uses!Z94*base_building_arch_areas!$N$2</f>
        <v>229479.21566367269</v>
      </c>
      <c r="AA94" s="187">
        <f>model_eui_end_uses!AA94*base_building_arch_areas!$N$2</f>
        <v>197688.10197184997</v>
      </c>
      <c r="AB94" s="187">
        <f>model_eui_end_uses!AB94*base_building_arch_areas!$N$2</f>
        <v>0</v>
      </c>
      <c r="AC94" s="187">
        <f>model_eui_end_uses!AC94*base_building_arch_areas!$N$2</f>
        <v>11793109.004822422</v>
      </c>
      <c r="AD94" s="187">
        <f>model_eui_end_uses!AD94*base_building_arch_areas!$N$2</f>
        <v>79782.146343344284</v>
      </c>
      <c r="AE94" s="187">
        <f>model_eui_end_uses!AE94*base_building_arch_areas!$N$2</f>
        <v>-9.8181327028639487</v>
      </c>
      <c r="AF94" s="187">
        <f t="shared" si="17"/>
        <v>79772.328210641426</v>
      </c>
      <c r="AG94" s="187">
        <f>model_eui_end_uses!AH94*base_building_arch_areas!$N$2</f>
        <v>1292.4707707621774</v>
      </c>
      <c r="AH94" s="187">
        <f>model_eui_end_uses!AI94*base_building_arch_areas!$N$2</f>
        <v>-1.1094489954236264</v>
      </c>
      <c r="AI94" s="187">
        <f t="shared" si="18"/>
        <v>1291.3613217667537</v>
      </c>
      <c r="AJ94" s="200">
        <f>sim_annual_output!F94/sim_annual_output!H94*base_building_arch_areas!$N$2</f>
        <v>56802.300346699689</v>
      </c>
      <c r="AK94">
        <f t="shared" si="19"/>
        <v>43.986372666781286</v>
      </c>
    </row>
    <row r="95" spans="1:37">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f>model_eui_end_uses!G95*base_scenario_arch_measures!$F95</f>
        <v>0</v>
      </c>
      <c r="H95">
        <f>model_eui_end_uses!H95*base_scenario_arch_measures!$F95</f>
        <v>103.99126606499419</v>
      </c>
      <c r="I95">
        <f>model_eui_end_uses!I95*base_scenario_arch_measures!$F95</f>
        <v>0.14576566013299055</v>
      </c>
      <c r="J95">
        <f>model_eui_end_uses!J95*base_scenario_arch_measures!$F95</f>
        <v>0</v>
      </c>
      <c r="K95">
        <f>model_eui_end_uses!K95*base_scenario_arch_measures!$F95</f>
        <v>1.569718515338657</v>
      </c>
      <c r="L95">
        <f>model_eui_end_uses!L95*base_scenario_arch_measures!$F95</f>
        <v>15.368299861784338</v>
      </c>
      <c r="M95">
        <f>model_eui_end_uses!M95*base_scenario_arch_measures!$F95</f>
        <v>1.7102521860010982</v>
      </c>
      <c r="N95">
        <f>model_eui_end_uses!N95*base_scenario_arch_measures!$F95</f>
        <v>0</v>
      </c>
      <c r="O95">
        <f>model_eui_end_uses!O95*base_scenario_arch_measures!$F95</f>
        <v>2.8553278350090898</v>
      </c>
      <c r="P95">
        <f>model_eui_end_uses!P95*base_scenario_arch_measures!$F95</f>
        <v>2.3854221760494823</v>
      </c>
      <c r="Q95">
        <f>model_eui_end_uses!Q95*base_scenario_arch_measures!$F95</f>
        <v>0</v>
      </c>
      <c r="R95" s="187">
        <f>model_eui_end_uses!R95*base_building_arch_areas!$N$2</f>
        <v>0</v>
      </c>
      <c r="S95" s="187">
        <f>model_eui_end_uses!S95*base_building_arch_areas!$N$2</f>
        <v>9853497.6168439332</v>
      </c>
      <c r="T95" s="187">
        <f>model_eui_end_uses!T95*base_building_arch_areas!$N$2</f>
        <v>7677.7797736273496</v>
      </c>
      <c r="U95" s="187">
        <f>model_eui_end_uses!U95*base_building_arch_areas!$N$2</f>
        <v>0</v>
      </c>
      <c r="V95" s="187">
        <f>model_eui_end_uses!V95*base_building_arch_areas!$N$2</f>
        <v>126663.72999944557</v>
      </c>
      <c r="W95" s="187">
        <f>model_eui_end_uses!W95*base_building_arch_areas!$N$2</f>
        <v>1240098.8872986569</v>
      </c>
      <c r="X95" s="187">
        <f>model_eui_end_uses!X95*base_building_arch_areas!$N$2</f>
        <v>138003.67327123534</v>
      </c>
      <c r="Y95" s="187">
        <f>model_eui_end_uses!Y95*base_building_arch_areas!$N$2</f>
        <v>0</v>
      </c>
      <c r="Z95" s="187">
        <f>model_eui_end_uses!Z95*base_building_arch_areas!$N$2</f>
        <v>229479.21566367269</v>
      </c>
      <c r="AA95" s="187">
        <f>model_eui_end_uses!AA95*base_building_arch_areas!$N$2</f>
        <v>197688.10197184997</v>
      </c>
      <c r="AB95" s="187">
        <f>model_eui_end_uses!AB95*base_building_arch_areas!$N$2</f>
        <v>0</v>
      </c>
      <c r="AC95" s="187">
        <f>model_eui_end_uses!AC95*base_building_arch_areas!$N$2</f>
        <v>11793109.004822422</v>
      </c>
      <c r="AD95" s="187">
        <f>model_eui_end_uses!AD95*base_building_arch_areas!$N$2</f>
        <v>1462234.1397005983</v>
      </c>
      <c r="AE95" s="187">
        <f>model_eui_end_uses!AE95*base_building_arch_areas!$N$2</f>
        <v>196.36265405666282</v>
      </c>
      <c r="AF95" s="187">
        <f t="shared" si="17"/>
        <v>1462430.5023546549</v>
      </c>
      <c r="AG95" s="187">
        <f>model_eui_end_uses!AH95*base_building_arch_areas!$N$2</f>
        <v>23688.193063149694</v>
      </c>
      <c r="AH95" s="187">
        <f>model_eui_end_uses!AI95*base_building_arch_areas!$N$2</f>
        <v>22.188979908402899</v>
      </c>
      <c r="AI95" s="187">
        <f t="shared" si="18"/>
        <v>23710.382043058096</v>
      </c>
      <c r="AJ95" s="200">
        <f>sim_annual_output!F95/sim_annual_output!H95*base_building_arch_areas!$N$2</f>
        <v>225966.24049829741</v>
      </c>
      <c r="AK95">
        <f t="shared" si="19"/>
        <v>9.5302656906979539</v>
      </c>
    </row>
    <row r="96" spans="1:37">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f>model_eui_end_uses!G96*base_scenario_arch_measures!$F96</f>
        <v>0</v>
      </c>
      <c r="H96">
        <f>model_eui_end_uses!H96*base_scenario_arch_measures!$F96</f>
        <v>119.13288694111262</v>
      </c>
      <c r="I96">
        <f>model_eui_end_uses!I96*base_scenario_arch_measures!$F96</f>
        <v>0.62163335360554983</v>
      </c>
      <c r="J96">
        <f>model_eui_end_uses!J96*base_scenario_arch_measures!$F96</f>
        <v>0</v>
      </c>
      <c r="K96">
        <f>model_eui_end_uses!K96*base_scenario_arch_measures!$F96</f>
        <v>1.569718515338657</v>
      </c>
      <c r="L96">
        <f>model_eui_end_uses!L96*base_scenario_arch_measures!$F96</f>
        <v>15.368299861784338</v>
      </c>
      <c r="M96">
        <f>model_eui_end_uses!M96*base_scenario_arch_measures!$F96</f>
        <v>1.7102521860010982</v>
      </c>
      <c r="N96">
        <f>model_eui_end_uses!N96*base_scenario_arch_measures!$F96</f>
        <v>0</v>
      </c>
      <c r="O96">
        <f>model_eui_end_uses!O96*base_scenario_arch_measures!$F96</f>
        <v>2.8553278350090898</v>
      </c>
      <c r="P96">
        <f>model_eui_end_uses!P96*base_scenario_arch_measures!$F96</f>
        <v>2.4440691277891333</v>
      </c>
      <c r="Q96">
        <f>model_eui_end_uses!Q96*base_scenario_arch_measures!$F96</f>
        <v>0</v>
      </c>
      <c r="R96" s="187">
        <f>model_eui_end_uses!R96*base_building_arch_areas!$N$2</f>
        <v>0</v>
      </c>
      <c r="S96" s="187">
        <f>model_eui_end_uses!S96*base_building_arch_areas!$N$2</f>
        <v>9853497.6168439332</v>
      </c>
      <c r="T96" s="187">
        <f>model_eui_end_uses!T96*base_building_arch_areas!$N$2</f>
        <v>7677.7797736273496</v>
      </c>
      <c r="U96" s="187">
        <f>model_eui_end_uses!U96*base_building_arch_areas!$N$2</f>
        <v>0</v>
      </c>
      <c r="V96" s="187">
        <f>model_eui_end_uses!V96*base_building_arch_areas!$N$2</f>
        <v>126663.72999944557</v>
      </c>
      <c r="W96" s="187">
        <f>model_eui_end_uses!W96*base_building_arch_areas!$N$2</f>
        <v>1240098.8872986569</v>
      </c>
      <c r="X96" s="187">
        <f>model_eui_end_uses!X96*base_building_arch_areas!$N$2</f>
        <v>138003.67327123534</v>
      </c>
      <c r="Y96" s="187">
        <f>model_eui_end_uses!Y96*base_building_arch_areas!$N$2</f>
        <v>0</v>
      </c>
      <c r="Z96" s="187">
        <f>model_eui_end_uses!Z96*base_building_arch_areas!$N$2</f>
        <v>229479.21566367269</v>
      </c>
      <c r="AA96" s="187">
        <f>model_eui_end_uses!AA96*base_building_arch_areas!$N$2</f>
        <v>197688.10197184997</v>
      </c>
      <c r="AB96" s="187">
        <f>model_eui_end_uses!AB96*base_building_arch_areas!$N$2</f>
        <v>0</v>
      </c>
      <c r="AC96" s="187">
        <f>model_eui_end_uses!AC96*base_building_arch_areas!$N$2</f>
        <v>11793109.004822422</v>
      </c>
      <c r="AD96" s="187">
        <f>model_eui_end_uses!AD96*base_building_arch_areas!$N$2</f>
        <v>240426.43362734912</v>
      </c>
      <c r="AE96" s="187">
        <f>model_eui_end_uses!AE96*base_building_arch_areas!$N$2</f>
        <v>-42934.694309555656</v>
      </c>
      <c r="AF96" s="187">
        <f t="shared" si="17"/>
        <v>197491.73931779346</v>
      </c>
      <c r="AG96" s="187">
        <f>model_eui_end_uses!AH96*base_building_arch_areas!$N$2</f>
        <v>3894.9082247630554</v>
      </c>
      <c r="AH96" s="187">
        <f>model_eui_end_uses!AI96*base_building_arch_areas!$N$2</f>
        <v>-4851.6204569797892</v>
      </c>
      <c r="AI96" s="187">
        <f t="shared" si="18"/>
        <v>-956.71223221673381</v>
      </c>
      <c r="AJ96" s="200">
        <f>sim_annual_output!F96/sim_annual_output!H96*base_building_arch_areas!$N$2</f>
        <v>24802.220953936612</v>
      </c>
      <c r="AK96">
        <f t="shared" si="19"/>
        <v>-25.924431734785127</v>
      </c>
    </row>
    <row r="97" spans="1:37">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f>model_eui_end_uses!G97*base_scenario_arch_measures!$F97</f>
        <v>0</v>
      </c>
      <c r="H97">
        <f>model_eui_end_uses!H97*base_scenario_arch_measures!$F97</f>
        <v>121.12590990687087</v>
      </c>
      <c r="I97">
        <f>model_eui_end_uses!I97*base_scenario_arch_measures!$F97</f>
        <v>0.11473874583089323</v>
      </c>
      <c r="J97">
        <f>model_eui_end_uses!J97*base_scenario_arch_measures!$F97</f>
        <v>0</v>
      </c>
      <c r="K97">
        <f>model_eui_end_uses!K97*base_scenario_arch_measures!$F97</f>
        <v>1.569718515338657</v>
      </c>
      <c r="L97">
        <f>model_eui_end_uses!L97*base_scenario_arch_measures!$F97</f>
        <v>15.368299861784338</v>
      </c>
      <c r="M97">
        <f>model_eui_end_uses!M97*base_scenario_arch_measures!$F97</f>
        <v>1.7102521860010982</v>
      </c>
      <c r="N97">
        <f>model_eui_end_uses!N97*base_scenario_arch_measures!$F97</f>
        <v>0</v>
      </c>
      <c r="O97">
        <f>model_eui_end_uses!O97*base_scenario_arch_measures!$F97</f>
        <v>2.8553278350090898</v>
      </c>
      <c r="P97">
        <f>model_eui_end_uses!P97*base_scenario_arch_measures!$F97</f>
        <v>2.4486927463910142</v>
      </c>
      <c r="Q97">
        <f>model_eui_end_uses!Q97*base_scenario_arch_measures!$F97</f>
        <v>0</v>
      </c>
      <c r="R97" s="187">
        <f>model_eui_end_uses!R97*base_building_arch_areas!$N$2</f>
        <v>0</v>
      </c>
      <c r="S97" s="187">
        <f>model_eui_end_uses!S97*base_building_arch_areas!$N$2</f>
        <v>9853497.6168439332</v>
      </c>
      <c r="T97" s="187">
        <f>model_eui_end_uses!T97*base_building_arch_areas!$N$2</f>
        <v>7677.7797736273496</v>
      </c>
      <c r="U97" s="187">
        <f>model_eui_end_uses!U97*base_building_arch_areas!$N$2</f>
        <v>0</v>
      </c>
      <c r="V97" s="187">
        <f>model_eui_end_uses!V97*base_building_arch_areas!$N$2</f>
        <v>126663.72999944557</v>
      </c>
      <c r="W97" s="187">
        <f>model_eui_end_uses!W97*base_building_arch_areas!$N$2</f>
        <v>1240098.8872986569</v>
      </c>
      <c r="X97" s="187">
        <f>model_eui_end_uses!X97*base_building_arch_areas!$N$2</f>
        <v>138003.67327123534</v>
      </c>
      <c r="Y97" s="187">
        <f>model_eui_end_uses!Y97*base_building_arch_areas!$N$2</f>
        <v>0</v>
      </c>
      <c r="Z97" s="187">
        <f>model_eui_end_uses!Z97*base_building_arch_areas!$N$2</f>
        <v>229479.21566367269</v>
      </c>
      <c r="AA97" s="187">
        <f>model_eui_end_uses!AA97*base_building_arch_areas!$N$2</f>
        <v>197688.10197184997</v>
      </c>
      <c r="AB97" s="187">
        <f>model_eui_end_uses!AB97*base_building_arch_areas!$N$2</f>
        <v>0</v>
      </c>
      <c r="AC97" s="187">
        <f>model_eui_end_uses!AC97*base_building_arch_areas!$N$2</f>
        <v>11793109.004822422</v>
      </c>
      <c r="AD97" s="187">
        <f>model_eui_end_uses!AD97*base_building_arch_areas!$N$2</f>
        <v>79605.419954693964</v>
      </c>
      <c r="AE97" s="187">
        <f>model_eui_end_uses!AE97*base_building_arch_areas!$N$2</f>
        <v>-2405.4425121979707</v>
      </c>
      <c r="AF97" s="187">
        <f t="shared" si="17"/>
        <v>77199.977442495991</v>
      </c>
      <c r="AG97" s="187">
        <f>model_eui_end_uses!AH97*base_building_arch_areas!$N$2</f>
        <v>1289.6078032660423</v>
      </c>
      <c r="AH97" s="187">
        <f>model_eui_end_uses!AI97*base_building_arch_areas!$N$2</f>
        <v>-271.81500387837065</v>
      </c>
      <c r="AI97" s="187">
        <f t="shared" si="18"/>
        <v>1017.7927993876717</v>
      </c>
      <c r="AJ97" s="200">
        <f>sim_annual_output!F97/sim_annual_output!H97*base_building_arch_areas!$N$2</f>
        <v>9690.7637366123672</v>
      </c>
      <c r="AK97">
        <f t="shared" si="19"/>
        <v>9.5213522265460711</v>
      </c>
    </row>
    <row r="98" spans="1:37">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f>model_eui_end_uses!G98*base_scenario_arch_measures!$F98</f>
        <v>0</v>
      </c>
      <c r="H98">
        <f>model_eui_end_uses!H98*base_scenario_arch_measures!$F98</f>
        <v>108.5522224674025</v>
      </c>
      <c r="I98">
        <f>model_eui_end_uses!I98*base_scenario_arch_measures!$F98</f>
        <v>9.4054136296161689E-2</v>
      </c>
      <c r="J98">
        <f>model_eui_end_uses!J98*base_scenario_arch_measures!$F98</f>
        <v>0</v>
      </c>
      <c r="K98">
        <f>model_eui_end_uses!K98*base_scenario_arch_measures!$F98</f>
        <v>1.569718515338657</v>
      </c>
      <c r="L98">
        <f>model_eui_end_uses!L98*base_scenario_arch_measures!$F98</f>
        <v>10.75782207066641</v>
      </c>
      <c r="M98">
        <f>model_eui_end_uses!M98*base_scenario_arch_measures!$F98</f>
        <v>1.7102521860010982</v>
      </c>
      <c r="N98">
        <f>model_eui_end_uses!N98*base_scenario_arch_measures!$F98</f>
        <v>0</v>
      </c>
      <c r="O98">
        <f>model_eui_end_uses!O98*base_scenario_arch_measures!$F98</f>
        <v>2.6295005685593149</v>
      </c>
      <c r="P98">
        <f>model_eui_end_uses!P98*base_scenario_arch_measures!$F98</f>
        <v>1.9043224931063734</v>
      </c>
      <c r="Q98">
        <f>model_eui_end_uses!Q98*base_scenario_arch_measures!$F98</f>
        <v>0</v>
      </c>
      <c r="R98" s="187">
        <f>model_eui_end_uses!R98*base_building_arch_areas!$N$2</f>
        <v>0</v>
      </c>
      <c r="S98" s="187">
        <f>model_eui_end_uses!S98*base_building_arch_areas!$N$2</f>
        <v>9853497.6168439332</v>
      </c>
      <c r="T98" s="187">
        <f>model_eui_end_uses!T98*base_building_arch_areas!$N$2</f>
        <v>7677.7797736273496</v>
      </c>
      <c r="U98" s="187">
        <f>model_eui_end_uses!U98*base_building_arch_areas!$N$2</f>
        <v>0</v>
      </c>
      <c r="V98" s="187">
        <f>model_eui_end_uses!V98*base_building_arch_areas!$N$2</f>
        <v>126663.72999944557</v>
      </c>
      <c r="W98" s="187">
        <f>model_eui_end_uses!W98*base_building_arch_areas!$N$2</f>
        <v>1240098.8872986569</v>
      </c>
      <c r="X98" s="187">
        <f>model_eui_end_uses!X98*base_building_arch_areas!$N$2</f>
        <v>138003.67327123534</v>
      </c>
      <c r="Y98" s="187">
        <f>model_eui_end_uses!Y98*base_building_arch_areas!$N$2</f>
        <v>0</v>
      </c>
      <c r="Z98" s="187">
        <f>model_eui_end_uses!Z98*base_building_arch_areas!$N$2</f>
        <v>229479.21566367269</v>
      </c>
      <c r="AA98" s="187">
        <f>model_eui_end_uses!AA98*base_building_arch_areas!$N$2</f>
        <v>197688.10197184997</v>
      </c>
      <c r="AB98" s="187">
        <f>model_eui_end_uses!AB98*base_building_arch_areas!$N$2</f>
        <v>0</v>
      </c>
      <c r="AC98" s="187">
        <f>model_eui_end_uses!AC98*base_building_arch_areas!$N$2</f>
        <v>11793109.004822422</v>
      </c>
      <c r="AD98" s="187">
        <f>model_eui_end_uses!AD98*base_building_arch_areas!$N$2</f>
        <v>1094201.4353343316</v>
      </c>
      <c r="AE98" s="187">
        <f>model_eui_end_uses!AE98*base_building_arch_areas!$N$2</f>
        <v>433441.10443264252</v>
      </c>
      <c r="AF98" s="187">
        <f t="shared" si="17"/>
        <v>1527642.539766974</v>
      </c>
      <c r="AG98" s="187">
        <f>model_eui_end_uses!AH98*base_building_arch_areas!$N$2</f>
        <v>17726.063252416174</v>
      </c>
      <c r="AH98" s="187">
        <f>model_eui_end_uses!AI98*base_building_arch_areas!$N$2</f>
        <v>48978.844800888604</v>
      </c>
      <c r="AI98" s="187">
        <f t="shared" si="18"/>
        <v>66704.908053304782</v>
      </c>
      <c r="AJ98" s="200">
        <f>sim_annual_output!F98/sim_annual_output!H98*base_building_arch_areas!$N$2</f>
        <v>795037.23059677565</v>
      </c>
      <c r="AK98">
        <f t="shared" si="19"/>
        <v>11.918721632319031</v>
      </c>
    </row>
    <row r="99" spans="1:37">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f>model_eui_end_uses!G99*base_scenario_arch_measures!$F99</f>
        <v>0</v>
      </c>
      <c r="H99">
        <f>model_eui_end_uses!H99*base_scenario_arch_measures!$F99</f>
        <v>112.53400980283831</v>
      </c>
      <c r="I99">
        <f>model_eui_end_uses!I99*base_scenario_arch_measures!$F99</f>
        <v>0.10622155366953319</v>
      </c>
      <c r="J99">
        <f>model_eui_end_uses!J99*base_scenario_arch_measures!$F99</f>
        <v>0</v>
      </c>
      <c r="K99">
        <f>model_eui_end_uses!K99*base_scenario_arch_measures!$F99</f>
        <v>1.569718515338657</v>
      </c>
      <c r="L99">
        <f>model_eui_end_uses!L99*base_scenario_arch_measures!$F99</f>
        <v>15.368299861784338</v>
      </c>
      <c r="M99">
        <f>model_eui_end_uses!M99*base_scenario_arch_measures!$F99</f>
        <v>1.7102521860010982</v>
      </c>
      <c r="N99">
        <f>model_eui_end_uses!N99*base_scenario_arch_measures!$F99</f>
        <v>0</v>
      </c>
      <c r="O99">
        <f>model_eui_end_uses!O99*base_scenario_arch_measures!$F99</f>
        <v>2.7105355682659686</v>
      </c>
      <c r="P99">
        <f>model_eui_end_uses!P99*base_scenario_arch_measures!$F99</f>
        <v>2.2981817934824083</v>
      </c>
      <c r="Q99">
        <f>model_eui_end_uses!Q99*base_scenario_arch_measures!$F99</f>
        <v>0</v>
      </c>
      <c r="R99" s="187">
        <f>model_eui_end_uses!R99*base_building_arch_areas!$N$2</f>
        <v>0</v>
      </c>
      <c r="S99" s="187">
        <f>model_eui_end_uses!S99*base_building_arch_areas!$N$2</f>
        <v>9853497.6168439332</v>
      </c>
      <c r="T99" s="187">
        <f>model_eui_end_uses!T99*base_building_arch_areas!$N$2</f>
        <v>7677.7797736273496</v>
      </c>
      <c r="U99" s="187">
        <f>model_eui_end_uses!U99*base_building_arch_areas!$N$2</f>
        <v>0</v>
      </c>
      <c r="V99" s="187">
        <f>model_eui_end_uses!V99*base_building_arch_areas!$N$2</f>
        <v>126663.72999944557</v>
      </c>
      <c r="W99" s="187">
        <f>model_eui_end_uses!W99*base_building_arch_areas!$N$2</f>
        <v>1240098.8872986569</v>
      </c>
      <c r="X99" s="187">
        <f>model_eui_end_uses!X99*base_building_arch_areas!$N$2</f>
        <v>138003.67327123534</v>
      </c>
      <c r="Y99" s="187">
        <f>model_eui_end_uses!Y99*base_building_arch_areas!$N$2</f>
        <v>0</v>
      </c>
      <c r="Z99" s="187">
        <f>model_eui_end_uses!Z99*base_building_arch_areas!$N$2</f>
        <v>229479.21566367269</v>
      </c>
      <c r="AA99" s="187">
        <f>model_eui_end_uses!AA99*base_building_arch_areas!$N$2</f>
        <v>197688.10197184997</v>
      </c>
      <c r="AB99" s="187">
        <f>model_eui_end_uses!AB99*base_building_arch_areas!$N$2</f>
        <v>0</v>
      </c>
      <c r="AC99" s="187">
        <f>model_eui_end_uses!AC99*base_building_arch_areas!$N$2</f>
        <v>11793109.004822422</v>
      </c>
      <c r="AD99" s="187">
        <f>model_eui_end_uses!AD99*base_building_arch_areas!$N$2</f>
        <v>772903.04263362219</v>
      </c>
      <c r="AE99" s="187">
        <f>model_eui_end_uses!AE99*base_building_arch_areas!$N$2</f>
        <v>22110.434846814183</v>
      </c>
      <c r="AF99" s="187">
        <f t="shared" si="17"/>
        <v>795013.47748043633</v>
      </c>
      <c r="AG99" s="187">
        <f>model_eui_end_uses!AH99*base_building_arch_areas!$N$2</f>
        <v>12521.029290664679</v>
      </c>
      <c r="AH99" s="187">
        <f>model_eui_end_uses!AI99*base_building_arch_areas!$N$2</f>
        <v>2498.479137690003</v>
      </c>
      <c r="AI99" s="187">
        <f t="shared" si="18"/>
        <v>15019.508428354682</v>
      </c>
      <c r="AJ99" s="200">
        <f>sim_annual_output!F99/sim_annual_output!H99*base_building_arch_areas!$N$2</f>
        <v>3938066.7296132944</v>
      </c>
      <c r="AK99">
        <f t="shared" si="19"/>
        <v>262.19677883590305</v>
      </c>
    </row>
    <row r="100" spans="1:37">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f>model_eui_end_uses!G100*base_scenario_arch_measures!$F100</f>
        <v>0</v>
      </c>
      <c r="H100">
        <f>model_eui_end_uses!H100*base_scenario_arch_measures!$F100</f>
        <v>116.28157435383673</v>
      </c>
      <c r="I100">
        <f>model_eui_end_uses!I100*base_scenario_arch_measures!$F100</f>
        <v>0.11133186896634922</v>
      </c>
      <c r="J100">
        <f>model_eui_end_uses!J100*base_scenario_arch_measures!$F100</f>
        <v>0</v>
      </c>
      <c r="K100">
        <f>model_eui_end_uses!K100*base_scenario_arch_measures!$F100</f>
        <v>1.569718515338657</v>
      </c>
      <c r="L100">
        <f>model_eui_end_uses!L100*base_scenario_arch_measures!$F100</f>
        <v>15.368299861784338</v>
      </c>
      <c r="M100">
        <f>model_eui_end_uses!M100*base_scenario_arch_measures!$F100</f>
        <v>1.7102521860010982</v>
      </c>
      <c r="N100">
        <f>model_eui_end_uses!N100*base_scenario_arch_measures!$F100</f>
        <v>0</v>
      </c>
      <c r="O100">
        <f>model_eui_end_uses!O100*base_scenario_arch_measures!$F100</f>
        <v>2.6686796525015706</v>
      </c>
      <c r="P100">
        <f>model_eui_end_uses!P100*base_scenario_arch_measures!$F100</f>
        <v>2.2588810353664188</v>
      </c>
      <c r="Q100">
        <f>model_eui_end_uses!Q100*base_scenario_arch_measures!$F100</f>
        <v>0</v>
      </c>
      <c r="R100" s="187">
        <f>model_eui_end_uses!R100*base_building_arch_areas!$N$2</f>
        <v>0</v>
      </c>
      <c r="S100" s="187">
        <f>model_eui_end_uses!S100*base_building_arch_areas!$N$2</f>
        <v>9853497.6168439332</v>
      </c>
      <c r="T100" s="187">
        <f>model_eui_end_uses!T100*base_building_arch_areas!$N$2</f>
        <v>7677.7797736273496</v>
      </c>
      <c r="U100" s="187">
        <f>model_eui_end_uses!U100*base_building_arch_areas!$N$2</f>
        <v>0</v>
      </c>
      <c r="V100" s="187">
        <f>model_eui_end_uses!V100*base_building_arch_areas!$N$2</f>
        <v>126663.72999944557</v>
      </c>
      <c r="W100" s="187">
        <f>model_eui_end_uses!W100*base_building_arch_areas!$N$2</f>
        <v>1240098.8872986569</v>
      </c>
      <c r="X100" s="187">
        <f>model_eui_end_uses!X100*base_building_arch_areas!$N$2</f>
        <v>138003.67327123534</v>
      </c>
      <c r="Y100" s="187">
        <f>model_eui_end_uses!Y100*base_building_arch_areas!$N$2</f>
        <v>0</v>
      </c>
      <c r="Z100" s="187">
        <f>model_eui_end_uses!Z100*base_building_arch_areas!$N$2</f>
        <v>229479.21566367269</v>
      </c>
      <c r="AA100" s="187">
        <f>model_eui_end_uses!AA100*base_building_arch_areas!$N$2</f>
        <v>197688.10197184997</v>
      </c>
      <c r="AB100" s="187">
        <f>model_eui_end_uses!AB100*base_building_arch_areas!$N$2</f>
        <v>0</v>
      </c>
      <c r="AC100" s="187">
        <f>model_eui_end_uses!AC100*base_building_arch_areas!$N$2</f>
        <v>11793109.004822422</v>
      </c>
      <c r="AD100" s="187">
        <f>model_eui_end_uses!AD100*base_building_arch_areas!$N$2</f>
        <v>470504.55538589566</v>
      </c>
      <c r="AE100" s="187">
        <f>model_eui_end_uses!AE100*base_building_arch_areas!$N$2</f>
        <v>28246.767786094293</v>
      </c>
      <c r="AF100" s="187">
        <f t="shared" si="17"/>
        <v>498751.32317198993</v>
      </c>
      <c r="AG100" s="187">
        <f>model_eui_end_uses!AH100*base_building_arch_areas!$N$2</f>
        <v>7622.1737972515093</v>
      </c>
      <c r="AH100" s="187">
        <f>model_eui_end_uses!AI100*base_building_arch_areas!$N$2</f>
        <v>3191.8847598286552</v>
      </c>
      <c r="AI100" s="187">
        <f t="shared" si="18"/>
        <v>10814.058557080165</v>
      </c>
      <c r="AJ100" s="200">
        <f>sim_annual_output!F100/sim_annual_output!H100*base_building_arch_areas!$N$2</f>
        <v>3159435.3412299305</v>
      </c>
      <c r="AK100">
        <f t="shared" si="19"/>
        <v>292.15999937057762</v>
      </c>
    </row>
    <row r="101" spans="1:37">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f>model_eui_end_uses!G101*base_scenario_arch_measures!$F101</f>
        <v>0</v>
      </c>
      <c r="H101">
        <f>model_eui_end_uses!H101*base_scenario_arch_measures!$F101</f>
        <v>119.7781250844225</v>
      </c>
      <c r="I101">
        <f>model_eui_end_uses!I101*base_scenario_arch_measures!$F101</f>
        <v>0.11583381339449667</v>
      </c>
      <c r="J101">
        <f>model_eui_end_uses!J101*base_scenario_arch_measures!$F101</f>
        <v>0</v>
      </c>
      <c r="K101">
        <f>model_eui_end_uses!K101*base_scenario_arch_measures!$F101</f>
        <v>1.569718515338657</v>
      </c>
      <c r="L101">
        <f>model_eui_end_uses!L101*base_scenario_arch_measures!$F101</f>
        <v>15.368299861784338</v>
      </c>
      <c r="M101">
        <f>model_eui_end_uses!M101*base_scenario_arch_measures!$F101</f>
        <v>1.7102521860010982</v>
      </c>
      <c r="N101">
        <f>model_eui_end_uses!N101*base_scenario_arch_measures!$F101</f>
        <v>0</v>
      </c>
      <c r="O101">
        <f>model_eui_end_uses!O101*base_scenario_arch_measures!$F101</f>
        <v>2.8009394793501192</v>
      </c>
      <c r="P101">
        <f>model_eui_end_uses!P101*base_scenario_arch_measures!$F101</f>
        <v>2.3895590979564285</v>
      </c>
      <c r="Q101">
        <f>model_eui_end_uses!Q101*base_scenario_arch_measures!$F101</f>
        <v>0</v>
      </c>
      <c r="R101" s="187">
        <f>model_eui_end_uses!R101*base_building_arch_areas!$N$2</f>
        <v>0</v>
      </c>
      <c r="S101" s="187">
        <f>model_eui_end_uses!S101*base_building_arch_areas!$N$2</f>
        <v>9853497.6168439332</v>
      </c>
      <c r="T101" s="187">
        <f>model_eui_end_uses!T101*base_building_arch_areas!$N$2</f>
        <v>7677.7797736273496</v>
      </c>
      <c r="U101" s="187">
        <f>model_eui_end_uses!U101*base_building_arch_areas!$N$2</f>
        <v>0</v>
      </c>
      <c r="V101" s="187">
        <f>model_eui_end_uses!V101*base_building_arch_areas!$N$2</f>
        <v>126663.72999944557</v>
      </c>
      <c r="W101" s="187">
        <f>model_eui_end_uses!W101*base_building_arch_areas!$N$2</f>
        <v>1240098.8872986569</v>
      </c>
      <c r="X101" s="187">
        <f>model_eui_end_uses!X101*base_building_arch_areas!$N$2</f>
        <v>138003.67327123534</v>
      </c>
      <c r="Y101" s="187">
        <f>model_eui_end_uses!Y101*base_building_arch_areas!$N$2</f>
        <v>0</v>
      </c>
      <c r="Z101" s="187">
        <f>model_eui_end_uses!Z101*base_building_arch_areas!$N$2</f>
        <v>229479.21566367269</v>
      </c>
      <c r="AA101" s="187">
        <f>model_eui_end_uses!AA101*base_building_arch_areas!$N$2</f>
        <v>197688.10197184997</v>
      </c>
      <c r="AB101" s="187">
        <f>model_eui_end_uses!AB101*base_building_arch_areas!$N$2</f>
        <v>0</v>
      </c>
      <c r="AC101" s="187">
        <f>model_eui_end_uses!AC101*base_building_arch_areas!$N$2</f>
        <v>11793109.004822422</v>
      </c>
      <c r="AD101" s="187">
        <f>model_eui_end_uses!AD101*base_building_arch_areas!$N$2</f>
        <v>188360.87590414478</v>
      </c>
      <c r="AE101" s="187">
        <f>model_eui_end_uses!AE101*base_building_arch_areas!$N$2</f>
        <v>6666.5121052338382</v>
      </c>
      <c r="AF101" s="187">
        <f t="shared" si="17"/>
        <v>195027.38800937863</v>
      </c>
      <c r="AG101" s="187">
        <f>model_eui_end_uses!AH101*base_building_arch_areas!$N$2</f>
        <v>3051.4461896471453</v>
      </c>
      <c r="AH101" s="187">
        <f>model_eui_end_uses!AI101*base_building_arch_areas!$N$2</f>
        <v>753.31586789142375</v>
      </c>
      <c r="AI101" s="187">
        <f t="shared" si="18"/>
        <v>3804.762057538569</v>
      </c>
      <c r="AJ101" s="200">
        <f>sim_annual_output!F101/sim_annual_output!H101*base_building_arch_areas!$N$2</f>
        <v>661465.50952325948</v>
      </c>
      <c r="AK101">
        <f t="shared" si="19"/>
        <v>173.8520042830705</v>
      </c>
    </row>
    <row r="102" spans="1:37">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f>model_eui_end_uses!G102*base_scenario_arch_measures!$F102</f>
        <v>0</v>
      </c>
      <c r="H102">
        <f>model_eui_end_uses!H102*base_scenario_arch_measures!$F102</f>
        <v>121.12323307504873</v>
      </c>
      <c r="I102">
        <f>model_eui_end_uses!I102*base_scenario_arch_measures!$F102</f>
        <v>0.11863231939037212</v>
      </c>
      <c r="J102">
        <f>model_eui_end_uses!J102*base_scenario_arch_measures!$F102</f>
        <v>0</v>
      </c>
      <c r="K102">
        <f>model_eui_end_uses!K102*base_scenario_arch_measures!$F102</f>
        <v>1.569718515338657</v>
      </c>
      <c r="L102">
        <f>model_eui_end_uses!L102*base_scenario_arch_measures!$F102</f>
        <v>15.368299861784338</v>
      </c>
      <c r="M102">
        <f>model_eui_end_uses!M102*base_scenario_arch_measures!$F102</f>
        <v>1.7102521860010982</v>
      </c>
      <c r="N102">
        <f>model_eui_end_uses!N102*base_scenario_arch_measures!$F102</f>
        <v>0</v>
      </c>
      <c r="O102">
        <f>model_eui_end_uses!O102*base_scenario_arch_measures!$F102</f>
        <v>2.6226868148302267</v>
      </c>
      <c r="P102">
        <f>model_eui_end_uses!P102*base_scenario_arch_measures!$F102</f>
        <v>2.4493011172596826</v>
      </c>
      <c r="Q102">
        <f>model_eui_end_uses!Q102*base_scenario_arch_measures!$F102</f>
        <v>0</v>
      </c>
      <c r="R102" s="187">
        <f>model_eui_end_uses!R102*base_building_arch_areas!$N$2</f>
        <v>0</v>
      </c>
      <c r="S102" s="187">
        <f>model_eui_end_uses!S102*base_building_arch_areas!$N$2</f>
        <v>9853497.6168439332</v>
      </c>
      <c r="T102" s="187">
        <f>model_eui_end_uses!T102*base_building_arch_areas!$N$2</f>
        <v>7677.7797736273496</v>
      </c>
      <c r="U102" s="187">
        <f>model_eui_end_uses!U102*base_building_arch_areas!$N$2</f>
        <v>0</v>
      </c>
      <c r="V102" s="187">
        <f>model_eui_end_uses!V102*base_building_arch_areas!$N$2</f>
        <v>126663.72999944557</v>
      </c>
      <c r="W102" s="187">
        <f>model_eui_end_uses!W102*base_building_arch_areas!$N$2</f>
        <v>1240098.8872986569</v>
      </c>
      <c r="X102" s="187">
        <f>model_eui_end_uses!X102*base_building_arch_areas!$N$2</f>
        <v>138003.67327123534</v>
      </c>
      <c r="Y102" s="187">
        <f>model_eui_end_uses!Y102*base_building_arch_areas!$N$2</f>
        <v>0</v>
      </c>
      <c r="Z102" s="187">
        <f>model_eui_end_uses!Z102*base_building_arch_areas!$N$2</f>
        <v>229479.21566367269</v>
      </c>
      <c r="AA102" s="187">
        <f>model_eui_end_uses!AA102*base_building_arch_areas!$N$2</f>
        <v>197688.10197184997</v>
      </c>
      <c r="AB102" s="187">
        <f>model_eui_end_uses!AB102*base_building_arch_areas!$N$2</f>
        <v>0</v>
      </c>
      <c r="AC102" s="187">
        <f>model_eui_end_uses!AC102*base_building_arch_areas!$N$2</f>
        <v>11793109.004822422</v>
      </c>
      <c r="AD102" s="187">
        <f>model_eui_end_uses!AD102*base_building_arch_areas!$N$2</f>
        <v>79821.418874155745</v>
      </c>
      <c r="AE102" s="187">
        <f>model_eui_end_uses!AE102*base_building_arch_areas!$N$2</f>
        <v>16003.556305642665</v>
      </c>
      <c r="AF102" s="187">
        <f t="shared" si="17"/>
        <v>95824.975179798406</v>
      </c>
      <c r="AG102" s="187">
        <f>model_eui_end_uses!AH102*base_building_arch_areas!$N$2</f>
        <v>1293.1069857613229</v>
      </c>
      <c r="AH102" s="187">
        <f>model_eui_end_uses!AI102*base_building_arch_areas!$N$2</f>
        <v>1808.4018625376214</v>
      </c>
      <c r="AI102" s="187">
        <f t="shared" si="18"/>
        <v>3101.508848298944</v>
      </c>
      <c r="AJ102" s="200">
        <f>sim_annual_output!F102/sim_annual_output!H102*base_building_arch_areas!$N$2</f>
        <v>12906.18127301095</v>
      </c>
      <c r="AK102">
        <f t="shared" si="19"/>
        <v>4.1612588918098634</v>
      </c>
    </row>
    <row r="103" spans="1:37">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f>model_eui_end_uses!G103*base_scenario_arch_measures!$F103</f>
        <v>0</v>
      </c>
      <c r="H103">
        <f>model_eui_end_uses!H103*base_scenario_arch_measures!$F103</f>
        <v>121.16314220403338</v>
      </c>
      <c r="I103">
        <f>model_eui_end_uses!I103*base_scenario_arch_measures!$F103</f>
        <v>0.1176589260005024</v>
      </c>
      <c r="J103">
        <f>model_eui_end_uses!J103*base_scenario_arch_measures!$F103</f>
        <v>0</v>
      </c>
      <c r="K103">
        <f>model_eui_end_uses!K103*base_scenario_arch_measures!$F103</f>
        <v>1.569718515338657</v>
      </c>
      <c r="L103">
        <f>model_eui_end_uses!L103*base_scenario_arch_measures!$F103</f>
        <v>15.368299861784338</v>
      </c>
      <c r="M103">
        <f>model_eui_end_uses!M103*base_scenario_arch_measures!$F103</f>
        <v>1.7102521860010982</v>
      </c>
      <c r="N103">
        <f>model_eui_end_uses!N103*base_scenario_arch_measures!$F103</f>
        <v>0</v>
      </c>
      <c r="O103">
        <f>model_eui_end_uses!O103*base_scenario_arch_measures!$F103</f>
        <v>2.8295329101775422</v>
      </c>
      <c r="P103">
        <f>model_eui_end_uses!P103*base_scenario_arch_measures!$F103</f>
        <v>2.4494227914334159</v>
      </c>
      <c r="Q103">
        <f>model_eui_end_uses!Q103*base_scenario_arch_measures!$F103</f>
        <v>0</v>
      </c>
      <c r="R103" s="187">
        <f>model_eui_end_uses!R103*base_building_arch_areas!$N$2</f>
        <v>0</v>
      </c>
      <c r="S103" s="187">
        <f>model_eui_end_uses!S103*base_building_arch_areas!$N$2</f>
        <v>9853497.6168439332</v>
      </c>
      <c r="T103" s="187">
        <f>model_eui_end_uses!T103*base_building_arch_areas!$N$2</f>
        <v>7677.7797736273496</v>
      </c>
      <c r="U103" s="187">
        <f>model_eui_end_uses!U103*base_building_arch_areas!$N$2</f>
        <v>0</v>
      </c>
      <c r="V103" s="187">
        <f>model_eui_end_uses!V103*base_building_arch_areas!$N$2</f>
        <v>126663.72999944557</v>
      </c>
      <c r="W103" s="187">
        <f>model_eui_end_uses!W103*base_building_arch_areas!$N$2</f>
        <v>1240098.8872986569</v>
      </c>
      <c r="X103" s="187">
        <f>model_eui_end_uses!X103*base_building_arch_areas!$N$2</f>
        <v>138003.67327123534</v>
      </c>
      <c r="Y103" s="187">
        <f>model_eui_end_uses!Y103*base_building_arch_areas!$N$2</f>
        <v>0</v>
      </c>
      <c r="Z103" s="187">
        <f>model_eui_end_uses!Z103*base_building_arch_areas!$N$2</f>
        <v>229479.21566367269</v>
      </c>
      <c r="AA103" s="187">
        <f>model_eui_end_uses!AA103*base_building_arch_areas!$N$2</f>
        <v>197688.10197184997</v>
      </c>
      <c r="AB103" s="187">
        <f>model_eui_end_uses!AB103*base_building_arch_areas!$N$2</f>
        <v>0</v>
      </c>
      <c r="AC103" s="187">
        <f>model_eui_end_uses!AC103*base_building_arch_areas!$N$2</f>
        <v>11793109.004822422</v>
      </c>
      <c r="AD103" s="187">
        <f>model_eui_end_uses!AD103*base_building_arch_areas!$N$2</f>
        <v>76601.071347622536</v>
      </c>
      <c r="AE103" s="187">
        <f>model_eui_end_uses!AE103*base_building_arch_areas!$N$2</f>
        <v>-618.54236027981256</v>
      </c>
      <c r="AF103" s="187">
        <f t="shared" si="17"/>
        <v>75982.528987342725</v>
      </c>
      <c r="AG103" s="187">
        <f>model_eui_end_uses!AH103*base_building_arch_areas!$N$2</f>
        <v>1240.9373558314849</v>
      </c>
      <c r="AH103" s="187">
        <f>model_eui_end_uses!AI103*base_building_arch_areas!$N$2</f>
        <v>-69.895286711618823</v>
      </c>
      <c r="AI103" s="187">
        <f t="shared" si="18"/>
        <v>1171.042069119866</v>
      </c>
      <c r="AJ103" s="200">
        <f>sim_annual_output!F103/sim_annual_output!H103*base_building_arch_areas!$N$2</f>
        <v>7721.7988491067326</v>
      </c>
      <c r="AK103">
        <f t="shared" si="19"/>
        <v>6.5939551214503309</v>
      </c>
    </row>
    <row r="104" spans="1:37">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f>model_eui_end_uses!G104*base_scenario_arch_measures!$F104</f>
        <v>0</v>
      </c>
      <c r="H104">
        <f>model_eui_end_uses!H104*base_scenario_arch_measures!$F104</f>
        <v>106.96376612930885</v>
      </c>
      <c r="I104">
        <f>model_eui_end_uses!I104*base_scenario_arch_measures!$F104</f>
        <v>0.16669361801518953</v>
      </c>
      <c r="J104">
        <f>model_eui_end_uses!J104*base_scenario_arch_measures!$F104</f>
        <v>0</v>
      </c>
      <c r="K104">
        <f>model_eui_end_uses!K104*base_scenario_arch_measures!$F104</f>
        <v>1.569718515338657</v>
      </c>
      <c r="L104">
        <f>model_eui_end_uses!L104*base_scenario_arch_measures!$F104</f>
        <v>15.368299861784338</v>
      </c>
      <c r="M104">
        <f>model_eui_end_uses!M104*base_scenario_arch_measures!$F104</f>
        <v>1.7102521860010982</v>
      </c>
      <c r="N104">
        <f>model_eui_end_uses!N104*base_scenario_arch_measures!$F104</f>
        <v>0</v>
      </c>
      <c r="O104">
        <f>model_eui_end_uses!O104*base_scenario_arch_measures!$F104</f>
        <v>2.8553278350090898</v>
      </c>
      <c r="P104">
        <f>model_eui_end_uses!P104*base_scenario_arch_measures!$F104</f>
        <v>2.38371873761721</v>
      </c>
      <c r="Q104">
        <f>model_eui_end_uses!Q104*base_scenario_arch_measures!$F104</f>
        <v>0.38376034395613706</v>
      </c>
      <c r="R104" s="187">
        <f>model_eui_end_uses!R104*base_building_arch_areas!$N$2</f>
        <v>0</v>
      </c>
      <c r="S104" s="187">
        <f>model_eui_end_uses!S104*base_building_arch_areas!$N$2</f>
        <v>9853497.6168439332</v>
      </c>
      <c r="T104" s="187">
        <f>model_eui_end_uses!T104*base_building_arch_areas!$N$2</f>
        <v>7677.7797736273496</v>
      </c>
      <c r="U104" s="187">
        <f>model_eui_end_uses!U104*base_building_arch_areas!$N$2</f>
        <v>0</v>
      </c>
      <c r="V104" s="187">
        <f>model_eui_end_uses!V104*base_building_arch_areas!$N$2</f>
        <v>126663.72999944557</v>
      </c>
      <c r="W104" s="187">
        <f>model_eui_end_uses!W104*base_building_arch_areas!$N$2</f>
        <v>1240098.8872986569</v>
      </c>
      <c r="X104" s="187">
        <f>model_eui_end_uses!X104*base_building_arch_areas!$N$2</f>
        <v>138003.67327123534</v>
      </c>
      <c r="Y104" s="187">
        <f>model_eui_end_uses!Y104*base_building_arch_areas!$N$2</f>
        <v>0</v>
      </c>
      <c r="Z104" s="187">
        <f>model_eui_end_uses!Z104*base_building_arch_areas!$N$2</f>
        <v>229479.21566367269</v>
      </c>
      <c r="AA104" s="187">
        <f>model_eui_end_uses!AA104*base_building_arch_areas!$N$2</f>
        <v>197688.10197184997</v>
      </c>
      <c r="AB104" s="187">
        <f>model_eui_end_uses!AB104*base_building_arch_areas!$N$2</f>
        <v>0</v>
      </c>
      <c r="AC104" s="187">
        <f>model_eui_end_uses!AC104*base_building_arch_areas!$N$2</f>
        <v>11793109.004822422</v>
      </c>
      <c r="AD104" s="187">
        <f>model_eui_end_uses!AD104*base_building_arch_areas!$N$2</f>
        <v>1222377.1577700153</v>
      </c>
      <c r="AE104" s="187">
        <f>model_eui_end_uses!AE104*base_building_arch_areas!$N$2</f>
        <v>-32321.292857776669</v>
      </c>
      <c r="AF104" s="187">
        <f t="shared" si="17"/>
        <v>1190055.8649122387</v>
      </c>
      <c r="AG104" s="187">
        <f>model_eui_end_uses!AH104*base_building_arch_areas!$N$2</f>
        <v>19802.509955874248</v>
      </c>
      <c r="AH104" s="187">
        <f>model_eui_end_uses!AI104*base_building_arch_areas!$N$2</f>
        <v>-3652.306092928764</v>
      </c>
      <c r="AI104" s="187">
        <f t="shared" si="18"/>
        <v>16150.203862945484</v>
      </c>
      <c r="AJ104" s="200">
        <f>sim_annual_output!F104/sim_annual_output!H104*base_building_arch_areas!$N$2</f>
        <v>640563.54965647287</v>
      </c>
      <c r="AK104">
        <f t="shared" si="19"/>
        <v>39.662877019537916</v>
      </c>
    </row>
    <row r="105" spans="1:37">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f>model_eui_end_uses!G105*base_scenario_arch_measures!$F105</f>
        <v>0</v>
      </c>
      <c r="H105">
        <f>model_eui_end_uses!H105*base_scenario_arch_measures!$F105</f>
        <v>69.928216105719471</v>
      </c>
      <c r="I105">
        <f>model_eui_end_uses!I105*base_scenario_arch_measures!$F105</f>
        <v>0.12702783737799847</v>
      </c>
      <c r="J105">
        <f>model_eui_end_uses!J105*base_scenario_arch_measures!$F105</f>
        <v>0</v>
      </c>
      <c r="K105">
        <f>model_eui_end_uses!K105*base_scenario_arch_measures!$F105</f>
        <v>1.569718515338657</v>
      </c>
      <c r="L105">
        <f>model_eui_end_uses!L105*base_scenario_arch_measures!$F105</f>
        <v>15.368299861784338</v>
      </c>
      <c r="M105">
        <f>model_eui_end_uses!M105*base_scenario_arch_measures!$F105</f>
        <v>1.7102521860010982</v>
      </c>
      <c r="N105">
        <f>model_eui_end_uses!N105*base_scenario_arch_measures!$F105</f>
        <v>0</v>
      </c>
      <c r="O105">
        <f>model_eui_end_uses!O105*base_scenario_arch_measures!$F105</f>
        <v>1.9306041146328556</v>
      </c>
      <c r="P105">
        <f>model_eui_end_uses!P105*base_scenario_arch_measures!$F105</f>
        <v>1.4602117589783137</v>
      </c>
      <c r="Q105">
        <f>model_eui_end_uses!Q105*base_scenario_arch_measures!$F105</f>
        <v>0</v>
      </c>
      <c r="R105" s="187">
        <f>model_eui_end_uses!R105*base_building_arch_areas!$N$2</f>
        <v>0</v>
      </c>
      <c r="S105" s="187">
        <f>model_eui_end_uses!S105*base_building_arch_areas!$N$2</f>
        <v>9853497.6168439332</v>
      </c>
      <c r="T105" s="187">
        <f>model_eui_end_uses!T105*base_building_arch_areas!$N$2</f>
        <v>7677.7797736273496</v>
      </c>
      <c r="U105" s="187">
        <f>model_eui_end_uses!U105*base_building_arch_areas!$N$2</f>
        <v>0</v>
      </c>
      <c r="V105" s="187">
        <f>model_eui_end_uses!V105*base_building_arch_areas!$N$2</f>
        <v>126663.72999944557</v>
      </c>
      <c r="W105" s="187">
        <f>model_eui_end_uses!W105*base_building_arch_areas!$N$2</f>
        <v>1240098.8872986569</v>
      </c>
      <c r="X105" s="187">
        <f>model_eui_end_uses!X105*base_building_arch_areas!$N$2</f>
        <v>138003.67327123534</v>
      </c>
      <c r="Y105" s="187">
        <f>model_eui_end_uses!Y105*base_building_arch_areas!$N$2</f>
        <v>0</v>
      </c>
      <c r="Z105" s="187">
        <f>model_eui_end_uses!Z105*base_building_arch_areas!$N$2</f>
        <v>229479.21566367269</v>
      </c>
      <c r="AA105" s="187">
        <f>model_eui_end_uses!AA105*base_building_arch_areas!$N$2</f>
        <v>197688.10197184997</v>
      </c>
      <c r="AB105" s="187">
        <f>model_eui_end_uses!AB105*base_building_arch_areas!$N$2</f>
        <v>0</v>
      </c>
      <c r="AC105" s="187">
        <f>model_eui_end_uses!AC105*base_building_arch_areas!$N$2</f>
        <v>11793109.004822422</v>
      </c>
      <c r="AD105" s="187">
        <f>model_eui_end_uses!AD105*base_building_arch_areas!$N$2</f>
        <v>4210849.8442610819</v>
      </c>
      <c r="AE105" s="187">
        <f>model_eui_end_uses!AE105*base_building_arch_areas!$N$2</f>
        <v>150983.24470440057</v>
      </c>
      <c r="AF105" s="187">
        <f t="shared" si="17"/>
        <v>4361833.0889654821</v>
      </c>
      <c r="AG105" s="187">
        <f>model_eui_end_uses!AH105*base_building_arch_areas!$N$2</f>
        <v>68215.767477029513</v>
      </c>
      <c r="AH105" s="187">
        <f>model_eui_end_uses!AI105*base_building_arch_areas!$N$2</f>
        <v>17061.106651597267</v>
      </c>
      <c r="AI105" s="187">
        <f t="shared" si="18"/>
        <v>85276.874128626776</v>
      </c>
      <c r="AJ105" s="200">
        <f>sim_annual_output!F105/sim_annual_output!H105*base_building_arch_areas!$N$2</f>
        <v>331393.63213878404</v>
      </c>
      <c r="AK105">
        <f t="shared" si="19"/>
        <v>3.8860902856139963</v>
      </c>
    </row>
    <row r="106" spans="1:37">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f>model_eui_end_uses!G106*base_scenario_arch_measures!$F106</f>
        <v>0</v>
      </c>
      <c r="H106">
        <f>model_eui_end_uses!H106*base_scenario_arch_measures!$F106</f>
        <v>60.469874210529149</v>
      </c>
      <c r="I106">
        <f>model_eui_end_uses!I106*base_scenario_arch_measures!$F106</f>
        <v>7.8236493710778746E-2</v>
      </c>
      <c r="J106">
        <f>model_eui_end_uses!J106*base_scenario_arch_measures!$F106</f>
        <v>0</v>
      </c>
      <c r="K106">
        <f>model_eui_end_uses!K106*base_scenario_arch_measures!$F106</f>
        <v>1.569718515338657</v>
      </c>
      <c r="L106">
        <f>model_eui_end_uses!L106*base_scenario_arch_measures!$F106</f>
        <v>15.368299861784338</v>
      </c>
      <c r="M106">
        <f>model_eui_end_uses!M106*base_scenario_arch_measures!$F106</f>
        <v>1.7102521860010982</v>
      </c>
      <c r="N106">
        <f>model_eui_end_uses!N106*base_scenario_arch_measures!$F106</f>
        <v>0</v>
      </c>
      <c r="O106">
        <f>model_eui_end_uses!O106*base_scenario_arch_measures!$F106</f>
        <v>1.6570805720794646</v>
      </c>
      <c r="P106">
        <f>model_eui_end_uses!P106*base_scenario_arch_measures!$F106</f>
        <v>1.1562696729914936</v>
      </c>
      <c r="Q106">
        <f>model_eui_end_uses!Q106*base_scenario_arch_measures!$F106</f>
        <v>0</v>
      </c>
      <c r="R106" s="187">
        <f>model_eui_end_uses!R106*base_building_arch_areas!$N$2</f>
        <v>0</v>
      </c>
      <c r="S106" s="187">
        <f>model_eui_end_uses!S106*base_building_arch_areas!$N$2</f>
        <v>9853497.6168439332</v>
      </c>
      <c r="T106" s="187">
        <f>model_eui_end_uses!T106*base_building_arch_areas!$N$2</f>
        <v>7677.7797736273496</v>
      </c>
      <c r="U106" s="187">
        <f>model_eui_end_uses!U106*base_building_arch_areas!$N$2</f>
        <v>0</v>
      </c>
      <c r="V106" s="187">
        <f>model_eui_end_uses!V106*base_building_arch_areas!$N$2</f>
        <v>126663.72999944557</v>
      </c>
      <c r="W106" s="187">
        <f>model_eui_end_uses!W106*base_building_arch_areas!$N$2</f>
        <v>1240098.8872986569</v>
      </c>
      <c r="X106" s="187">
        <f>model_eui_end_uses!X106*base_building_arch_areas!$N$2</f>
        <v>138003.67327123534</v>
      </c>
      <c r="Y106" s="187">
        <f>model_eui_end_uses!Y106*base_building_arch_areas!$N$2</f>
        <v>0</v>
      </c>
      <c r="Z106" s="187">
        <f>model_eui_end_uses!Z106*base_building_arch_areas!$N$2</f>
        <v>229479.21566367269</v>
      </c>
      <c r="AA106" s="187">
        <f>model_eui_end_uses!AA106*base_building_arch_areas!$N$2</f>
        <v>197688.10197184997</v>
      </c>
      <c r="AB106" s="187">
        <f>model_eui_end_uses!AB106*base_building_arch_areas!$N$2</f>
        <v>0</v>
      </c>
      <c r="AC106" s="187">
        <f>model_eui_end_uses!AC106*base_building_arch_areas!$N$2</f>
        <v>11793109.004822422</v>
      </c>
      <c r="AD106" s="187">
        <f>model_eui_end_uses!AD106*base_building_arch_areas!$N$2</f>
        <v>4974062.3899169918</v>
      </c>
      <c r="AE106" s="187">
        <f>model_eui_end_uses!AE106*base_building_arch_areas!$N$2</f>
        <v>201517.17372596031</v>
      </c>
      <c r="AF106" s="187">
        <f t="shared" si="17"/>
        <v>5175579.5636429526</v>
      </c>
      <c r="AG106" s="187">
        <f>model_eui_end_uses!AH106*base_building_arch_areas!$N$2</f>
        <v>80579.810716655251</v>
      </c>
      <c r="AH106" s="187">
        <f>model_eui_end_uses!AI106*base_building_arch_areas!$N$2</f>
        <v>22771.440631033511</v>
      </c>
      <c r="AI106" s="187">
        <f t="shared" si="18"/>
        <v>103351.25134768875</v>
      </c>
      <c r="AJ106" s="200">
        <f>sim_annual_output!F106/sim_annual_output!H106*base_building_arch_areas!$N$2</f>
        <v>460791.14765078836</v>
      </c>
      <c r="AK106">
        <f t="shared" si="19"/>
        <v>4.4584960669766778</v>
      </c>
    </row>
    <row r="107" spans="1:37">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f>model_eui_end_uses!G107*base_scenario_arch_measures!$F107</f>
        <v>0</v>
      </c>
      <c r="H107">
        <f>model_eui_end_uses!H107*base_scenario_arch_measures!$F107</f>
        <v>125.64695718029452</v>
      </c>
      <c r="I107">
        <f>model_eui_end_uses!I107*base_scenario_arch_measures!$F107</f>
        <v>7.7141426147175299E-2</v>
      </c>
      <c r="J107">
        <f>model_eui_end_uses!J107*base_scenario_arch_measures!$F107</f>
        <v>0</v>
      </c>
      <c r="K107">
        <f>model_eui_end_uses!K107*base_scenario_arch_measures!$F107</f>
        <v>1.569718515338657</v>
      </c>
      <c r="L107">
        <f>model_eui_end_uses!L107*base_scenario_arch_measures!$F107</f>
        <v>10.75782207066641</v>
      </c>
      <c r="M107">
        <f>model_eui_end_uses!M107*base_scenario_arch_measures!$F107</f>
        <v>1.7102521860010982</v>
      </c>
      <c r="N107">
        <f>model_eui_end_uses!N107*base_scenario_arch_measures!$F107</f>
        <v>0</v>
      </c>
      <c r="O107">
        <f>model_eui_end_uses!O107*base_scenario_arch_measures!$F107</f>
        <v>2.8608031728271066</v>
      </c>
      <c r="P107">
        <f>model_eui_end_uses!P107*base_scenario_arch_measures!$F107</f>
        <v>2.4903053138079447</v>
      </c>
      <c r="Q107">
        <f>model_eui_end_uses!Q107*base_scenario_arch_measures!$F107</f>
        <v>0</v>
      </c>
      <c r="R107" s="187">
        <f>model_eui_end_uses!R107*base_building_arch_areas!$N$2</f>
        <v>0</v>
      </c>
      <c r="S107" s="187">
        <f>model_eui_end_uses!S107*base_building_arch_areas!$N$2</f>
        <v>9853497.6168439332</v>
      </c>
      <c r="T107" s="187">
        <f>model_eui_end_uses!T107*base_building_arch_areas!$N$2</f>
        <v>7677.7797736273496</v>
      </c>
      <c r="U107" s="187">
        <f>model_eui_end_uses!U107*base_building_arch_areas!$N$2</f>
        <v>0</v>
      </c>
      <c r="V107" s="187">
        <f>model_eui_end_uses!V107*base_building_arch_areas!$N$2</f>
        <v>126663.72999944557</v>
      </c>
      <c r="W107" s="187">
        <f>model_eui_end_uses!W107*base_building_arch_areas!$N$2</f>
        <v>1240098.8872986569</v>
      </c>
      <c r="X107" s="187">
        <f>model_eui_end_uses!X107*base_building_arch_areas!$N$2</f>
        <v>138003.67327123534</v>
      </c>
      <c r="Y107" s="187">
        <f>model_eui_end_uses!Y107*base_building_arch_areas!$N$2</f>
        <v>0</v>
      </c>
      <c r="Z107" s="187">
        <f>model_eui_end_uses!Z107*base_building_arch_areas!$N$2</f>
        <v>229479.21566367269</v>
      </c>
      <c r="AA107" s="187">
        <f>model_eui_end_uses!AA107*base_building_arch_areas!$N$2</f>
        <v>197688.10197184997</v>
      </c>
      <c r="AB107" s="187">
        <f>model_eui_end_uses!AB107*base_building_arch_areas!$N$2</f>
        <v>0</v>
      </c>
      <c r="AC107" s="187">
        <f>model_eui_end_uses!AC107*base_building_arch_areas!$N$2</f>
        <v>11793109.004822422</v>
      </c>
      <c r="AD107" s="187">
        <f>model_eui_end_uses!AD107*base_building_arch_areas!$N$2</f>
        <v>-285206.9368850395</v>
      </c>
      <c r="AE107" s="187">
        <f>model_eui_end_uses!AE107*base_building_arch_areas!$N$2</f>
        <v>368857.42751330667</v>
      </c>
      <c r="AF107" s="187">
        <f t="shared" si="17"/>
        <v>83650.490628267173</v>
      </c>
      <c r="AG107" s="187">
        <f>model_eui_end_uses!AH107*base_building_arch_areas!$N$2</f>
        <v>-4620.3523775376398</v>
      </c>
      <c r="AH107" s="187">
        <f>model_eui_end_uses!AI107*base_building_arch_areas!$N$2</f>
        <v>41680.889309003651</v>
      </c>
      <c r="AI107" s="187">
        <f t="shared" si="18"/>
        <v>37060.536931466013</v>
      </c>
      <c r="AJ107" s="200">
        <f>sim_annual_output!F107/sim_annual_output!H107*base_building_arch_areas!$N$2</f>
        <v>457873.65839750238</v>
      </c>
      <c r="AK107">
        <f t="shared" si="19"/>
        <v>12.354749723249359</v>
      </c>
    </row>
    <row r="108" spans="1:37">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f>model_eui_end_uses!G108*base_scenario_arch_measures!$F108</f>
        <v>0</v>
      </c>
      <c r="H108">
        <f>model_eui_end_uses!H108*base_scenario_arch_measures!$F108</f>
        <v>49.107696518927369</v>
      </c>
      <c r="I108">
        <f>model_eui_end_uses!I108*base_scenario_arch_measures!$F108</f>
        <v>7.8236493710778746E-2</v>
      </c>
      <c r="J108">
        <f>model_eui_end_uses!J108*base_scenario_arch_measures!$F108</f>
        <v>0</v>
      </c>
      <c r="K108">
        <f>model_eui_end_uses!K108*base_scenario_arch_measures!$F108</f>
        <v>1.569718515338657</v>
      </c>
      <c r="L108">
        <f>model_eui_end_uses!L108*base_scenario_arch_measures!$F108</f>
        <v>15.368299861784338</v>
      </c>
      <c r="M108">
        <f>model_eui_end_uses!M108*base_scenario_arch_measures!$F108</f>
        <v>1.7102521860010982</v>
      </c>
      <c r="N108">
        <f>model_eui_end_uses!N108*base_scenario_arch_measures!$F108</f>
        <v>0</v>
      </c>
      <c r="O108">
        <f>model_eui_end_uses!O108*base_scenario_arch_measures!$F108</f>
        <v>1.6570805720794646</v>
      </c>
      <c r="P108">
        <f>model_eui_end_uses!P108*base_scenario_arch_measures!$F108</f>
        <v>7.8114819537045022E-2</v>
      </c>
      <c r="Q108">
        <f>model_eui_end_uses!Q108*base_scenario_arch_measures!$F108</f>
        <v>0</v>
      </c>
      <c r="R108" s="187">
        <f>model_eui_end_uses!R108*base_building_arch_areas!$N$2</f>
        <v>0</v>
      </c>
      <c r="S108" s="187">
        <f>model_eui_end_uses!S108*base_building_arch_areas!$N$2</f>
        <v>9853497.6168439332</v>
      </c>
      <c r="T108" s="187">
        <f>model_eui_end_uses!T108*base_building_arch_areas!$N$2</f>
        <v>7677.7797736273496</v>
      </c>
      <c r="U108" s="187">
        <f>model_eui_end_uses!U108*base_building_arch_areas!$N$2</f>
        <v>0</v>
      </c>
      <c r="V108" s="187">
        <f>model_eui_end_uses!V108*base_building_arch_areas!$N$2</f>
        <v>126663.72999944557</v>
      </c>
      <c r="W108" s="187">
        <f>model_eui_end_uses!W108*base_building_arch_areas!$N$2</f>
        <v>1240098.8872986569</v>
      </c>
      <c r="X108" s="187">
        <f>model_eui_end_uses!X108*base_building_arch_areas!$N$2</f>
        <v>138003.67327123534</v>
      </c>
      <c r="Y108" s="187">
        <f>model_eui_end_uses!Y108*base_building_arch_areas!$N$2</f>
        <v>0</v>
      </c>
      <c r="Z108" s="187">
        <f>model_eui_end_uses!Z108*base_building_arch_areas!$N$2</f>
        <v>229479.21566367269</v>
      </c>
      <c r="AA108" s="187">
        <f>model_eui_end_uses!AA108*base_building_arch_areas!$N$2</f>
        <v>197688.10197184997</v>
      </c>
      <c r="AB108" s="187">
        <f>model_eui_end_uses!AB108*base_building_arch_areas!$N$2</f>
        <v>0</v>
      </c>
      <c r="AC108" s="187">
        <f>model_eui_end_uses!AC108*base_building_arch_areas!$N$2</f>
        <v>11793109.004822422</v>
      </c>
      <c r="AD108" s="187">
        <f>model_eui_end_uses!AD108*base_building_arch_areas!$N$2</f>
        <v>5890899.2579743685</v>
      </c>
      <c r="AE108" s="187">
        <f>model_eui_end_uses!AE108*base_building_arch_areas!$N$2</f>
        <v>288515.64760589914</v>
      </c>
      <c r="AF108" s="187">
        <f t="shared" si="17"/>
        <v>6179414.9055802673</v>
      </c>
      <c r="AG108" s="187">
        <f>model_eui_end_uses!AH108*base_building_arch_areas!$N$2</f>
        <v>95432.56797918478</v>
      </c>
      <c r="AH108" s="187">
        <f>model_eui_end_uses!AI108*base_building_arch_areas!$N$2</f>
        <v>32602.268179466602</v>
      </c>
      <c r="AI108" s="187">
        <f t="shared" si="18"/>
        <v>128034.83615865138</v>
      </c>
      <c r="AJ108" s="200">
        <f>sim_annual_output!F108/sim_annual_output!H108*base_building_arch_areas!$N$2</f>
        <v>464068.21768379887</v>
      </c>
      <c r="AK108">
        <f t="shared" si="19"/>
        <v>3.6245465031779287</v>
      </c>
    </row>
    <row r="109" spans="1:37">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f>model_eui_end_uses!G109*base_scenario_arch_measures!$F109</f>
        <v>0</v>
      </c>
      <c r="H109">
        <f>model_eui_end_uses!H109*base_scenario_arch_measures!$F109</f>
        <v>107.10113627145421</v>
      </c>
      <c r="I109">
        <f>model_eui_end_uses!I109*base_scenario_arch_measures!$F109</f>
        <v>6.4243963731401524E-2</v>
      </c>
      <c r="J109">
        <f>model_eui_end_uses!J109*base_scenario_arch_measures!$F109</f>
        <v>0</v>
      </c>
      <c r="K109">
        <f>model_eui_end_uses!K109*base_scenario_arch_measures!$F109</f>
        <v>1.569718515338657</v>
      </c>
      <c r="L109">
        <f>model_eui_end_uses!L109*base_scenario_arch_measures!$F109</f>
        <v>15.368299861784338</v>
      </c>
      <c r="M109">
        <f>model_eui_end_uses!M109*base_scenario_arch_measures!$F109</f>
        <v>1.7102521860010982</v>
      </c>
      <c r="N109">
        <f>model_eui_end_uses!N109*base_scenario_arch_measures!$F109</f>
        <v>0</v>
      </c>
      <c r="O109">
        <f>model_eui_end_uses!O109*base_scenario_arch_measures!$F109</f>
        <v>2.415719045309177</v>
      </c>
      <c r="P109">
        <f>model_eui_end_uses!P109*base_scenario_arch_measures!$F109</f>
        <v>1.9930229657582514</v>
      </c>
      <c r="Q109">
        <f>model_eui_end_uses!Q109*base_scenario_arch_measures!$F109</f>
        <v>0</v>
      </c>
      <c r="R109" s="187">
        <f>model_eui_end_uses!R109*base_building_arch_areas!$N$2</f>
        <v>0</v>
      </c>
      <c r="S109" s="187">
        <f>model_eui_end_uses!S109*base_building_arch_areas!$N$2</f>
        <v>9853497.6168439332</v>
      </c>
      <c r="T109" s="187">
        <f>model_eui_end_uses!T109*base_building_arch_areas!$N$2</f>
        <v>7677.7797736273496</v>
      </c>
      <c r="U109" s="187">
        <f>model_eui_end_uses!U109*base_building_arch_areas!$N$2</f>
        <v>0</v>
      </c>
      <c r="V109" s="187">
        <f>model_eui_end_uses!V109*base_building_arch_areas!$N$2</f>
        <v>126663.72999944557</v>
      </c>
      <c r="W109" s="187">
        <f>model_eui_end_uses!W109*base_building_arch_areas!$N$2</f>
        <v>1240098.8872986569</v>
      </c>
      <c r="X109" s="187">
        <f>model_eui_end_uses!X109*base_building_arch_areas!$N$2</f>
        <v>138003.67327123534</v>
      </c>
      <c r="Y109" s="187">
        <f>model_eui_end_uses!Y109*base_building_arch_areas!$N$2</f>
        <v>0</v>
      </c>
      <c r="Z109" s="187">
        <f>model_eui_end_uses!Z109*base_building_arch_areas!$N$2</f>
        <v>229479.21566367269</v>
      </c>
      <c r="AA109" s="187">
        <f>model_eui_end_uses!AA109*base_building_arch_areas!$N$2</f>
        <v>197688.10197184997</v>
      </c>
      <c r="AB109" s="187">
        <f>model_eui_end_uses!AB109*base_building_arch_areas!$N$2</f>
        <v>0</v>
      </c>
      <c r="AC109" s="187">
        <f>model_eui_end_uses!AC109*base_building_arch_areas!$N$2</f>
        <v>11793109.004822422</v>
      </c>
      <c r="AD109" s="187">
        <f>model_eui_end_uses!AD109*base_building_arch_areas!$N$2</f>
        <v>1211292.4859484998</v>
      </c>
      <c r="AE109" s="187">
        <f>model_eui_end_uses!AE109*base_building_arch_areas!$N$2</f>
        <v>73910.902987041511</v>
      </c>
      <c r="AF109" s="187">
        <f t="shared" si="17"/>
        <v>1285203.3889355413</v>
      </c>
      <c r="AG109" s="187">
        <f>model_eui_end_uses!AH109*base_building_arch_areas!$N$2</f>
        <v>19622.938272365696</v>
      </c>
      <c r="AH109" s="187">
        <f>model_eui_end_uses!AI109*base_building_arch_areas!$N$2</f>
        <v>8351.9320375356892</v>
      </c>
      <c r="AI109" s="187">
        <f t="shared" si="18"/>
        <v>27974.870309901387</v>
      </c>
      <c r="AJ109" s="200">
        <f>sim_annual_output!F109/sim_annual_output!H109*base_building_arch_areas!$N$2</f>
        <v>129397.51551200432</v>
      </c>
      <c r="AK109">
        <f t="shared" si="19"/>
        <v>4.6254911668421759</v>
      </c>
    </row>
    <row r="110" spans="1:37">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f>model_eui_end_uses!G110*base_scenario_arch_measures!$F110</f>
        <v>0</v>
      </c>
      <c r="H110">
        <f>model_eui_end_uses!H110*base_scenario_arch_measures!$F110</f>
        <v>41.489919849806938</v>
      </c>
      <c r="I110">
        <f>model_eui_end_uses!I110*base_scenario_arch_measures!$F110</f>
        <v>0.50969311377053206</v>
      </c>
      <c r="J110">
        <f>model_eui_end_uses!J110*base_scenario_arch_measures!$F110</f>
        <v>0</v>
      </c>
      <c r="K110">
        <f>model_eui_end_uses!K110*base_scenario_arch_measures!$F110</f>
        <v>1.569718515338657</v>
      </c>
      <c r="L110">
        <f>model_eui_end_uses!L110*base_scenario_arch_measures!$F110</f>
        <v>10.75782207066641</v>
      </c>
      <c r="M110">
        <f>model_eui_end_uses!M110*base_scenario_arch_measures!$F110</f>
        <v>1.7102521860010982</v>
      </c>
      <c r="N110">
        <f>model_eui_end_uses!N110*base_scenario_arch_measures!$F110</f>
        <v>0</v>
      </c>
      <c r="O110">
        <f>model_eui_end_uses!O110*base_scenario_arch_measures!$F110</f>
        <v>1.4310099572822221</v>
      </c>
      <c r="P110">
        <f>model_eui_end_uses!P110*base_scenario_arch_measures!$F110</f>
        <v>2.9810172564760172E-2</v>
      </c>
      <c r="Q110">
        <f>model_eui_end_uses!Q110*base_scenario_arch_measures!$F110</f>
        <v>0</v>
      </c>
      <c r="R110" s="187">
        <f>model_eui_end_uses!R110*base_building_arch_areas!$N$2</f>
        <v>0</v>
      </c>
      <c r="S110" s="187">
        <f>model_eui_end_uses!S110*base_building_arch_areas!$N$2</f>
        <v>9853497.6168439332</v>
      </c>
      <c r="T110" s="187">
        <f>model_eui_end_uses!T110*base_building_arch_areas!$N$2</f>
        <v>7677.7797736273496</v>
      </c>
      <c r="U110" s="187">
        <f>model_eui_end_uses!U110*base_building_arch_areas!$N$2</f>
        <v>0</v>
      </c>
      <c r="V110" s="187">
        <f>model_eui_end_uses!V110*base_building_arch_areas!$N$2</f>
        <v>126663.72999944557</v>
      </c>
      <c r="W110" s="187">
        <f>model_eui_end_uses!W110*base_building_arch_areas!$N$2</f>
        <v>1240098.8872986569</v>
      </c>
      <c r="X110" s="187">
        <f>model_eui_end_uses!X110*base_building_arch_areas!$N$2</f>
        <v>138003.67327123534</v>
      </c>
      <c r="Y110" s="187">
        <f>model_eui_end_uses!Y110*base_building_arch_areas!$N$2</f>
        <v>0</v>
      </c>
      <c r="Z110" s="187">
        <f>model_eui_end_uses!Z110*base_building_arch_areas!$N$2</f>
        <v>229479.21566367269</v>
      </c>
      <c r="AA110" s="187">
        <f>model_eui_end_uses!AA110*base_building_arch_areas!$N$2</f>
        <v>197688.10197184997</v>
      </c>
      <c r="AB110" s="187">
        <f>model_eui_end_uses!AB110*base_building_arch_areas!$N$2</f>
        <v>0</v>
      </c>
      <c r="AC110" s="187">
        <f>model_eui_end_uses!AC110*base_building_arch_areas!$N$2</f>
        <v>11793109.004822422</v>
      </c>
      <c r="AD110" s="187">
        <f>model_eui_end_uses!AD110*base_building_arch_areas!$N$2</f>
        <v>6505592.9102342939</v>
      </c>
      <c r="AE110" s="187">
        <f>model_eui_end_uses!AE110*base_building_arch_areas!$N$2</f>
        <v>647869.12266284868</v>
      </c>
      <c r="AF110" s="187">
        <f t="shared" si="17"/>
        <v>7153462.0328971427</v>
      </c>
      <c r="AG110" s="187">
        <f>model_eui_end_uses!AH110*base_building_arch_areas!$N$2</f>
        <v>105390.60514579556</v>
      </c>
      <c r="AH110" s="187">
        <f>model_eui_end_uses!AI110*base_building_arch_areas!$N$2</f>
        <v>73209.210860901905</v>
      </c>
      <c r="AI110" s="187">
        <f t="shared" si="18"/>
        <v>178599.81600669748</v>
      </c>
      <c r="AJ110" s="200">
        <f>sim_annual_output!F110/sim_annual_output!H110*base_building_arch_areas!$N$2</f>
        <v>1397320.5405391336</v>
      </c>
      <c r="AK110">
        <f t="shared" si="19"/>
        <v>7.8237512881129403</v>
      </c>
    </row>
    <row r="111" spans="1:37">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f>model_eui_end_uses!G111*base_scenario_arch_measures!$F111</f>
        <v>0</v>
      </c>
      <c r="H111">
        <f>model_eui_end_uses!H111*base_scenario_arch_measures!$F111</f>
        <v>121.16107374307991</v>
      </c>
      <c r="I111">
        <f>model_eui_end_uses!I111*base_scenario_arch_measures!$F111</f>
        <v>0.11559046504702924</v>
      </c>
      <c r="J111">
        <f>model_eui_end_uses!J111*base_scenario_arch_measures!$F111</f>
        <v>0</v>
      </c>
      <c r="K111">
        <f>model_eui_end_uses!K111*base_scenario_arch_measures!$F111</f>
        <v>1.569718515338657</v>
      </c>
      <c r="L111">
        <f>model_eui_end_uses!L111*base_scenario_arch_measures!$F111</f>
        <v>15.368299861784338</v>
      </c>
      <c r="M111">
        <f>model_eui_end_uses!M111*base_scenario_arch_measures!$F111</f>
        <v>1.7102521860010982</v>
      </c>
      <c r="N111">
        <f>model_eui_end_uses!N111*base_scenario_arch_measures!$F111</f>
        <v>0</v>
      </c>
      <c r="O111">
        <f>model_eui_end_uses!O111*base_scenario_arch_measures!$F111</f>
        <v>2.8567879250938941</v>
      </c>
      <c r="P111">
        <f>model_eui_end_uses!P111*base_scenario_arch_measures!$F111</f>
        <v>2.4508828815182211</v>
      </c>
      <c r="Q111">
        <f>model_eui_end_uses!Q111*base_scenario_arch_measures!$F111</f>
        <v>0</v>
      </c>
      <c r="R111" s="187">
        <f>model_eui_end_uses!R111*base_building_arch_areas!$N$2</f>
        <v>0</v>
      </c>
      <c r="S111" s="187">
        <f>model_eui_end_uses!S111*base_building_arch_areas!$N$2</f>
        <v>9853497.6168439332</v>
      </c>
      <c r="T111" s="187">
        <f>model_eui_end_uses!T111*base_building_arch_areas!$N$2</f>
        <v>7677.7797736273496</v>
      </c>
      <c r="U111" s="187">
        <f>model_eui_end_uses!U111*base_building_arch_areas!$N$2</f>
        <v>0</v>
      </c>
      <c r="V111" s="187">
        <f>model_eui_end_uses!V111*base_building_arch_areas!$N$2</f>
        <v>126663.72999944557</v>
      </c>
      <c r="W111" s="187">
        <f>model_eui_end_uses!W111*base_building_arch_areas!$N$2</f>
        <v>1240098.8872986569</v>
      </c>
      <c r="X111" s="187">
        <f>model_eui_end_uses!X111*base_building_arch_areas!$N$2</f>
        <v>138003.67327123534</v>
      </c>
      <c r="Y111" s="187">
        <f>model_eui_end_uses!Y111*base_building_arch_areas!$N$2</f>
        <v>0</v>
      </c>
      <c r="Z111" s="187">
        <f>model_eui_end_uses!Z111*base_building_arch_areas!$N$2</f>
        <v>229479.21566367269</v>
      </c>
      <c r="AA111" s="187">
        <f>model_eui_end_uses!AA111*base_building_arch_areas!$N$2</f>
        <v>197688.10197184997</v>
      </c>
      <c r="AB111" s="187">
        <f>model_eui_end_uses!AB111*base_building_arch_areas!$N$2</f>
        <v>0</v>
      </c>
      <c r="AC111" s="187">
        <f>model_eui_end_uses!AC111*base_building_arch_areas!$N$2</f>
        <v>11793109.004822422</v>
      </c>
      <c r="AD111" s="187">
        <f>model_eui_end_uses!AD111*base_building_arch_areas!$N$2</f>
        <v>76767.979603570595</v>
      </c>
      <c r="AE111" s="187">
        <f>model_eui_end_uses!AE111*base_building_arch_areas!$N$2</f>
        <v>-2768.7134222033205</v>
      </c>
      <c r="AF111" s="187">
        <f t="shared" si="17"/>
        <v>73999.266181367275</v>
      </c>
      <c r="AG111" s="187">
        <f>model_eui_end_uses!AH111*base_building_arch_areas!$N$2</f>
        <v>1243.6412695778438</v>
      </c>
      <c r="AH111" s="187">
        <f>model_eui_end_uses!AI111*base_building_arch_areas!$N$2</f>
        <v>-312.86461670897518</v>
      </c>
      <c r="AI111" s="187">
        <f t="shared" si="18"/>
        <v>930.77665286886861</v>
      </c>
      <c r="AJ111" s="200">
        <f>sim_annual_output!F111/sim_annual_output!H111*base_building_arch_areas!$N$2</f>
        <v>74817.561938199273</v>
      </c>
      <c r="AK111">
        <f t="shared" si="19"/>
        <v>80.381863584130812</v>
      </c>
    </row>
    <row r="112" spans="1:37">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f>model_eui_end_uses!G112*base_scenario_arch_measures!$F112</f>
        <v>0</v>
      </c>
      <c r="H112">
        <f>model_eui_end_uses!H112*base_scenario_arch_measures!$F112</f>
        <v>121.12371977174367</v>
      </c>
      <c r="I112">
        <f>model_eui_end_uses!I112*base_scenario_arch_measures!$F112</f>
        <v>0.11826729686917097</v>
      </c>
      <c r="J112">
        <f>model_eui_end_uses!J112*base_scenario_arch_measures!$F112</f>
        <v>0</v>
      </c>
      <c r="K112">
        <f>model_eui_end_uses!K112*base_scenario_arch_measures!$F112</f>
        <v>1.574098785593071</v>
      </c>
      <c r="L112">
        <f>model_eui_end_uses!L112*base_scenario_arch_measures!$F112</f>
        <v>15.368299861784338</v>
      </c>
      <c r="M112">
        <f>model_eui_end_uses!M112*base_scenario_arch_measures!$F112</f>
        <v>1.7102521860010982</v>
      </c>
      <c r="N112">
        <f>model_eui_end_uses!N112*base_scenario_arch_measures!$F112</f>
        <v>0</v>
      </c>
      <c r="O112">
        <f>model_eui_end_uses!O112*base_scenario_arch_measures!$F112</f>
        <v>2.8553278350090898</v>
      </c>
      <c r="P112">
        <f>model_eui_end_uses!P112*base_scenario_arch_measures!$F112</f>
        <v>2.4449208470052692</v>
      </c>
      <c r="Q112">
        <f>model_eui_end_uses!Q112*base_scenario_arch_measures!$F112</f>
        <v>0</v>
      </c>
      <c r="R112" s="187">
        <f>model_eui_end_uses!R112*base_building_arch_areas!$N$2</f>
        <v>0</v>
      </c>
      <c r="S112" s="187">
        <f>model_eui_end_uses!S112*base_building_arch_areas!$N$2</f>
        <v>9853497.6168439332</v>
      </c>
      <c r="T112" s="187">
        <f>model_eui_end_uses!T112*base_building_arch_areas!$N$2</f>
        <v>7677.7797736273496</v>
      </c>
      <c r="U112" s="187">
        <f>model_eui_end_uses!U112*base_building_arch_areas!$N$2</f>
        <v>0</v>
      </c>
      <c r="V112" s="187">
        <f>model_eui_end_uses!V112*base_building_arch_areas!$N$2</f>
        <v>126663.72999944557</v>
      </c>
      <c r="W112" s="187">
        <f>model_eui_end_uses!W112*base_building_arch_areas!$N$2</f>
        <v>1240098.8872986569</v>
      </c>
      <c r="X112" s="187">
        <f>model_eui_end_uses!X112*base_building_arch_areas!$N$2</f>
        <v>138003.67327123534</v>
      </c>
      <c r="Y112" s="187">
        <f>model_eui_end_uses!Y112*base_building_arch_areas!$N$2</f>
        <v>0</v>
      </c>
      <c r="Z112" s="187">
        <f>model_eui_end_uses!Z112*base_building_arch_areas!$N$2</f>
        <v>229479.21566367269</v>
      </c>
      <c r="AA112" s="187">
        <f>model_eui_end_uses!AA112*base_building_arch_areas!$N$2</f>
        <v>197688.10197184997</v>
      </c>
      <c r="AB112" s="187">
        <f>model_eui_end_uses!AB112*base_building_arch_areas!$N$2</f>
        <v>0</v>
      </c>
      <c r="AC112" s="187">
        <f>model_eui_end_uses!AC112*base_building_arch_areas!$N$2</f>
        <v>11793109.004822422</v>
      </c>
      <c r="AD112" s="187">
        <f>model_eui_end_uses!AD112*base_building_arch_areas!$N$2</f>
        <v>79428.693566041184</v>
      </c>
      <c r="AE112" s="187">
        <f>model_eui_end_uses!AE112*base_building_arch_areas!$N$2</f>
        <v>-2385.8062467922427</v>
      </c>
      <c r="AF112" s="187">
        <f t="shared" si="17"/>
        <v>77042.887319248941</v>
      </c>
      <c r="AG112" s="187">
        <f>model_eui_end_uses!AH112*base_building_arch_areas!$N$2</f>
        <v>1286.7448357698672</v>
      </c>
      <c r="AH112" s="187">
        <f>model_eui_end_uses!AI112*base_building_arch_areas!$N$2</f>
        <v>-269.59610588752344</v>
      </c>
      <c r="AI112" s="187">
        <f t="shared" si="18"/>
        <v>1017.1487298823438</v>
      </c>
      <c r="AJ112" s="200">
        <f>sim_annual_output!F112/sim_annual_output!H112*base_building_arch_areas!$N$2</f>
        <v>12080.926630147418</v>
      </c>
      <c r="AK112">
        <f t="shared" si="19"/>
        <v>11.87724693078548</v>
      </c>
    </row>
    <row r="113" spans="1:37">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f>model_eui_end_uses!G113*base_scenario_arch_measures!$F113</f>
        <v>0</v>
      </c>
      <c r="H113">
        <f>model_eui_end_uses!H113*base_scenario_arch_measures!$F113</f>
        <v>121.12371977174367</v>
      </c>
      <c r="I113">
        <f>model_eui_end_uses!I113*base_scenario_arch_measures!$F113</f>
        <v>0.11826729686917097</v>
      </c>
      <c r="J113">
        <f>model_eui_end_uses!J113*base_scenario_arch_measures!$F113</f>
        <v>0</v>
      </c>
      <c r="K113">
        <f>model_eui_end_uses!K113*base_scenario_arch_measures!$F113</f>
        <v>1.569718515338657</v>
      </c>
      <c r="L113">
        <f>model_eui_end_uses!L113*base_scenario_arch_measures!$F113</f>
        <v>15.368299861784338</v>
      </c>
      <c r="M113">
        <f>model_eui_end_uses!M113*base_scenario_arch_measures!$F113</f>
        <v>1.7102521860010982</v>
      </c>
      <c r="N113">
        <f>model_eui_end_uses!N113*base_scenario_arch_measures!$F113</f>
        <v>0</v>
      </c>
      <c r="O113">
        <f>model_eui_end_uses!O113*base_scenario_arch_measures!$F113</f>
        <v>2.8553278350090898</v>
      </c>
      <c r="P113">
        <f>model_eui_end_uses!P113*base_scenario_arch_measures!$F113</f>
        <v>1.9156381912636089</v>
      </c>
      <c r="Q113">
        <f>model_eui_end_uses!Q113*base_scenario_arch_measures!$F113</f>
        <v>0</v>
      </c>
      <c r="R113" s="187">
        <f>model_eui_end_uses!R113*base_building_arch_areas!$N$2</f>
        <v>0</v>
      </c>
      <c r="S113" s="187">
        <f>model_eui_end_uses!S113*base_building_arch_areas!$N$2</f>
        <v>9853497.6168439332</v>
      </c>
      <c r="T113" s="187">
        <f>model_eui_end_uses!T113*base_building_arch_areas!$N$2</f>
        <v>7677.7797736273496</v>
      </c>
      <c r="U113" s="187">
        <f>model_eui_end_uses!U113*base_building_arch_areas!$N$2</f>
        <v>0</v>
      </c>
      <c r="V113" s="187">
        <f>model_eui_end_uses!V113*base_building_arch_areas!$N$2</f>
        <v>126663.72999944557</v>
      </c>
      <c r="W113" s="187">
        <f>model_eui_end_uses!W113*base_building_arch_areas!$N$2</f>
        <v>1240098.8872986569</v>
      </c>
      <c r="X113" s="187">
        <f>model_eui_end_uses!X113*base_building_arch_areas!$N$2</f>
        <v>138003.67327123534</v>
      </c>
      <c r="Y113" s="187">
        <f>model_eui_end_uses!Y113*base_building_arch_areas!$N$2</f>
        <v>0</v>
      </c>
      <c r="Z113" s="187">
        <f>model_eui_end_uses!Z113*base_building_arch_areas!$N$2</f>
        <v>229479.21566367269</v>
      </c>
      <c r="AA113" s="187">
        <f>model_eui_end_uses!AA113*base_building_arch_areas!$N$2</f>
        <v>197688.10197184997</v>
      </c>
      <c r="AB113" s="187">
        <f>model_eui_end_uses!AB113*base_building_arch_areas!$N$2</f>
        <v>0</v>
      </c>
      <c r="AC113" s="187">
        <f>model_eui_end_uses!AC113*base_building_arch_areas!$N$2</f>
        <v>11793109.004822422</v>
      </c>
      <c r="AD113" s="187">
        <f>model_eui_end_uses!AD113*base_building_arch_areas!$N$2</f>
        <v>79782.146343344284</v>
      </c>
      <c r="AE113" s="187">
        <f>model_eui_end_uses!AE113*base_building_arch_areas!$N$2</f>
        <v>40323.071010597851</v>
      </c>
      <c r="AF113" s="187">
        <f t="shared" si="17"/>
        <v>120105.21735394213</v>
      </c>
      <c r="AG113" s="187">
        <f>model_eui_end_uses!AH113*base_building_arch_areas!$N$2</f>
        <v>1292.4707707621774</v>
      </c>
      <c r="AH113" s="187">
        <f>model_eui_end_uses!AI113*base_building_arch_areas!$N$2</f>
        <v>4556.5070241975573</v>
      </c>
      <c r="AI113" s="187">
        <f t="shared" si="18"/>
        <v>5848.9777949597346</v>
      </c>
      <c r="AJ113" s="200">
        <f>sim_annual_output!F113/sim_annual_output!H113*base_building_arch_areas!$N$2</f>
        <v>23473.588489765771</v>
      </c>
      <c r="AK113">
        <f t="shared" si="19"/>
        <v>4.0132804932160573</v>
      </c>
    </row>
    <row r="114" spans="1:37">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f>model_eui_end_uses!G114*base_scenario_arch_measures!$F114</f>
        <v>0</v>
      </c>
      <c r="H114">
        <f>model_eui_end_uses!H114*base_scenario_arch_measures!$F114</f>
        <v>11.927514057062316</v>
      </c>
      <c r="I114">
        <f>model_eui_end_uses!I114*base_scenario_arch_measures!$F114</f>
        <v>0.12285092557559009</v>
      </c>
      <c r="J114">
        <f>model_eui_end_uses!J114*base_scenario_arch_measures!$F114</f>
        <v>0</v>
      </c>
      <c r="K114">
        <f>model_eui_end_uses!K114*base_scenario_arch_measures!$F114</f>
        <v>0.15731015293803352</v>
      </c>
      <c r="L114">
        <f>model_eui_end_uses!L114*base_scenario_arch_measures!$F114</f>
        <v>1.5401421197693355</v>
      </c>
      <c r="M114">
        <f>model_eui_end_uses!M114*base_scenario_arch_measures!$F114</f>
        <v>0.17139380743329971</v>
      </c>
      <c r="N114">
        <f>model_eui_end_uses!N114*base_scenario_arch_measures!$F114</f>
        <v>0</v>
      </c>
      <c r="O114">
        <f>model_eui_end_uses!O114*base_scenario_arch_measures!$F114</f>
        <v>0.27144262573083983</v>
      </c>
      <c r="P114">
        <f>model_eui_end_uses!P114*base_scenario_arch_measures!$F114</f>
        <v>0.26200474817297315</v>
      </c>
      <c r="Q114">
        <f>model_eui_end_uses!Q114*base_scenario_arch_measures!$F114</f>
        <v>0</v>
      </c>
      <c r="R114" s="187">
        <f>model_eui_end_uses!R114*base_building_arch_areas!$N$3</f>
        <v>0</v>
      </c>
      <c r="S114" s="187">
        <f>model_eui_end_uses!S114*base_building_arch_areas!$N$3</f>
        <v>2749656.4741800977</v>
      </c>
      <c r="T114" s="187">
        <f>model_eui_end_uses!T114*base_building_arch_areas!$N$3</f>
        <v>1786.2864903190334</v>
      </c>
      <c r="U114" s="187">
        <f>model_eui_end_uses!U114*base_building_arch_areas!$N$3</f>
        <v>0</v>
      </c>
      <c r="V114" s="187">
        <f>model_eui_end_uses!V114*base_building_arch_areas!$N$3</f>
        <v>36405.816763990282</v>
      </c>
      <c r="W114" s="187">
        <f>model_eui_end_uses!W114*base_building_arch_areas!$N$3</f>
        <v>356430.47035185801</v>
      </c>
      <c r="X114" s="187">
        <f>model_eui_end_uses!X114*base_building_arch_areas!$N$3</f>
        <v>39665.154672866251</v>
      </c>
      <c r="Y114" s="187">
        <f>model_eui_end_uses!Y114*base_building_arch_areas!$N$3</f>
        <v>0</v>
      </c>
      <c r="Z114" s="187">
        <f>model_eui_end_uses!Z114*base_building_arch_areas!$N$3</f>
        <v>62584.931725585353</v>
      </c>
      <c r="AA114" s="187">
        <f>model_eui_end_uses!AA114*base_building_arch_areas!$N$3</f>
        <v>53594.238584737883</v>
      </c>
      <c r="AB114" s="187">
        <f>model_eui_end_uses!AB114*base_building_arch_areas!$N$3</f>
        <v>0</v>
      </c>
      <c r="AC114" s="187">
        <f>model_eui_end_uses!AC114*base_building_arch_areas!$N$3</f>
        <v>3300123.372769454</v>
      </c>
      <c r="AD114" s="187">
        <f>model_eui_end_uses!AD114*base_building_arch_areas!$N$3</f>
        <v>-10692.321503663112</v>
      </c>
      <c r="AE114" s="187">
        <f>model_eui_end_uses!AE114*base_building_arch_areas!$N$3</f>
        <v>-33919.689752977414</v>
      </c>
      <c r="AF114" s="187">
        <f t="shared" si="11"/>
        <v>-44612.01125664053</v>
      </c>
      <c r="AG114" s="187">
        <f>model_eui_end_uses!AH114*base_building_arch_areas!$N$3</f>
        <v>-173.21560835934241</v>
      </c>
      <c r="AH114" s="187">
        <f>model_eui_end_uses!AI114*base_building_arch_areas!$N$3</f>
        <v>-3832.924942086448</v>
      </c>
      <c r="AI114" s="187">
        <f t="shared" si="12"/>
        <v>-4006.1405504457903</v>
      </c>
      <c r="AJ114" s="200">
        <f>sim_annual_output!F114/sim_annual_output!H114*base_building_arch_areas!$N$3</f>
        <v>7128.6793101148132</v>
      </c>
      <c r="AK114">
        <f t="shared" si="13"/>
        <v>-1.7794381451049082</v>
      </c>
    </row>
    <row r="115" spans="1:37">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f>model_eui_end_uses!G115*base_scenario_arch_measures!$F115</f>
        <v>0</v>
      </c>
      <c r="H115">
        <f>model_eui_end_uses!H115*base_scenario_arch_measures!$F115</f>
        <v>11.881312354133691</v>
      </c>
      <c r="I115">
        <f>model_eui_end_uses!I115*base_scenario_arch_measures!$F115</f>
        <v>7.7185742818211937E-3</v>
      </c>
      <c r="J115">
        <f>model_eui_end_uses!J115*base_scenario_arch_measures!$F115</f>
        <v>0</v>
      </c>
      <c r="K115">
        <f>model_eui_end_uses!K115*base_scenario_arch_measures!$F115</f>
        <v>0.15731015293803352</v>
      </c>
      <c r="L115">
        <f>model_eui_end_uses!L115*base_scenario_arch_measures!$F115</f>
        <v>1.5401421197693355</v>
      </c>
      <c r="M115">
        <f>model_eui_end_uses!M115*base_scenario_arch_measures!$F115</f>
        <v>0.17139380743329971</v>
      </c>
      <c r="N115">
        <f>model_eui_end_uses!N115*base_scenario_arch_measures!$F115</f>
        <v>0</v>
      </c>
      <c r="O115">
        <f>model_eui_end_uses!O115*base_scenario_arch_measures!$F115</f>
        <v>0.27043055358962154</v>
      </c>
      <c r="P115">
        <f>model_eui_end_uses!P115*base_scenario_arch_measures!$F115</f>
        <v>0.23158161573514707</v>
      </c>
      <c r="Q115">
        <f>model_eui_end_uses!Q115*base_scenario_arch_measures!$F115</f>
        <v>0</v>
      </c>
      <c r="R115" s="187">
        <f>model_eui_end_uses!R115*base_building_arch_areas!$N$3</f>
        <v>0</v>
      </c>
      <c r="S115" s="187">
        <f>model_eui_end_uses!S115*base_building_arch_areas!$N$3</f>
        <v>2749656.4741800977</v>
      </c>
      <c r="T115" s="187">
        <f>model_eui_end_uses!T115*base_building_arch_areas!$N$3</f>
        <v>1786.2864903190334</v>
      </c>
      <c r="U115" s="187">
        <f>model_eui_end_uses!U115*base_building_arch_areas!$N$3</f>
        <v>0</v>
      </c>
      <c r="V115" s="187">
        <f>model_eui_end_uses!V115*base_building_arch_areas!$N$3</f>
        <v>36405.816763990282</v>
      </c>
      <c r="W115" s="187">
        <f>model_eui_end_uses!W115*base_building_arch_areas!$N$3</f>
        <v>356430.47035185801</v>
      </c>
      <c r="X115" s="187">
        <f>model_eui_end_uses!X115*base_building_arch_areas!$N$3</f>
        <v>39665.154672866251</v>
      </c>
      <c r="Y115" s="187">
        <f>model_eui_end_uses!Y115*base_building_arch_areas!$N$3</f>
        <v>0</v>
      </c>
      <c r="Z115" s="187">
        <f>model_eui_end_uses!Z115*base_building_arch_areas!$N$3</f>
        <v>62584.931725585353</v>
      </c>
      <c r="AA115" s="187">
        <f>model_eui_end_uses!AA115*base_building_arch_areas!$N$3</f>
        <v>53594.238584737883</v>
      </c>
      <c r="AB115" s="187">
        <f>model_eui_end_uses!AB115*base_building_arch_areas!$N$3</f>
        <v>0</v>
      </c>
      <c r="AC115" s="187">
        <f>model_eui_end_uses!AC115*base_building_arch_areas!$N$3</f>
        <v>3300123.372769454</v>
      </c>
      <c r="AD115" s="187">
        <f>model_eui_end_uses!AD115*base_building_arch_areas!$N$3</f>
        <v>0</v>
      </c>
      <c r="AE115" s="187">
        <f>model_eui_end_uses!AE115*base_building_arch_areas!$N$3</f>
        <v>0</v>
      </c>
      <c r="AF115" s="187">
        <f t="shared" ref="AF115:AF137" si="20">SUM(AD115:AE115)</f>
        <v>0</v>
      </c>
      <c r="AG115" s="187">
        <f>model_eui_end_uses!AH115*base_building_arch_areas!$N$3</f>
        <v>0</v>
      </c>
      <c r="AH115" s="187">
        <f>model_eui_end_uses!AI115*base_building_arch_areas!$N$3</f>
        <v>0</v>
      </c>
      <c r="AI115" s="187">
        <f t="shared" ref="AI115:AI137" si="21">SUM(AG115:AH115)</f>
        <v>0</v>
      </c>
      <c r="AJ115" s="200">
        <f>sim_annual_output!F115/sim_annual_output!H115*base_building_arch_areas!$N$3</f>
        <v>0</v>
      </c>
      <c r="AK115">
        <f t="shared" ref="AK115:AK137" si="22">IF(AI115=0,0,AJ115/AI115)</f>
        <v>0</v>
      </c>
    </row>
    <row r="116" spans="1:37">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f>model_eui_end_uses!G116*base_scenario_arch_measures!$F116</f>
        <v>0</v>
      </c>
      <c r="H116">
        <f>model_eui_end_uses!H116*base_scenario_arch_measures!$F116</f>
        <v>11.748523611749752</v>
      </c>
      <c r="I116">
        <f>model_eui_end_uses!I116*base_scenario_arch_measures!$F116</f>
        <v>9.9622040888592677E-3</v>
      </c>
      <c r="J116">
        <f>model_eui_end_uses!J116*base_scenario_arch_measures!$F116</f>
        <v>0</v>
      </c>
      <c r="K116">
        <f>model_eui_end_uses!K116*base_scenario_arch_measures!$F116</f>
        <v>0.15731015293803352</v>
      </c>
      <c r="L116">
        <f>model_eui_end_uses!L116*base_scenario_arch_measures!$F116</f>
        <v>1.5401421197693355</v>
      </c>
      <c r="M116">
        <f>model_eui_end_uses!M116*base_scenario_arch_measures!$F116</f>
        <v>0.17139380743329971</v>
      </c>
      <c r="N116">
        <f>model_eui_end_uses!N116*base_scenario_arch_measures!$F116</f>
        <v>0</v>
      </c>
      <c r="O116">
        <f>model_eui_end_uses!O116*base_scenario_arch_measures!$F116</f>
        <v>0.27144262573083983</v>
      </c>
      <c r="P116">
        <f>model_eui_end_uses!P116*base_scenario_arch_measures!$F116</f>
        <v>0.23131335564952296</v>
      </c>
      <c r="Q116">
        <f>model_eui_end_uses!Q116*base_scenario_arch_measures!$F116</f>
        <v>0</v>
      </c>
      <c r="R116" s="187">
        <f>model_eui_end_uses!R116*base_building_arch_areas!$N$3</f>
        <v>0</v>
      </c>
      <c r="S116" s="187">
        <f>model_eui_end_uses!S116*base_building_arch_areas!$N$3</f>
        <v>2749656.4741800977</v>
      </c>
      <c r="T116" s="187">
        <f>model_eui_end_uses!T116*base_building_arch_areas!$N$3</f>
        <v>1786.2864903190334</v>
      </c>
      <c r="U116" s="187">
        <f>model_eui_end_uses!U116*base_building_arch_areas!$N$3</f>
        <v>0</v>
      </c>
      <c r="V116" s="187">
        <f>model_eui_end_uses!V116*base_building_arch_areas!$N$3</f>
        <v>36405.816763990282</v>
      </c>
      <c r="W116" s="187">
        <f>model_eui_end_uses!W116*base_building_arch_areas!$N$3</f>
        <v>356430.47035185801</v>
      </c>
      <c r="X116" s="187">
        <f>model_eui_end_uses!X116*base_building_arch_areas!$N$3</f>
        <v>39665.154672866251</v>
      </c>
      <c r="Y116" s="187">
        <f>model_eui_end_uses!Y116*base_building_arch_areas!$N$3</f>
        <v>0</v>
      </c>
      <c r="Z116" s="187">
        <f>model_eui_end_uses!Z116*base_building_arch_areas!$N$3</f>
        <v>62584.931725585353</v>
      </c>
      <c r="AA116" s="187">
        <f>model_eui_end_uses!AA116*base_building_arch_areas!$N$3</f>
        <v>53594.238584737883</v>
      </c>
      <c r="AB116" s="187">
        <f>model_eui_end_uses!AB116*base_building_arch_areas!$N$3</f>
        <v>0</v>
      </c>
      <c r="AC116" s="187">
        <f>model_eui_end_uses!AC116*base_building_arch_areas!$N$3</f>
        <v>3300123.372769454</v>
      </c>
      <c r="AD116" s="187">
        <f>model_eui_end_uses!AD116*base_building_arch_areas!$N$3</f>
        <v>30730.900283687821</v>
      </c>
      <c r="AE116" s="187">
        <f>model_eui_end_uses!AE116*base_building_arch_areas!$N$3</f>
        <v>-691.37470794333842</v>
      </c>
      <c r="AF116" s="187">
        <f t="shared" si="20"/>
        <v>30039.525575744483</v>
      </c>
      <c r="AG116" s="187">
        <f>model_eui_end_uses!AH116*base_building_arch_areas!$N$3</f>
        <v>497.84058459574265</v>
      </c>
      <c r="AH116" s="187">
        <f>model_eui_end_uses!AI116*base_building_arch_areas!$N$3</f>
        <v>-78.125341997597246</v>
      </c>
      <c r="AI116" s="187">
        <f t="shared" si="21"/>
        <v>419.71524259814544</v>
      </c>
      <c r="AJ116" s="200">
        <f>sim_annual_output!F116/sim_annual_output!H116*base_building_arch_areas!$N$3</f>
        <v>172273.26730041177</v>
      </c>
      <c r="AK116">
        <f t="shared" si="22"/>
        <v>410.45273036546371</v>
      </c>
    </row>
    <row r="117" spans="1:37">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f>model_eui_end_uses!G117*base_scenario_arch_measures!$F117</f>
        <v>0</v>
      </c>
      <c r="H117">
        <f>model_eui_end_uses!H117*base_scenario_arch_measures!$F117</f>
        <v>9.7146244171087162</v>
      </c>
      <c r="I117">
        <f>model_eui_end_uses!I117*base_scenario_arch_measures!$F117</f>
        <v>9.9622040888592677E-3</v>
      </c>
      <c r="J117">
        <f>model_eui_end_uses!J117*base_scenario_arch_measures!$F117</f>
        <v>0</v>
      </c>
      <c r="K117">
        <f>model_eui_end_uses!K117*base_scenario_arch_measures!$F117</f>
        <v>0.15731015293803352</v>
      </c>
      <c r="L117">
        <f>model_eui_end_uses!L117*base_scenario_arch_measures!$F117</f>
        <v>1.5401421197693355</v>
      </c>
      <c r="M117">
        <f>model_eui_end_uses!M117*base_scenario_arch_measures!$F117</f>
        <v>0.17139380743329971</v>
      </c>
      <c r="N117">
        <f>model_eui_end_uses!N117*base_scenario_arch_measures!$F117</f>
        <v>0</v>
      </c>
      <c r="O117">
        <f>model_eui_end_uses!O117*base_scenario_arch_measures!$F117</f>
        <v>0.27144262573083983</v>
      </c>
      <c r="P117">
        <f>model_eui_end_uses!P117*base_scenario_arch_measures!$F117</f>
        <v>1.0181689613460818E-2</v>
      </c>
      <c r="Q117">
        <f>model_eui_end_uses!Q117*base_scenario_arch_measures!$F117</f>
        <v>0</v>
      </c>
      <c r="R117" s="187">
        <f>model_eui_end_uses!R117*base_building_arch_areas!$N$3</f>
        <v>0</v>
      </c>
      <c r="S117" s="187">
        <f>model_eui_end_uses!S117*base_building_arch_areas!$N$3</f>
        <v>2749656.4741800977</v>
      </c>
      <c r="T117" s="187">
        <f>model_eui_end_uses!T117*base_building_arch_areas!$N$3</f>
        <v>1786.2864903190334</v>
      </c>
      <c r="U117" s="187">
        <f>model_eui_end_uses!U117*base_building_arch_areas!$N$3</f>
        <v>0</v>
      </c>
      <c r="V117" s="187">
        <f>model_eui_end_uses!V117*base_building_arch_areas!$N$3</f>
        <v>36405.816763990282</v>
      </c>
      <c r="W117" s="187">
        <f>model_eui_end_uses!W117*base_building_arch_areas!$N$3</f>
        <v>356430.47035185801</v>
      </c>
      <c r="X117" s="187">
        <f>model_eui_end_uses!X117*base_building_arch_areas!$N$3</f>
        <v>39665.154672866251</v>
      </c>
      <c r="Y117" s="187">
        <f>model_eui_end_uses!Y117*base_building_arch_areas!$N$3</f>
        <v>0</v>
      </c>
      <c r="Z117" s="187">
        <f>model_eui_end_uses!Z117*base_building_arch_areas!$N$3</f>
        <v>62584.931725585353</v>
      </c>
      <c r="AA117" s="187">
        <f>model_eui_end_uses!AA117*base_building_arch_areas!$N$3</f>
        <v>53594.238584737883</v>
      </c>
      <c r="AB117" s="187">
        <f>model_eui_end_uses!AB117*base_building_arch_areas!$N$3</f>
        <v>0</v>
      </c>
      <c r="AC117" s="187">
        <f>model_eui_end_uses!AC117*base_building_arch_areas!$N$3</f>
        <v>3300123.372769454</v>
      </c>
      <c r="AD117" s="187">
        <f>model_eui_end_uses!AD117*base_building_arch_areas!$N$3</f>
        <v>501430.08920187852</v>
      </c>
      <c r="AE117" s="187">
        <f>model_eui_end_uses!AE117*base_building_arch_areas!$N$3</f>
        <v>50484.463367784396</v>
      </c>
      <c r="AF117" s="187">
        <f t="shared" si="20"/>
        <v>551914.55256966292</v>
      </c>
      <c r="AG117" s="187">
        <f>model_eui_end_uses!AH117*base_building_arch_areas!$N$3</f>
        <v>8123.1674450704313</v>
      </c>
      <c r="AH117" s="187">
        <f>model_eui_end_uses!AI117*base_building_arch_areas!$N$3</f>
        <v>5704.7443605596372</v>
      </c>
      <c r="AI117" s="187">
        <f t="shared" si="21"/>
        <v>13827.911805630069</v>
      </c>
      <c r="AJ117" s="200">
        <f>sim_annual_output!F117/sim_annual_output!H117*base_building_arch_areas!$N$3</f>
        <v>941.89876727194041</v>
      </c>
      <c r="AK117">
        <f t="shared" si="22"/>
        <v>6.8115763284550601E-2</v>
      </c>
    </row>
    <row r="118" spans="1:37">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f>model_eui_end_uses!G118*base_scenario_arch_measures!$F118</f>
        <v>0</v>
      </c>
      <c r="H118">
        <f>model_eui_end_uses!H118*base_scenario_arch_measures!$F118</f>
        <v>11.748523611749752</v>
      </c>
      <c r="I118">
        <f>model_eui_end_uses!I118*base_scenario_arch_measures!$F118</f>
        <v>7.108892269039109E-3</v>
      </c>
      <c r="J118">
        <f>model_eui_end_uses!J118*base_scenario_arch_measures!$F118</f>
        <v>0</v>
      </c>
      <c r="K118">
        <f>model_eui_end_uses!K118*base_scenario_arch_measures!$F118</f>
        <v>0.15731015293803352</v>
      </c>
      <c r="L118">
        <f>model_eui_end_uses!L118*base_scenario_arch_measures!$F118</f>
        <v>1.5401421197693355</v>
      </c>
      <c r="M118">
        <f>model_eui_end_uses!M118*base_scenario_arch_measures!$F118</f>
        <v>0.17139380743329971</v>
      </c>
      <c r="N118">
        <f>model_eui_end_uses!N118*base_scenario_arch_measures!$F118</f>
        <v>0</v>
      </c>
      <c r="O118">
        <f>model_eui_end_uses!O118*base_scenario_arch_measures!$F118</f>
        <v>0.27144262573083983</v>
      </c>
      <c r="P118">
        <f>model_eui_end_uses!P118*base_scenario_arch_measures!$F118</f>
        <v>0.23131335564952296</v>
      </c>
      <c r="Q118">
        <f>model_eui_end_uses!Q118*base_scenario_arch_measures!$F118</f>
        <v>0</v>
      </c>
      <c r="R118" s="187">
        <f>model_eui_end_uses!R118*base_building_arch_areas!$N$3</f>
        <v>0</v>
      </c>
      <c r="S118" s="187">
        <f>model_eui_end_uses!S118*base_building_arch_areas!$N$3</f>
        <v>2749656.4741800977</v>
      </c>
      <c r="T118" s="187">
        <f>model_eui_end_uses!T118*base_building_arch_areas!$N$3</f>
        <v>1786.2864903190334</v>
      </c>
      <c r="U118" s="187">
        <f>model_eui_end_uses!U118*base_building_arch_areas!$N$3</f>
        <v>0</v>
      </c>
      <c r="V118" s="187">
        <f>model_eui_end_uses!V118*base_building_arch_areas!$N$3</f>
        <v>36405.816763990282</v>
      </c>
      <c r="W118" s="187">
        <f>model_eui_end_uses!W118*base_building_arch_areas!$N$3</f>
        <v>356430.47035185801</v>
      </c>
      <c r="X118" s="187">
        <f>model_eui_end_uses!X118*base_building_arch_areas!$N$3</f>
        <v>39665.154672866251</v>
      </c>
      <c r="Y118" s="187">
        <f>model_eui_end_uses!Y118*base_building_arch_areas!$N$3</f>
        <v>0</v>
      </c>
      <c r="Z118" s="187">
        <f>model_eui_end_uses!Z118*base_building_arch_areas!$N$3</f>
        <v>62584.931725585353</v>
      </c>
      <c r="AA118" s="187">
        <f>model_eui_end_uses!AA118*base_building_arch_areas!$N$3</f>
        <v>53594.238584737883</v>
      </c>
      <c r="AB118" s="187">
        <f>model_eui_end_uses!AB118*base_building_arch_areas!$N$3</f>
        <v>0</v>
      </c>
      <c r="AC118" s="187">
        <f>model_eui_end_uses!AC118*base_building_arch_areas!$N$3</f>
        <v>3300123.372769454</v>
      </c>
      <c r="AD118" s="187">
        <f>model_eui_end_uses!AD118*base_building_arch_areas!$N$3</f>
        <v>30730.900283687821</v>
      </c>
      <c r="AE118" s="187">
        <f>model_eui_end_uses!AE118*base_building_arch_areas!$N$3</f>
        <v>-31.041313417827311</v>
      </c>
      <c r="AF118" s="187">
        <f t="shared" si="20"/>
        <v>30699.858970269994</v>
      </c>
      <c r="AG118" s="187">
        <f>model_eui_end_uses!AH118*base_building_arch_areas!$N$3</f>
        <v>497.84058459574265</v>
      </c>
      <c r="AH118" s="187">
        <f>model_eui_end_uses!AI118*base_building_arch_areas!$N$3</f>
        <v>-3.5076684162144867</v>
      </c>
      <c r="AI118" s="187">
        <f t="shared" si="21"/>
        <v>494.33291617952818</v>
      </c>
      <c r="AJ118" s="200">
        <f>sim_annual_output!F118/sim_annual_output!H118*base_building_arch_areas!$N$3</f>
        <v>16326.174337390366</v>
      </c>
      <c r="AK118">
        <f t="shared" si="22"/>
        <v>33.026678586503728</v>
      </c>
    </row>
    <row r="119" spans="1:37">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f>model_eui_end_uses!G119*base_scenario_arch_measures!$F119</f>
        <v>0</v>
      </c>
      <c r="H119">
        <f>model_eui_end_uses!H119*base_scenario_arch_measures!$F119</f>
        <v>10.037219363711975</v>
      </c>
      <c r="I119">
        <f>model_eui_end_uses!I119*base_scenario_arch_measures!$F119</f>
        <v>1.2071703853085279E-2</v>
      </c>
      <c r="J119">
        <f>model_eui_end_uses!J119*base_scenario_arch_measures!$F119</f>
        <v>0</v>
      </c>
      <c r="K119">
        <f>model_eui_end_uses!K119*base_scenario_arch_measures!$F119</f>
        <v>0.15731015293803352</v>
      </c>
      <c r="L119">
        <f>model_eui_end_uses!L119*base_scenario_arch_measures!$F119</f>
        <v>1.5401421197693355</v>
      </c>
      <c r="M119">
        <f>model_eui_end_uses!M119*base_scenario_arch_measures!$F119</f>
        <v>0.17139380743329971</v>
      </c>
      <c r="N119">
        <f>model_eui_end_uses!N119*base_scenario_arch_measures!$F119</f>
        <v>0</v>
      </c>
      <c r="O119">
        <f>model_eui_end_uses!O119*base_scenario_arch_measures!$F119</f>
        <v>0.27144262573083983</v>
      </c>
      <c r="P119">
        <f>model_eui_end_uses!P119*base_scenario_arch_measures!$F119</f>
        <v>0.2252287291619578</v>
      </c>
      <c r="Q119">
        <f>model_eui_end_uses!Q119*base_scenario_arch_measures!$F119</f>
        <v>0</v>
      </c>
      <c r="R119" s="187">
        <f>model_eui_end_uses!R119*base_building_arch_areas!$N$3</f>
        <v>0</v>
      </c>
      <c r="S119" s="187">
        <f>model_eui_end_uses!S119*base_building_arch_areas!$N$3</f>
        <v>2749656.4741800977</v>
      </c>
      <c r="T119" s="187">
        <f>model_eui_end_uses!T119*base_building_arch_areas!$N$3</f>
        <v>1786.2864903190334</v>
      </c>
      <c r="U119" s="187">
        <f>model_eui_end_uses!U119*base_building_arch_areas!$N$3</f>
        <v>0</v>
      </c>
      <c r="V119" s="187">
        <f>model_eui_end_uses!V119*base_building_arch_areas!$N$3</f>
        <v>36405.816763990282</v>
      </c>
      <c r="W119" s="187">
        <f>model_eui_end_uses!W119*base_building_arch_areas!$N$3</f>
        <v>356430.47035185801</v>
      </c>
      <c r="X119" s="187">
        <f>model_eui_end_uses!X119*base_building_arch_areas!$N$3</f>
        <v>39665.154672866251</v>
      </c>
      <c r="Y119" s="187">
        <f>model_eui_end_uses!Y119*base_building_arch_areas!$N$3</f>
        <v>0</v>
      </c>
      <c r="Z119" s="187">
        <f>model_eui_end_uses!Z119*base_building_arch_areas!$N$3</f>
        <v>62584.931725585353</v>
      </c>
      <c r="AA119" s="187">
        <f>model_eui_end_uses!AA119*base_building_arch_areas!$N$3</f>
        <v>53594.238584737883</v>
      </c>
      <c r="AB119" s="187">
        <f>model_eui_end_uses!AB119*base_building_arch_areas!$N$3</f>
        <v>0</v>
      </c>
      <c r="AC119" s="187">
        <f>model_eui_end_uses!AC119*base_building_arch_areas!$N$3</f>
        <v>3300123.372769454</v>
      </c>
      <c r="AD119" s="187">
        <f>model_eui_end_uses!AD119*base_building_arch_areas!$N$3</f>
        <v>426772.90849432646</v>
      </c>
      <c r="AE119" s="187">
        <f>model_eui_end_uses!AE119*base_building_arch_areas!$N$3</f>
        <v>228.5769442590215</v>
      </c>
      <c r="AF119" s="187">
        <f t="shared" si="20"/>
        <v>427001.48543858546</v>
      </c>
      <c r="AG119" s="187">
        <f>model_eui_end_uses!AH119*base_building_arch_areas!$N$3</f>
        <v>6913.7211176080882</v>
      </c>
      <c r="AH119" s="187">
        <f>model_eui_end_uses!AI119*base_building_arch_areas!$N$3</f>
        <v>25.829194701269429</v>
      </c>
      <c r="AI119" s="187">
        <f t="shared" si="21"/>
        <v>6939.5503123093577</v>
      </c>
      <c r="AJ119" s="200">
        <f>sim_annual_output!F119/sim_annual_output!H119*base_building_arch_areas!$N$3</f>
        <v>64947.444279943324</v>
      </c>
      <c r="AK119">
        <f t="shared" si="22"/>
        <v>9.359027798204691</v>
      </c>
    </row>
    <row r="120" spans="1:37">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f>model_eui_end_uses!G120*base_scenario_arch_measures!$F120</f>
        <v>0</v>
      </c>
      <c r="H120">
        <f>model_eui_end_uses!H120*base_scenario_arch_measures!$F120</f>
        <v>11.538732031151437</v>
      </c>
      <c r="I120">
        <f>model_eui_end_uses!I120*base_scenario_arch_measures!$F120</f>
        <v>5.8358762263501153E-2</v>
      </c>
      <c r="J120">
        <f>model_eui_end_uses!J120*base_scenario_arch_measures!$F120</f>
        <v>0</v>
      </c>
      <c r="K120">
        <f>model_eui_end_uses!K120*base_scenario_arch_measures!$F120</f>
        <v>0.15731015293803352</v>
      </c>
      <c r="L120">
        <f>model_eui_end_uses!L120*base_scenario_arch_measures!$F120</f>
        <v>1.5401421197693355</v>
      </c>
      <c r="M120">
        <f>model_eui_end_uses!M120*base_scenario_arch_measures!$F120</f>
        <v>0.17139380743329971</v>
      </c>
      <c r="N120">
        <f>model_eui_end_uses!N120*base_scenario_arch_measures!$F120</f>
        <v>0</v>
      </c>
      <c r="O120">
        <f>model_eui_end_uses!O120*base_scenario_arch_measures!$F120</f>
        <v>0.27144262573083983</v>
      </c>
      <c r="P120">
        <f>model_eui_end_uses!P120*base_scenario_arch_measures!$F120</f>
        <v>0.23070367363674091</v>
      </c>
      <c r="Q120">
        <f>model_eui_end_uses!Q120*base_scenario_arch_measures!$F120</f>
        <v>0</v>
      </c>
      <c r="R120" s="187">
        <f>model_eui_end_uses!R120*base_building_arch_areas!$N$3</f>
        <v>0</v>
      </c>
      <c r="S120" s="187">
        <f>model_eui_end_uses!S120*base_building_arch_areas!$N$3</f>
        <v>2749656.4741800977</v>
      </c>
      <c r="T120" s="187">
        <f>model_eui_end_uses!T120*base_building_arch_areas!$N$3</f>
        <v>1786.2864903190334</v>
      </c>
      <c r="U120" s="187">
        <f>model_eui_end_uses!U120*base_building_arch_areas!$N$3</f>
        <v>0</v>
      </c>
      <c r="V120" s="187">
        <f>model_eui_end_uses!V120*base_building_arch_areas!$N$3</f>
        <v>36405.816763990282</v>
      </c>
      <c r="W120" s="187">
        <f>model_eui_end_uses!W120*base_building_arch_areas!$N$3</f>
        <v>356430.47035185801</v>
      </c>
      <c r="X120" s="187">
        <f>model_eui_end_uses!X120*base_building_arch_areas!$N$3</f>
        <v>39665.154672866251</v>
      </c>
      <c r="Y120" s="187">
        <f>model_eui_end_uses!Y120*base_building_arch_areas!$N$3</f>
        <v>0</v>
      </c>
      <c r="Z120" s="187">
        <f>model_eui_end_uses!Z120*base_building_arch_areas!$N$3</f>
        <v>62584.931725585353</v>
      </c>
      <c r="AA120" s="187">
        <f>model_eui_end_uses!AA120*base_building_arch_areas!$N$3</f>
        <v>53594.238584737883</v>
      </c>
      <c r="AB120" s="187">
        <f>model_eui_end_uses!AB120*base_building_arch_areas!$N$3</f>
        <v>0</v>
      </c>
      <c r="AC120" s="187">
        <f>model_eui_end_uses!AC120*base_building_arch_areas!$N$3</f>
        <v>3300123.372769454</v>
      </c>
      <c r="AD120" s="187">
        <f>model_eui_end_uses!AD120*base_building_arch_areas!$N$3</f>
        <v>79282.336406813934</v>
      </c>
      <c r="AE120" s="187">
        <f>model_eui_end_uses!AE120*base_building_arch_areas!$N$3</f>
        <v>-11750.548097453926</v>
      </c>
      <c r="AF120" s="187">
        <f t="shared" si="20"/>
        <v>67531.78830936001</v>
      </c>
      <c r="AG120" s="187">
        <f>model_eui_end_uses!AH120*base_building_arch_areas!$N$3</f>
        <v>1284.3738497903855</v>
      </c>
      <c r="AH120" s="187">
        <f>model_eui_end_uses!AI120*base_building_arch_areas!$N$3</f>
        <v>-1327.8119350122938</v>
      </c>
      <c r="AI120" s="187">
        <f t="shared" si="21"/>
        <v>-43.438085221908295</v>
      </c>
      <c r="AJ120" s="200">
        <f>sim_annual_output!F120/sim_annual_output!H120*base_building_arch_areas!$N$3</f>
        <v>7128.6793101148132</v>
      </c>
      <c r="AK120">
        <f t="shared" si="22"/>
        <v>-164.11126949305341</v>
      </c>
    </row>
    <row r="121" spans="1:37">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f>model_eui_end_uses!G121*base_scenario_arch_measures!$F121</f>
        <v>0</v>
      </c>
      <c r="H121">
        <f>model_eui_end_uses!H121*base_scenario_arch_measures!$F121</f>
        <v>11.748730903634097</v>
      </c>
      <c r="I121">
        <f>model_eui_end_uses!I121*base_scenario_arch_measures!$F121</f>
        <v>9.6451694422125828E-3</v>
      </c>
      <c r="J121">
        <f>model_eui_end_uses!J121*base_scenario_arch_measures!$F121</f>
        <v>0</v>
      </c>
      <c r="K121">
        <f>model_eui_end_uses!K121*base_scenario_arch_measures!$F121</f>
        <v>0.15731015293803352</v>
      </c>
      <c r="L121">
        <f>model_eui_end_uses!L121*base_scenario_arch_measures!$F121</f>
        <v>1.5401421197693355</v>
      </c>
      <c r="M121">
        <f>model_eui_end_uses!M121*base_scenario_arch_measures!$F121</f>
        <v>0.17139380743329971</v>
      </c>
      <c r="N121">
        <f>model_eui_end_uses!N121*base_scenario_arch_measures!$F121</f>
        <v>0</v>
      </c>
      <c r="O121">
        <f>model_eui_end_uses!O121*base_scenario_arch_measures!$F121</f>
        <v>0.27144262573083983</v>
      </c>
      <c r="P121">
        <f>model_eui_end_uses!P121*base_scenario_arch_measures!$F121</f>
        <v>0.23119141924696654</v>
      </c>
      <c r="Q121">
        <f>model_eui_end_uses!Q121*base_scenario_arch_measures!$F121</f>
        <v>0</v>
      </c>
      <c r="R121" s="187">
        <f>model_eui_end_uses!R121*base_building_arch_areas!$N$3</f>
        <v>0</v>
      </c>
      <c r="S121" s="187">
        <f>model_eui_end_uses!S121*base_building_arch_areas!$N$3</f>
        <v>2749656.4741800977</v>
      </c>
      <c r="T121" s="187">
        <f>model_eui_end_uses!T121*base_building_arch_areas!$N$3</f>
        <v>1786.2864903190334</v>
      </c>
      <c r="U121" s="187">
        <f>model_eui_end_uses!U121*base_building_arch_areas!$N$3</f>
        <v>0</v>
      </c>
      <c r="V121" s="187">
        <f>model_eui_end_uses!V121*base_building_arch_areas!$N$3</f>
        <v>36405.816763990282</v>
      </c>
      <c r="W121" s="187">
        <f>model_eui_end_uses!W121*base_building_arch_areas!$N$3</f>
        <v>356430.47035185801</v>
      </c>
      <c r="X121" s="187">
        <f>model_eui_end_uses!X121*base_building_arch_areas!$N$3</f>
        <v>39665.154672866251</v>
      </c>
      <c r="Y121" s="187">
        <f>model_eui_end_uses!Y121*base_building_arch_areas!$N$3</f>
        <v>0</v>
      </c>
      <c r="Z121" s="187">
        <f>model_eui_end_uses!Z121*base_building_arch_areas!$N$3</f>
        <v>62584.931725585353</v>
      </c>
      <c r="AA121" s="187">
        <f>model_eui_end_uses!AA121*base_building_arch_areas!$N$3</f>
        <v>53594.238584737883</v>
      </c>
      <c r="AB121" s="187">
        <f>model_eui_end_uses!AB121*base_building_arch_areas!$N$3</f>
        <v>0</v>
      </c>
      <c r="AC121" s="187">
        <f>model_eui_end_uses!AC121*base_building_arch_areas!$N$3</f>
        <v>3300123.372769454</v>
      </c>
      <c r="AD121" s="187">
        <f>model_eui_end_uses!AD121*base_building_arch_areas!$N$3</f>
        <v>30682.927344769403</v>
      </c>
      <c r="AE121" s="187">
        <f>model_eui_end_uses!AE121*base_building_arch_areas!$N$3</f>
        <v>-589.78495493933872</v>
      </c>
      <c r="AF121" s="187">
        <f t="shared" si="20"/>
        <v>30093.142389830064</v>
      </c>
      <c r="AG121" s="187">
        <f>model_eui_end_uses!AH121*base_building_arch_areas!$N$3</f>
        <v>497.06342298526425</v>
      </c>
      <c r="AH121" s="187">
        <f>model_eui_end_uses!AI121*base_building_arch_areas!$N$3</f>
        <v>-66.645699908145275</v>
      </c>
      <c r="AI121" s="187">
        <f t="shared" si="21"/>
        <v>430.41772307711898</v>
      </c>
      <c r="AJ121" s="200">
        <f>sim_annual_output!F121/sim_annual_output!H121*base_building_arch_areas!$N$3</f>
        <v>2785.3290669694939</v>
      </c>
      <c r="AK121">
        <f t="shared" si="22"/>
        <v>6.4712229948543261</v>
      </c>
    </row>
    <row r="122" spans="1:37">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f>model_eui_end_uses!G122*base_scenario_arch_measures!$F122</f>
        <v>0</v>
      </c>
      <c r="H122">
        <f>model_eui_end_uses!H122*base_scenario_arch_measures!$F122</f>
        <v>10.485555128631407</v>
      </c>
      <c r="I122">
        <f>model_eui_end_uses!I122*base_scenario_arch_measures!$F122</f>
        <v>7.4381205559414338E-3</v>
      </c>
      <c r="J122">
        <f>model_eui_end_uses!J122*base_scenario_arch_measures!$F122</f>
        <v>0</v>
      </c>
      <c r="K122">
        <f>model_eui_end_uses!K122*base_scenario_arch_measures!$F122</f>
        <v>0.15731015293803352</v>
      </c>
      <c r="L122">
        <f>model_eui_end_uses!L122*base_scenario_arch_measures!$F122</f>
        <v>1.0781007032025607</v>
      </c>
      <c r="M122">
        <f>model_eui_end_uses!M122*base_scenario_arch_measures!$F122</f>
        <v>0.17139380743329971</v>
      </c>
      <c r="N122">
        <f>model_eui_end_uses!N122*base_scenario_arch_measures!$F122</f>
        <v>0</v>
      </c>
      <c r="O122">
        <f>model_eui_end_uses!O122*base_scenario_arch_measures!$F122</f>
        <v>0.24882342305662447</v>
      </c>
      <c r="P122">
        <f>model_eui_end_uses!P122*base_scenario_arch_measures!$F122</f>
        <v>0.17985619377071502</v>
      </c>
      <c r="Q122">
        <f>model_eui_end_uses!Q122*base_scenario_arch_measures!$F122</f>
        <v>0</v>
      </c>
      <c r="R122" s="187">
        <f>model_eui_end_uses!R122*base_building_arch_areas!$N$3</f>
        <v>0</v>
      </c>
      <c r="S122" s="187">
        <f>model_eui_end_uses!S122*base_building_arch_areas!$N$3</f>
        <v>2749656.4741800977</v>
      </c>
      <c r="T122" s="187">
        <f>model_eui_end_uses!T122*base_building_arch_areas!$N$3</f>
        <v>1786.2864903190334</v>
      </c>
      <c r="U122" s="187">
        <f>model_eui_end_uses!U122*base_building_arch_areas!$N$3</f>
        <v>0</v>
      </c>
      <c r="V122" s="187">
        <f>model_eui_end_uses!V122*base_building_arch_areas!$N$3</f>
        <v>36405.816763990282</v>
      </c>
      <c r="W122" s="187">
        <f>model_eui_end_uses!W122*base_building_arch_areas!$N$3</f>
        <v>356430.47035185801</v>
      </c>
      <c r="X122" s="187">
        <f>model_eui_end_uses!X122*base_building_arch_areas!$N$3</f>
        <v>39665.154672866251</v>
      </c>
      <c r="Y122" s="187">
        <f>model_eui_end_uses!Y122*base_building_arch_areas!$N$3</f>
        <v>0</v>
      </c>
      <c r="Z122" s="187">
        <f>model_eui_end_uses!Z122*base_building_arch_areas!$N$3</f>
        <v>62584.931725585353</v>
      </c>
      <c r="AA122" s="187">
        <f>model_eui_end_uses!AA122*base_building_arch_areas!$N$3</f>
        <v>53594.238584737883</v>
      </c>
      <c r="AB122" s="187">
        <f>model_eui_end_uses!AB122*base_building_arch_areas!$N$3</f>
        <v>0</v>
      </c>
      <c r="AC122" s="187">
        <f>model_eui_end_uses!AC122*base_building_arch_areas!$N$3</f>
        <v>3300123.372769454</v>
      </c>
      <c r="AD122" s="187">
        <f>model_eui_end_uses!AD122*base_building_arch_areas!$N$3</f>
        <v>323015.9074263167</v>
      </c>
      <c r="AE122" s="187">
        <f>model_eui_end_uses!AE122*base_building_arch_areas!$N$3</f>
        <v>123964.89610304084</v>
      </c>
      <c r="AF122" s="187">
        <f t="shared" si="20"/>
        <v>446980.80352935754</v>
      </c>
      <c r="AG122" s="187">
        <f>model_eui_end_uses!AH122*base_building_arch_areas!$N$3</f>
        <v>5232.857700306331</v>
      </c>
      <c r="AH122" s="187">
        <f>model_eui_end_uses!AI122*base_building_arch_areas!$N$3</f>
        <v>14008.033259643615</v>
      </c>
      <c r="AI122" s="187">
        <f t="shared" si="21"/>
        <v>19240.890959949946</v>
      </c>
      <c r="AJ122" s="200">
        <f>sim_annual_output!F122/sim_annual_output!H122*base_building_arch_areas!$N$3</f>
        <v>228510.40102627009</v>
      </c>
      <c r="AK122">
        <f t="shared" si="22"/>
        <v>11.876290006627871</v>
      </c>
    </row>
    <row r="123" spans="1:37">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f>model_eui_end_uses!G123*base_scenario_arch_measures!$F123</f>
        <v>0</v>
      </c>
      <c r="H123">
        <f>model_eui_end_uses!H123*base_scenario_arch_measures!$F123</f>
        <v>10.681299635655222</v>
      </c>
      <c r="I123">
        <f>model_eui_end_uses!I123*base_scenario_arch_measures!$F123</f>
        <v>8.5355481789491875E-3</v>
      </c>
      <c r="J123">
        <f>model_eui_end_uses!J123*base_scenario_arch_measures!$F123</f>
        <v>0</v>
      </c>
      <c r="K123">
        <f>model_eui_end_uses!K123*base_scenario_arch_measures!$F123</f>
        <v>0.15731015293803352</v>
      </c>
      <c r="L123">
        <f>model_eui_end_uses!L123*base_scenario_arch_measures!$F123</f>
        <v>1.5401421197693355</v>
      </c>
      <c r="M123">
        <f>model_eui_end_uses!M123*base_scenario_arch_measures!$F123</f>
        <v>0.17139380743329971</v>
      </c>
      <c r="N123">
        <f>model_eui_end_uses!N123*base_scenario_arch_measures!$F123</f>
        <v>0</v>
      </c>
      <c r="O123">
        <f>model_eui_end_uses!O123*base_scenario_arch_measures!$F123</f>
        <v>0.25304242258507648</v>
      </c>
      <c r="P123">
        <f>model_eui_end_uses!P123*base_scenario_arch_measures!$F123</f>
        <v>0.21224250228969938</v>
      </c>
      <c r="Q123">
        <f>model_eui_end_uses!Q123*base_scenario_arch_measures!$F123</f>
        <v>0</v>
      </c>
      <c r="R123" s="187">
        <f>model_eui_end_uses!R123*base_building_arch_areas!$N$3</f>
        <v>0</v>
      </c>
      <c r="S123" s="187">
        <f>model_eui_end_uses!S123*base_building_arch_areas!$N$3</f>
        <v>2749656.4741800977</v>
      </c>
      <c r="T123" s="187">
        <f>model_eui_end_uses!T123*base_building_arch_areas!$N$3</f>
        <v>1786.2864903190334</v>
      </c>
      <c r="U123" s="187">
        <f>model_eui_end_uses!U123*base_building_arch_areas!$N$3</f>
        <v>0</v>
      </c>
      <c r="V123" s="187">
        <f>model_eui_end_uses!V123*base_building_arch_areas!$N$3</f>
        <v>36405.816763990282</v>
      </c>
      <c r="W123" s="187">
        <f>model_eui_end_uses!W123*base_building_arch_areas!$N$3</f>
        <v>356430.47035185801</v>
      </c>
      <c r="X123" s="187">
        <f>model_eui_end_uses!X123*base_building_arch_areas!$N$3</f>
        <v>39665.154672866251</v>
      </c>
      <c r="Y123" s="187">
        <f>model_eui_end_uses!Y123*base_building_arch_areas!$N$3</f>
        <v>0</v>
      </c>
      <c r="Z123" s="187">
        <f>model_eui_end_uses!Z123*base_building_arch_areas!$N$3</f>
        <v>62584.931725585353</v>
      </c>
      <c r="AA123" s="187">
        <f>model_eui_end_uses!AA123*base_building_arch_areas!$N$3</f>
        <v>53594.238584737883</v>
      </c>
      <c r="AB123" s="187">
        <f>model_eui_end_uses!AB123*base_building_arch_areas!$N$3</f>
        <v>0</v>
      </c>
      <c r="AC123" s="187">
        <f>model_eui_end_uses!AC123*base_building_arch_areas!$N$3</f>
        <v>3300123.372769454</v>
      </c>
      <c r="AD123" s="187">
        <f>model_eui_end_uses!AD123*base_building_arch_areas!$N$3</f>
        <v>277715.34339931648</v>
      </c>
      <c r="AE123" s="187">
        <f>model_eui_end_uses!AE123*base_building_arch_areas!$N$3</f>
        <v>8310.6061832379164</v>
      </c>
      <c r="AF123" s="187">
        <f t="shared" si="20"/>
        <v>286025.9495825544</v>
      </c>
      <c r="AG123" s="187">
        <f>model_eui_end_uses!AH123*base_building_arch_areas!$N$3</f>
        <v>4498.9885630689269</v>
      </c>
      <c r="AH123" s="187">
        <f>model_eui_end_uses!AI123*base_building_arch_areas!$N$3</f>
        <v>939.09849870588459</v>
      </c>
      <c r="AI123" s="187">
        <f t="shared" si="21"/>
        <v>5438.0870617748114</v>
      </c>
      <c r="AJ123" s="200">
        <f>sim_annual_output!F123/sim_annual_output!H123*base_building_arch_areas!$N$3</f>
        <v>1224865.9569334243</v>
      </c>
      <c r="AK123">
        <f t="shared" si="22"/>
        <v>225.23838677449726</v>
      </c>
    </row>
    <row r="124" spans="1:37">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f>model_eui_end_uses!G124*base_scenario_arch_measures!$F124</f>
        <v>0</v>
      </c>
      <c r="H124">
        <f>model_eui_end_uses!H124*base_scenario_arch_measures!$F124</f>
        <v>11.472959535612507</v>
      </c>
      <c r="I124">
        <f>model_eui_end_uses!I124*base_scenario_arch_measures!$F124</f>
        <v>9.7061376434907903E-3</v>
      </c>
      <c r="J124">
        <f>model_eui_end_uses!J124*base_scenario_arch_measures!$F124</f>
        <v>0</v>
      </c>
      <c r="K124">
        <f>model_eui_end_uses!K124*base_scenario_arch_measures!$F124</f>
        <v>0.15731015293803352</v>
      </c>
      <c r="L124">
        <f>model_eui_end_uses!L124*base_scenario_arch_measures!$F124</f>
        <v>1.5401421197693355</v>
      </c>
      <c r="M124">
        <f>model_eui_end_uses!M124*base_scenario_arch_measures!$F124</f>
        <v>0.17139380743329971</v>
      </c>
      <c r="N124">
        <f>model_eui_end_uses!N124*base_scenario_arch_measures!$F124</f>
        <v>0</v>
      </c>
      <c r="O124">
        <f>model_eui_end_uses!O124*base_scenario_arch_measures!$F124</f>
        <v>0.26048054314101793</v>
      </c>
      <c r="P124">
        <f>model_eui_end_uses!P124*base_scenario_arch_measures!$F124</f>
        <v>0.22027811121816726</v>
      </c>
      <c r="Q124">
        <f>model_eui_end_uses!Q124*base_scenario_arch_measures!$F124</f>
        <v>0</v>
      </c>
      <c r="R124" s="187">
        <f>model_eui_end_uses!R124*base_building_arch_areas!$N$3</f>
        <v>0</v>
      </c>
      <c r="S124" s="187">
        <f>model_eui_end_uses!S124*base_building_arch_areas!$N$3</f>
        <v>2749656.4741800977</v>
      </c>
      <c r="T124" s="187">
        <f>model_eui_end_uses!T124*base_building_arch_areas!$N$3</f>
        <v>1786.2864903190334</v>
      </c>
      <c r="U124" s="187">
        <f>model_eui_end_uses!U124*base_building_arch_areas!$N$3</f>
        <v>0</v>
      </c>
      <c r="V124" s="187">
        <f>model_eui_end_uses!V124*base_building_arch_areas!$N$3</f>
        <v>36405.816763990282</v>
      </c>
      <c r="W124" s="187">
        <f>model_eui_end_uses!W124*base_building_arch_areas!$N$3</f>
        <v>356430.47035185801</v>
      </c>
      <c r="X124" s="187">
        <f>model_eui_end_uses!X124*base_building_arch_areas!$N$3</f>
        <v>39665.154672866251</v>
      </c>
      <c r="Y124" s="187">
        <f>model_eui_end_uses!Y124*base_building_arch_areas!$N$3</f>
        <v>0</v>
      </c>
      <c r="Z124" s="187">
        <f>model_eui_end_uses!Z124*base_building_arch_areas!$N$3</f>
        <v>62584.931725585353</v>
      </c>
      <c r="AA124" s="187">
        <f>model_eui_end_uses!AA124*base_building_arch_areas!$N$3</f>
        <v>53594.238584737883</v>
      </c>
      <c r="AB124" s="187">
        <f>model_eui_end_uses!AB124*base_building_arch_areas!$N$3</f>
        <v>0</v>
      </c>
      <c r="AC124" s="187">
        <f>model_eui_end_uses!AC124*base_building_arch_areas!$N$3</f>
        <v>3300123.372769454</v>
      </c>
      <c r="AD124" s="187">
        <f>model_eui_end_uses!AD124*base_building_arch_areas!$N$3</f>
        <v>94503.86773190205</v>
      </c>
      <c r="AE124" s="187">
        <f>model_eui_end_uses!AE124*base_building_arch_areas!$N$3</f>
        <v>4458.6613818390124</v>
      </c>
      <c r="AF124" s="187">
        <f t="shared" si="20"/>
        <v>98962.529113741068</v>
      </c>
      <c r="AG124" s="187">
        <f>model_eui_end_uses!AH124*base_building_arch_areas!$N$3</f>
        <v>1530.9626572568129</v>
      </c>
      <c r="AH124" s="187">
        <f>model_eui_end_uses!AI124*base_building_arch_areas!$N$3</f>
        <v>503.8287361478084</v>
      </c>
      <c r="AI124" s="187">
        <f t="shared" si="21"/>
        <v>2034.7913934046214</v>
      </c>
      <c r="AJ124" s="200">
        <f>sim_annual_output!F124/sim_annual_output!H124*base_building_arch_areas!$N$3</f>
        <v>908088.08576058375</v>
      </c>
      <c r="AK124">
        <f t="shared" si="22"/>
        <v>446.28067953499988</v>
      </c>
    </row>
    <row r="125" spans="1:37">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f>model_eui_end_uses!G125*base_scenario_arch_measures!$F125</f>
        <v>0</v>
      </c>
      <c r="H125">
        <f>model_eui_end_uses!H125*base_scenario_arch_measures!$F125</f>
        <v>11.615161768273797</v>
      </c>
      <c r="I125">
        <f>model_eui_end_uses!I125*base_scenario_arch_measures!$F125</f>
        <v>9.6939440032351477E-3</v>
      </c>
      <c r="J125">
        <f>model_eui_end_uses!J125*base_scenario_arch_measures!$F125</f>
        <v>0</v>
      </c>
      <c r="K125">
        <f>model_eui_end_uses!K125*base_scenario_arch_measures!$F125</f>
        <v>0.15731015293803352</v>
      </c>
      <c r="L125">
        <f>model_eui_end_uses!L125*base_scenario_arch_measures!$F125</f>
        <v>1.5401421197693355</v>
      </c>
      <c r="M125">
        <f>model_eui_end_uses!M125*base_scenario_arch_measures!$F125</f>
        <v>0.17139380743329971</v>
      </c>
      <c r="N125">
        <f>model_eui_end_uses!N125*base_scenario_arch_measures!$F125</f>
        <v>0</v>
      </c>
      <c r="O125">
        <f>model_eui_end_uses!O125*base_scenario_arch_measures!$F125</f>
        <v>0.26601645581707922</v>
      </c>
      <c r="P125">
        <f>model_eui_end_uses!P125*base_scenario_arch_measures!$F125</f>
        <v>0.22547260196707058</v>
      </c>
      <c r="Q125">
        <f>model_eui_end_uses!Q125*base_scenario_arch_measures!$F125</f>
        <v>0</v>
      </c>
      <c r="R125" s="187">
        <f>model_eui_end_uses!R125*base_building_arch_areas!$N$3</f>
        <v>0</v>
      </c>
      <c r="S125" s="187">
        <f>model_eui_end_uses!S125*base_building_arch_areas!$N$3</f>
        <v>2749656.4741800977</v>
      </c>
      <c r="T125" s="187">
        <f>model_eui_end_uses!T125*base_building_arch_areas!$N$3</f>
        <v>1786.2864903190334</v>
      </c>
      <c r="U125" s="187">
        <f>model_eui_end_uses!U125*base_building_arch_areas!$N$3</f>
        <v>0</v>
      </c>
      <c r="V125" s="187">
        <f>model_eui_end_uses!V125*base_building_arch_areas!$N$3</f>
        <v>36405.816763990282</v>
      </c>
      <c r="W125" s="187">
        <f>model_eui_end_uses!W125*base_building_arch_areas!$N$3</f>
        <v>356430.47035185801</v>
      </c>
      <c r="X125" s="187">
        <f>model_eui_end_uses!X125*base_building_arch_areas!$N$3</f>
        <v>39665.154672866251</v>
      </c>
      <c r="Y125" s="187">
        <f>model_eui_end_uses!Y125*base_building_arch_areas!$N$3</f>
        <v>0</v>
      </c>
      <c r="Z125" s="187">
        <f>model_eui_end_uses!Z125*base_building_arch_areas!$N$3</f>
        <v>62584.931725585353</v>
      </c>
      <c r="AA125" s="187">
        <f>model_eui_end_uses!AA125*base_building_arch_areas!$N$3</f>
        <v>53594.238584737883</v>
      </c>
      <c r="AB125" s="187">
        <f>model_eui_end_uses!AB125*base_building_arch_areas!$N$3</f>
        <v>0</v>
      </c>
      <c r="AC125" s="187">
        <f>model_eui_end_uses!AC125*base_building_arch_areas!$N$3</f>
        <v>3300123.372769454</v>
      </c>
      <c r="AD125" s="187">
        <f>model_eui_end_uses!AD125*base_building_arch_areas!$N$3</f>
        <v>61594.431633797474</v>
      </c>
      <c r="AE125" s="187">
        <f>model_eui_end_uses!AE125*base_building_arch_areas!$N$3</f>
        <v>1978.1782459931751</v>
      </c>
      <c r="AF125" s="187">
        <f t="shared" si="20"/>
        <v>63572.609879790652</v>
      </c>
      <c r="AG125" s="187">
        <f>model_eui_end_uses!AH125*base_building_arch_areas!$N$3</f>
        <v>997.82979246751893</v>
      </c>
      <c r="AH125" s="187">
        <f>model_eui_end_uses!AI125*base_building_arch_areas!$N$3</f>
        <v>223.53414179722878</v>
      </c>
      <c r="AI125" s="187">
        <f t="shared" si="21"/>
        <v>1221.3639342647477</v>
      </c>
      <c r="AJ125" s="200">
        <f>sim_annual_output!F125/sim_annual_output!H125*base_building_arch_areas!$N$3</f>
        <v>190119.08251484984</v>
      </c>
      <c r="AK125">
        <f t="shared" si="22"/>
        <v>155.66128750092835</v>
      </c>
    </row>
    <row r="126" spans="1:37">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f>model_eui_end_uses!G126*base_scenario_arch_measures!$F126</f>
        <v>0</v>
      </c>
      <c r="H126">
        <f>model_eui_end_uses!H126*base_scenario_arch_measures!$F126</f>
        <v>11.748474837188731</v>
      </c>
      <c r="I126">
        <f>model_eui_end_uses!I126*base_scenario_arch_measures!$F126</f>
        <v>9.9865913693705493E-3</v>
      </c>
      <c r="J126">
        <f>model_eui_end_uses!J126*base_scenario_arch_measures!$F126</f>
        <v>0</v>
      </c>
      <c r="K126">
        <f>model_eui_end_uses!K126*base_scenario_arch_measures!$F126</f>
        <v>0.15731015293803352</v>
      </c>
      <c r="L126">
        <f>model_eui_end_uses!L126*base_scenario_arch_measures!$F126</f>
        <v>1.5401421197693355</v>
      </c>
      <c r="M126">
        <f>model_eui_end_uses!M126*base_scenario_arch_measures!$F126</f>
        <v>0.17139380743329971</v>
      </c>
      <c r="N126">
        <f>model_eui_end_uses!N126*base_scenario_arch_measures!$F126</f>
        <v>0</v>
      </c>
      <c r="O126">
        <f>model_eui_end_uses!O126*base_scenario_arch_measures!$F126</f>
        <v>0.24812838556205288</v>
      </c>
      <c r="P126">
        <f>model_eui_end_uses!P126*base_scenario_arch_measures!$F126</f>
        <v>0.23131335564952296</v>
      </c>
      <c r="Q126">
        <f>model_eui_end_uses!Q126*base_scenario_arch_measures!$F126</f>
        <v>0</v>
      </c>
      <c r="R126" s="187">
        <f>model_eui_end_uses!R126*base_building_arch_areas!$N$3</f>
        <v>0</v>
      </c>
      <c r="S126" s="187">
        <f>model_eui_end_uses!S126*base_building_arch_areas!$N$3</f>
        <v>2749656.4741800977</v>
      </c>
      <c r="T126" s="187">
        <f>model_eui_end_uses!T126*base_building_arch_areas!$N$3</f>
        <v>1786.2864903190334</v>
      </c>
      <c r="U126" s="187">
        <f>model_eui_end_uses!U126*base_building_arch_areas!$N$3</f>
        <v>0</v>
      </c>
      <c r="V126" s="187">
        <f>model_eui_end_uses!V126*base_building_arch_areas!$N$3</f>
        <v>36405.816763990282</v>
      </c>
      <c r="W126" s="187">
        <f>model_eui_end_uses!W126*base_building_arch_areas!$N$3</f>
        <v>356430.47035185801</v>
      </c>
      <c r="X126" s="187">
        <f>model_eui_end_uses!X126*base_building_arch_areas!$N$3</f>
        <v>39665.154672866251</v>
      </c>
      <c r="Y126" s="187">
        <f>model_eui_end_uses!Y126*base_building_arch_areas!$N$3</f>
        <v>0</v>
      </c>
      <c r="Z126" s="187">
        <f>model_eui_end_uses!Z126*base_building_arch_areas!$N$3</f>
        <v>62584.931725585353</v>
      </c>
      <c r="AA126" s="187">
        <f>model_eui_end_uses!AA126*base_building_arch_areas!$N$3</f>
        <v>53594.238584737883</v>
      </c>
      <c r="AB126" s="187">
        <f>model_eui_end_uses!AB126*base_building_arch_areas!$N$3</f>
        <v>0</v>
      </c>
      <c r="AC126" s="187">
        <f>model_eui_end_uses!AC126*base_building_arch_areas!$N$3</f>
        <v>3300123.372769454</v>
      </c>
      <c r="AD126" s="187">
        <f>model_eui_end_uses!AD126*base_building_arch_areas!$N$3</f>
        <v>30742.188034021256</v>
      </c>
      <c r="AE126" s="187">
        <f>model_eui_end_uses!AE126*base_building_arch_areas!$N$3</f>
        <v>4698.5260764316445</v>
      </c>
      <c r="AF126" s="187">
        <f t="shared" si="20"/>
        <v>35440.7141104529</v>
      </c>
      <c r="AG126" s="187">
        <f>model_eui_end_uses!AH126*base_building_arch_areas!$N$3</f>
        <v>498.0234461511443</v>
      </c>
      <c r="AH126" s="187">
        <f>model_eui_end_uses!AI126*base_building_arch_areas!$N$3</f>
        <v>530.93344663677578</v>
      </c>
      <c r="AI126" s="187">
        <f t="shared" si="21"/>
        <v>1028.95689278792</v>
      </c>
      <c r="AJ126" s="200">
        <f>sim_annual_output!F126/sim_annual_output!H126*base_building_arch_areas!$N$3</f>
        <v>3709.5076116117552</v>
      </c>
      <c r="AK126">
        <f t="shared" si="22"/>
        <v>3.605114691987712</v>
      </c>
    </row>
    <row r="127" spans="1:37">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f>model_eui_end_uses!G127*base_scenario_arch_measures!$F127</f>
        <v>0</v>
      </c>
      <c r="H127">
        <f>model_eui_end_uses!H127*base_scenario_arch_measures!$F127</f>
        <v>11.752218284747212</v>
      </c>
      <c r="I127">
        <f>model_eui_end_uses!I127*base_scenario_arch_measures!$F127</f>
        <v>9.9134295278366993E-3</v>
      </c>
      <c r="J127">
        <f>model_eui_end_uses!J127*base_scenario_arch_measures!$F127</f>
        <v>0</v>
      </c>
      <c r="K127">
        <f>model_eui_end_uses!K127*base_scenario_arch_measures!$F127</f>
        <v>0.15731015293803352</v>
      </c>
      <c r="L127">
        <f>model_eui_end_uses!L127*base_scenario_arch_measures!$F127</f>
        <v>1.5401421197693355</v>
      </c>
      <c r="M127">
        <f>model_eui_end_uses!M127*base_scenario_arch_measures!$F127</f>
        <v>0.17139380743329971</v>
      </c>
      <c r="N127">
        <f>model_eui_end_uses!N127*base_scenario_arch_measures!$F127</f>
        <v>0</v>
      </c>
      <c r="O127">
        <f>model_eui_end_uses!O127*base_scenario_arch_measures!$F127</f>
        <v>0.26900389767971145</v>
      </c>
      <c r="P127">
        <f>model_eui_end_uses!P127*base_scenario_arch_measures!$F127</f>
        <v>0.23136213021054555</v>
      </c>
      <c r="Q127">
        <f>model_eui_end_uses!Q127*base_scenario_arch_measures!$F127</f>
        <v>0</v>
      </c>
      <c r="R127" s="187">
        <f>model_eui_end_uses!R127*base_building_arch_areas!$N$3</f>
        <v>0</v>
      </c>
      <c r="S127" s="187">
        <f>model_eui_end_uses!S127*base_building_arch_areas!$N$3</f>
        <v>2749656.4741800977</v>
      </c>
      <c r="T127" s="187">
        <f>model_eui_end_uses!T127*base_building_arch_areas!$N$3</f>
        <v>1786.2864903190334</v>
      </c>
      <c r="U127" s="187">
        <f>model_eui_end_uses!U127*base_building_arch_areas!$N$3</f>
        <v>0</v>
      </c>
      <c r="V127" s="187">
        <f>model_eui_end_uses!V127*base_building_arch_areas!$N$3</f>
        <v>36405.816763990282</v>
      </c>
      <c r="W127" s="187">
        <f>model_eui_end_uses!W127*base_building_arch_areas!$N$3</f>
        <v>356430.47035185801</v>
      </c>
      <c r="X127" s="187">
        <f>model_eui_end_uses!X127*base_building_arch_areas!$N$3</f>
        <v>39665.154672866251</v>
      </c>
      <c r="Y127" s="187">
        <f>model_eui_end_uses!Y127*base_building_arch_areas!$N$3</f>
        <v>0</v>
      </c>
      <c r="Z127" s="187">
        <f>model_eui_end_uses!Z127*base_building_arch_areas!$N$3</f>
        <v>62584.931725585353</v>
      </c>
      <c r="AA127" s="187">
        <f>model_eui_end_uses!AA127*base_building_arch_areas!$N$3</f>
        <v>53594.238584737883</v>
      </c>
      <c r="AB127" s="187">
        <f>model_eui_end_uses!AB127*base_building_arch_areas!$N$3</f>
        <v>0</v>
      </c>
      <c r="AC127" s="187">
        <f>model_eui_end_uses!AC127*base_building_arch_areas!$N$3</f>
        <v>3300123.372769454</v>
      </c>
      <c r="AD127" s="187">
        <f>model_eui_end_uses!AD127*base_building_arch_areas!$N$3</f>
        <v>29875.853195904652</v>
      </c>
      <c r="AE127" s="187">
        <f>model_eui_end_uses!AE127*base_building_arch_areas!$N$3</f>
        <v>-126.98719125484469</v>
      </c>
      <c r="AF127" s="187">
        <f t="shared" si="20"/>
        <v>29748.866004649808</v>
      </c>
      <c r="AG127" s="187">
        <f>model_eui_end_uses!AH127*base_building_arch_areas!$N$3</f>
        <v>483.98882177365533</v>
      </c>
      <c r="AH127" s="187">
        <f>model_eui_end_uses!AI127*base_building_arch_areas!$N$3</f>
        <v>-14.349552611797451</v>
      </c>
      <c r="AI127" s="187">
        <f t="shared" si="21"/>
        <v>469.6392691618579</v>
      </c>
      <c r="AJ127" s="200">
        <f>sim_annual_output!F127/sim_annual_output!H127*base_building_arch_areas!$N$3</f>
        <v>2219.4071972316087</v>
      </c>
      <c r="AK127">
        <f t="shared" si="22"/>
        <v>4.7257700600558286</v>
      </c>
    </row>
    <row r="128" spans="1:37">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f>model_eui_end_uses!G128*base_scenario_arch_measures!$F128</f>
        <v>0</v>
      </c>
      <c r="H128">
        <f>model_eui_end_uses!H128*base_scenario_arch_measures!$F128</f>
        <v>10.336109873658263</v>
      </c>
      <c r="I128">
        <f>model_eui_end_uses!I128*base_scenario_arch_measures!$F128</f>
        <v>1.4290946379612068E-2</v>
      </c>
      <c r="J128">
        <f>model_eui_end_uses!J128*base_scenario_arch_measures!$F128</f>
        <v>0</v>
      </c>
      <c r="K128">
        <f>model_eui_end_uses!K128*base_scenario_arch_measures!$F128</f>
        <v>0.15732234657828917</v>
      </c>
      <c r="L128">
        <f>model_eui_end_uses!L128*base_scenario_arch_measures!$F128</f>
        <v>1.5401421197693355</v>
      </c>
      <c r="M128">
        <f>model_eui_end_uses!M128*base_scenario_arch_measures!$F128</f>
        <v>0.17139380743329971</v>
      </c>
      <c r="N128">
        <f>model_eui_end_uses!N128*base_scenario_arch_measures!$F128</f>
        <v>0</v>
      </c>
      <c r="O128">
        <f>model_eui_end_uses!O128*base_scenario_arch_measures!$F128</f>
        <v>0.27144262573083983</v>
      </c>
      <c r="P128">
        <f>model_eui_end_uses!P128*base_scenario_arch_measures!$F128</f>
        <v>0.22528969736323595</v>
      </c>
      <c r="Q128">
        <f>model_eui_end_uses!Q128*base_scenario_arch_measures!$F128</f>
        <v>3.845874136629391E-2</v>
      </c>
      <c r="R128" s="187">
        <f>model_eui_end_uses!R128*base_building_arch_areas!$N$3</f>
        <v>0</v>
      </c>
      <c r="S128" s="187">
        <f>model_eui_end_uses!S128*base_building_arch_areas!$N$3</f>
        <v>2749656.4741800977</v>
      </c>
      <c r="T128" s="187">
        <f>model_eui_end_uses!T128*base_building_arch_areas!$N$3</f>
        <v>1786.2864903190334</v>
      </c>
      <c r="U128" s="187">
        <f>model_eui_end_uses!U128*base_building_arch_areas!$N$3</f>
        <v>0</v>
      </c>
      <c r="V128" s="187">
        <f>model_eui_end_uses!V128*base_building_arch_areas!$N$3</f>
        <v>36405.816763990282</v>
      </c>
      <c r="W128" s="187">
        <f>model_eui_end_uses!W128*base_building_arch_areas!$N$3</f>
        <v>356430.47035185801</v>
      </c>
      <c r="X128" s="187">
        <f>model_eui_end_uses!X128*base_building_arch_areas!$N$3</f>
        <v>39665.154672866251</v>
      </c>
      <c r="Y128" s="187">
        <f>model_eui_end_uses!Y128*base_building_arch_areas!$N$3</f>
        <v>0</v>
      </c>
      <c r="Z128" s="187">
        <f>model_eui_end_uses!Z128*base_building_arch_areas!$N$3</f>
        <v>62584.931725585353</v>
      </c>
      <c r="AA128" s="187">
        <f>model_eui_end_uses!AA128*base_building_arch_areas!$N$3</f>
        <v>53594.238584737883</v>
      </c>
      <c r="AB128" s="187">
        <f>model_eui_end_uses!AB128*base_building_arch_areas!$N$3</f>
        <v>0</v>
      </c>
      <c r="AC128" s="187">
        <f>model_eui_end_uses!AC128*base_building_arch_areas!$N$3</f>
        <v>3300123.372769454</v>
      </c>
      <c r="AD128" s="187">
        <f>model_eui_end_uses!AD128*base_building_arch_areas!$N$3</f>
        <v>357598.752511403</v>
      </c>
      <c r="AE128" s="187">
        <f>model_eui_end_uses!AE128*base_building_arch_areas!$N$3</f>
        <v>-9199.5165220220952</v>
      </c>
      <c r="AF128" s="187">
        <f t="shared" si="20"/>
        <v>348399.23598938092</v>
      </c>
      <c r="AG128" s="187">
        <f>model_eui_end_uses!AH128*base_building_arch_areas!$N$3</f>
        <v>5793.0997906847279</v>
      </c>
      <c r="AH128" s="187">
        <f>model_eui_end_uses!AI128*base_building_arch_areas!$N$3</f>
        <v>-1039.5453669884967</v>
      </c>
      <c r="AI128" s="187">
        <f t="shared" si="21"/>
        <v>4753.5544236962314</v>
      </c>
      <c r="AJ128" s="200">
        <f>sim_annual_output!F128/sim_annual_output!H128*base_building_arch_areas!$N$3</f>
        <v>184111.42017203203</v>
      </c>
      <c r="AK128">
        <f t="shared" si="22"/>
        <v>38.731316350191719</v>
      </c>
    </row>
    <row r="129" spans="1:37">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f>model_eui_end_uses!G129*base_scenario_arch_measures!$F129</f>
        <v>0</v>
      </c>
      <c r="H129">
        <f>model_eui_end_uses!H129*base_scenario_arch_measures!$F129</f>
        <v>7.1204884209222232</v>
      </c>
      <c r="I129">
        <f>model_eui_end_uses!I129*base_scenario_arch_measures!$F129</f>
        <v>1.0108527771926964E-2</v>
      </c>
      <c r="J129">
        <f>model_eui_end_uses!J129*base_scenario_arch_measures!$F129</f>
        <v>0</v>
      </c>
      <c r="K129">
        <f>model_eui_end_uses!K129*base_scenario_arch_measures!$F129</f>
        <v>0.15731015293803352</v>
      </c>
      <c r="L129">
        <f>model_eui_end_uses!L129*base_scenario_arch_measures!$F129</f>
        <v>1.5401421197693355</v>
      </c>
      <c r="M129">
        <f>model_eui_end_uses!M129*base_scenario_arch_measures!$F129</f>
        <v>0.17139380743329971</v>
      </c>
      <c r="N129">
        <f>model_eui_end_uses!N129*base_scenario_arch_measures!$F129</f>
        <v>0</v>
      </c>
      <c r="O129">
        <f>model_eui_end_uses!O129*base_scenario_arch_measures!$F129</f>
        <v>0.18775767265637083</v>
      </c>
      <c r="P129">
        <f>model_eui_end_uses!P129*base_scenario_arch_measures!$F129</f>
        <v>0.14231197542359425</v>
      </c>
      <c r="Q129">
        <f>model_eui_end_uses!Q129*base_scenario_arch_measures!$F129</f>
        <v>0</v>
      </c>
      <c r="R129" s="187">
        <f>model_eui_end_uses!R129*base_building_arch_areas!$N$3</f>
        <v>0</v>
      </c>
      <c r="S129" s="187">
        <f>model_eui_end_uses!S129*base_building_arch_areas!$N$3</f>
        <v>2749656.4741800977</v>
      </c>
      <c r="T129" s="187">
        <f>model_eui_end_uses!T129*base_building_arch_areas!$N$3</f>
        <v>1786.2864903190334</v>
      </c>
      <c r="U129" s="187">
        <f>model_eui_end_uses!U129*base_building_arch_areas!$N$3</f>
        <v>0</v>
      </c>
      <c r="V129" s="187">
        <f>model_eui_end_uses!V129*base_building_arch_areas!$N$3</f>
        <v>36405.816763990282</v>
      </c>
      <c r="W129" s="187">
        <f>model_eui_end_uses!W129*base_building_arch_areas!$N$3</f>
        <v>356430.47035185801</v>
      </c>
      <c r="X129" s="187">
        <f>model_eui_end_uses!X129*base_building_arch_areas!$N$3</f>
        <v>39665.154672866251</v>
      </c>
      <c r="Y129" s="187">
        <f>model_eui_end_uses!Y129*base_building_arch_areas!$N$3</f>
        <v>0</v>
      </c>
      <c r="Z129" s="187">
        <f>model_eui_end_uses!Z129*base_building_arch_areas!$N$3</f>
        <v>62584.931725585353</v>
      </c>
      <c r="AA129" s="187">
        <f>model_eui_end_uses!AA129*base_building_arch_areas!$N$3</f>
        <v>53594.238584737883</v>
      </c>
      <c r="AB129" s="187">
        <f>model_eui_end_uses!AB129*base_building_arch_areas!$N$3</f>
        <v>0</v>
      </c>
      <c r="AC129" s="187">
        <f>model_eui_end_uses!AC129*base_building_arch_areas!$N$3</f>
        <v>3300123.372769454</v>
      </c>
      <c r="AD129" s="187">
        <f>model_eui_end_uses!AD129*base_building_arch_areas!$N$3</f>
        <v>1101783.2003913303</v>
      </c>
      <c r="AE129" s="187">
        <f>model_eui_end_uses!AE129*base_building_arch_areas!$N$3</f>
        <v>39239.042097766578</v>
      </c>
      <c r="AF129" s="187">
        <f t="shared" si="20"/>
        <v>1141022.2424890969</v>
      </c>
      <c r="AG129" s="187">
        <f>model_eui_end_uses!AH129*base_building_arch_areas!$N$3</f>
        <v>17848.887846339549</v>
      </c>
      <c r="AH129" s="187">
        <f>model_eui_end_uses!AI129*base_building_arch_areas!$N$3</f>
        <v>4434.0117570476232</v>
      </c>
      <c r="AI129" s="187">
        <f t="shared" si="21"/>
        <v>22282.899603387174</v>
      </c>
      <c r="AJ129" s="200">
        <f>sim_annual_output!F129/sim_annual_output!H129*base_building_arch_areas!$N$3</f>
        <v>95249.491298342327</v>
      </c>
      <c r="AK129">
        <f t="shared" si="22"/>
        <v>4.2745555108933697</v>
      </c>
    </row>
    <row r="130" spans="1:37">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f>model_eui_end_uses!G130*base_scenario_arch_measures!$F130</f>
        <v>0</v>
      </c>
      <c r="H130">
        <f>model_eui_end_uses!H130*base_scenario_arch_measures!$F130</f>
        <v>6.0899185274361551</v>
      </c>
      <c r="I130">
        <f>model_eui_end_uses!I130*base_scenario_arch_measures!$F130</f>
        <v>6.3406929329336828E-3</v>
      </c>
      <c r="J130">
        <f>model_eui_end_uses!J130*base_scenario_arch_measures!$F130</f>
        <v>0</v>
      </c>
      <c r="K130">
        <f>model_eui_end_uses!K130*base_scenario_arch_measures!$F130</f>
        <v>0.15731015293803352</v>
      </c>
      <c r="L130">
        <f>model_eui_end_uses!L130*base_scenario_arch_measures!$F130</f>
        <v>1.5401421197693355</v>
      </c>
      <c r="M130">
        <f>model_eui_end_uses!M130*base_scenario_arch_measures!$F130</f>
        <v>0.17139380743329971</v>
      </c>
      <c r="N130">
        <f>model_eui_end_uses!N130*base_scenario_arch_measures!$F130</f>
        <v>0</v>
      </c>
      <c r="O130">
        <f>model_eui_end_uses!O130*base_scenario_arch_measures!$F130</f>
        <v>0.16072437220961322</v>
      </c>
      <c r="P130">
        <f>model_eui_end_uses!P130*base_scenario_arch_measures!$F130</f>
        <v>0.11175471294295615</v>
      </c>
      <c r="Q130">
        <f>model_eui_end_uses!Q130*base_scenario_arch_measures!$F130</f>
        <v>0</v>
      </c>
      <c r="R130" s="187">
        <f>model_eui_end_uses!R130*base_building_arch_areas!$N$3</f>
        <v>0</v>
      </c>
      <c r="S130" s="187">
        <f>model_eui_end_uses!S130*base_building_arch_areas!$N$3</f>
        <v>2749656.4741800977</v>
      </c>
      <c r="T130" s="187">
        <f>model_eui_end_uses!T130*base_building_arch_areas!$N$3</f>
        <v>1786.2864903190334</v>
      </c>
      <c r="U130" s="187">
        <f>model_eui_end_uses!U130*base_building_arch_areas!$N$3</f>
        <v>0</v>
      </c>
      <c r="V130" s="187">
        <f>model_eui_end_uses!V130*base_building_arch_areas!$N$3</f>
        <v>36405.816763990282</v>
      </c>
      <c r="W130" s="187">
        <f>model_eui_end_uses!W130*base_building_arch_areas!$N$3</f>
        <v>356430.47035185801</v>
      </c>
      <c r="X130" s="187">
        <f>model_eui_end_uses!X130*base_building_arch_areas!$N$3</f>
        <v>39665.154672866251</v>
      </c>
      <c r="Y130" s="187">
        <f>model_eui_end_uses!Y130*base_building_arch_areas!$N$3</f>
        <v>0</v>
      </c>
      <c r="Z130" s="187">
        <f>model_eui_end_uses!Z130*base_building_arch_areas!$N$3</f>
        <v>62584.931725585353</v>
      </c>
      <c r="AA130" s="187">
        <f>model_eui_end_uses!AA130*base_building_arch_areas!$N$3</f>
        <v>53594.238584737883</v>
      </c>
      <c r="AB130" s="187">
        <f>model_eui_end_uses!AB130*base_building_arch_areas!$N$3</f>
        <v>0</v>
      </c>
      <c r="AC130" s="187">
        <f>model_eui_end_uses!AC130*base_building_arch_areas!$N$3</f>
        <v>3300123.372769454</v>
      </c>
      <c r="AD130" s="187">
        <f>model_eui_end_uses!AD130*base_building_arch_areas!$N$3</f>
        <v>1340284.8991311302</v>
      </c>
      <c r="AE130" s="187">
        <f>model_eui_end_uses!AE130*base_building_arch_areas!$N$3</f>
        <v>53439.032017648606</v>
      </c>
      <c r="AF130" s="187">
        <f t="shared" si="20"/>
        <v>1393723.9311487789</v>
      </c>
      <c r="AG130" s="187">
        <f>model_eui_end_uses!AH130*base_building_arch_areas!$N$3</f>
        <v>21712.615365924306</v>
      </c>
      <c r="AH130" s="187">
        <f>model_eui_end_uses!AI130*base_building_arch_areas!$N$3</f>
        <v>6038.6106179942926</v>
      </c>
      <c r="AI130" s="187">
        <f t="shared" si="21"/>
        <v>27751.225983918601</v>
      </c>
      <c r="AJ130" s="200">
        <f>sim_annual_output!F130/sim_annual_output!H130*base_building_arch_areas!$N$3</f>
        <v>132441.05544591826</v>
      </c>
      <c r="AK130">
        <f t="shared" si="22"/>
        <v>4.7724398022150725</v>
      </c>
    </row>
    <row r="131" spans="1:37">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f>model_eui_end_uses!G131*base_scenario_arch_measures!$F131</f>
        <v>0</v>
      </c>
      <c r="H131">
        <f>model_eui_end_uses!H131*base_scenario_arch_measures!$F131</f>
        <v>12.193371995556074</v>
      </c>
      <c r="I131">
        <f>model_eui_end_uses!I131*base_scenario_arch_measures!$F131</f>
        <v>6.194369249865982E-3</v>
      </c>
      <c r="J131">
        <f>model_eui_end_uses!J131*base_scenario_arch_measures!$F131</f>
        <v>0</v>
      </c>
      <c r="K131">
        <f>model_eui_end_uses!K131*base_scenario_arch_measures!$F131</f>
        <v>0.15731015293803352</v>
      </c>
      <c r="L131">
        <f>model_eui_end_uses!L131*base_scenario_arch_measures!$F131</f>
        <v>1.0781007032025607</v>
      </c>
      <c r="M131">
        <f>model_eui_end_uses!M131*base_scenario_arch_measures!$F131</f>
        <v>0.17139380743329971</v>
      </c>
      <c r="N131">
        <f>model_eui_end_uses!N131*base_scenario_arch_measures!$F131</f>
        <v>0</v>
      </c>
      <c r="O131">
        <f>model_eui_end_uses!O131*base_scenario_arch_measures!$F131</f>
        <v>0.27199133954234372</v>
      </c>
      <c r="P131">
        <f>model_eui_end_uses!P131*base_scenario_arch_measures!$F131</f>
        <v>0.23537383785465169</v>
      </c>
      <c r="Q131">
        <f>model_eui_end_uses!Q131*base_scenario_arch_measures!$F131</f>
        <v>0</v>
      </c>
      <c r="R131" s="187">
        <f>model_eui_end_uses!R131*base_building_arch_areas!$N$3</f>
        <v>0</v>
      </c>
      <c r="S131" s="187">
        <f>model_eui_end_uses!S131*base_building_arch_areas!$N$3</f>
        <v>2749656.4741800977</v>
      </c>
      <c r="T131" s="187">
        <f>model_eui_end_uses!T131*base_building_arch_areas!$N$3</f>
        <v>1786.2864903190334</v>
      </c>
      <c r="U131" s="187">
        <f>model_eui_end_uses!U131*base_building_arch_areas!$N$3</f>
        <v>0</v>
      </c>
      <c r="V131" s="187">
        <f>model_eui_end_uses!V131*base_building_arch_areas!$N$3</f>
        <v>36405.816763990282</v>
      </c>
      <c r="W131" s="187">
        <f>model_eui_end_uses!W131*base_building_arch_areas!$N$3</f>
        <v>356430.47035185801</v>
      </c>
      <c r="X131" s="187">
        <f>model_eui_end_uses!X131*base_building_arch_areas!$N$3</f>
        <v>39665.154672866251</v>
      </c>
      <c r="Y131" s="187">
        <f>model_eui_end_uses!Y131*base_building_arch_areas!$N$3</f>
        <v>0</v>
      </c>
      <c r="Z131" s="187">
        <f>model_eui_end_uses!Z131*base_building_arch_areas!$N$3</f>
        <v>62584.931725585353</v>
      </c>
      <c r="AA131" s="187">
        <f>model_eui_end_uses!AA131*base_building_arch_areas!$N$3</f>
        <v>53594.238584737883</v>
      </c>
      <c r="AB131" s="187">
        <f>model_eui_end_uses!AB131*base_building_arch_areas!$N$3</f>
        <v>0</v>
      </c>
      <c r="AC131" s="187">
        <f>model_eui_end_uses!AC131*base_building_arch_areas!$N$3</f>
        <v>3300123.372769454</v>
      </c>
      <c r="AD131" s="187">
        <f>model_eui_end_uses!AD131*base_building_arch_areas!$N$3</f>
        <v>-72219.026635457863</v>
      </c>
      <c r="AE131" s="187">
        <f>model_eui_end_uses!AE131*base_building_arch_areas!$N$3</f>
        <v>106042.77051059825</v>
      </c>
      <c r="AF131" s="187">
        <f t="shared" si="20"/>
        <v>33823.743875140382</v>
      </c>
      <c r="AG131" s="187">
        <f>model_eui_end_uses!AH131*base_building_arch_areas!$N$3</f>
        <v>-1169.9482314944173</v>
      </c>
      <c r="AH131" s="187">
        <f>model_eui_end_uses!AI131*base_building_arch_areas!$N$3</f>
        <v>11982.833067697602</v>
      </c>
      <c r="AI131" s="187">
        <f t="shared" si="21"/>
        <v>10812.884836203184</v>
      </c>
      <c r="AJ131" s="200">
        <f>sim_annual_output!F131/sim_annual_output!H131*base_building_arch_areas!$N$3</f>
        <v>131602.50774827425</v>
      </c>
      <c r="AK131">
        <f t="shared" si="22"/>
        <v>12.170897012391089</v>
      </c>
    </row>
    <row r="132" spans="1:37">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f>model_eui_end_uses!G132*base_scenario_arch_measures!$F132</f>
        <v>0</v>
      </c>
      <c r="H132">
        <f>model_eui_end_uses!H132*base_scenario_arch_measures!$F132</f>
        <v>4.9882475176194383</v>
      </c>
      <c r="I132">
        <f>model_eui_end_uses!I132*base_scenario_arch_measures!$F132</f>
        <v>6.3406929329336828E-3</v>
      </c>
      <c r="J132">
        <f>model_eui_end_uses!J132*base_scenario_arch_measures!$F132</f>
        <v>0</v>
      </c>
      <c r="K132">
        <f>model_eui_end_uses!K132*base_scenario_arch_measures!$F132</f>
        <v>0.15731015293803352</v>
      </c>
      <c r="L132">
        <f>model_eui_end_uses!L132*base_scenario_arch_measures!$F132</f>
        <v>1.5401421197693355</v>
      </c>
      <c r="M132">
        <f>model_eui_end_uses!M132*base_scenario_arch_measures!$F132</f>
        <v>0.17139380743329971</v>
      </c>
      <c r="N132">
        <f>model_eui_end_uses!N132*base_scenario_arch_measures!$F132</f>
        <v>0</v>
      </c>
      <c r="O132">
        <f>model_eui_end_uses!O132*base_scenario_arch_measures!$F132</f>
        <v>0.16072437220961322</v>
      </c>
      <c r="P132">
        <f>model_eui_end_uses!P132*base_scenario_arch_measures!$F132</f>
        <v>7.7673488428437612E-3</v>
      </c>
      <c r="Q132">
        <f>model_eui_end_uses!Q132*base_scenario_arch_measures!$F132</f>
        <v>0</v>
      </c>
      <c r="R132" s="187">
        <f>model_eui_end_uses!R132*base_building_arch_areas!$N$3</f>
        <v>0</v>
      </c>
      <c r="S132" s="187">
        <f>model_eui_end_uses!S132*base_building_arch_areas!$N$3</f>
        <v>2749656.4741800977</v>
      </c>
      <c r="T132" s="187">
        <f>model_eui_end_uses!T132*base_building_arch_areas!$N$3</f>
        <v>1786.2864903190334</v>
      </c>
      <c r="U132" s="187">
        <f>model_eui_end_uses!U132*base_building_arch_areas!$N$3</f>
        <v>0</v>
      </c>
      <c r="V132" s="187">
        <f>model_eui_end_uses!V132*base_building_arch_areas!$N$3</f>
        <v>36405.816763990282</v>
      </c>
      <c r="W132" s="187">
        <f>model_eui_end_uses!W132*base_building_arch_areas!$N$3</f>
        <v>356430.47035185801</v>
      </c>
      <c r="X132" s="187">
        <f>model_eui_end_uses!X132*base_building_arch_areas!$N$3</f>
        <v>39665.154672866251</v>
      </c>
      <c r="Y132" s="187">
        <f>model_eui_end_uses!Y132*base_building_arch_areas!$N$3</f>
        <v>0</v>
      </c>
      <c r="Z132" s="187">
        <f>model_eui_end_uses!Z132*base_building_arch_areas!$N$3</f>
        <v>62584.931725585353</v>
      </c>
      <c r="AA132" s="187">
        <f>model_eui_end_uses!AA132*base_building_arch_areas!$N$3</f>
        <v>53594.238584737883</v>
      </c>
      <c r="AB132" s="187">
        <f>model_eui_end_uses!AB132*base_building_arch_areas!$N$3</f>
        <v>0</v>
      </c>
      <c r="AC132" s="187">
        <f>model_eui_end_uses!AC132*base_building_arch_areas!$N$3</f>
        <v>3300123.372769454</v>
      </c>
      <c r="AD132" s="187">
        <f>model_eui_end_uses!AD132*base_building_arch_areas!$N$3</f>
        <v>1595241.3159199839</v>
      </c>
      <c r="AE132" s="187">
        <f>model_eui_end_uses!AE132*base_building_arch_areas!$N$3</f>
        <v>77504.515729245308</v>
      </c>
      <c r="AF132" s="187">
        <f t="shared" si="20"/>
        <v>1672745.8316492292</v>
      </c>
      <c r="AG132" s="187">
        <f>model_eui_end_uses!AH132*base_building_arch_areas!$N$3</f>
        <v>25842.909317903737</v>
      </c>
      <c r="AH132" s="187">
        <f>model_eui_end_uses!AI132*base_building_arch_areas!$N$3</f>
        <v>8758.0102774047191</v>
      </c>
      <c r="AI132" s="187">
        <f t="shared" si="21"/>
        <v>34600.919595308456</v>
      </c>
      <c r="AJ132" s="200">
        <f>sim_annual_output!F132/sim_annual_output!H132*base_building_arch_areas!$N$3</f>
        <v>133382.95421319021</v>
      </c>
      <c r="AK132">
        <f t="shared" si="22"/>
        <v>3.8548962216390232</v>
      </c>
    </row>
    <row r="133" spans="1:37">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f>model_eui_end_uses!G133*base_scenario_arch_measures!$F133</f>
        <v>0</v>
      </c>
      <c r="H133">
        <f>model_eui_end_uses!H133*base_scenario_arch_measures!$F133</f>
        <v>10.309186315973806</v>
      </c>
      <c r="I133">
        <f>model_eui_end_uses!I133*base_scenario_arch_measures!$F133</f>
        <v>5.5115253955500465E-3</v>
      </c>
      <c r="J133">
        <f>model_eui_end_uses!J133*base_scenario_arch_measures!$F133</f>
        <v>0</v>
      </c>
      <c r="K133">
        <f>model_eui_end_uses!K133*base_scenario_arch_measures!$F133</f>
        <v>0.15731015293803352</v>
      </c>
      <c r="L133">
        <f>model_eui_end_uses!L133*base_scenario_arch_measures!$F133</f>
        <v>1.5401421197693355</v>
      </c>
      <c r="M133">
        <f>model_eui_end_uses!M133*base_scenario_arch_measures!$F133</f>
        <v>0.17139380743329971</v>
      </c>
      <c r="N133">
        <f>model_eui_end_uses!N133*base_scenario_arch_measures!$F133</f>
        <v>0</v>
      </c>
      <c r="O133">
        <f>model_eui_end_uses!O133*base_scenario_arch_measures!$F133</f>
        <v>0.229337985928109</v>
      </c>
      <c r="P133">
        <f>model_eui_end_uses!P133*base_scenario_arch_measures!$F133</f>
        <v>0.18690411783847594</v>
      </c>
      <c r="Q133">
        <f>model_eui_end_uses!Q133*base_scenario_arch_measures!$F133</f>
        <v>0</v>
      </c>
      <c r="R133" s="187">
        <f>model_eui_end_uses!R133*base_building_arch_areas!$N$3</f>
        <v>0</v>
      </c>
      <c r="S133" s="187">
        <f>model_eui_end_uses!S133*base_building_arch_areas!$N$3</f>
        <v>2749656.4741800977</v>
      </c>
      <c r="T133" s="187">
        <f>model_eui_end_uses!T133*base_building_arch_areas!$N$3</f>
        <v>1786.2864903190334</v>
      </c>
      <c r="U133" s="187">
        <f>model_eui_end_uses!U133*base_building_arch_areas!$N$3</f>
        <v>0</v>
      </c>
      <c r="V133" s="187">
        <f>model_eui_end_uses!V133*base_building_arch_areas!$N$3</f>
        <v>36405.816763990282</v>
      </c>
      <c r="W133" s="187">
        <f>model_eui_end_uses!W133*base_building_arch_areas!$N$3</f>
        <v>356430.47035185801</v>
      </c>
      <c r="X133" s="187">
        <f>model_eui_end_uses!X133*base_building_arch_areas!$N$3</f>
        <v>39665.154672866251</v>
      </c>
      <c r="Y133" s="187">
        <f>model_eui_end_uses!Y133*base_building_arch_areas!$N$3</f>
        <v>0</v>
      </c>
      <c r="Z133" s="187">
        <f>model_eui_end_uses!Z133*base_building_arch_areas!$N$3</f>
        <v>62584.931725585353</v>
      </c>
      <c r="AA133" s="187">
        <f>model_eui_end_uses!AA133*base_building_arch_areas!$N$3</f>
        <v>53594.238584737883</v>
      </c>
      <c r="AB133" s="187">
        <f>model_eui_end_uses!AB133*base_building_arch_areas!$N$3</f>
        <v>0</v>
      </c>
      <c r="AC133" s="187">
        <f>model_eui_end_uses!AC133*base_building_arch_areas!$N$3</f>
        <v>3300123.372769454</v>
      </c>
      <c r="AD133" s="187">
        <f>model_eui_end_uses!AD133*base_building_arch_areas!$N$3</f>
        <v>363832.41263322748</v>
      </c>
      <c r="AE133" s="187">
        <f>model_eui_end_uses!AE133*base_building_arch_areas!$N$3</f>
        <v>20360.279664536949</v>
      </c>
      <c r="AF133" s="187">
        <f t="shared" si="20"/>
        <v>384192.69229776441</v>
      </c>
      <c r="AG133" s="187">
        <f>model_eui_end_uses!AH133*base_building_arch_areas!$N$3</f>
        <v>5894.0850846582844</v>
      </c>
      <c r="AH133" s="187">
        <f>model_eui_end_uses!AI133*base_building_arch_areas!$N$3</f>
        <v>2300.7116020926751</v>
      </c>
      <c r="AI133" s="187">
        <f t="shared" si="21"/>
        <v>8194.7966867509604</v>
      </c>
      <c r="AJ133" s="200">
        <f>sim_annual_output!F133/sim_annual_output!H133*base_building_arch_areas!$N$3</f>
        <v>37191.564147575948</v>
      </c>
      <c r="AK133">
        <f t="shared" si="22"/>
        <v>4.5384364700232123</v>
      </c>
    </row>
    <row r="134" spans="1:37">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f>model_eui_end_uses!G134*base_scenario_arch_measures!$F134</f>
        <v>0</v>
      </c>
      <c r="H134">
        <f>model_eui_end_uses!H134*base_scenario_arch_measures!$F134</f>
        <v>4.2121588962686118</v>
      </c>
      <c r="I134">
        <f>model_eui_end_uses!I134*base_scenario_arch_measures!$F134</f>
        <v>4.6482156654506147E-2</v>
      </c>
      <c r="J134">
        <f>model_eui_end_uses!J134*base_scenario_arch_measures!$F134</f>
        <v>0</v>
      </c>
      <c r="K134">
        <f>model_eui_end_uses!K134*base_scenario_arch_measures!$F134</f>
        <v>0.15731015293803352</v>
      </c>
      <c r="L134">
        <f>model_eui_end_uses!L134*base_scenario_arch_measures!$F134</f>
        <v>1.0781007032025607</v>
      </c>
      <c r="M134">
        <f>model_eui_end_uses!M134*base_scenario_arch_measures!$F134</f>
        <v>0.17139380743329971</v>
      </c>
      <c r="N134">
        <f>model_eui_end_uses!N134*base_scenario_arch_measures!$F134</f>
        <v>0</v>
      </c>
      <c r="O134">
        <f>model_eui_end_uses!O134*base_scenario_arch_measures!$F134</f>
        <v>0.13806858861463092</v>
      </c>
      <c r="P134">
        <f>model_eui_end_uses!P134*base_scenario_arch_measures!$F134</f>
        <v>2.9264736613540069E-3</v>
      </c>
      <c r="Q134">
        <f>model_eui_end_uses!Q134*base_scenario_arch_measures!$F134</f>
        <v>0</v>
      </c>
      <c r="R134" s="187">
        <f>model_eui_end_uses!R134*base_building_arch_areas!$N$3</f>
        <v>0</v>
      </c>
      <c r="S134" s="187">
        <f>model_eui_end_uses!S134*base_building_arch_areas!$N$3</f>
        <v>2749656.4741800977</v>
      </c>
      <c r="T134" s="187">
        <f>model_eui_end_uses!T134*base_building_arch_areas!$N$3</f>
        <v>1786.2864903190334</v>
      </c>
      <c r="U134" s="187">
        <f>model_eui_end_uses!U134*base_building_arch_areas!$N$3</f>
        <v>0</v>
      </c>
      <c r="V134" s="187">
        <f>model_eui_end_uses!V134*base_building_arch_areas!$N$3</f>
        <v>36405.816763990282</v>
      </c>
      <c r="W134" s="187">
        <f>model_eui_end_uses!W134*base_building_arch_areas!$N$3</f>
        <v>356430.47035185801</v>
      </c>
      <c r="X134" s="187">
        <f>model_eui_end_uses!X134*base_building_arch_areas!$N$3</f>
        <v>39665.154672866251</v>
      </c>
      <c r="Y134" s="187">
        <f>model_eui_end_uses!Y134*base_building_arch_areas!$N$3</f>
        <v>0</v>
      </c>
      <c r="Z134" s="187">
        <f>model_eui_end_uses!Z134*base_building_arch_areas!$N$3</f>
        <v>62584.931725585353</v>
      </c>
      <c r="AA134" s="187">
        <f>model_eui_end_uses!AA134*base_building_arch_areas!$N$3</f>
        <v>53594.238584737883</v>
      </c>
      <c r="AB134" s="187">
        <f>model_eui_end_uses!AB134*base_building_arch_areas!$N$3</f>
        <v>0</v>
      </c>
      <c r="AC134" s="187">
        <f>model_eui_end_uses!AC134*base_building_arch_areas!$N$3</f>
        <v>3300123.372769454</v>
      </c>
      <c r="AD134" s="187">
        <f>model_eui_end_uses!AD134*base_building_arch_areas!$N$3</f>
        <v>1774849.1772933414</v>
      </c>
      <c r="AE134" s="187">
        <f>model_eui_end_uses!AE134*base_building_arch_areas!$N$3</f>
        <v>181507.0253670146</v>
      </c>
      <c r="AF134" s="187">
        <f t="shared" si="20"/>
        <v>1956356.2026603559</v>
      </c>
      <c r="AG134" s="187">
        <f>model_eui_end_uses!AH134*base_building_arch_areas!$N$3</f>
        <v>28752.556672152125</v>
      </c>
      <c r="AH134" s="187">
        <f>model_eui_end_uses!AI134*base_building_arch_areas!$N$3</f>
        <v>20510.29386647265</v>
      </c>
      <c r="AI134" s="187">
        <f t="shared" si="21"/>
        <v>49262.850538624771</v>
      </c>
      <c r="AJ134" s="200">
        <f>sim_annual_output!F134/sim_annual_output!H134*base_building_arch_areas!$N$3</f>
        <v>401619.27617045719</v>
      </c>
      <c r="AK134">
        <f t="shared" si="22"/>
        <v>8.1525789064026188</v>
      </c>
    </row>
    <row r="135" spans="1:37">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f>model_eui_end_uses!G135*base_scenario_arch_measures!$F135</f>
        <v>0</v>
      </c>
      <c r="H135">
        <f>model_eui_end_uses!H135*base_scenario_arch_measures!$F135</f>
        <v>11.753376680571499</v>
      </c>
      <c r="I135">
        <f>model_eui_end_uses!I135*base_scenario_arch_measures!$F135</f>
        <v>9.7183312837464328E-3</v>
      </c>
      <c r="J135">
        <f>model_eui_end_uses!J135*base_scenario_arch_measures!$F135</f>
        <v>0</v>
      </c>
      <c r="K135">
        <f>model_eui_end_uses!K135*base_scenario_arch_measures!$F135</f>
        <v>0.15731015293803352</v>
      </c>
      <c r="L135">
        <f>model_eui_end_uses!L135*base_scenario_arch_measures!$F135</f>
        <v>1.5401421197693355</v>
      </c>
      <c r="M135">
        <f>model_eui_end_uses!M135*base_scenario_arch_measures!$F135</f>
        <v>0.17139380743329971</v>
      </c>
      <c r="N135">
        <f>model_eui_end_uses!N135*base_scenario_arch_measures!$F135</f>
        <v>0</v>
      </c>
      <c r="O135">
        <f>model_eui_end_uses!O135*base_scenario_arch_measures!$F135</f>
        <v>0.27158894941390749</v>
      </c>
      <c r="P135">
        <f>model_eui_end_uses!P135*base_scenario_arch_measures!$F135</f>
        <v>0.23152064753386886</v>
      </c>
      <c r="Q135">
        <f>model_eui_end_uses!Q135*base_scenario_arch_measures!$F135</f>
        <v>0</v>
      </c>
      <c r="R135" s="187">
        <f>model_eui_end_uses!R135*base_building_arch_areas!$N$3</f>
        <v>0</v>
      </c>
      <c r="S135" s="187">
        <f>model_eui_end_uses!S135*base_building_arch_areas!$N$3</f>
        <v>2749656.4741800977</v>
      </c>
      <c r="T135" s="187">
        <f>model_eui_end_uses!T135*base_building_arch_areas!$N$3</f>
        <v>1786.2864903190334</v>
      </c>
      <c r="U135" s="187">
        <f>model_eui_end_uses!U135*base_building_arch_areas!$N$3</f>
        <v>0</v>
      </c>
      <c r="V135" s="187">
        <f>model_eui_end_uses!V135*base_building_arch_areas!$N$3</f>
        <v>36405.816763990282</v>
      </c>
      <c r="W135" s="187">
        <f>model_eui_end_uses!W135*base_building_arch_areas!$N$3</f>
        <v>356430.47035185801</v>
      </c>
      <c r="X135" s="187">
        <f>model_eui_end_uses!X135*base_building_arch_areas!$N$3</f>
        <v>39665.154672866251</v>
      </c>
      <c r="Y135" s="187">
        <f>model_eui_end_uses!Y135*base_building_arch_areas!$N$3</f>
        <v>0</v>
      </c>
      <c r="Z135" s="187">
        <f>model_eui_end_uses!Z135*base_building_arch_areas!$N$3</f>
        <v>62584.931725585353</v>
      </c>
      <c r="AA135" s="187">
        <f>model_eui_end_uses!AA135*base_building_arch_areas!$N$3</f>
        <v>53594.238584737883</v>
      </c>
      <c r="AB135" s="187">
        <f>model_eui_end_uses!AB135*base_building_arch_areas!$N$3</f>
        <v>0</v>
      </c>
      <c r="AC135" s="187">
        <f>model_eui_end_uses!AC135*base_building_arch_areas!$N$3</f>
        <v>3300123.372769454</v>
      </c>
      <c r="AD135" s="187">
        <f>model_eui_end_uses!AD135*base_building_arch_areas!$N$3</f>
        <v>29607.769125477374</v>
      </c>
      <c r="AE135" s="187">
        <f>model_eui_end_uses!AE135*base_building_arch_areas!$N$3</f>
        <v>-716.77214619427195</v>
      </c>
      <c r="AF135" s="187">
        <f t="shared" si="20"/>
        <v>28890.996979283103</v>
      </c>
      <c r="AG135" s="187">
        <f>model_eui_end_uses!AH135*base_building_arch_areas!$N$3</f>
        <v>479.64585983273344</v>
      </c>
      <c r="AH135" s="187">
        <f>model_eui_end_uses!AI135*base_building_arch_areas!$N$3</f>
        <v>-80.995252519952743</v>
      </c>
      <c r="AI135" s="187">
        <f t="shared" si="21"/>
        <v>398.65060731278072</v>
      </c>
      <c r="AJ135" s="200">
        <f>sim_annual_output!F135/sim_annual_output!H135*base_building_arch_areas!$N$3</f>
        <v>21504.13895645185</v>
      </c>
      <c r="AK135">
        <f t="shared" si="22"/>
        <v>53.942320824259355</v>
      </c>
    </row>
    <row r="136" spans="1:37">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f>model_eui_end_uses!G136*base_scenario_arch_measures!$F136</f>
        <v>0</v>
      </c>
      <c r="H136">
        <f>model_eui_end_uses!H136*base_scenario_arch_measures!$F136</f>
        <v>11.748523611749752</v>
      </c>
      <c r="I136">
        <f>model_eui_end_uses!I136*base_scenario_arch_measures!$F136</f>
        <v>9.9622040888592677E-3</v>
      </c>
      <c r="J136">
        <f>model_eui_end_uses!J136*base_scenario_arch_measures!$F136</f>
        <v>0</v>
      </c>
      <c r="K136">
        <f>model_eui_end_uses!K136*base_scenario_arch_measures!$F136</f>
        <v>0.15774912398723664</v>
      </c>
      <c r="L136">
        <f>model_eui_end_uses!L136*base_scenario_arch_measures!$F136</f>
        <v>1.5401421197693355</v>
      </c>
      <c r="M136">
        <f>model_eui_end_uses!M136*base_scenario_arch_measures!$F136</f>
        <v>0.17139380743329971</v>
      </c>
      <c r="N136">
        <f>model_eui_end_uses!N136*base_scenario_arch_measures!$F136</f>
        <v>0</v>
      </c>
      <c r="O136">
        <f>model_eui_end_uses!O136*base_scenario_arch_measures!$F136</f>
        <v>0.27144262573083983</v>
      </c>
      <c r="P136">
        <f>model_eui_end_uses!P136*base_scenario_arch_measures!$F136</f>
        <v>0.23087438460031987</v>
      </c>
      <c r="Q136">
        <f>model_eui_end_uses!Q136*base_scenario_arch_measures!$F136</f>
        <v>0</v>
      </c>
      <c r="R136" s="187">
        <f>model_eui_end_uses!R136*base_building_arch_areas!$N$3</f>
        <v>0</v>
      </c>
      <c r="S136" s="187">
        <f>model_eui_end_uses!S136*base_building_arch_areas!$N$3</f>
        <v>2749656.4741800977</v>
      </c>
      <c r="T136" s="187">
        <f>model_eui_end_uses!T136*base_building_arch_areas!$N$3</f>
        <v>1786.2864903190334</v>
      </c>
      <c r="U136" s="187">
        <f>model_eui_end_uses!U136*base_building_arch_areas!$N$3</f>
        <v>0</v>
      </c>
      <c r="V136" s="187">
        <f>model_eui_end_uses!V136*base_building_arch_areas!$N$3</f>
        <v>36405.816763990282</v>
      </c>
      <c r="W136" s="187">
        <f>model_eui_end_uses!W136*base_building_arch_areas!$N$3</f>
        <v>356430.47035185801</v>
      </c>
      <c r="X136" s="187">
        <f>model_eui_end_uses!X136*base_building_arch_areas!$N$3</f>
        <v>39665.154672866251</v>
      </c>
      <c r="Y136" s="187">
        <f>model_eui_end_uses!Y136*base_building_arch_areas!$N$3</f>
        <v>0</v>
      </c>
      <c r="Z136" s="187">
        <f>model_eui_end_uses!Z136*base_building_arch_areas!$N$3</f>
        <v>62584.931725585353</v>
      </c>
      <c r="AA136" s="187">
        <f>model_eui_end_uses!AA136*base_building_arch_areas!$N$3</f>
        <v>53594.238584737883</v>
      </c>
      <c r="AB136" s="187">
        <f>model_eui_end_uses!AB136*base_building_arch_areas!$N$3</f>
        <v>0</v>
      </c>
      <c r="AC136" s="187">
        <f>model_eui_end_uses!AC136*base_building_arch_areas!$N$3</f>
        <v>3300123.372769454</v>
      </c>
      <c r="AD136" s="187">
        <f>model_eui_end_uses!AD136*base_building_arch_areas!$N$3</f>
        <v>30629.310530683735</v>
      </c>
      <c r="AE136" s="187">
        <f>model_eui_end_uses!AE136*base_building_arch_areas!$N$3</f>
        <v>-589.78495493942728</v>
      </c>
      <c r="AF136" s="187">
        <f t="shared" si="20"/>
        <v>30039.525575744308</v>
      </c>
      <c r="AG136" s="187">
        <f>model_eui_end_uses!AH136*base_building_arch_areas!$N$3</f>
        <v>496.19483059707647</v>
      </c>
      <c r="AH136" s="187">
        <f>model_eui_end_uses!AI136*base_building_arch_areas!$N$3</f>
        <v>-66.645699908155294</v>
      </c>
      <c r="AI136" s="187">
        <f t="shared" si="21"/>
        <v>429.5491306889212</v>
      </c>
      <c r="AJ136" s="200">
        <f>sim_annual_output!F136/sim_annual_output!H136*base_building_arch_areas!$N$3</f>
        <v>3472.3120915378272</v>
      </c>
      <c r="AK136">
        <f t="shared" si="22"/>
        <v>8.0836203438913952</v>
      </c>
    </row>
    <row r="137" spans="1:37">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f>model_eui_end_uses!G137*base_scenario_arch_measures!$F137</f>
        <v>0</v>
      </c>
      <c r="H137">
        <f>model_eui_end_uses!H137*base_scenario_arch_measures!$F137</f>
        <v>11.748523611749752</v>
      </c>
      <c r="I137">
        <f>model_eui_end_uses!I137*base_scenario_arch_measures!$F137</f>
        <v>9.9622040888592677E-3</v>
      </c>
      <c r="J137">
        <f>model_eui_end_uses!J137*base_scenario_arch_measures!$F137</f>
        <v>0</v>
      </c>
      <c r="K137">
        <f>model_eui_end_uses!K137*base_scenario_arch_measures!$F137</f>
        <v>0.15731015293803352</v>
      </c>
      <c r="L137">
        <f>model_eui_end_uses!L137*base_scenario_arch_measures!$F137</f>
        <v>1.5401421197693355</v>
      </c>
      <c r="M137">
        <f>model_eui_end_uses!M137*base_scenario_arch_measures!$F137</f>
        <v>0.17139380743329971</v>
      </c>
      <c r="N137">
        <f>model_eui_end_uses!N137*base_scenario_arch_measures!$F137</f>
        <v>0</v>
      </c>
      <c r="O137">
        <f>model_eui_end_uses!O137*base_scenario_arch_measures!$F137</f>
        <v>0.27144262573083983</v>
      </c>
      <c r="P137">
        <f>model_eui_end_uses!P137*base_scenario_arch_measures!$F137</f>
        <v>0.18091704047295587</v>
      </c>
      <c r="Q137">
        <f>model_eui_end_uses!Q137*base_scenario_arch_measures!$F137</f>
        <v>0</v>
      </c>
      <c r="R137" s="187">
        <f>model_eui_end_uses!R137*base_building_arch_areas!$N$3</f>
        <v>0</v>
      </c>
      <c r="S137" s="187">
        <f>model_eui_end_uses!S137*base_building_arch_areas!$N$3</f>
        <v>2749656.4741800977</v>
      </c>
      <c r="T137" s="187">
        <f>model_eui_end_uses!T137*base_building_arch_areas!$N$3</f>
        <v>1786.2864903190334</v>
      </c>
      <c r="U137" s="187">
        <f>model_eui_end_uses!U137*base_building_arch_areas!$N$3</f>
        <v>0</v>
      </c>
      <c r="V137" s="187">
        <f>model_eui_end_uses!V137*base_building_arch_areas!$N$3</f>
        <v>36405.816763990282</v>
      </c>
      <c r="W137" s="187">
        <f>model_eui_end_uses!W137*base_building_arch_areas!$N$3</f>
        <v>356430.47035185801</v>
      </c>
      <c r="X137" s="187">
        <f>model_eui_end_uses!X137*base_building_arch_areas!$N$3</f>
        <v>39665.154672866251</v>
      </c>
      <c r="Y137" s="187">
        <f>model_eui_end_uses!Y137*base_building_arch_areas!$N$3</f>
        <v>0</v>
      </c>
      <c r="Z137" s="187">
        <f>model_eui_end_uses!Z137*base_building_arch_areas!$N$3</f>
        <v>62584.931725585353</v>
      </c>
      <c r="AA137" s="187">
        <f>model_eui_end_uses!AA137*base_building_arch_areas!$N$3</f>
        <v>53594.238584737883</v>
      </c>
      <c r="AB137" s="187">
        <f>model_eui_end_uses!AB137*base_building_arch_areas!$N$3</f>
        <v>0</v>
      </c>
      <c r="AC137" s="187">
        <f>model_eui_end_uses!AC137*base_building_arch_areas!$N$3</f>
        <v>3300123.372769454</v>
      </c>
      <c r="AD137" s="187">
        <f>model_eui_end_uses!AD137*base_building_arch_areas!$N$3</f>
        <v>30730.900283687821</v>
      </c>
      <c r="AE137" s="187">
        <f>model_eui_end_uses!AE137*base_building_arch_areas!$N$3</f>
        <v>10971.693324424088</v>
      </c>
      <c r="AF137" s="187">
        <f t="shared" si="20"/>
        <v>41702.593608111907</v>
      </c>
      <c r="AG137" s="187">
        <f>model_eui_end_uses!AH137*base_building_arch_areas!$N$3</f>
        <v>497.84058459574265</v>
      </c>
      <c r="AH137" s="187">
        <f>model_eui_end_uses!AI137*base_building_arch_areas!$N$3</f>
        <v>1239.8013456599222</v>
      </c>
      <c r="AI137" s="187">
        <f t="shared" si="21"/>
        <v>1737.6419302556649</v>
      </c>
      <c r="AJ137" s="200">
        <f>sim_annual_output!F137/sim_annual_output!H137*base_building_arch_areas!$N$3</f>
        <v>6746.802429988953</v>
      </c>
      <c r="AK137">
        <f t="shared" si="22"/>
        <v>3.8827345913529343</v>
      </c>
    </row>
    <row r="138" spans="1:37">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f>model_eui_end_uses!G138*base_scenario_arch_measures!$F138</f>
        <v>0</v>
      </c>
      <c r="H138">
        <f>model_eui_end_uses!H138*base_scenario_arch_measures!$F138</f>
        <v>8.8848518297691896</v>
      </c>
      <c r="I138">
        <f>model_eui_end_uses!I138*base_scenario_arch_measures!$F138</f>
        <v>8.5719459309265236E-2</v>
      </c>
      <c r="J138">
        <f>model_eui_end_uses!J138*base_scenario_arch_measures!$F138</f>
        <v>0</v>
      </c>
      <c r="K138">
        <f>model_eui_end_uses!K138*base_scenario_arch_measures!$F138</f>
        <v>0.18351588857431642</v>
      </c>
      <c r="L138">
        <f>model_eui_end_uses!L138*base_scenario_arch_measures!$F138</f>
        <v>1.7967088859899376</v>
      </c>
      <c r="M138">
        <f>model_eui_end_uses!M138*base_scenario_arch_measures!$F138</f>
        <v>0.19994568869084506</v>
      </c>
      <c r="N138">
        <f>model_eui_end_uses!N138*base_scenario_arch_measures!$F138</f>
        <v>0</v>
      </c>
      <c r="O138">
        <f>model_eui_end_uses!O138*base_scenario_arch_measures!$F138</f>
        <v>0.22353063119578392</v>
      </c>
      <c r="P138">
        <f>model_eui_end_uses!P138*base_scenario_arch_measures!$F138</f>
        <v>0.19240647305295747</v>
      </c>
      <c r="Q138">
        <f>model_eui_end_uses!Q138*base_scenario_arch_measures!$F138</f>
        <v>0</v>
      </c>
      <c r="R138" s="187">
        <f>model_eui_end_uses!R138*base_building_arch_areas!$N$4</f>
        <v>0</v>
      </c>
      <c r="S138" s="187">
        <f>model_eui_end_uses!S138*base_building_arch_areas!$N$4</f>
        <v>2031254.1542889657</v>
      </c>
      <c r="T138" s="187">
        <f>model_eui_end_uses!T138*base_building_arch_areas!$N$4</f>
        <v>1665.7692397344929</v>
      </c>
      <c r="U138" s="187">
        <f>model_eui_end_uses!U138*base_building_arch_areas!$N$4</f>
        <v>0</v>
      </c>
      <c r="V138" s="187">
        <f>model_eui_end_uses!V138*base_building_arch_areas!$N$4</f>
        <v>42470.531545088328</v>
      </c>
      <c r="W138" s="187">
        <f>model_eui_end_uses!W138*base_building_arch_areas!$N$4</f>
        <v>415806.94735799328</v>
      </c>
      <c r="X138" s="187">
        <f>model_eui_end_uses!X138*base_building_arch_areas!$N$4</f>
        <v>46272.830896656196</v>
      </c>
      <c r="Y138" s="187">
        <f>model_eui_end_uses!Y138*base_building_arch_areas!$N$4</f>
        <v>0</v>
      </c>
      <c r="Z138" s="187">
        <f>model_eui_end_uses!Z138*base_building_arch_areas!$N$4</f>
        <v>51378.775740190184</v>
      </c>
      <c r="AA138" s="187">
        <f>model_eui_end_uses!AA138*base_building_arch_areas!$N$4</f>
        <v>39175.205440396181</v>
      </c>
      <c r="AB138" s="187">
        <f>model_eui_end_uses!AB138*base_building_arch_areas!$N$4</f>
        <v>0</v>
      </c>
      <c r="AC138" s="187">
        <f>model_eui_end_uses!AC138*base_building_arch_areas!$N$4</f>
        <v>2628024.2145090248</v>
      </c>
      <c r="AD138" s="187">
        <f>model_eui_end_uses!AD138*base_building_arch_areas!$N$4</f>
        <v>-24940.450119028432</v>
      </c>
      <c r="AE138" s="187">
        <f>model_eui_end_uses!AE138*base_building_arch_areas!$N$4</f>
        <v>-23877.12311421784</v>
      </c>
      <c r="AF138" s="187">
        <f t="shared" ref="AF138:AF185" si="23">SUM(AD138:AE138)</f>
        <v>-48817.573233246272</v>
      </c>
      <c r="AG138" s="187">
        <f>model_eui_end_uses!AH138*base_building_arch_areas!$N$4</f>
        <v>-404.03529192826062</v>
      </c>
      <c r="AH138" s="187">
        <f>model_eui_end_uses!AI138*base_building_arch_areas!$N$4</f>
        <v>-2698.1149119066163</v>
      </c>
      <c r="AI138" s="187">
        <f t="shared" ref="AI138:AI185" si="24">SUM(AG138:AH138)</f>
        <v>-3102.1502038348767</v>
      </c>
      <c r="AJ138" s="200">
        <f>sim_annual_output!F138/sim_annual_output!H138*base_building_arch_areas!$N$4</f>
        <v>8316.2204951411622</v>
      </c>
      <c r="AK138">
        <f t="shared" ref="AK138:AK185" si="25">IF(AI138=0,0,AJ138/AI138)</f>
        <v>-2.6807923371539695</v>
      </c>
    </row>
    <row r="139" spans="1:37">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f>model_eui_end_uses!G139*base_scenario_arch_measures!$F139</f>
        <v>0</v>
      </c>
      <c r="H139">
        <f>model_eui_end_uses!H139*base_scenario_arch_measures!$F139</f>
        <v>8.7770837209528949</v>
      </c>
      <c r="I139">
        <f>model_eui_end_uses!I139*base_scenario_arch_measures!$F139</f>
        <v>7.1978171939077679E-3</v>
      </c>
      <c r="J139">
        <f>model_eui_end_uses!J139*base_scenario_arch_measures!$F139</f>
        <v>0</v>
      </c>
      <c r="K139">
        <f>model_eui_end_uses!K139*base_scenario_arch_measures!$F139</f>
        <v>0.18351588857431642</v>
      </c>
      <c r="L139">
        <f>model_eui_end_uses!L139*base_scenario_arch_measures!$F139</f>
        <v>1.7967088859899376</v>
      </c>
      <c r="M139">
        <f>model_eui_end_uses!M139*base_scenario_arch_measures!$F139</f>
        <v>0.19994568869084506</v>
      </c>
      <c r="N139">
        <f>model_eui_end_uses!N139*base_scenario_arch_measures!$F139</f>
        <v>0</v>
      </c>
      <c r="O139">
        <f>model_eui_end_uses!O139*base_scenario_arch_measures!$F139</f>
        <v>0.2220085631330406</v>
      </c>
      <c r="P139">
        <f>model_eui_end_uses!P139*base_scenario_arch_measures!$F139</f>
        <v>0.16927672847332501</v>
      </c>
      <c r="Q139">
        <f>model_eui_end_uses!Q139*base_scenario_arch_measures!$F139</f>
        <v>0</v>
      </c>
      <c r="R139" s="187">
        <f>model_eui_end_uses!R139*base_building_arch_areas!$N$4</f>
        <v>0</v>
      </c>
      <c r="S139" s="187">
        <f>model_eui_end_uses!S139*base_building_arch_areas!$N$4</f>
        <v>2031254.1542889657</v>
      </c>
      <c r="T139" s="187">
        <f>model_eui_end_uses!T139*base_building_arch_areas!$N$4</f>
        <v>1665.7692397344929</v>
      </c>
      <c r="U139" s="187">
        <f>model_eui_end_uses!U139*base_building_arch_areas!$N$4</f>
        <v>0</v>
      </c>
      <c r="V139" s="187">
        <f>model_eui_end_uses!V139*base_building_arch_areas!$N$4</f>
        <v>42470.531545088328</v>
      </c>
      <c r="W139" s="187">
        <f>model_eui_end_uses!W139*base_building_arch_areas!$N$4</f>
        <v>415806.94735799328</v>
      </c>
      <c r="X139" s="187">
        <f>model_eui_end_uses!X139*base_building_arch_areas!$N$4</f>
        <v>46272.830896656196</v>
      </c>
      <c r="Y139" s="187">
        <f>model_eui_end_uses!Y139*base_building_arch_areas!$N$4</f>
        <v>0</v>
      </c>
      <c r="Z139" s="187">
        <f>model_eui_end_uses!Z139*base_building_arch_areas!$N$4</f>
        <v>51378.775740190184</v>
      </c>
      <c r="AA139" s="187">
        <f>model_eui_end_uses!AA139*base_building_arch_areas!$N$4</f>
        <v>39175.205440396181</v>
      </c>
      <c r="AB139" s="187">
        <f>model_eui_end_uses!AB139*base_building_arch_areas!$N$4</f>
        <v>0</v>
      </c>
      <c r="AC139" s="187">
        <f>model_eui_end_uses!AC139*base_building_arch_areas!$N$4</f>
        <v>2628024.2145090248</v>
      </c>
      <c r="AD139" s="187">
        <f>model_eui_end_uses!AD139*base_building_arch_areas!$N$4</f>
        <v>0</v>
      </c>
      <c r="AE139" s="187">
        <f>model_eui_end_uses!AE139*base_building_arch_areas!$N$4</f>
        <v>0</v>
      </c>
      <c r="AF139" s="187">
        <f t="shared" ref="AF139:AF161" si="26">SUM(AD139:AE139)</f>
        <v>0</v>
      </c>
      <c r="AG139" s="187">
        <f>model_eui_end_uses!AH139*base_building_arch_areas!$N$4</f>
        <v>0</v>
      </c>
      <c r="AH139" s="187">
        <f>model_eui_end_uses!AI139*base_building_arch_areas!$N$4</f>
        <v>0</v>
      </c>
      <c r="AI139" s="187">
        <f t="shared" ref="AI139:AI161" si="27">SUM(AG139:AH139)</f>
        <v>0</v>
      </c>
      <c r="AJ139" s="200">
        <f>sim_annual_output!F139/sim_annual_output!H139*base_building_arch_areas!$N$4</f>
        <v>0</v>
      </c>
      <c r="AK139">
        <f t="shared" ref="AK139:AK161" si="28">IF(AI139=0,0,AJ139/AI139)</f>
        <v>0</v>
      </c>
    </row>
    <row r="140" spans="1:37">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f>model_eui_end_uses!G140*base_scenario_arch_measures!$F140</f>
        <v>0</v>
      </c>
      <c r="H140">
        <f>model_eui_end_uses!H140*base_scenario_arch_measures!$F140</f>
        <v>8.7161156488321669</v>
      </c>
      <c r="I140">
        <f>model_eui_end_uses!I140*base_scenario_arch_measures!$F140</f>
        <v>1.0099703967736197E-2</v>
      </c>
      <c r="J140">
        <f>model_eui_end_uses!J140*base_scenario_arch_measures!$F140</f>
        <v>0</v>
      </c>
      <c r="K140">
        <f>model_eui_end_uses!K140*base_scenario_arch_measures!$F140</f>
        <v>0.18351588857431642</v>
      </c>
      <c r="L140">
        <f>model_eui_end_uses!L140*base_scenario_arch_measures!$F140</f>
        <v>1.7967088859899376</v>
      </c>
      <c r="M140">
        <f>model_eui_end_uses!M140*base_scenario_arch_measures!$F140</f>
        <v>0.19994568869084506</v>
      </c>
      <c r="N140">
        <f>model_eui_end_uses!N140*base_scenario_arch_measures!$F140</f>
        <v>0</v>
      </c>
      <c r="O140">
        <f>model_eui_end_uses!O140*base_scenario_arch_measures!$F140</f>
        <v>0.22353063119578392</v>
      </c>
      <c r="P140">
        <f>model_eui_end_uses!P140*base_scenario_arch_measures!$F140</f>
        <v>0.170172899388772</v>
      </c>
      <c r="Q140">
        <f>model_eui_end_uses!Q140*base_scenario_arch_measures!$F140</f>
        <v>0</v>
      </c>
      <c r="R140" s="187">
        <f>model_eui_end_uses!R140*base_building_arch_areas!$N$4</f>
        <v>0</v>
      </c>
      <c r="S140" s="187">
        <f>model_eui_end_uses!S140*base_building_arch_areas!$N$4</f>
        <v>2031254.1542889657</v>
      </c>
      <c r="T140" s="187">
        <f>model_eui_end_uses!T140*base_building_arch_areas!$N$4</f>
        <v>1665.7692397344929</v>
      </c>
      <c r="U140" s="187">
        <f>model_eui_end_uses!U140*base_building_arch_areas!$N$4</f>
        <v>0</v>
      </c>
      <c r="V140" s="187">
        <f>model_eui_end_uses!V140*base_building_arch_areas!$N$4</f>
        <v>42470.531545088328</v>
      </c>
      <c r="W140" s="187">
        <f>model_eui_end_uses!W140*base_building_arch_areas!$N$4</f>
        <v>415806.94735799328</v>
      </c>
      <c r="X140" s="187">
        <f>model_eui_end_uses!X140*base_building_arch_areas!$N$4</f>
        <v>46272.830896656196</v>
      </c>
      <c r="Y140" s="187">
        <f>model_eui_end_uses!Y140*base_building_arch_areas!$N$4</f>
        <v>0</v>
      </c>
      <c r="Z140" s="187">
        <f>model_eui_end_uses!Z140*base_building_arch_areas!$N$4</f>
        <v>51378.775740190184</v>
      </c>
      <c r="AA140" s="187">
        <f>model_eui_end_uses!AA140*base_building_arch_areas!$N$4</f>
        <v>39175.205440396181</v>
      </c>
      <c r="AB140" s="187">
        <f>model_eui_end_uses!AB140*base_building_arch_areas!$N$4</f>
        <v>0</v>
      </c>
      <c r="AC140" s="187">
        <f>model_eui_end_uses!AC140*base_building_arch_areas!$N$4</f>
        <v>2628024.2145090248</v>
      </c>
      <c r="AD140" s="187">
        <f>model_eui_end_uses!AD140*base_building_arch_areas!$N$4</f>
        <v>14109.658026684083</v>
      </c>
      <c r="AE140" s="187">
        <f>model_eui_end_uses!AE140*base_building_arch_areas!$N$4</f>
        <v>-1231.2207424123512</v>
      </c>
      <c r="AF140" s="187">
        <f t="shared" si="26"/>
        <v>12878.437284271731</v>
      </c>
      <c r="AG140" s="187">
        <f>model_eui_end_uses!AH140*base_building_arch_areas!$N$4</f>
        <v>228.57646003228211</v>
      </c>
      <c r="AH140" s="187">
        <f>model_eui_end_uses!AI140*base_building_arch_areas!$N$4</f>
        <v>-139.12794389259568</v>
      </c>
      <c r="AI140" s="187">
        <f t="shared" si="27"/>
        <v>89.448516139686433</v>
      </c>
      <c r="AJ140" s="200">
        <f>sim_annual_output!F140/sim_annual_output!H140*base_building_arch_areas!$N$4</f>
        <v>77262.878202823384</v>
      </c>
      <c r="AK140">
        <f t="shared" si="28"/>
        <v>863.76925562595738</v>
      </c>
    </row>
    <row r="141" spans="1:37">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f>model_eui_end_uses!G141*base_scenario_arch_measures!$F141</f>
        <v>0</v>
      </c>
      <c r="H141">
        <f>model_eui_end_uses!H141*base_scenario_arch_measures!$F141</f>
        <v>7.0879722445572622</v>
      </c>
      <c r="I141">
        <f>model_eui_end_uses!I141*base_scenario_arch_measures!$F141</f>
        <v>1.0099703967736197E-2</v>
      </c>
      <c r="J141">
        <f>model_eui_end_uses!J141*base_scenario_arch_measures!$F141</f>
        <v>0</v>
      </c>
      <c r="K141">
        <f>model_eui_end_uses!K141*base_scenario_arch_measures!$F141</f>
        <v>0.18351588857431642</v>
      </c>
      <c r="L141">
        <f>model_eui_end_uses!L141*base_scenario_arch_measures!$F141</f>
        <v>1.7967088859899376</v>
      </c>
      <c r="M141">
        <f>model_eui_end_uses!M141*base_scenario_arch_measures!$F141</f>
        <v>0.19994568869084506</v>
      </c>
      <c r="N141">
        <f>model_eui_end_uses!N141*base_scenario_arch_measures!$F141</f>
        <v>0</v>
      </c>
      <c r="O141">
        <f>model_eui_end_uses!O141*base_scenario_arch_measures!$F141</f>
        <v>0.22353063119578392</v>
      </c>
      <c r="P141">
        <f>model_eui_end_uses!P141*base_scenario_arch_measures!$F141</f>
        <v>9.2888826632841343E-3</v>
      </c>
      <c r="Q141">
        <f>model_eui_end_uses!Q141*base_scenario_arch_measures!$F141</f>
        <v>0</v>
      </c>
      <c r="R141" s="187">
        <f>model_eui_end_uses!R141*base_building_arch_areas!$N$4</f>
        <v>0</v>
      </c>
      <c r="S141" s="187">
        <f>model_eui_end_uses!S141*base_building_arch_areas!$N$4</f>
        <v>2031254.1542889657</v>
      </c>
      <c r="T141" s="187">
        <f>model_eui_end_uses!T141*base_building_arch_areas!$N$4</f>
        <v>1665.7692397344929</v>
      </c>
      <c r="U141" s="187">
        <f>model_eui_end_uses!U141*base_building_arch_areas!$N$4</f>
        <v>0</v>
      </c>
      <c r="V141" s="187">
        <f>model_eui_end_uses!V141*base_building_arch_areas!$N$4</f>
        <v>42470.531545088328</v>
      </c>
      <c r="W141" s="187">
        <f>model_eui_end_uses!W141*base_building_arch_areas!$N$4</f>
        <v>415806.94735799328</v>
      </c>
      <c r="X141" s="187">
        <f>model_eui_end_uses!X141*base_building_arch_areas!$N$4</f>
        <v>46272.830896656196</v>
      </c>
      <c r="Y141" s="187">
        <f>model_eui_end_uses!Y141*base_building_arch_areas!$N$4</f>
        <v>0</v>
      </c>
      <c r="Z141" s="187">
        <f>model_eui_end_uses!Z141*base_building_arch_areas!$N$4</f>
        <v>51378.775740190184</v>
      </c>
      <c r="AA141" s="187">
        <f>model_eui_end_uses!AA141*base_building_arch_areas!$N$4</f>
        <v>39175.205440396181</v>
      </c>
      <c r="AB141" s="187">
        <f>model_eui_end_uses!AB141*base_building_arch_areas!$N$4</f>
        <v>0</v>
      </c>
      <c r="AC141" s="187">
        <f>model_eui_end_uses!AC141*base_building_arch_areas!$N$4</f>
        <v>2628024.2145090248</v>
      </c>
      <c r="AD141" s="187">
        <f>model_eui_end_uses!AD141*base_building_arch_areas!$N$4</f>
        <v>390906.00164781202</v>
      </c>
      <c r="AE141" s="187">
        <f>model_eui_end_uses!AE141*base_building_arch_areas!$N$4</f>
        <v>36001.684596317071</v>
      </c>
      <c r="AF141" s="187">
        <f t="shared" si="26"/>
        <v>426907.68624412909</v>
      </c>
      <c r="AG141" s="187">
        <f>model_eui_end_uses!AH141*base_building_arch_areas!$N$4</f>
        <v>6332.6772266945545</v>
      </c>
      <c r="AH141" s="187">
        <f>model_eui_end_uses!AI141*base_building_arch_areas!$N$4</f>
        <v>4068.1903593838297</v>
      </c>
      <c r="AI141" s="187">
        <f t="shared" si="27"/>
        <v>10400.867586078384</v>
      </c>
      <c r="AJ141" s="200">
        <f>sim_annual_output!F141/sim_annual_output!H141*base_building_arch_areas!$N$4</f>
        <v>1098.8063134809397</v>
      </c>
      <c r="AK141">
        <f t="shared" si="28"/>
        <v>0.10564564007638148</v>
      </c>
    </row>
    <row r="142" spans="1:37">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f>model_eui_end_uses!G142*base_scenario_arch_measures!$F142</f>
        <v>0</v>
      </c>
      <c r="H142">
        <f>model_eui_end_uses!H142*base_scenario_arch_measures!$F142</f>
        <v>8.7161156488321669</v>
      </c>
      <c r="I142">
        <f>model_eui_end_uses!I142*base_scenario_arch_measures!$F142</f>
        <v>8.6629855159878096E-3</v>
      </c>
      <c r="J142">
        <f>model_eui_end_uses!J142*base_scenario_arch_measures!$F142</f>
        <v>0</v>
      </c>
      <c r="K142">
        <f>model_eui_end_uses!K142*base_scenario_arch_measures!$F142</f>
        <v>0.18351588857431642</v>
      </c>
      <c r="L142">
        <f>model_eui_end_uses!L142*base_scenario_arch_measures!$F142</f>
        <v>1.7967088859899376</v>
      </c>
      <c r="M142">
        <f>model_eui_end_uses!M142*base_scenario_arch_measures!$F142</f>
        <v>0.19994568869084506</v>
      </c>
      <c r="N142">
        <f>model_eui_end_uses!N142*base_scenario_arch_measures!$F142</f>
        <v>0</v>
      </c>
      <c r="O142">
        <f>model_eui_end_uses!O142*base_scenario_arch_measures!$F142</f>
        <v>0.22353063119578392</v>
      </c>
      <c r="P142">
        <f>model_eui_end_uses!P142*base_scenario_arch_measures!$F142</f>
        <v>0.170172899388772</v>
      </c>
      <c r="Q142">
        <f>model_eui_end_uses!Q142*base_scenario_arch_measures!$F142</f>
        <v>0</v>
      </c>
      <c r="R142" s="187">
        <f>model_eui_end_uses!R142*base_building_arch_areas!$N$4</f>
        <v>0</v>
      </c>
      <c r="S142" s="187">
        <f>model_eui_end_uses!S142*base_building_arch_areas!$N$4</f>
        <v>2031254.1542889657</v>
      </c>
      <c r="T142" s="187">
        <f>model_eui_end_uses!T142*base_building_arch_areas!$N$4</f>
        <v>1665.7692397344929</v>
      </c>
      <c r="U142" s="187">
        <f>model_eui_end_uses!U142*base_building_arch_areas!$N$4</f>
        <v>0</v>
      </c>
      <c r="V142" s="187">
        <f>model_eui_end_uses!V142*base_building_arch_areas!$N$4</f>
        <v>42470.531545088328</v>
      </c>
      <c r="W142" s="187">
        <f>model_eui_end_uses!W142*base_building_arch_areas!$N$4</f>
        <v>415806.94735799328</v>
      </c>
      <c r="X142" s="187">
        <f>model_eui_end_uses!X142*base_building_arch_areas!$N$4</f>
        <v>46272.830896656196</v>
      </c>
      <c r="Y142" s="187">
        <f>model_eui_end_uses!Y142*base_building_arch_areas!$N$4</f>
        <v>0</v>
      </c>
      <c r="Z142" s="187">
        <f>model_eui_end_uses!Z142*base_building_arch_areas!$N$4</f>
        <v>51378.775740190184</v>
      </c>
      <c r="AA142" s="187">
        <f>model_eui_end_uses!AA142*base_building_arch_areas!$N$4</f>
        <v>39175.205440396181</v>
      </c>
      <c r="AB142" s="187">
        <f>model_eui_end_uses!AB142*base_building_arch_areas!$N$4</f>
        <v>0</v>
      </c>
      <c r="AC142" s="187">
        <f>model_eui_end_uses!AC142*base_building_arch_areas!$N$4</f>
        <v>2628024.2145090248</v>
      </c>
      <c r="AD142" s="187">
        <f>model_eui_end_uses!AD142*base_building_arch_areas!$N$4</f>
        <v>14109.658026684083</v>
      </c>
      <c r="AE142" s="187">
        <f>model_eui_end_uses!AE142*base_building_arch_areas!$N$4</f>
        <v>-898.72530127956247</v>
      </c>
      <c r="AF142" s="187">
        <f t="shared" si="26"/>
        <v>13210.93272540452</v>
      </c>
      <c r="AG142" s="187">
        <f>model_eui_end_uses!AH142*base_building_arch_areas!$N$4</f>
        <v>228.57646003228211</v>
      </c>
      <c r="AH142" s="187">
        <f>model_eui_end_uses!AI142*base_building_arch_areas!$N$4</f>
        <v>-101.55595904459057</v>
      </c>
      <c r="AI142" s="187">
        <f t="shared" si="27"/>
        <v>127.02050098769155</v>
      </c>
      <c r="AJ142" s="200">
        <f>sim_annual_output!F142/sim_annual_output!H142*base_building_arch_areas!$N$4</f>
        <v>19045.893317042301</v>
      </c>
      <c r="AK142">
        <f t="shared" si="28"/>
        <v>149.94345927582094</v>
      </c>
    </row>
    <row r="143" spans="1:37">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f>model_eui_end_uses!G143*base_scenario_arch_measures!$F143</f>
        <v>0</v>
      </c>
      <c r="H143">
        <f>model_eui_end_uses!H143*base_scenario_arch_measures!$F143</f>
        <v>6.7649381918765288</v>
      </c>
      <c r="I143">
        <f>model_eui_end_uses!I143*base_scenario_arch_measures!$F143</f>
        <v>1.5078431275775168E-2</v>
      </c>
      <c r="J143">
        <f>model_eui_end_uses!J143*base_scenario_arch_measures!$F143</f>
        <v>0</v>
      </c>
      <c r="K143">
        <f>model_eui_end_uses!K143*base_scenario_arch_measures!$F143</f>
        <v>0.18351588857431642</v>
      </c>
      <c r="L143">
        <f>model_eui_end_uses!L143*base_scenario_arch_measures!$F143</f>
        <v>1.7967088859899376</v>
      </c>
      <c r="M143">
        <f>model_eui_end_uses!M143*base_scenario_arch_measures!$F143</f>
        <v>0.19994568869084506</v>
      </c>
      <c r="N143">
        <f>model_eui_end_uses!N143*base_scenario_arch_measures!$F143</f>
        <v>0</v>
      </c>
      <c r="O143">
        <f>model_eui_end_uses!O143*base_scenario_arch_measures!$F143</f>
        <v>0.22353063119578392</v>
      </c>
      <c r="P143">
        <f>model_eui_end_uses!P143*base_scenario_arch_measures!$F143</f>
        <v>0.15902055021876471</v>
      </c>
      <c r="Q143">
        <f>model_eui_end_uses!Q143*base_scenario_arch_measures!$F143</f>
        <v>0</v>
      </c>
      <c r="R143" s="187">
        <f>model_eui_end_uses!R143*base_building_arch_areas!$N$4</f>
        <v>0</v>
      </c>
      <c r="S143" s="187">
        <f>model_eui_end_uses!S143*base_building_arch_areas!$N$4</f>
        <v>2031254.1542889657</v>
      </c>
      <c r="T143" s="187">
        <f>model_eui_end_uses!T143*base_building_arch_areas!$N$4</f>
        <v>1665.7692397344929</v>
      </c>
      <c r="U143" s="187">
        <f>model_eui_end_uses!U143*base_building_arch_areas!$N$4</f>
        <v>0</v>
      </c>
      <c r="V143" s="187">
        <f>model_eui_end_uses!V143*base_building_arch_areas!$N$4</f>
        <v>42470.531545088328</v>
      </c>
      <c r="W143" s="187">
        <f>model_eui_end_uses!W143*base_building_arch_areas!$N$4</f>
        <v>415806.94735799328</v>
      </c>
      <c r="X143" s="187">
        <f>model_eui_end_uses!X143*base_building_arch_areas!$N$4</f>
        <v>46272.830896656196</v>
      </c>
      <c r="Y143" s="187">
        <f>model_eui_end_uses!Y143*base_building_arch_areas!$N$4</f>
        <v>0</v>
      </c>
      <c r="Z143" s="187">
        <f>model_eui_end_uses!Z143*base_building_arch_areas!$N$4</f>
        <v>51378.775740190184</v>
      </c>
      <c r="AA143" s="187">
        <f>model_eui_end_uses!AA143*base_building_arch_areas!$N$4</f>
        <v>39175.205440396181</v>
      </c>
      <c r="AB143" s="187">
        <f>model_eui_end_uses!AB143*base_building_arch_areas!$N$4</f>
        <v>0</v>
      </c>
      <c r="AC143" s="187">
        <f>model_eui_end_uses!AC143*base_building_arch_areas!$N$4</f>
        <v>2628024.2145090248</v>
      </c>
      <c r="AD143" s="187">
        <f>model_eui_end_uses!AD143*base_building_arch_areas!$N$4</f>
        <v>465664.80335755605</v>
      </c>
      <c r="AE143" s="187">
        <f>model_eui_end_uses!AE143*base_building_arch_areas!$N$4</f>
        <v>197.52204423740042</v>
      </c>
      <c r="AF143" s="187">
        <f t="shared" si="26"/>
        <v>465862.32540179347</v>
      </c>
      <c r="AG143" s="187">
        <f>model_eui_end_uses!AH143*base_building_arch_areas!$N$4</f>
        <v>7543.7698143924081</v>
      </c>
      <c r="AH143" s="187">
        <f>model_eui_end_uses!AI143*base_building_arch_areas!$N$4</f>
        <v>22.319990998826249</v>
      </c>
      <c r="AI143" s="187">
        <f t="shared" si="27"/>
        <v>7566.0898053912342</v>
      </c>
      <c r="AJ143" s="200">
        <f>sim_annual_output!F143/sim_annual_output!H143*base_building_arch_areas!$N$4</f>
        <v>75766.806687675809</v>
      </c>
      <c r="AK143">
        <f t="shared" si="28"/>
        <v>10.013997802892586</v>
      </c>
    </row>
    <row r="144" spans="1:37">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f>model_eui_end_uses!G144*base_scenario_arch_measures!$F144</f>
        <v>0</v>
      </c>
      <c r="H144">
        <f>model_eui_end_uses!H144*base_scenario_arch_measures!$F144</f>
        <v>8.4842634305643738</v>
      </c>
      <c r="I144">
        <f>model_eui_end_uses!I144*base_scenario_arch_measures!$F144</f>
        <v>4.3499851737094773E-2</v>
      </c>
      <c r="J144">
        <f>model_eui_end_uses!J144*base_scenario_arch_measures!$F144</f>
        <v>0</v>
      </c>
      <c r="K144">
        <f>model_eui_end_uses!K144*base_scenario_arch_measures!$F144</f>
        <v>0.18351588857431642</v>
      </c>
      <c r="L144">
        <f>model_eui_end_uses!L144*base_scenario_arch_measures!$F144</f>
        <v>1.7967088859899376</v>
      </c>
      <c r="M144">
        <f>model_eui_end_uses!M144*base_scenario_arch_measures!$F144</f>
        <v>0.19994568869084506</v>
      </c>
      <c r="N144">
        <f>model_eui_end_uses!N144*base_scenario_arch_measures!$F144</f>
        <v>0</v>
      </c>
      <c r="O144">
        <f>model_eui_end_uses!O144*base_scenario_arch_measures!$F144</f>
        <v>0.22353063119578392</v>
      </c>
      <c r="P144">
        <f>model_eui_end_uses!P144*base_scenario_arch_measures!$F144</f>
        <v>0.17185144173833947</v>
      </c>
      <c r="Q144">
        <f>model_eui_end_uses!Q144*base_scenario_arch_measures!$F144</f>
        <v>0</v>
      </c>
      <c r="R144" s="187">
        <f>model_eui_end_uses!R144*base_building_arch_areas!$N$4</f>
        <v>0</v>
      </c>
      <c r="S144" s="187">
        <f>model_eui_end_uses!S144*base_building_arch_areas!$N$4</f>
        <v>2031254.1542889657</v>
      </c>
      <c r="T144" s="187">
        <f>model_eui_end_uses!T144*base_building_arch_areas!$N$4</f>
        <v>1665.7692397344929</v>
      </c>
      <c r="U144" s="187">
        <f>model_eui_end_uses!U144*base_building_arch_areas!$N$4</f>
        <v>0</v>
      </c>
      <c r="V144" s="187">
        <f>model_eui_end_uses!V144*base_building_arch_areas!$N$4</f>
        <v>42470.531545088328</v>
      </c>
      <c r="W144" s="187">
        <f>model_eui_end_uses!W144*base_building_arch_areas!$N$4</f>
        <v>415806.94735799328</v>
      </c>
      <c r="X144" s="187">
        <f>model_eui_end_uses!X144*base_building_arch_areas!$N$4</f>
        <v>46272.830896656196</v>
      </c>
      <c r="Y144" s="187">
        <f>model_eui_end_uses!Y144*base_building_arch_areas!$N$4</f>
        <v>0</v>
      </c>
      <c r="Z144" s="187">
        <f>model_eui_end_uses!Z144*base_building_arch_areas!$N$4</f>
        <v>51378.775740190184</v>
      </c>
      <c r="AA144" s="187">
        <f>model_eui_end_uses!AA144*base_building_arch_areas!$N$4</f>
        <v>39175.205440396181</v>
      </c>
      <c r="AB144" s="187">
        <f>model_eui_end_uses!AB144*base_building_arch_areas!$N$4</f>
        <v>0</v>
      </c>
      <c r="AC144" s="187">
        <f>model_eui_end_uses!AC144*base_building_arch_areas!$N$4</f>
        <v>2628024.2145090248</v>
      </c>
      <c r="AD144" s="187">
        <f>model_eui_end_uses!AD144*base_building_arch_areas!$N$4</f>
        <v>67766.521343744287</v>
      </c>
      <c r="AE144" s="187">
        <f>model_eui_end_uses!AE144*base_building_arch_areas!$N$4</f>
        <v>-9349.3767605649846</v>
      </c>
      <c r="AF144" s="187">
        <f t="shared" si="26"/>
        <v>58417.144583179303</v>
      </c>
      <c r="AG144" s="187">
        <f>model_eui_end_uses!AH144*base_building_arch_areas!$N$4</f>
        <v>1097.8176457686575</v>
      </c>
      <c r="AH144" s="187">
        <f>model_eui_end_uses!AI144*base_building_arch_areas!$N$4</f>
        <v>-1056.4795739438432</v>
      </c>
      <c r="AI144" s="187">
        <f t="shared" si="27"/>
        <v>41.338071824814278</v>
      </c>
      <c r="AJ144" s="200">
        <f>sim_annual_output!F144/sim_annual_output!H144*base_building_arch_areas!$N$4</f>
        <v>8316.2204951411622</v>
      </c>
      <c r="AK144">
        <f t="shared" si="28"/>
        <v>201.17581996529236</v>
      </c>
    </row>
    <row r="145" spans="1:37">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f>model_eui_end_uses!G145*base_scenario_arch_measures!$F145</f>
        <v>0</v>
      </c>
      <c r="H145">
        <f>model_eui_end_uses!H145*base_scenario_arch_measures!$F145</f>
        <v>8.7163716976651511</v>
      </c>
      <c r="I145">
        <f>model_eui_end_uses!I145*base_scenario_arch_measures!$F145</f>
        <v>9.6160561720981252E-3</v>
      </c>
      <c r="J145">
        <f>model_eui_end_uses!J145*base_scenario_arch_measures!$F145</f>
        <v>0</v>
      </c>
      <c r="K145">
        <f>model_eui_end_uses!K145*base_scenario_arch_measures!$F145</f>
        <v>0.18351588857431642</v>
      </c>
      <c r="L145">
        <f>model_eui_end_uses!L145*base_scenario_arch_measures!$F145</f>
        <v>1.7967088859899376</v>
      </c>
      <c r="M145">
        <f>model_eui_end_uses!M145*base_scenario_arch_measures!$F145</f>
        <v>0.19994568869084506</v>
      </c>
      <c r="N145">
        <f>model_eui_end_uses!N145*base_scenario_arch_measures!$F145</f>
        <v>0</v>
      </c>
      <c r="O145">
        <f>model_eui_end_uses!O145*base_scenario_arch_measures!$F145</f>
        <v>0.22353063119578392</v>
      </c>
      <c r="P145">
        <f>model_eui_end_uses!P145*base_scenario_arch_measures!$F145</f>
        <v>0.17010177471294288</v>
      </c>
      <c r="Q145">
        <f>model_eui_end_uses!Q145*base_scenario_arch_measures!$F145</f>
        <v>0</v>
      </c>
      <c r="R145" s="187">
        <f>model_eui_end_uses!R145*base_building_arch_areas!$N$4</f>
        <v>0</v>
      </c>
      <c r="S145" s="187">
        <f>model_eui_end_uses!S145*base_building_arch_areas!$N$4</f>
        <v>2031254.1542889657</v>
      </c>
      <c r="T145" s="187">
        <f>model_eui_end_uses!T145*base_building_arch_areas!$N$4</f>
        <v>1665.7692397344929</v>
      </c>
      <c r="U145" s="187">
        <f>model_eui_end_uses!U145*base_building_arch_areas!$N$4</f>
        <v>0</v>
      </c>
      <c r="V145" s="187">
        <f>model_eui_end_uses!V145*base_building_arch_areas!$N$4</f>
        <v>42470.531545088328</v>
      </c>
      <c r="W145" s="187">
        <f>model_eui_end_uses!W145*base_building_arch_areas!$N$4</f>
        <v>415806.94735799328</v>
      </c>
      <c r="X145" s="187">
        <f>model_eui_end_uses!X145*base_building_arch_areas!$N$4</f>
        <v>46272.830896656196</v>
      </c>
      <c r="Y145" s="187">
        <f>model_eui_end_uses!Y145*base_building_arch_areas!$N$4</f>
        <v>0</v>
      </c>
      <c r="Z145" s="187">
        <f>model_eui_end_uses!Z145*base_building_arch_areas!$N$4</f>
        <v>51378.775740190184</v>
      </c>
      <c r="AA145" s="187">
        <f>model_eui_end_uses!AA145*base_building_arch_areas!$N$4</f>
        <v>39175.205440396181</v>
      </c>
      <c r="AB145" s="187">
        <f>model_eui_end_uses!AB145*base_building_arch_areas!$N$4</f>
        <v>0</v>
      </c>
      <c r="AC145" s="187">
        <f>model_eui_end_uses!AC145*base_building_arch_areas!$N$4</f>
        <v>2628024.2145090248</v>
      </c>
      <c r="AD145" s="187">
        <f>model_eui_end_uses!AD145*base_building_arch_areas!$N$4</f>
        <v>14050.401413412801</v>
      </c>
      <c r="AE145" s="187">
        <f>model_eui_end_uses!AE145*base_building_arch_areas!$N$4</f>
        <v>-1102.8314136582164</v>
      </c>
      <c r="AF145" s="187">
        <f t="shared" si="26"/>
        <v>12947.569999754585</v>
      </c>
      <c r="AG145" s="187">
        <f>model_eui_end_uses!AH145*base_building_arch_areas!$N$4</f>
        <v>227.61650289728738</v>
      </c>
      <c r="AH145" s="187">
        <f>model_eui_end_uses!AI145*base_building_arch_areas!$N$4</f>
        <v>-124.61994974337847</v>
      </c>
      <c r="AI145" s="187">
        <f t="shared" si="27"/>
        <v>102.99655315390891</v>
      </c>
      <c r="AJ145" s="200">
        <f>sim_annual_output!F145/sim_annual_output!H145*base_building_arch_areas!$N$4</f>
        <v>3249.3270723481382</v>
      </c>
      <c r="AK145">
        <f t="shared" si="28"/>
        <v>31.547920516258756</v>
      </c>
    </row>
    <row r="146" spans="1:37">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f>model_eui_end_uses!G146*base_scenario_arch_measures!$F146</f>
        <v>0</v>
      </c>
      <c r="H146">
        <f>model_eui_end_uses!H146*base_scenario_arch_measures!$F146</f>
        <v>7.2414308451261897</v>
      </c>
      <c r="I146">
        <f>model_eui_end_uses!I146*base_scenario_arch_measures!$F146</f>
        <v>7.9944135631940041E-3</v>
      </c>
      <c r="J146">
        <f>model_eui_end_uses!J146*base_scenario_arch_measures!$F146</f>
        <v>0</v>
      </c>
      <c r="K146">
        <f>model_eui_end_uses!K146*base_scenario_arch_measures!$F146</f>
        <v>0.18351588857431642</v>
      </c>
      <c r="L146">
        <f>model_eui_end_uses!L146*base_scenario_arch_measures!$F146</f>
        <v>1.257697642686473</v>
      </c>
      <c r="M146">
        <f>model_eui_end_uses!M146*base_scenario_arch_measures!$F146</f>
        <v>0.19994568869084506</v>
      </c>
      <c r="N146">
        <f>model_eui_end_uses!N146*base_scenario_arch_measures!$F146</f>
        <v>0</v>
      </c>
      <c r="O146">
        <f>model_eui_end_uses!O146*base_scenario_arch_measures!$F146</f>
        <v>0.19720027620384067</v>
      </c>
      <c r="P146">
        <f>model_eui_end_uses!P146*base_scenario_arch_measures!$F146</f>
        <v>0.12894903727820936</v>
      </c>
      <c r="Q146">
        <f>model_eui_end_uses!Q146*base_scenario_arch_measures!$F146</f>
        <v>0</v>
      </c>
      <c r="R146" s="187">
        <f>model_eui_end_uses!R146*base_building_arch_areas!$N$4</f>
        <v>0</v>
      </c>
      <c r="S146" s="187">
        <f>model_eui_end_uses!S146*base_building_arch_areas!$N$4</f>
        <v>2031254.1542889657</v>
      </c>
      <c r="T146" s="187">
        <f>model_eui_end_uses!T146*base_building_arch_areas!$N$4</f>
        <v>1665.7692397344929</v>
      </c>
      <c r="U146" s="187">
        <f>model_eui_end_uses!U146*base_building_arch_areas!$N$4</f>
        <v>0</v>
      </c>
      <c r="V146" s="187">
        <f>model_eui_end_uses!V146*base_building_arch_areas!$N$4</f>
        <v>42470.531545088328</v>
      </c>
      <c r="W146" s="187">
        <f>model_eui_end_uses!W146*base_building_arch_areas!$N$4</f>
        <v>415806.94735799328</v>
      </c>
      <c r="X146" s="187">
        <f>model_eui_end_uses!X146*base_building_arch_areas!$N$4</f>
        <v>46272.830896656196</v>
      </c>
      <c r="Y146" s="187">
        <f>model_eui_end_uses!Y146*base_building_arch_areas!$N$4</f>
        <v>0</v>
      </c>
      <c r="Z146" s="187">
        <f>model_eui_end_uses!Z146*base_building_arch_areas!$N$4</f>
        <v>51378.775740190184</v>
      </c>
      <c r="AA146" s="187">
        <f>model_eui_end_uses!AA146*base_building_arch_areas!$N$4</f>
        <v>39175.205440396181</v>
      </c>
      <c r="AB146" s="187">
        <f>model_eui_end_uses!AB146*base_building_arch_areas!$N$4</f>
        <v>0</v>
      </c>
      <c r="AC146" s="187">
        <f>model_eui_end_uses!AC146*base_building_arch_areas!$N$4</f>
        <v>2628024.2145090248</v>
      </c>
      <c r="AD146" s="187">
        <f>model_eui_end_uses!AD146*base_building_arch_areas!$N$4</f>
        <v>355391.53809394693</v>
      </c>
      <c r="AE146" s="187">
        <f>model_eui_end_uses!AE146*base_building_arch_areas!$N$4</f>
        <v>139631.62510541207</v>
      </c>
      <c r="AF146" s="187">
        <f t="shared" si="26"/>
        <v>495023.16319935897</v>
      </c>
      <c r="AG146" s="187">
        <f>model_eui_end_uses!AH146*base_building_arch_areas!$N$4</f>
        <v>5757.3429171219395</v>
      </c>
      <c r="AH146" s="187">
        <f>model_eui_end_uses!AI146*base_building_arch_areas!$N$4</f>
        <v>15778.373636911561</v>
      </c>
      <c r="AI146" s="187">
        <f t="shared" si="27"/>
        <v>21535.716554033501</v>
      </c>
      <c r="AJ146" s="200">
        <f>sim_annual_output!F146/sim_annual_output!H146*base_building_arch_areas!$N$4</f>
        <v>266577.13128871087</v>
      </c>
      <c r="AK146">
        <f t="shared" si="28"/>
        <v>12.378372951736434</v>
      </c>
    </row>
    <row r="147" spans="1:37">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f>model_eui_end_uses!G147*base_scenario_arch_measures!$F147</f>
        <v>0</v>
      </c>
      <c r="H147">
        <f>model_eui_end_uses!H147*base_scenario_arch_measures!$F147</f>
        <v>8.1515279721005474</v>
      </c>
      <c r="I147">
        <f>model_eui_end_uses!I147*base_scenario_arch_measures!$F147</f>
        <v>9.3742322742790887E-3</v>
      </c>
      <c r="J147">
        <f>model_eui_end_uses!J147*base_scenario_arch_measures!$F147</f>
        <v>0</v>
      </c>
      <c r="K147">
        <f>model_eui_end_uses!K147*base_scenario_arch_measures!$F147</f>
        <v>0.18351588857431642</v>
      </c>
      <c r="L147">
        <f>model_eui_end_uses!L147*base_scenario_arch_measures!$F147</f>
        <v>1.7967088859899376</v>
      </c>
      <c r="M147">
        <f>model_eui_end_uses!M147*base_scenario_arch_measures!$F147</f>
        <v>0.19994568869084506</v>
      </c>
      <c r="N147">
        <f>model_eui_end_uses!N147*base_scenario_arch_measures!$F147</f>
        <v>0</v>
      </c>
      <c r="O147">
        <f>model_eui_end_uses!O147*base_scenario_arch_measures!$F147</f>
        <v>0.21367275112586678</v>
      </c>
      <c r="P147">
        <f>model_eui_end_uses!P147*base_scenario_arch_measures!$F147</f>
        <v>0.16020121983752822</v>
      </c>
      <c r="Q147">
        <f>model_eui_end_uses!Q147*base_scenario_arch_measures!$F147</f>
        <v>0</v>
      </c>
      <c r="R147" s="187">
        <f>model_eui_end_uses!R147*base_building_arch_areas!$N$4</f>
        <v>0</v>
      </c>
      <c r="S147" s="187">
        <f>model_eui_end_uses!S147*base_building_arch_areas!$N$4</f>
        <v>2031254.1542889657</v>
      </c>
      <c r="T147" s="187">
        <f>model_eui_end_uses!T147*base_building_arch_areas!$N$4</f>
        <v>1665.7692397344929</v>
      </c>
      <c r="U147" s="187">
        <f>model_eui_end_uses!U147*base_building_arch_areas!$N$4</f>
        <v>0</v>
      </c>
      <c r="V147" s="187">
        <f>model_eui_end_uses!V147*base_building_arch_areas!$N$4</f>
        <v>42470.531545088328</v>
      </c>
      <c r="W147" s="187">
        <f>model_eui_end_uses!W147*base_building_arch_areas!$N$4</f>
        <v>415806.94735799328</v>
      </c>
      <c r="X147" s="187">
        <f>model_eui_end_uses!X147*base_building_arch_areas!$N$4</f>
        <v>46272.830896656196</v>
      </c>
      <c r="Y147" s="187">
        <f>model_eui_end_uses!Y147*base_building_arch_areas!$N$4</f>
        <v>0</v>
      </c>
      <c r="Z147" s="187">
        <f>model_eui_end_uses!Z147*base_building_arch_areas!$N$4</f>
        <v>51378.775740190184</v>
      </c>
      <c r="AA147" s="187">
        <f>model_eui_end_uses!AA147*base_building_arch_areas!$N$4</f>
        <v>39175.205440396181</v>
      </c>
      <c r="AB147" s="187">
        <f>model_eui_end_uses!AB147*base_building_arch_areas!$N$4</f>
        <v>0</v>
      </c>
      <c r="AC147" s="187">
        <f>model_eui_end_uses!AC147*base_building_arch_areas!$N$4</f>
        <v>2628024.2145090248</v>
      </c>
      <c r="AD147" s="187">
        <f>model_eui_end_uses!AD147*base_building_arch_areas!$N$4</f>
        <v>144770.49028965246</v>
      </c>
      <c r="AE147" s="187">
        <f>model_eui_end_uses!AE147*base_building_arch_areas!$N$4</f>
        <v>3525.7684896357073</v>
      </c>
      <c r="AF147" s="187">
        <f t="shared" si="26"/>
        <v>148296.25877928815</v>
      </c>
      <c r="AG147" s="187">
        <f>model_eui_end_uses!AH147*base_building_arch_areas!$N$4</f>
        <v>2345.2819426923697</v>
      </c>
      <c r="AH147" s="187">
        <f>model_eui_end_uses!AI147*base_building_arch_areas!$N$4</f>
        <v>398.41183932883496</v>
      </c>
      <c r="AI147" s="187">
        <f t="shared" si="27"/>
        <v>2743.6937820212047</v>
      </c>
      <c r="AJ147" s="200">
        <f>sim_annual_output!F147/sim_annual_output!H147*base_building_arch_areas!$N$4</f>
        <v>1320439.460194614</v>
      </c>
      <c r="AK147">
        <f t="shared" si="28"/>
        <v>481.26342263380502</v>
      </c>
    </row>
    <row r="148" spans="1:37">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f>model_eui_end_uses!G148*base_scenario_arch_measures!$F148</f>
        <v>0</v>
      </c>
      <c r="H148">
        <f>model_eui_end_uses!H148*base_scenario_arch_measures!$F148</f>
        <v>8.5525004445548394</v>
      </c>
      <c r="I148">
        <f>model_eui_end_uses!I148*base_scenario_arch_measures!$F148</f>
        <v>9.8863299402488121E-3</v>
      </c>
      <c r="J148">
        <f>model_eui_end_uses!J148*base_scenario_arch_measures!$F148</f>
        <v>0</v>
      </c>
      <c r="K148">
        <f>model_eui_end_uses!K148*base_scenario_arch_measures!$F148</f>
        <v>0.18351588857431642</v>
      </c>
      <c r="L148">
        <f>model_eui_end_uses!L148*base_scenario_arch_measures!$F148</f>
        <v>1.7967088859899376</v>
      </c>
      <c r="M148">
        <f>model_eui_end_uses!M148*base_scenario_arch_measures!$F148</f>
        <v>0.19994568869084506</v>
      </c>
      <c r="N148">
        <f>model_eui_end_uses!N148*base_scenario_arch_measures!$F148</f>
        <v>0</v>
      </c>
      <c r="O148">
        <f>model_eui_end_uses!O148*base_scenario_arch_measures!$F148</f>
        <v>0.21715786024149408</v>
      </c>
      <c r="P148">
        <f>model_eui_end_uses!P148*base_scenario_arch_measures!$F148</f>
        <v>0.16375745362898467</v>
      </c>
      <c r="Q148">
        <f>model_eui_end_uses!Q148*base_scenario_arch_measures!$F148</f>
        <v>0</v>
      </c>
      <c r="R148" s="187">
        <f>model_eui_end_uses!R148*base_building_arch_areas!$N$4</f>
        <v>0</v>
      </c>
      <c r="S148" s="187">
        <f>model_eui_end_uses!S148*base_building_arch_areas!$N$4</f>
        <v>2031254.1542889657</v>
      </c>
      <c r="T148" s="187">
        <f>model_eui_end_uses!T148*base_building_arch_areas!$N$4</f>
        <v>1665.7692397344929</v>
      </c>
      <c r="U148" s="187">
        <f>model_eui_end_uses!U148*base_building_arch_areas!$N$4</f>
        <v>0</v>
      </c>
      <c r="V148" s="187">
        <f>model_eui_end_uses!V148*base_building_arch_areas!$N$4</f>
        <v>42470.531545088328</v>
      </c>
      <c r="W148" s="187">
        <f>model_eui_end_uses!W148*base_building_arch_areas!$N$4</f>
        <v>415806.94735799328</v>
      </c>
      <c r="X148" s="187">
        <f>model_eui_end_uses!X148*base_building_arch_areas!$N$4</f>
        <v>46272.830896656196</v>
      </c>
      <c r="Y148" s="187">
        <f>model_eui_end_uses!Y148*base_building_arch_areas!$N$4</f>
        <v>0</v>
      </c>
      <c r="Z148" s="187">
        <f>model_eui_end_uses!Z148*base_building_arch_areas!$N$4</f>
        <v>51378.775740190184</v>
      </c>
      <c r="AA148" s="187">
        <f>model_eui_end_uses!AA148*base_building_arch_areas!$N$4</f>
        <v>39175.205440396181</v>
      </c>
      <c r="AB148" s="187">
        <f>model_eui_end_uses!AB148*base_building_arch_areas!$N$4</f>
        <v>0</v>
      </c>
      <c r="AC148" s="187">
        <f>model_eui_end_uses!AC148*base_building_arch_areas!$N$4</f>
        <v>2628024.2145090248</v>
      </c>
      <c r="AD148" s="187">
        <f>model_eui_end_uses!AD148*base_building_arch_areas!$N$4</f>
        <v>51974.633906973024</v>
      </c>
      <c r="AE148" s="187">
        <f>model_eui_end_uses!AE148*base_building_arch_areas!$N$4</f>
        <v>1777.6983981356741</v>
      </c>
      <c r="AF148" s="187">
        <f t="shared" si="26"/>
        <v>53752.332305108699</v>
      </c>
      <c r="AG148" s="187">
        <f>model_eui_end_uses!AH148*base_building_arch_areas!$N$4</f>
        <v>841.98906929296288</v>
      </c>
      <c r="AH148" s="187">
        <f>model_eui_end_uses!AI148*base_building_arch_areas!$N$4</f>
        <v>200.8799189893312</v>
      </c>
      <c r="AI148" s="187">
        <f t="shared" si="27"/>
        <v>1042.8689882822941</v>
      </c>
      <c r="AJ148" s="200">
        <f>sim_annual_output!F148/sim_annual_output!H148*base_building_arch_areas!$N$4</f>
        <v>1059363.2314867089</v>
      </c>
      <c r="AK148">
        <f t="shared" si="28"/>
        <v>1015.8162179427565</v>
      </c>
    </row>
    <row r="149" spans="1:37">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f>model_eui_end_uses!G149*base_scenario_arch_measures!$F149</f>
        <v>0</v>
      </c>
      <c r="H149">
        <f>model_eui_end_uses!H149*base_scenario_arch_measures!$F149</f>
        <v>8.606484073509149</v>
      </c>
      <c r="I149">
        <f>model_eui_end_uses!I149*base_scenario_arch_measures!$F149</f>
        <v>1.0113928902902022E-2</v>
      </c>
      <c r="J149">
        <f>model_eui_end_uses!J149*base_scenario_arch_measures!$F149</f>
        <v>0</v>
      </c>
      <c r="K149">
        <f>model_eui_end_uses!K149*base_scenario_arch_measures!$F149</f>
        <v>0.18351588857431642</v>
      </c>
      <c r="L149">
        <f>model_eui_end_uses!L149*base_scenario_arch_measures!$F149</f>
        <v>1.7967088859899376</v>
      </c>
      <c r="M149">
        <f>model_eui_end_uses!M149*base_scenario_arch_measures!$F149</f>
        <v>0.19994568869084506</v>
      </c>
      <c r="N149">
        <f>model_eui_end_uses!N149*base_scenario_arch_measures!$F149</f>
        <v>0</v>
      </c>
      <c r="O149">
        <f>model_eui_end_uses!O149*base_scenario_arch_measures!$F149</f>
        <v>0.2188506275262273</v>
      </c>
      <c r="P149">
        <f>model_eui_end_uses!P149*base_scenario_arch_measures!$F149</f>
        <v>0.16515149727523554</v>
      </c>
      <c r="Q149">
        <f>model_eui_end_uses!Q149*base_scenario_arch_measures!$F149</f>
        <v>0</v>
      </c>
      <c r="R149" s="187">
        <f>model_eui_end_uses!R149*base_building_arch_areas!$N$4</f>
        <v>0</v>
      </c>
      <c r="S149" s="187">
        <f>model_eui_end_uses!S149*base_building_arch_areas!$N$4</f>
        <v>2031254.1542889657</v>
      </c>
      <c r="T149" s="187">
        <f>model_eui_end_uses!T149*base_building_arch_areas!$N$4</f>
        <v>1665.7692397344929</v>
      </c>
      <c r="U149" s="187">
        <f>model_eui_end_uses!U149*base_building_arch_areas!$N$4</f>
        <v>0</v>
      </c>
      <c r="V149" s="187">
        <f>model_eui_end_uses!V149*base_building_arch_areas!$N$4</f>
        <v>42470.531545088328</v>
      </c>
      <c r="W149" s="187">
        <f>model_eui_end_uses!W149*base_building_arch_areas!$N$4</f>
        <v>415806.94735799328</v>
      </c>
      <c r="X149" s="187">
        <f>model_eui_end_uses!X149*base_building_arch_areas!$N$4</f>
        <v>46272.830896656196</v>
      </c>
      <c r="Y149" s="187">
        <f>model_eui_end_uses!Y149*base_building_arch_areas!$N$4</f>
        <v>0</v>
      </c>
      <c r="Z149" s="187">
        <f>model_eui_end_uses!Z149*base_building_arch_areas!$N$4</f>
        <v>51378.775740190184</v>
      </c>
      <c r="AA149" s="187">
        <f>model_eui_end_uses!AA149*base_building_arch_areas!$N$4</f>
        <v>39175.205440396181</v>
      </c>
      <c r="AB149" s="187">
        <f>model_eui_end_uses!AB149*base_building_arch_areas!$N$4</f>
        <v>0</v>
      </c>
      <c r="AC149" s="187">
        <f>model_eui_end_uses!AC149*base_building_arch_areas!$N$4</f>
        <v>2628024.2145090248</v>
      </c>
      <c r="AD149" s="187">
        <f>model_eui_end_uses!AD149*base_building_arch_areas!$N$4</f>
        <v>39481.364608964002</v>
      </c>
      <c r="AE149" s="187">
        <f>model_eui_end_uses!AE149*base_building_arch_areas!$N$4</f>
        <v>1010.6544596808731</v>
      </c>
      <c r="AF149" s="187">
        <f t="shared" si="26"/>
        <v>40492.019068644877</v>
      </c>
      <c r="AG149" s="187">
        <f>model_eui_end_uses!AH149*base_building_arch_areas!$N$4</f>
        <v>639.59810666521685</v>
      </c>
      <c r="AH149" s="187">
        <f>model_eui_end_uses!AI149*base_building_arch_areas!$N$4</f>
        <v>114.20395394393866</v>
      </c>
      <c r="AI149" s="187">
        <f t="shared" si="27"/>
        <v>753.80206060915555</v>
      </c>
      <c r="AJ149" s="200">
        <f>sim_annual_output!F149/sim_annual_output!H149*base_building_arch_areas!$N$4</f>
        <v>221790.3403627738</v>
      </c>
      <c r="AK149">
        <f t="shared" si="28"/>
        <v>294.22888574162647</v>
      </c>
    </row>
    <row r="150" spans="1:37">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f>model_eui_end_uses!G150*base_scenario_arch_measures!$F150</f>
        <v>0</v>
      </c>
      <c r="H150">
        <f>model_eui_end_uses!H150*base_scenario_arch_measures!$F150</f>
        <v>8.7160587490915038</v>
      </c>
      <c r="I150">
        <f>model_eui_end_uses!I150*base_scenario_arch_measures!$F150</f>
        <v>1.0128153838067849E-2</v>
      </c>
      <c r="J150">
        <f>model_eui_end_uses!J150*base_scenario_arch_measures!$F150</f>
        <v>0</v>
      </c>
      <c r="K150">
        <f>model_eui_end_uses!K150*base_scenario_arch_measures!$F150</f>
        <v>0.18351588857431642</v>
      </c>
      <c r="L150">
        <f>model_eui_end_uses!L150*base_scenario_arch_measures!$F150</f>
        <v>1.7967088859899376</v>
      </c>
      <c r="M150">
        <f>model_eui_end_uses!M150*base_scenario_arch_measures!$F150</f>
        <v>0.19994568869084506</v>
      </c>
      <c r="N150">
        <f>model_eui_end_uses!N150*base_scenario_arch_measures!$F150</f>
        <v>0</v>
      </c>
      <c r="O150">
        <f>model_eui_end_uses!O150*base_scenario_arch_measures!$F150</f>
        <v>0.19633255515872533</v>
      </c>
      <c r="P150">
        <f>model_eui_end_uses!P150*base_scenario_arch_measures!$F150</f>
        <v>0.170172899388772</v>
      </c>
      <c r="Q150">
        <f>model_eui_end_uses!Q150*base_scenario_arch_measures!$F150</f>
        <v>0</v>
      </c>
      <c r="R150" s="187">
        <f>model_eui_end_uses!R150*base_building_arch_areas!$N$4</f>
        <v>0</v>
      </c>
      <c r="S150" s="187">
        <f>model_eui_end_uses!S150*base_building_arch_areas!$N$4</f>
        <v>2031254.1542889657</v>
      </c>
      <c r="T150" s="187">
        <f>model_eui_end_uses!T150*base_building_arch_areas!$N$4</f>
        <v>1665.7692397344929</v>
      </c>
      <c r="U150" s="187">
        <f>model_eui_end_uses!U150*base_building_arch_areas!$N$4</f>
        <v>0</v>
      </c>
      <c r="V150" s="187">
        <f>model_eui_end_uses!V150*base_building_arch_areas!$N$4</f>
        <v>42470.531545088328</v>
      </c>
      <c r="W150" s="187">
        <f>model_eui_end_uses!W150*base_building_arch_areas!$N$4</f>
        <v>415806.94735799328</v>
      </c>
      <c r="X150" s="187">
        <f>model_eui_end_uses!X150*base_building_arch_areas!$N$4</f>
        <v>46272.830896656196</v>
      </c>
      <c r="Y150" s="187">
        <f>model_eui_end_uses!Y150*base_building_arch_areas!$N$4</f>
        <v>0</v>
      </c>
      <c r="Z150" s="187">
        <f>model_eui_end_uses!Z150*base_building_arch_areas!$N$4</f>
        <v>51378.775740190184</v>
      </c>
      <c r="AA150" s="187">
        <f>model_eui_end_uses!AA150*base_building_arch_areas!$N$4</f>
        <v>39175.205440396181</v>
      </c>
      <c r="AB150" s="187">
        <f>model_eui_end_uses!AB150*base_building_arch_areas!$N$4</f>
        <v>0</v>
      </c>
      <c r="AC150" s="187">
        <f>model_eui_end_uses!AC150*base_building_arch_areas!$N$4</f>
        <v>2628024.2145090248</v>
      </c>
      <c r="AD150" s="187">
        <f>model_eui_end_uses!AD150*base_building_arch_areas!$N$4</f>
        <v>14122.826162966176</v>
      </c>
      <c r="AE150" s="187">
        <f>model_eui_end_uses!AE150*base_building_arch_areas!$N$4</f>
        <v>5056.5643324746825</v>
      </c>
      <c r="AF150" s="187">
        <f t="shared" si="26"/>
        <v>19179.390495440857</v>
      </c>
      <c r="AG150" s="187">
        <f>model_eui_end_uses!AH150*base_building_arch_areas!$N$4</f>
        <v>228.78978384005202</v>
      </c>
      <c r="AH150" s="187">
        <f>model_eui_end_uses!AI150*base_building_arch_areas!$N$4</f>
        <v>571.39176956963911</v>
      </c>
      <c r="AI150" s="187">
        <f t="shared" si="27"/>
        <v>800.18155340969111</v>
      </c>
      <c r="AJ150" s="200">
        <f>sim_annual_output!F150/sim_annual_output!H150*base_building_arch_areas!$N$4</f>
        <v>4327.4612147016287</v>
      </c>
      <c r="AK150">
        <f t="shared" si="28"/>
        <v>5.4080991948160779</v>
      </c>
    </row>
    <row r="151" spans="1:37">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f>model_eui_end_uses!G151*base_scenario_arch_measures!$F151</f>
        <v>0</v>
      </c>
      <c r="H151">
        <f>model_eui_end_uses!H151*base_scenario_arch_measures!$F151</f>
        <v>8.7187899366433417</v>
      </c>
      <c r="I151">
        <f>model_eui_end_uses!I151*base_scenario_arch_measures!$F151</f>
        <v>1.0071254097404546E-2</v>
      </c>
      <c r="J151">
        <f>model_eui_end_uses!J151*base_scenario_arch_measures!$F151</f>
        <v>0</v>
      </c>
      <c r="K151">
        <f>model_eui_end_uses!K151*base_scenario_arch_measures!$F151</f>
        <v>0.18351588857431642</v>
      </c>
      <c r="L151">
        <f>model_eui_end_uses!L151*base_scenario_arch_measures!$F151</f>
        <v>1.7967088859899376</v>
      </c>
      <c r="M151">
        <f>model_eui_end_uses!M151*base_scenario_arch_measures!$F151</f>
        <v>0.19994568869084506</v>
      </c>
      <c r="N151">
        <f>model_eui_end_uses!N151*base_scenario_arch_measures!$F151</f>
        <v>0</v>
      </c>
      <c r="O151">
        <f>model_eui_end_uses!O151*base_scenario_arch_measures!$F151</f>
        <v>0.22163871481872913</v>
      </c>
      <c r="P151">
        <f>model_eui_end_uses!P151*base_scenario_arch_measures!$F151</f>
        <v>0.17022979912943531</v>
      </c>
      <c r="Q151">
        <f>model_eui_end_uses!Q151*base_scenario_arch_measures!$F151</f>
        <v>0</v>
      </c>
      <c r="R151" s="187">
        <f>model_eui_end_uses!R151*base_building_arch_areas!$N$4</f>
        <v>0</v>
      </c>
      <c r="S151" s="187">
        <f>model_eui_end_uses!S151*base_building_arch_areas!$N$4</f>
        <v>2031254.1542889657</v>
      </c>
      <c r="T151" s="187">
        <f>model_eui_end_uses!T151*base_building_arch_areas!$N$4</f>
        <v>1665.7692397344929</v>
      </c>
      <c r="U151" s="187">
        <f>model_eui_end_uses!U151*base_building_arch_areas!$N$4</f>
        <v>0</v>
      </c>
      <c r="V151" s="187">
        <f>model_eui_end_uses!V151*base_building_arch_areas!$N$4</f>
        <v>42470.531545088328</v>
      </c>
      <c r="W151" s="187">
        <f>model_eui_end_uses!W151*base_building_arch_areas!$N$4</f>
        <v>415806.94735799328</v>
      </c>
      <c r="X151" s="187">
        <f>model_eui_end_uses!X151*base_building_arch_areas!$N$4</f>
        <v>46272.830896656196</v>
      </c>
      <c r="Y151" s="187">
        <f>model_eui_end_uses!Y151*base_building_arch_areas!$N$4</f>
        <v>0</v>
      </c>
      <c r="Z151" s="187">
        <f>model_eui_end_uses!Z151*base_building_arch_areas!$N$4</f>
        <v>51378.775740190184</v>
      </c>
      <c r="AA151" s="187">
        <f>model_eui_end_uses!AA151*base_building_arch_areas!$N$4</f>
        <v>39175.205440396181</v>
      </c>
      <c r="AB151" s="187">
        <f>model_eui_end_uses!AB151*base_building_arch_areas!$N$4</f>
        <v>0</v>
      </c>
      <c r="AC151" s="187">
        <f>model_eui_end_uses!AC151*base_building_arch_areas!$N$4</f>
        <v>2628024.2145090248</v>
      </c>
      <c r="AD151" s="187">
        <f>model_eui_end_uses!AD151*base_building_arch_areas!$N$4</f>
        <v>13490.755621407074</v>
      </c>
      <c r="AE151" s="187">
        <f>model_eui_end_uses!AE151*base_building_arch_areas!$N$4</f>
        <v>-799.96427916096559</v>
      </c>
      <c r="AF151" s="187">
        <f t="shared" si="26"/>
        <v>12690.791342246108</v>
      </c>
      <c r="AG151" s="187">
        <f>model_eui_end_uses!AH151*base_building_arch_areas!$N$4</f>
        <v>218.55024106679457</v>
      </c>
      <c r="AH151" s="187">
        <f>model_eui_end_uses!AI151*base_building_arch_areas!$N$4</f>
        <v>-90.395963545189105</v>
      </c>
      <c r="AI151" s="187">
        <f t="shared" si="27"/>
        <v>128.15427752160548</v>
      </c>
      <c r="AJ151" s="200">
        <f>sim_annual_output!F151/sim_annual_output!H151*base_building_arch_areas!$N$4</f>
        <v>2589.1303027887284</v>
      </c>
      <c r="AK151">
        <f t="shared" si="28"/>
        <v>20.203229676451713</v>
      </c>
    </row>
    <row r="152" spans="1:37">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f>model_eui_end_uses!G152*base_scenario_arch_measures!$F152</f>
        <v>0</v>
      </c>
      <c r="H152">
        <f>model_eui_end_uses!H152*base_scenario_arch_measures!$F152</f>
        <v>7.1022540794637514</v>
      </c>
      <c r="I152">
        <f>model_eui_end_uses!I152*base_scenario_arch_measures!$F152</f>
        <v>1.766736947595543E-2</v>
      </c>
      <c r="J152">
        <f>model_eui_end_uses!J152*base_scenario_arch_measures!$F152</f>
        <v>0</v>
      </c>
      <c r="K152">
        <f>model_eui_end_uses!K152*base_scenario_arch_measures!$F152</f>
        <v>0.18351588857431642</v>
      </c>
      <c r="L152">
        <f>model_eui_end_uses!L152*base_scenario_arch_measures!$F152</f>
        <v>1.7967088859899376</v>
      </c>
      <c r="M152">
        <f>model_eui_end_uses!M152*base_scenario_arch_measures!$F152</f>
        <v>0.19994568869084506</v>
      </c>
      <c r="N152">
        <f>model_eui_end_uses!N152*base_scenario_arch_measures!$F152</f>
        <v>0</v>
      </c>
      <c r="O152">
        <f>model_eui_end_uses!O152*base_scenario_arch_measures!$F152</f>
        <v>0.22353063119578392</v>
      </c>
      <c r="P152">
        <f>model_eui_end_uses!P152*base_scenario_arch_measures!$F152</f>
        <v>0.16303198193552751</v>
      </c>
      <c r="Q152">
        <f>model_eui_end_uses!Q152*base_scenario_arch_measures!$F152</f>
        <v>4.4865445513014031E-2</v>
      </c>
      <c r="R152" s="187">
        <f>model_eui_end_uses!R152*base_building_arch_areas!$N$4</f>
        <v>0</v>
      </c>
      <c r="S152" s="187">
        <f>model_eui_end_uses!S152*base_building_arch_areas!$N$4</f>
        <v>2031254.1542889657</v>
      </c>
      <c r="T152" s="187">
        <f>model_eui_end_uses!T152*base_building_arch_areas!$N$4</f>
        <v>1665.7692397344929</v>
      </c>
      <c r="U152" s="187">
        <f>model_eui_end_uses!U152*base_building_arch_areas!$N$4</f>
        <v>0</v>
      </c>
      <c r="V152" s="187">
        <f>model_eui_end_uses!V152*base_building_arch_areas!$N$4</f>
        <v>42470.531545088328</v>
      </c>
      <c r="W152" s="187">
        <f>model_eui_end_uses!W152*base_building_arch_areas!$N$4</f>
        <v>415806.94735799328</v>
      </c>
      <c r="X152" s="187">
        <f>model_eui_end_uses!X152*base_building_arch_areas!$N$4</f>
        <v>46272.830896656196</v>
      </c>
      <c r="Y152" s="187">
        <f>model_eui_end_uses!Y152*base_building_arch_areas!$N$4</f>
        <v>0</v>
      </c>
      <c r="Z152" s="187">
        <f>model_eui_end_uses!Z152*base_building_arch_areas!$N$4</f>
        <v>51378.775740190184</v>
      </c>
      <c r="AA152" s="187">
        <f>model_eui_end_uses!AA152*base_building_arch_areas!$N$4</f>
        <v>39175.205440396181</v>
      </c>
      <c r="AB152" s="187">
        <f>model_eui_end_uses!AB152*base_building_arch_areas!$N$4</f>
        <v>0</v>
      </c>
      <c r="AC152" s="187">
        <f>model_eui_end_uses!AC152*base_building_arch_areas!$N$4</f>
        <v>2628024.2145090248</v>
      </c>
      <c r="AD152" s="187">
        <f>model_eui_end_uses!AD152*base_building_arch_areas!$N$4</f>
        <v>387600.7994409079</v>
      </c>
      <c r="AE152" s="187">
        <f>model_eui_end_uses!AE152*base_building_arch_areas!$N$4</f>
        <v>-11713.057223271398</v>
      </c>
      <c r="AF152" s="187">
        <f t="shared" si="26"/>
        <v>375887.74221763649</v>
      </c>
      <c r="AG152" s="187">
        <f>model_eui_end_uses!AH152*base_building_arch_areas!$N$4</f>
        <v>6279.1329509427078</v>
      </c>
      <c r="AH152" s="187">
        <f>model_eui_end_uses!AI152*base_building_arch_areas!$N$4</f>
        <v>-1323.5754662296683</v>
      </c>
      <c r="AI152" s="187">
        <f t="shared" si="27"/>
        <v>4955.5574847130392</v>
      </c>
      <c r="AJ152" s="200">
        <f>sim_annual_output!F152/sim_annual_output!H152*base_building_arch_areas!$N$4</f>
        <v>214781.88304132575</v>
      </c>
      <c r="AK152">
        <f t="shared" si="28"/>
        <v>43.341618718759165</v>
      </c>
    </row>
    <row r="153" spans="1:37">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f>model_eui_end_uses!G153*base_scenario_arch_measures!$F153</f>
        <v>0</v>
      </c>
      <c r="H153">
        <f>model_eui_end_uses!H153*base_scenario_arch_measures!$F153</f>
        <v>6.957771412984461</v>
      </c>
      <c r="I153">
        <f>model_eui_end_uses!I153*base_scenario_arch_measures!$F153</f>
        <v>1.149374761398711E-2</v>
      </c>
      <c r="J153">
        <f>model_eui_end_uses!J153*base_scenario_arch_measures!$F153</f>
        <v>0</v>
      </c>
      <c r="K153">
        <f>model_eui_end_uses!K153*base_scenario_arch_measures!$F153</f>
        <v>0.18351588857431642</v>
      </c>
      <c r="L153">
        <f>model_eui_end_uses!L153*base_scenario_arch_measures!$F153</f>
        <v>1.7967088859899376</v>
      </c>
      <c r="M153">
        <f>model_eui_end_uses!M153*base_scenario_arch_measures!$F153</f>
        <v>0.19994568869084506</v>
      </c>
      <c r="N153">
        <f>model_eui_end_uses!N153*base_scenario_arch_measures!$F153</f>
        <v>0</v>
      </c>
      <c r="O153">
        <f>model_eui_end_uses!O153*base_scenario_arch_measures!$F153</f>
        <v>0.19439796397617304</v>
      </c>
      <c r="P153">
        <f>model_eui_end_uses!P153*base_scenario_arch_measures!$F153</f>
        <v>0.13802454591400609</v>
      </c>
      <c r="Q153">
        <f>model_eui_end_uses!Q153*base_scenario_arch_measures!$F153</f>
        <v>0</v>
      </c>
      <c r="R153" s="187">
        <f>model_eui_end_uses!R153*base_building_arch_areas!$N$4</f>
        <v>0</v>
      </c>
      <c r="S153" s="187">
        <f>model_eui_end_uses!S153*base_building_arch_areas!$N$4</f>
        <v>2031254.1542889657</v>
      </c>
      <c r="T153" s="187">
        <f>model_eui_end_uses!T153*base_building_arch_areas!$N$4</f>
        <v>1665.7692397344929</v>
      </c>
      <c r="U153" s="187">
        <f>model_eui_end_uses!U153*base_building_arch_areas!$N$4</f>
        <v>0</v>
      </c>
      <c r="V153" s="187">
        <f>model_eui_end_uses!V153*base_building_arch_areas!$N$4</f>
        <v>42470.531545088328</v>
      </c>
      <c r="W153" s="187">
        <f>model_eui_end_uses!W153*base_building_arch_areas!$N$4</f>
        <v>415806.94735799328</v>
      </c>
      <c r="X153" s="187">
        <f>model_eui_end_uses!X153*base_building_arch_areas!$N$4</f>
        <v>46272.830896656196</v>
      </c>
      <c r="Y153" s="187">
        <f>model_eui_end_uses!Y153*base_building_arch_areas!$N$4</f>
        <v>0</v>
      </c>
      <c r="Z153" s="187">
        <f>model_eui_end_uses!Z153*base_building_arch_areas!$N$4</f>
        <v>51378.775740190184</v>
      </c>
      <c r="AA153" s="187">
        <f>model_eui_end_uses!AA153*base_building_arch_areas!$N$4</f>
        <v>39175.205440396181</v>
      </c>
      <c r="AB153" s="187">
        <f>model_eui_end_uses!AB153*base_building_arch_areas!$N$4</f>
        <v>0</v>
      </c>
      <c r="AC153" s="187">
        <f>model_eui_end_uses!AC153*base_building_arch_areas!$N$4</f>
        <v>2628024.2145090248</v>
      </c>
      <c r="AD153" s="187">
        <f>model_eui_end_uses!AD153*base_building_arch_areas!$N$4</f>
        <v>421037.98949621065</v>
      </c>
      <c r="AE153" s="187">
        <f>model_eui_end_uses!AE153*base_building_arch_areas!$N$4</f>
        <v>12628.242694904198</v>
      </c>
      <c r="AF153" s="187">
        <f t="shared" si="26"/>
        <v>433666.23219111486</v>
      </c>
      <c r="AG153" s="187">
        <f>model_eui_end_uses!AH153*base_building_arch_areas!$N$4</f>
        <v>6820.8154298386125</v>
      </c>
      <c r="AH153" s="187">
        <f>model_eui_end_uses!AI153*base_building_arch_areas!$N$4</f>
        <v>1426.9914245241746</v>
      </c>
      <c r="AI153" s="187">
        <f t="shared" si="27"/>
        <v>8247.8068543627869</v>
      </c>
      <c r="AJ153" s="200">
        <f>sim_annual_output!F153/sim_annual_output!H153*base_building_arch_areas!$N$4</f>
        <v>101985.34025051534</v>
      </c>
      <c r="AK153">
        <f t="shared" si="28"/>
        <v>12.365146523353518</v>
      </c>
    </row>
    <row r="154" spans="1:37">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f>model_eui_end_uses!G154*base_scenario_arch_measures!$F154</f>
        <v>0</v>
      </c>
      <c r="H154">
        <f>model_eui_end_uses!H154*base_scenario_arch_measures!$F154</f>
        <v>5.9204606908221242</v>
      </c>
      <c r="I154">
        <f>model_eui_end_uses!I154*base_scenario_arch_measures!$F154</f>
        <v>6.9986681015862095E-3</v>
      </c>
      <c r="J154">
        <f>model_eui_end_uses!J154*base_scenario_arch_measures!$F154</f>
        <v>0</v>
      </c>
      <c r="K154">
        <f>model_eui_end_uses!K154*base_scenario_arch_measures!$F154</f>
        <v>0.18351588857431642</v>
      </c>
      <c r="L154">
        <f>model_eui_end_uses!L154*base_scenario_arch_measures!$F154</f>
        <v>1.7967088859899376</v>
      </c>
      <c r="M154">
        <f>model_eui_end_uses!M154*base_scenario_arch_measures!$F154</f>
        <v>0.19994568869084506</v>
      </c>
      <c r="N154">
        <f>model_eui_end_uses!N154*base_scenario_arch_measures!$F154</f>
        <v>0</v>
      </c>
      <c r="O154">
        <f>model_eui_end_uses!O154*base_scenario_arch_measures!$F154</f>
        <v>0.16527952169172799</v>
      </c>
      <c r="P154">
        <f>model_eui_end_uses!P154*base_scenario_arch_measures!$F154</f>
        <v>0.10714221166899864</v>
      </c>
      <c r="Q154">
        <f>model_eui_end_uses!Q154*base_scenario_arch_measures!$F154</f>
        <v>0</v>
      </c>
      <c r="R154" s="187">
        <f>model_eui_end_uses!R154*base_building_arch_areas!$N$4</f>
        <v>0</v>
      </c>
      <c r="S154" s="187">
        <f>model_eui_end_uses!S154*base_building_arch_areas!$N$4</f>
        <v>2031254.1542889657</v>
      </c>
      <c r="T154" s="187">
        <f>model_eui_end_uses!T154*base_building_arch_areas!$N$4</f>
        <v>1665.7692397344929</v>
      </c>
      <c r="U154" s="187">
        <f>model_eui_end_uses!U154*base_building_arch_areas!$N$4</f>
        <v>0</v>
      </c>
      <c r="V154" s="187">
        <f>model_eui_end_uses!V154*base_building_arch_areas!$N$4</f>
        <v>42470.531545088328</v>
      </c>
      <c r="W154" s="187">
        <f>model_eui_end_uses!W154*base_building_arch_areas!$N$4</f>
        <v>415806.94735799328</v>
      </c>
      <c r="X154" s="187">
        <f>model_eui_end_uses!X154*base_building_arch_areas!$N$4</f>
        <v>46272.830896656196</v>
      </c>
      <c r="Y154" s="187">
        <f>model_eui_end_uses!Y154*base_building_arch_areas!$N$4</f>
        <v>0</v>
      </c>
      <c r="Z154" s="187">
        <f>model_eui_end_uses!Z154*base_building_arch_areas!$N$4</f>
        <v>51378.775740190184</v>
      </c>
      <c r="AA154" s="187">
        <f>model_eui_end_uses!AA154*base_building_arch_areas!$N$4</f>
        <v>39175.205440396181</v>
      </c>
      <c r="AB154" s="187">
        <f>model_eui_end_uses!AB154*base_building_arch_areas!$N$4</f>
        <v>0</v>
      </c>
      <c r="AC154" s="187">
        <f>model_eui_end_uses!AC154*base_building_arch_areas!$N$4</f>
        <v>2628024.2145090248</v>
      </c>
      <c r="AD154" s="187">
        <f>model_eui_end_uses!AD154*base_building_arch_areas!$N$4</f>
        <v>661099.69799407374</v>
      </c>
      <c r="AE154" s="187">
        <f>model_eui_end_uses!AE154*base_building_arch_areas!$N$4</f>
        <v>27554.325171102173</v>
      </c>
      <c r="AF154" s="187">
        <f t="shared" si="26"/>
        <v>688654.02316517592</v>
      </c>
      <c r="AG154" s="187">
        <f>model_eui_end_uses!AH154*base_building_arch_areas!$N$4</f>
        <v>10709.815107503995</v>
      </c>
      <c r="AH154" s="187">
        <f>model_eui_end_uses!AI154*base_building_arch_areas!$N$4</f>
        <v>3113.6387443345457</v>
      </c>
      <c r="AI154" s="187">
        <f t="shared" si="27"/>
        <v>13823.453851838542</v>
      </c>
      <c r="AJ154" s="200">
        <f>sim_annual_output!F154/sim_annual_output!H154*base_building_arch_areas!$N$4</f>
        <v>145372.51402498648</v>
      </c>
      <c r="AK154">
        <f t="shared" si="28"/>
        <v>10.516367008065188</v>
      </c>
    </row>
    <row r="155" spans="1:37">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f>model_eui_end_uses!G155*base_scenario_arch_measures!$F155</f>
        <v>0</v>
      </c>
      <c r="H155">
        <f>model_eui_end_uses!H155*base_scenario_arch_measures!$F155</f>
        <v>9.1960080615864594</v>
      </c>
      <c r="I155">
        <f>model_eui_end_uses!I155*base_scenario_arch_measures!$F155</f>
        <v>5.1778764003605291E-3</v>
      </c>
      <c r="J155">
        <f>model_eui_end_uses!J155*base_scenario_arch_measures!$F155</f>
        <v>0</v>
      </c>
      <c r="K155">
        <f>model_eui_end_uses!K155*base_scenario_arch_measures!$F155</f>
        <v>0.18351588857431642</v>
      </c>
      <c r="L155">
        <f>model_eui_end_uses!L155*base_scenario_arch_measures!$F155</f>
        <v>1.257697642686473</v>
      </c>
      <c r="M155">
        <f>model_eui_end_uses!M155*base_scenario_arch_measures!$F155</f>
        <v>0.19994568869084506</v>
      </c>
      <c r="N155">
        <f>model_eui_end_uses!N155*base_scenario_arch_measures!$F155</f>
        <v>0</v>
      </c>
      <c r="O155">
        <f>model_eui_end_uses!O155*base_scenario_arch_measures!$F155</f>
        <v>0.22424187795407521</v>
      </c>
      <c r="P155">
        <f>model_eui_end_uses!P155*base_scenario_arch_measures!$F155</f>
        <v>0.17505205215065017</v>
      </c>
      <c r="Q155">
        <f>model_eui_end_uses!Q155*base_scenario_arch_measures!$F155</f>
        <v>0</v>
      </c>
      <c r="R155" s="187">
        <f>model_eui_end_uses!R155*base_building_arch_areas!$N$4</f>
        <v>0</v>
      </c>
      <c r="S155" s="187">
        <f>model_eui_end_uses!S155*base_building_arch_areas!$N$4</f>
        <v>2031254.1542889657</v>
      </c>
      <c r="T155" s="187">
        <f>model_eui_end_uses!T155*base_building_arch_areas!$N$4</f>
        <v>1665.7692397344929</v>
      </c>
      <c r="U155" s="187">
        <f>model_eui_end_uses!U155*base_building_arch_areas!$N$4</f>
        <v>0</v>
      </c>
      <c r="V155" s="187">
        <f>model_eui_end_uses!V155*base_building_arch_areas!$N$4</f>
        <v>42470.531545088328</v>
      </c>
      <c r="W155" s="187">
        <f>model_eui_end_uses!W155*base_building_arch_areas!$N$4</f>
        <v>415806.94735799328</v>
      </c>
      <c r="X155" s="187">
        <f>model_eui_end_uses!X155*base_building_arch_areas!$N$4</f>
        <v>46272.830896656196</v>
      </c>
      <c r="Y155" s="187">
        <f>model_eui_end_uses!Y155*base_building_arch_areas!$N$4</f>
        <v>0</v>
      </c>
      <c r="Z155" s="187">
        <f>model_eui_end_uses!Z155*base_building_arch_areas!$N$4</f>
        <v>51378.775740190184</v>
      </c>
      <c r="AA155" s="187">
        <f>model_eui_end_uses!AA155*base_building_arch_areas!$N$4</f>
        <v>39175.205440396181</v>
      </c>
      <c r="AB155" s="187">
        <f>model_eui_end_uses!AB155*base_building_arch_areas!$N$4</f>
        <v>0</v>
      </c>
      <c r="AC155" s="187">
        <f>model_eui_end_uses!AC155*base_building_arch_areas!$N$4</f>
        <v>2628024.2145090248</v>
      </c>
      <c r="AD155" s="187">
        <f>model_eui_end_uses!AD155*base_building_arch_areas!$N$4</f>
        <v>-96950.403379803829</v>
      </c>
      <c r="AE155" s="187">
        <f>model_eui_end_uses!AE155*base_building_arch_areas!$N$4</f>
        <v>123355.80866025922</v>
      </c>
      <c r="AF155" s="187">
        <f t="shared" si="26"/>
        <v>26405.405280455394</v>
      </c>
      <c r="AG155" s="187">
        <f>model_eui_end_uses!AH155*base_building_arch_areas!$N$4</f>
        <v>-1570.596534752822</v>
      </c>
      <c r="AH155" s="187">
        <f>model_eui_end_uses!AI155*base_building_arch_areas!$N$4</f>
        <v>13939.206378609293</v>
      </c>
      <c r="AI155" s="187">
        <f t="shared" si="27"/>
        <v>12368.609843856471</v>
      </c>
      <c r="AJ155" s="200">
        <f>sim_annual_output!F155/sim_annual_output!H155*base_building_arch_areas!$N$4</f>
        <v>153525.69873570942</v>
      </c>
      <c r="AK155">
        <f t="shared" si="28"/>
        <v>12.412526603542769</v>
      </c>
    </row>
    <row r="156" spans="1:37">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f>model_eui_end_uses!G156*base_scenario_arch_measures!$F156</f>
        <v>0</v>
      </c>
      <c r="H156">
        <f>model_eui_end_uses!H156*base_scenario_arch_measures!$F156</f>
        <v>4.8386116966555877</v>
      </c>
      <c r="I156">
        <f>model_eui_end_uses!I156*base_scenario_arch_measures!$F156</f>
        <v>6.9986681015862095E-3</v>
      </c>
      <c r="J156">
        <f>model_eui_end_uses!J156*base_scenario_arch_measures!$F156</f>
        <v>0</v>
      </c>
      <c r="K156">
        <f>model_eui_end_uses!K156*base_scenario_arch_measures!$F156</f>
        <v>0.18351588857431642</v>
      </c>
      <c r="L156">
        <f>model_eui_end_uses!L156*base_scenario_arch_measures!$F156</f>
        <v>1.7967088859899376</v>
      </c>
      <c r="M156">
        <f>model_eui_end_uses!M156*base_scenario_arch_measures!$F156</f>
        <v>0.19994568869084506</v>
      </c>
      <c r="N156">
        <f>model_eui_end_uses!N156*base_scenario_arch_measures!$F156</f>
        <v>0</v>
      </c>
      <c r="O156">
        <f>model_eui_end_uses!O156*base_scenario_arch_measures!$F156</f>
        <v>0.16527952169172799</v>
      </c>
      <c r="P156">
        <f>model_eui_end_uses!P156*base_scenario_arch_measures!$F156</f>
        <v>8.2362374610130407E-3</v>
      </c>
      <c r="Q156">
        <f>model_eui_end_uses!Q156*base_scenario_arch_measures!$F156</f>
        <v>0</v>
      </c>
      <c r="R156" s="187">
        <f>model_eui_end_uses!R156*base_building_arch_areas!$N$4</f>
        <v>0</v>
      </c>
      <c r="S156" s="187">
        <f>model_eui_end_uses!S156*base_building_arch_areas!$N$4</f>
        <v>2031254.1542889657</v>
      </c>
      <c r="T156" s="187">
        <f>model_eui_end_uses!T156*base_building_arch_areas!$N$4</f>
        <v>1665.7692397344929</v>
      </c>
      <c r="U156" s="187">
        <f>model_eui_end_uses!U156*base_building_arch_areas!$N$4</f>
        <v>0</v>
      </c>
      <c r="V156" s="187">
        <f>model_eui_end_uses!V156*base_building_arch_areas!$N$4</f>
        <v>42470.531545088328</v>
      </c>
      <c r="W156" s="187">
        <f>model_eui_end_uses!W156*base_building_arch_areas!$N$4</f>
        <v>415806.94735799328</v>
      </c>
      <c r="X156" s="187">
        <f>model_eui_end_uses!X156*base_building_arch_areas!$N$4</f>
        <v>46272.830896656196</v>
      </c>
      <c r="Y156" s="187">
        <f>model_eui_end_uses!Y156*base_building_arch_areas!$N$4</f>
        <v>0</v>
      </c>
      <c r="Z156" s="187">
        <f>model_eui_end_uses!Z156*base_building_arch_areas!$N$4</f>
        <v>51378.775740190184</v>
      </c>
      <c r="AA156" s="187">
        <f>model_eui_end_uses!AA156*base_building_arch_areas!$N$4</f>
        <v>39175.205440396181</v>
      </c>
      <c r="AB156" s="187">
        <f>model_eui_end_uses!AB156*base_building_arch_areas!$N$4</f>
        <v>0</v>
      </c>
      <c r="AC156" s="187">
        <f>model_eui_end_uses!AC156*base_building_arch_areas!$N$4</f>
        <v>2628024.2145090248</v>
      </c>
      <c r="AD156" s="187">
        <f>model_eui_end_uses!AD156*base_building_arch_areas!$N$4</f>
        <v>911468.76516705297</v>
      </c>
      <c r="AE156" s="187">
        <f>model_eui_end_uses!AE156*base_building_arch_areas!$N$4</f>
        <v>50443.838064133633</v>
      </c>
      <c r="AF156" s="187">
        <f t="shared" si="26"/>
        <v>961912.60323118663</v>
      </c>
      <c r="AG156" s="187">
        <f>model_eui_end_uses!AH156*base_building_arch_areas!$N$4</f>
        <v>14765.793995706255</v>
      </c>
      <c r="AH156" s="187">
        <f>model_eui_end_uses!AI156*base_building_arch_areas!$N$4</f>
        <v>5700.1537012471008</v>
      </c>
      <c r="AI156" s="187">
        <f t="shared" si="27"/>
        <v>20465.947696953357</v>
      </c>
      <c r="AJ156" s="200">
        <f>sim_annual_output!F156/sim_annual_output!H156*base_building_arch_areas!$N$4</f>
        <v>146471.3203384674</v>
      </c>
      <c r="AK156">
        <f t="shared" si="28"/>
        <v>7.1568305805976289</v>
      </c>
    </row>
    <row r="157" spans="1:37">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f>model_eui_end_uses!G157*base_scenario_arch_measures!$F157</f>
        <v>0</v>
      </c>
      <c r="H157">
        <f>model_eui_end_uses!H157*base_scenario_arch_measures!$F157</f>
        <v>7.5448771620835826</v>
      </c>
      <c r="I157">
        <f>model_eui_end_uses!I157*base_scenario_arch_measures!$F157</f>
        <v>6.0455974454758921E-3</v>
      </c>
      <c r="J157">
        <f>model_eui_end_uses!J157*base_scenario_arch_measures!$F157</f>
        <v>0</v>
      </c>
      <c r="K157">
        <f>model_eui_end_uses!K157*base_scenario_arch_measures!$F157</f>
        <v>0.18351588857431642</v>
      </c>
      <c r="L157">
        <f>model_eui_end_uses!L157*base_scenario_arch_measures!$F157</f>
        <v>1.7967088859899376</v>
      </c>
      <c r="M157">
        <f>model_eui_end_uses!M157*base_scenario_arch_measures!$F157</f>
        <v>0.19994568869084506</v>
      </c>
      <c r="N157">
        <f>model_eui_end_uses!N157*base_scenario_arch_measures!$F157</f>
        <v>0</v>
      </c>
      <c r="O157">
        <f>model_eui_end_uses!O157*base_scenario_arch_measures!$F157</f>
        <v>0.19197972499798269</v>
      </c>
      <c r="P157">
        <f>model_eui_end_uses!P157*base_scenario_arch_measures!$F157</f>
        <v>0.13498040978851938</v>
      </c>
      <c r="Q157">
        <f>model_eui_end_uses!Q157*base_scenario_arch_measures!$F157</f>
        <v>0</v>
      </c>
      <c r="R157" s="187">
        <f>model_eui_end_uses!R157*base_building_arch_areas!$N$4</f>
        <v>0</v>
      </c>
      <c r="S157" s="187">
        <f>model_eui_end_uses!S157*base_building_arch_areas!$N$4</f>
        <v>2031254.1542889657</v>
      </c>
      <c r="T157" s="187">
        <f>model_eui_end_uses!T157*base_building_arch_areas!$N$4</f>
        <v>1665.7692397344929</v>
      </c>
      <c r="U157" s="187">
        <f>model_eui_end_uses!U157*base_building_arch_areas!$N$4</f>
        <v>0</v>
      </c>
      <c r="V157" s="187">
        <f>model_eui_end_uses!V157*base_building_arch_areas!$N$4</f>
        <v>42470.531545088328</v>
      </c>
      <c r="W157" s="187">
        <f>model_eui_end_uses!W157*base_building_arch_areas!$N$4</f>
        <v>415806.94735799328</v>
      </c>
      <c r="X157" s="187">
        <f>model_eui_end_uses!X157*base_building_arch_areas!$N$4</f>
        <v>46272.830896656196</v>
      </c>
      <c r="Y157" s="187">
        <f>model_eui_end_uses!Y157*base_building_arch_areas!$N$4</f>
        <v>0</v>
      </c>
      <c r="Z157" s="187">
        <f>model_eui_end_uses!Z157*base_building_arch_areas!$N$4</f>
        <v>51378.775740190184</v>
      </c>
      <c r="AA157" s="187">
        <f>model_eui_end_uses!AA157*base_building_arch_areas!$N$4</f>
        <v>39175.205440396181</v>
      </c>
      <c r="AB157" s="187">
        <f>model_eui_end_uses!AB157*base_building_arch_areas!$N$4</f>
        <v>0</v>
      </c>
      <c r="AC157" s="187">
        <f>model_eui_end_uses!AC157*base_building_arch_areas!$N$4</f>
        <v>2628024.2145090248</v>
      </c>
      <c r="AD157" s="187">
        <f>model_eui_end_uses!AD157*base_building_arch_areas!$N$4</f>
        <v>285165.86729944835</v>
      </c>
      <c r="AE157" s="187">
        <f>model_eui_end_uses!AE157*base_building_arch_areas!$N$4</f>
        <v>15153.232827070913</v>
      </c>
      <c r="AF157" s="187">
        <f t="shared" si="26"/>
        <v>300319.10012651928</v>
      </c>
      <c r="AG157" s="187">
        <f>model_eui_end_uses!AH157*base_building_arch_areas!$N$4</f>
        <v>4619.6870502510628</v>
      </c>
      <c r="AH157" s="187">
        <f>model_eui_end_uses!AI157*base_building_arch_areas!$N$4</f>
        <v>1712.3153094590132</v>
      </c>
      <c r="AI157" s="187">
        <f t="shared" si="27"/>
        <v>6332.0023597100762</v>
      </c>
      <c r="AJ157" s="200">
        <f>sim_annual_output!F157/sim_annual_output!H157*base_building_arch_areas!$N$4</f>
        <v>43387.173774471121</v>
      </c>
      <c r="AK157">
        <f t="shared" si="28"/>
        <v>6.8520463685452091</v>
      </c>
    </row>
    <row r="158" spans="1:37">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f>model_eui_end_uses!G158*base_scenario_arch_measures!$F158</f>
        <v>0</v>
      </c>
      <c r="H158">
        <f>model_eui_end_uses!H158*base_scenario_arch_measures!$F158</f>
        <v>3.9379457016961719</v>
      </c>
      <c r="I158">
        <f>model_eui_end_uses!I158*base_scenario_arch_measures!$F158</f>
        <v>4.3073103682120008E-2</v>
      </c>
      <c r="J158">
        <f>model_eui_end_uses!J158*base_scenario_arch_measures!$F158</f>
        <v>0</v>
      </c>
      <c r="K158">
        <f>model_eui_end_uses!K158*base_scenario_arch_measures!$F158</f>
        <v>0.18351588857431642</v>
      </c>
      <c r="L158">
        <f>model_eui_end_uses!L158*base_scenario_arch_measures!$F158</f>
        <v>1.257697642686473</v>
      </c>
      <c r="M158">
        <f>model_eui_end_uses!M158*base_scenario_arch_measures!$F158</f>
        <v>0.19994568869084506</v>
      </c>
      <c r="N158">
        <f>model_eui_end_uses!N158*base_scenario_arch_measures!$F158</f>
        <v>0</v>
      </c>
      <c r="O158">
        <f>model_eui_end_uses!O158*base_scenario_arch_measures!$F158</f>
        <v>0.13890649189428728</v>
      </c>
      <c r="P158">
        <f>model_eui_end_uses!P158*base_scenario_arch_measures!$F158</f>
        <v>2.9872363848233822E-3</v>
      </c>
      <c r="Q158">
        <f>model_eui_end_uses!Q158*base_scenario_arch_measures!$F158</f>
        <v>0</v>
      </c>
      <c r="R158" s="187">
        <f>model_eui_end_uses!R158*base_building_arch_areas!$N$4</f>
        <v>0</v>
      </c>
      <c r="S158" s="187">
        <f>model_eui_end_uses!S158*base_building_arch_areas!$N$4</f>
        <v>2031254.1542889657</v>
      </c>
      <c r="T158" s="187">
        <f>model_eui_end_uses!T158*base_building_arch_areas!$N$4</f>
        <v>1665.7692397344929</v>
      </c>
      <c r="U158" s="187">
        <f>model_eui_end_uses!U158*base_building_arch_areas!$N$4</f>
        <v>0</v>
      </c>
      <c r="V158" s="187">
        <f>model_eui_end_uses!V158*base_building_arch_areas!$N$4</f>
        <v>42470.531545088328</v>
      </c>
      <c r="W158" s="187">
        <f>model_eui_end_uses!W158*base_building_arch_areas!$N$4</f>
        <v>415806.94735799328</v>
      </c>
      <c r="X158" s="187">
        <f>model_eui_end_uses!X158*base_building_arch_areas!$N$4</f>
        <v>46272.830896656196</v>
      </c>
      <c r="Y158" s="187">
        <f>model_eui_end_uses!Y158*base_building_arch_areas!$N$4</f>
        <v>0</v>
      </c>
      <c r="Z158" s="187">
        <f>model_eui_end_uses!Z158*base_building_arch_areas!$N$4</f>
        <v>51378.775740190184</v>
      </c>
      <c r="AA158" s="187">
        <f>model_eui_end_uses!AA158*base_building_arch_areas!$N$4</f>
        <v>39175.205440396181</v>
      </c>
      <c r="AB158" s="187">
        <f>model_eui_end_uses!AB158*base_building_arch_areas!$N$4</f>
        <v>0</v>
      </c>
      <c r="AC158" s="187">
        <f>model_eui_end_uses!AC158*base_building_arch_areas!$N$4</f>
        <v>2628024.2145090248</v>
      </c>
      <c r="AD158" s="187">
        <f>model_eui_end_uses!AD158*base_building_arch_areas!$N$4</f>
        <v>1119907.1943825255</v>
      </c>
      <c r="AE158" s="187">
        <f>model_eui_end_uses!AE158*base_building_arch_areas!$N$4</f>
        <v>174155.18640402003</v>
      </c>
      <c r="AF158" s="187">
        <f t="shared" si="26"/>
        <v>1294062.3807865456</v>
      </c>
      <c r="AG158" s="187">
        <f>model_eui_end_uses!AH158*base_building_arch_areas!$N$4</f>
        <v>18142.496548996911</v>
      </c>
      <c r="AH158" s="187">
        <f>model_eui_end_uses!AI158*base_building_arch_areas!$N$4</f>
        <v>19679.536063654261</v>
      </c>
      <c r="AI158" s="187">
        <f t="shared" si="27"/>
        <v>37822.032612651172</v>
      </c>
      <c r="AJ158" s="200">
        <f>sim_annual_output!F158/sim_annual_output!H158*base_building_arch_areas!$N$4</f>
        <v>459392.17161552946</v>
      </c>
      <c r="AK158">
        <f t="shared" si="28"/>
        <v>12.146152384783953</v>
      </c>
    </row>
    <row r="159" spans="1:37">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f>model_eui_end_uses!G159*base_scenario_arch_measures!$F159</f>
        <v>0</v>
      </c>
      <c r="H159">
        <f>model_eui_end_uses!H159*base_scenario_arch_measures!$F159</f>
        <v>8.7171967439047684</v>
      </c>
      <c r="I159">
        <f>model_eui_end_uses!I159*base_scenario_arch_measures!$F159</f>
        <v>9.8436551347513366E-3</v>
      </c>
      <c r="J159">
        <f>model_eui_end_uses!J159*base_scenario_arch_measures!$F159</f>
        <v>0</v>
      </c>
      <c r="K159">
        <f>model_eui_end_uses!K159*base_scenario_arch_measures!$F159</f>
        <v>0.18351588857431642</v>
      </c>
      <c r="L159">
        <f>model_eui_end_uses!L159*base_scenario_arch_measures!$F159</f>
        <v>1.7967088859899376</v>
      </c>
      <c r="M159">
        <f>model_eui_end_uses!M159*base_scenario_arch_measures!$F159</f>
        <v>0.19994568869084506</v>
      </c>
      <c r="N159">
        <f>model_eui_end_uses!N159*base_scenario_arch_measures!$F159</f>
        <v>0</v>
      </c>
      <c r="O159">
        <f>model_eui_end_uses!O159*base_scenario_arch_measures!$F159</f>
        <v>0.22368710548260801</v>
      </c>
      <c r="P159">
        <f>model_eui_end_uses!P159*base_scenario_arch_measures!$F159</f>
        <v>0.17037204848109358</v>
      </c>
      <c r="Q159">
        <f>model_eui_end_uses!Q159*base_scenario_arch_measures!$F159</f>
        <v>0</v>
      </c>
      <c r="R159" s="187">
        <f>model_eui_end_uses!R159*base_building_arch_areas!$N$4</f>
        <v>0</v>
      </c>
      <c r="S159" s="187">
        <f>model_eui_end_uses!S159*base_building_arch_areas!$N$4</f>
        <v>2031254.1542889657</v>
      </c>
      <c r="T159" s="187">
        <f>model_eui_end_uses!T159*base_building_arch_areas!$N$4</f>
        <v>1665.7692397344929</v>
      </c>
      <c r="U159" s="187">
        <f>model_eui_end_uses!U159*base_building_arch_areas!$N$4</f>
        <v>0</v>
      </c>
      <c r="V159" s="187">
        <f>model_eui_end_uses!V159*base_building_arch_areas!$N$4</f>
        <v>42470.531545088328</v>
      </c>
      <c r="W159" s="187">
        <f>model_eui_end_uses!W159*base_building_arch_areas!$N$4</f>
        <v>415806.94735799328</v>
      </c>
      <c r="X159" s="187">
        <f>model_eui_end_uses!X159*base_building_arch_areas!$N$4</f>
        <v>46272.830896656196</v>
      </c>
      <c r="Y159" s="187">
        <f>model_eui_end_uses!Y159*base_building_arch_areas!$N$4</f>
        <v>0</v>
      </c>
      <c r="Z159" s="187">
        <f>model_eui_end_uses!Z159*base_building_arch_areas!$N$4</f>
        <v>51378.775740190184</v>
      </c>
      <c r="AA159" s="187">
        <f>model_eui_end_uses!AA159*base_building_arch_areas!$N$4</f>
        <v>39175.205440396181</v>
      </c>
      <c r="AB159" s="187">
        <f>model_eui_end_uses!AB159*base_building_arch_areas!$N$4</f>
        <v>0</v>
      </c>
      <c r="AC159" s="187">
        <f>model_eui_end_uses!AC159*base_building_arch_areas!$N$4</f>
        <v>2628024.2145090248</v>
      </c>
      <c r="AD159" s="187">
        <f>model_eui_end_uses!AD159*base_building_arch_areas!$N$4</f>
        <v>13859.463437316859</v>
      </c>
      <c r="AE159" s="187">
        <f>model_eui_end_uses!AE159*base_building_arch_areas!$N$4</f>
        <v>-1254.2649809068419</v>
      </c>
      <c r="AF159" s="187">
        <f t="shared" si="26"/>
        <v>12605.198456410017</v>
      </c>
      <c r="AG159" s="187">
        <f>model_eui_end_uses!AH159*base_building_arch_areas!$N$4</f>
        <v>224.52330768453311</v>
      </c>
      <c r="AH159" s="187">
        <f>model_eui_end_uses!AI159*base_building_arch_areas!$N$4</f>
        <v>-141.73194284247313</v>
      </c>
      <c r="AI159" s="187">
        <f t="shared" si="27"/>
        <v>82.791364842059977</v>
      </c>
      <c r="AJ159" s="200">
        <f>sim_annual_output!F159/sim_annual_output!H159*base_building_arch_areas!$N$4</f>
        <v>25086.436538990292</v>
      </c>
      <c r="AK159">
        <f t="shared" si="28"/>
        <v>303.00788719750381</v>
      </c>
    </row>
    <row r="160" spans="1:37">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f>model_eui_end_uses!G160*base_scenario_arch_measures!$F160</f>
        <v>0</v>
      </c>
      <c r="H160">
        <f>model_eui_end_uses!H160*base_scenario_arch_measures!$F160</f>
        <v>8.7161156488321669</v>
      </c>
      <c r="I160">
        <f>model_eui_end_uses!I160*base_scenario_arch_measures!$F160</f>
        <v>1.0099703967736197E-2</v>
      </c>
      <c r="J160">
        <f>model_eui_end_uses!J160*base_scenario_arch_measures!$F160</f>
        <v>0</v>
      </c>
      <c r="K160">
        <f>model_eui_end_uses!K160*base_scenario_arch_measures!$F160</f>
        <v>0.18402798624028618</v>
      </c>
      <c r="L160">
        <f>model_eui_end_uses!L160*base_scenario_arch_measures!$F160</f>
        <v>1.7967088859899376</v>
      </c>
      <c r="M160">
        <f>model_eui_end_uses!M160*base_scenario_arch_measures!$F160</f>
        <v>0.19994568869084506</v>
      </c>
      <c r="N160">
        <f>model_eui_end_uses!N160*base_scenario_arch_measures!$F160</f>
        <v>0</v>
      </c>
      <c r="O160">
        <f>model_eui_end_uses!O160*base_scenario_arch_measures!$F160</f>
        <v>0.22353063119578392</v>
      </c>
      <c r="P160">
        <f>model_eui_end_uses!P160*base_scenario_arch_measures!$F160</f>
        <v>0.16966080172280226</v>
      </c>
      <c r="Q160">
        <f>model_eui_end_uses!Q160*base_scenario_arch_measures!$F160</f>
        <v>0</v>
      </c>
      <c r="R160" s="187">
        <f>model_eui_end_uses!R160*base_building_arch_areas!$N$4</f>
        <v>0</v>
      </c>
      <c r="S160" s="187">
        <f>model_eui_end_uses!S160*base_building_arch_areas!$N$4</f>
        <v>2031254.1542889657</v>
      </c>
      <c r="T160" s="187">
        <f>model_eui_end_uses!T160*base_building_arch_areas!$N$4</f>
        <v>1665.7692397344929</v>
      </c>
      <c r="U160" s="187">
        <f>model_eui_end_uses!U160*base_building_arch_areas!$N$4</f>
        <v>0</v>
      </c>
      <c r="V160" s="187">
        <f>model_eui_end_uses!V160*base_building_arch_areas!$N$4</f>
        <v>42470.531545088328</v>
      </c>
      <c r="W160" s="187">
        <f>model_eui_end_uses!W160*base_building_arch_areas!$N$4</f>
        <v>415806.94735799328</v>
      </c>
      <c r="X160" s="187">
        <f>model_eui_end_uses!X160*base_building_arch_areas!$N$4</f>
        <v>46272.830896656196</v>
      </c>
      <c r="Y160" s="187">
        <f>model_eui_end_uses!Y160*base_building_arch_areas!$N$4</f>
        <v>0</v>
      </c>
      <c r="Z160" s="187">
        <f>model_eui_end_uses!Z160*base_building_arch_areas!$N$4</f>
        <v>51378.775740190184</v>
      </c>
      <c r="AA160" s="187">
        <f>model_eui_end_uses!AA160*base_building_arch_areas!$N$4</f>
        <v>39175.205440396181</v>
      </c>
      <c r="AB160" s="187">
        <f>model_eui_end_uses!AB160*base_building_arch_areas!$N$4</f>
        <v>0</v>
      </c>
      <c r="AC160" s="187">
        <f>model_eui_end_uses!AC160*base_building_arch_areas!$N$4</f>
        <v>2628024.2145090248</v>
      </c>
      <c r="AD160" s="187">
        <f>model_eui_end_uses!AD160*base_building_arch_areas!$N$4</f>
        <v>13991.144800141517</v>
      </c>
      <c r="AE160" s="187">
        <f>model_eui_end_uses!AE160*base_building_arch_areas!$N$4</f>
        <v>-1112.7075158699936</v>
      </c>
      <c r="AF160" s="187">
        <f t="shared" si="26"/>
        <v>12878.437284271524</v>
      </c>
      <c r="AG160" s="187">
        <f>model_eui_end_uses!AH160*base_building_arch_areas!$N$4</f>
        <v>226.65654576229258</v>
      </c>
      <c r="AH160" s="187">
        <f>model_eui_end_uses!AI160*base_building_arch_areas!$N$4</f>
        <v>-125.73594929330928</v>
      </c>
      <c r="AI160" s="187">
        <f t="shared" si="27"/>
        <v>100.92059646898331</v>
      </c>
      <c r="AJ160" s="200">
        <f>sim_annual_output!F160/sim_annual_output!H160*base_building_arch_areas!$N$4</f>
        <v>4050.7521414521693</v>
      </c>
      <c r="AK160">
        <f t="shared" si="28"/>
        <v>40.138012290653847</v>
      </c>
    </row>
    <row r="161" spans="1:37">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f>model_eui_end_uses!G161*base_scenario_arch_measures!$F161</f>
        <v>0</v>
      </c>
      <c r="H161">
        <f>model_eui_end_uses!H161*base_scenario_arch_measures!$F161</f>
        <v>8.7161156488321669</v>
      </c>
      <c r="I161">
        <f>model_eui_end_uses!I161*base_scenario_arch_measures!$F161</f>
        <v>1.0099703967736197E-2</v>
      </c>
      <c r="J161">
        <f>model_eui_end_uses!J161*base_scenario_arch_measures!$F161</f>
        <v>0</v>
      </c>
      <c r="K161">
        <f>model_eui_end_uses!K161*base_scenario_arch_measures!$F161</f>
        <v>0.18351588857431642</v>
      </c>
      <c r="L161">
        <f>model_eui_end_uses!L161*base_scenario_arch_measures!$F161</f>
        <v>1.7967088859899376</v>
      </c>
      <c r="M161">
        <f>model_eui_end_uses!M161*base_scenario_arch_measures!$F161</f>
        <v>0.19994568869084506</v>
      </c>
      <c r="N161">
        <f>model_eui_end_uses!N161*base_scenario_arch_measures!$F161</f>
        <v>0</v>
      </c>
      <c r="O161">
        <f>model_eui_end_uses!O161*base_scenario_arch_measures!$F161</f>
        <v>0.22353063119578392</v>
      </c>
      <c r="P161">
        <f>model_eui_end_uses!P161*base_scenario_arch_measures!$F161</f>
        <v>0.13310271834663043</v>
      </c>
      <c r="Q161">
        <f>model_eui_end_uses!Q161*base_scenario_arch_measures!$F161</f>
        <v>0</v>
      </c>
      <c r="R161" s="187">
        <f>model_eui_end_uses!R161*base_building_arch_areas!$N$4</f>
        <v>0</v>
      </c>
      <c r="S161" s="187">
        <f>model_eui_end_uses!S161*base_building_arch_areas!$N$4</f>
        <v>2031254.1542889657</v>
      </c>
      <c r="T161" s="187">
        <f>model_eui_end_uses!T161*base_building_arch_areas!$N$4</f>
        <v>1665.7692397344929</v>
      </c>
      <c r="U161" s="187">
        <f>model_eui_end_uses!U161*base_building_arch_areas!$N$4</f>
        <v>0</v>
      </c>
      <c r="V161" s="187">
        <f>model_eui_end_uses!V161*base_building_arch_areas!$N$4</f>
        <v>42470.531545088328</v>
      </c>
      <c r="W161" s="187">
        <f>model_eui_end_uses!W161*base_building_arch_areas!$N$4</f>
        <v>415806.94735799328</v>
      </c>
      <c r="X161" s="187">
        <f>model_eui_end_uses!X161*base_building_arch_areas!$N$4</f>
        <v>46272.830896656196</v>
      </c>
      <c r="Y161" s="187">
        <f>model_eui_end_uses!Y161*base_building_arch_areas!$N$4</f>
        <v>0</v>
      </c>
      <c r="Z161" s="187">
        <f>model_eui_end_uses!Z161*base_building_arch_areas!$N$4</f>
        <v>51378.775740190184</v>
      </c>
      <c r="AA161" s="187">
        <f>model_eui_end_uses!AA161*base_building_arch_areas!$N$4</f>
        <v>39175.205440396181</v>
      </c>
      <c r="AB161" s="187">
        <f>model_eui_end_uses!AB161*base_building_arch_areas!$N$4</f>
        <v>0</v>
      </c>
      <c r="AC161" s="187">
        <f>model_eui_end_uses!AC161*base_building_arch_areas!$N$4</f>
        <v>2628024.2145090248</v>
      </c>
      <c r="AD161" s="187">
        <f>model_eui_end_uses!AD161*base_building_arch_areas!$N$4</f>
        <v>14109.658026684083</v>
      </c>
      <c r="AE161" s="187">
        <f>model_eui_end_uses!AE161*base_building_arch_areas!$N$4</f>
        <v>7347.820045627308</v>
      </c>
      <c r="AF161" s="187">
        <f t="shared" si="26"/>
        <v>21457.478072311391</v>
      </c>
      <c r="AG161" s="187">
        <f>model_eui_end_uses!AH161*base_building_arch_areas!$N$4</f>
        <v>228.57646003228211</v>
      </c>
      <c r="AH161" s="187">
        <f>model_eui_end_uses!AI161*base_building_arch_areas!$N$4</f>
        <v>830.30366515588582</v>
      </c>
      <c r="AI161" s="187">
        <f t="shared" si="27"/>
        <v>1058.880125188168</v>
      </c>
      <c r="AJ161" s="200">
        <f>sim_annual_output!F161/sim_annual_output!H161*base_building_arch_areas!$N$4</f>
        <v>7870.728111633719</v>
      </c>
      <c r="AK161">
        <f t="shared" si="28"/>
        <v>7.4330681296289827</v>
      </c>
    </row>
    <row r="162" spans="1:37">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f>model_eui_end_uses!G162*base_scenario_arch_measures!$F162</f>
        <v>0</v>
      </c>
      <c r="H162">
        <f>model_eui_end_uses!H162*base_scenario_arch_measures!$F162</f>
        <v>5.2223991182118557</v>
      </c>
      <c r="I162">
        <f>model_eui_end_uses!I162*base_scenario_arch_measures!$F162</f>
        <v>5.4189243537119243E-2</v>
      </c>
      <c r="J162">
        <f>model_eui_end_uses!J162*base_scenario_arch_measures!$F162</f>
        <v>0</v>
      </c>
      <c r="K162">
        <f>model_eui_end_uses!K162*base_scenario_arch_measures!$F162</f>
        <v>3.2713416121015908E-2</v>
      </c>
      <c r="L162">
        <f>model_eui_end_uses!L162*base_scenario_arch_measures!$F162</f>
        <v>0.37265557316907894</v>
      </c>
      <c r="M162">
        <f>model_eui_end_uses!M162*base_scenario_arch_measures!$F162</f>
        <v>4.4644431352184419E-2</v>
      </c>
      <c r="N162">
        <f>model_eui_end_uses!N162*base_scenario_arch_measures!$F162</f>
        <v>0</v>
      </c>
      <c r="O162">
        <f>model_eui_end_uses!O162*base_scenario_arch_measures!$F162</f>
        <v>0.19120216716616215</v>
      </c>
      <c r="P162">
        <f>model_eui_end_uses!P162*base_scenario_arch_measures!$F162</f>
        <v>0.28042984517703784</v>
      </c>
      <c r="Q162">
        <f>model_eui_end_uses!Q162*base_scenario_arch_measures!$F162</f>
        <v>0</v>
      </c>
      <c r="R162" s="187">
        <f>model_eui_end_uses!R162*base_building_arch_areas!$N$28</f>
        <v>0</v>
      </c>
      <c r="S162" s="187">
        <f>model_eui_end_uses!S162*base_building_arch_areas!$N$28</f>
        <v>853298.30981968506</v>
      </c>
      <c r="T162" s="187">
        <f>model_eui_end_uses!T162*base_building_arch_areas!$N$28</f>
        <v>989.72767882563994</v>
      </c>
      <c r="U162" s="187">
        <f>model_eui_end_uses!U162*base_building_arch_areas!$N$28</f>
        <v>0</v>
      </c>
      <c r="V162" s="187">
        <f>model_eui_end_uses!V162*base_building_arch_areas!$N$28</f>
        <v>5455.4061746952802</v>
      </c>
      <c r="W162" s="187">
        <f>model_eui_end_uses!W162*base_building_arch_areas!$N$28</f>
        <v>62145.375077326789</v>
      </c>
      <c r="X162" s="187">
        <f>model_eui_end_uses!X162*base_building_arch_areas!$N$28</f>
        <v>7445.0649104787826</v>
      </c>
      <c r="Y162" s="187">
        <f>model_eui_end_uses!Y162*base_building_arch_areas!$N$28</f>
        <v>0</v>
      </c>
      <c r="Z162" s="187">
        <f>model_eui_end_uses!Z162*base_building_arch_areas!$N$28</f>
        <v>30596.529892492981</v>
      </c>
      <c r="AA162" s="187">
        <f>model_eui_end_uses!AA162*base_building_arch_areas!$N$28</f>
        <v>45918.602721047988</v>
      </c>
      <c r="AB162" s="187">
        <f>model_eui_end_uses!AB162*base_building_arch_areas!$N$28</f>
        <v>0</v>
      </c>
      <c r="AC162" s="187">
        <f>model_eui_end_uses!AC162*base_building_arch_areas!$N$28</f>
        <v>1005849.0162745526</v>
      </c>
      <c r="AD162" s="187">
        <f>model_eui_end_uses!AD162*base_building_arch_areas!$N$28</f>
        <v>-17607.629530172875</v>
      </c>
      <c r="AE162" s="187">
        <f>model_eui_end_uses!AE162*base_building_arch_areas!$N$28</f>
        <v>-10182.971375958621</v>
      </c>
      <c r="AF162" s="187">
        <f t="shared" si="23"/>
        <v>-27790.600906131498</v>
      </c>
      <c r="AG162" s="187">
        <f>model_eui_end_uses!AH162*base_building_arch_areas!$N$28</f>
        <v>-285.24359838880054</v>
      </c>
      <c r="AH162" s="187">
        <f>model_eui_end_uses!AI162*base_building_arch_areas!$N$28</f>
        <v>-1150.6757654833243</v>
      </c>
      <c r="AI162" s="187">
        <f t="shared" si="24"/>
        <v>-1435.9193638721249</v>
      </c>
      <c r="AJ162" s="200">
        <f>sim_annual_output!F162/sim_annual_output!H162*base_building_arch_areas!$N$28</f>
        <v>4410.9584866925406</v>
      </c>
      <c r="AK162">
        <f t="shared" si="25"/>
        <v>-3.0718706061584644</v>
      </c>
    </row>
    <row r="163" spans="1:37">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f>model_eui_end_uses!G163*base_scenario_arch_measures!$F163</f>
        <v>0</v>
      </c>
      <c r="H163">
        <f>model_eui_end_uses!H163*base_scenario_arch_measures!$F163</f>
        <v>5.1168147321404724</v>
      </c>
      <c r="I163">
        <f>model_eui_end_uses!I163*base_scenario_arch_measures!$F163</f>
        <v>5.9349152688376733E-3</v>
      </c>
      <c r="J163">
        <f>model_eui_end_uses!J163*base_scenario_arch_measures!$F163</f>
        <v>0</v>
      </c>
      <c r="K163">
        <f>model_eui_end_uses!K163*base_scenario_arch_measures!$F163</f>
        <v>3.2713416121015908E-2</v>
      </c>
      <c r="L163">
        <f>model_eui_end_uses!L163*base_scenario_arch_measures!$F163</f>
        <v>0.37265557316907894</v>
      </c>
      <c r="M163">
        <f>model_eui_end_uses!M163*base_scenario_arch_measures!$F163</f>
        <v>4.4644431352184419E-2</v>
      </c>
      <c r="N163">
        <f>model_eui_end_uses!N163*base_scenario_arch_measures!$F163</f>
        <v>0</v>
      </c>
      <c r="O163">
        <f>model_eui_end_uses!O163*base_scenario_arch_measures!$F163</f>
        <v>0.18347250088819145</v>
      </c>
      <c r="P163">
        <f>model_eui_end_uses!P163*base_scenario_arch_measures!$F163</f>
        <v>0.27535151561710458</v>
      </c>
      <c r="Q163">
        <f>model_eui_end_uses!Q163*base_scenario_arch_measures!$F163</f>
        <v>0</v>
      </c>
      <c r="R163" s="187">
        <f>model_eui_end_uses!R163*base_building_arch_areas!$N$28</f>
        <v>0</v>
      </c>
      <c r="S163" s="187">
        <f>model_eui_end_uses!S163*base_building_arch_areas!$N$28</f>
        <v>853298.30981968506</v>
      </c>
      <c r="T163" s="187">
        <f>model_eui_end_uses!T163*base_building_arch_areas!$N$28</f>
        <v>989.72767882563994</v>
      </c>
      <c r="U163" s="187">
        <f>model_eui_end_uses!U163*base_building_arch_areas!$N$28</f>
        <v>0</v>
      </c>
      <c r="V163" s="187">
        <f>model_eui_end_uses!V163*base_building_arch_areas!$N$28</f>
        <v>5455.4061746952802</v>
      </c>
      <c r="W163" s="187">
        <f>model_eui_end_uses!W163*base_building_arch_areas!$N$28</f>
        <v>62145.375077326789</v>
      </c>
      <c r="X163" s="187">
        <f>model_eui_end_uses!X163*base_building_arch_areas!$N$28</f>
        <v>7445.0649104787826</v>
      </c>
      <c r="Y163" s="187">
        <f>model_eui_end_uses!Y163*base_building_arch_areas!$N$28</f>
        <v>0</v>
      </c>
      <c r="Z163" s="187">
        <f>model_eui_end_uses!Z163*base_building_arch_areas!$N$28</f>
        <v>30596.529892492981</v>
      </c>
      <c r="AA163" s="187">
        <f>model_eui_end_uses!AA163*base_building_arch_areas!$N$28</f>
        <v>45918.602721047988</v>
      </c>
      <c r="AB163" s="187">
        <f>model_eui_end_uses!AB163*base_building_arch_areas!$N$28</f>
        <v>0</v>
      </c>
      <c r="AC163" s="187">
        <f>model_eui_end_uses!AC163*base_building_arch_areas!$N$28</f>
        <v>1005849.0162745526</v>
      </c>
      <c r="AD163" s="187">
        <f>model_eui_end_uses!AD163*base_building_arch_areas!$N$28</f>
        <v>0</v>
      </c>
      <c r="AE163" s="187">
        <f>model_eui_end_uses!AE163*base_building_arch_areas!$N$28</f>
        <v>0</v>
      </c>
      <c r="AF163" s="187">
        <f t="shared" ref="AF163:AF184" si="29">SUM(AD163:AE163)</f>
        <v>0</v>
      </c>
      <c r="AG163" s="187">
        <f>model_eui_end_uses!AH163*base_building_arch_areas!$N$28</f>
        <v>0</v>
      </c>
      <c r="AH163" s="187">
        <f>model_eui_end_uses!AI163*base_building_arch_areas!$N$28</f>
        <v>0</v>
      </c>
      <c r="AI163" s="187">
        <f t="shared" ref="AI163:AI184" si="30">SUM(AG163:AH163)</f>
        <v>0</v>
      </c>
      <c r="AJ163" s="200">
        <f>sim_annual_output!F163/sim_annual_output!H163*base_building_arch_areas!$N$28</f>
        <v>0</v>
      </c>
      <c r="AK163">
        <f t="shared" ref="AK163:AK184" si="31">IF(AI163=0,0,AJ163/AI163)</f>
        <v>0</v>
      </c>
    </row>
    <row r="164" spans="1:37">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f>model_eui_end_uses!G164*base_scenario_arch_measures!$F164</f>
        <v>0</v>
      </c>
      <c r="H164">
        <f>model_eui_end_uses!H164*base_scenario_arch_measures!$F164</f>
        <v>5.0857533027437727</v>
      </c>
      <c r="I164">
        <f>model_eui_end_uses!I164*base_scenario_arch_measures!$F164</f>
        <v>8.2191438259160907E-3</v>
      </c>
      <c r="J164">
        <f>model_eui_end_uses!J164*base_scenario_arch_measures!$F164</f>
        <v>0</v>
      </c>
      <c r="K164">
        <f>model_eui_end_uses!K164*base_scenario_arch_measures!$F164</f>
        <v>3.2713416121015908E-2</v>
      </c>
      <c r="L164">
        <f>model_eui_end_uses!L164*base_scenario_arch_measures!$F164</f>
        <v>0.37265557316907894</v>
      </c>
      <c r="M164">
        <f>model_eui_end_uses!M164*base_scenario_arch_measures!$F164</f>
        <v>4.4644431352184419E-2</v>
      </c>
      <c r="N164">
        <f>model_eui_end_uses!N164*base_scenario_arch_measures!$F164</f>
        <v>0</v>
      </c>
      <c r="O164">
        <f>model_eui_end_uses!O164*base_scenario_arch_measures!$F164</f>
        <v>0.1833501315012051</v>
      </c>
      <c r="P164">
        <f>model_eui_end_uses!P164*base_scenario_arch_measures!$F164</f>
        <v>0.27539230541276671</v>
      </c>
      <c r="Q164">
        <f>model_eui_end_uses!Q164*base_scenario_arch_measures!$F164</f>
        <v>0</v>
      </c>
      <c r="R164" s="187">
        <f>model_eui_end_uses!R164*base_building_arch_areas!$N$28</f>
        <v>0</v>
      </c>
      <c r="S164" s="187">
        <f>model_eui_end_uses!S164*base_building_arch_areas!$N$28</f>
        <v>853298.30981968506</v>
      </c>
      <c r="T164" s="187">
        <f>model_eui_end_uses!T164*base_building_arch_areas!$N$28</f>
        <v>989.72767882563994</v>
      </c>
      <c r="U164" s="187">
        <f>model_eui_end_uses!U164*base_building_arch_areas!$N$28</f>
        <v>0</v>
      </c>
      <c r="V164" s="187">
        <f>model_eui_end_uses!V164*base_building_arch_areas!$N$28</f>
        <v>5455.4061746952802</v>
      </c>
      <c r="W164" s="187">
        <f>model_eui_end_uses!W164*base_building_arch_areas!$N$28</f>
        <v>62145.375077326789</v>
      </c>
      <c r="X164" s="187">
        <f>model_eui_end_uses!X164*base_building_arch_areas!$N$28</f>
        <v>7445.0649104787826</v>
      </c>
      <c r="Y164" s="187">
        <f>model_eui_end_uses!Y164*base_building_arch_areas!$N$28</f>
        <v>0</v>
      </c>
      <c r="Z164" s="187">
        <f>model_eui_end_uses!Z164*base_building_arch_areas!$N$28</f>
        <v>30596.529892492981</v>
      </c>
      <c r="AA164" s="187">
        <f>model_eui_end_uses!AA164*base_building_arch_areas!$N$28</f>
        <v>45918.602721047988</v>
      </c>
      <c r="AB164" s="187">
        <f>model_eui_end_uses!AB164*base_building_arch_areas!$N$28</f>
        <v>0</v>
      </c>
      <c r="AC164" s="187">
        <f>model_eui_end_uses!AC164*base_building_arch_areas!$N$28</f>
        <v>1005849.0162745526</v>
      </c>
      <c r="AD164" s="187">
        <f>model_eui_end_uses!AD164*base_building_arch_areas!$N$28</f>
        <v>5179.9149651252847</v>
      </c>
      <c r="AE164" s="187">
        <f>model_eui_end_uses!AE164*base_building_arch_areas!$N$28</f>
        <v>-367.32161276000977</v>
      </c>
      <c r="AF164" s="187">
        <f t="shared" si="29"/>
        <v>4812.5933523652748</v>
      </c>
      <c r="AG164" s="187">
        <f>model_eui_end_uses!AH164*base_building_arch_areas!$N$28</f>
        <v>83.914622435029614</v>
      </c>
      <c r="AH164" s="187">
        <f>model_eui_end_uses!AI164*base_building_arch_areas!$N$28</f>
        <v>-41.507342241881105</v>
      </c>
      <c r="AI164" s="187">
        <f t="shared" si="30"/>
        <v>42.407280193148509</v>
      </c>
      <c r="AJ164" s="200">
        <f>sim_annual_output!F164/sim_annual_output!H164*base_building_arch_areas!$N$28</f>
        <v>81972.53793622485</v>
      </c>
      <c r="AK164">
        <f t="shared" si="31"/>
        <v>1932.9826756838006</v>
      </c>
    </row>
    <row r="165" spans="1:37">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f>model_eui_end_uses!G165*base_scenario_arch_measures!$F165</f>
        <v>0</v>
      </c>
      <c r="H165">
        <f>model_eui_end_uses!H165*base_scenario_arch_measures!$F165</f>
        <v>3.163003914823014</v>
      </c>
      <c r="I165">
        <f>model_eui_end_uses!I165*base_scenario_arch_measures!$F165</f>
        <v>8.2191438259160907E-3</v>
      </c>
      <c r="J165">
        <f>model_eui_end_uses!J165*base_scenario_arch_measures!$F165</f>
        <v>0</v>
      </c>
      <c r="K165">
        <f>model_eui_end_uses!K165*base_scenario_arch_measures!$F165</f>
        <v>3.2713416121015908E-2</v>
      </c>
      <c r="L165">
        <f>model_eui_end_uses!L165*base_scenario_arch_measures!$F165</f>
        <v>0.37265557316907894</v>
      </c>
      <c r="M165">
        <f>model_eui_end_uses!M165*base_scenario_arch_measures!$F165</f>
        <v>4.4644431352184419E-2</v>
      </c>
      <c r="N165">
        <f>model_eui_end_uses!N165*base_scenario_arch_measures!$F165</f>
        <v>0</v>
      </c>
      <c r="O165">
        <f>model_eui_end_uses!O165*base_scenario_arch_measures!$F165</f>
        <v>0.1833501315012051</v>
      </c>
      <c r="P165">
        <f>model_eui_end_uses!P165*base_scenario_arch_measures!$F165</f>
        <v>0.27539230541276671</v>
      </c>
      <c r="Q165">
        <f>model_eui_end_uses!Q165*base_scenario_arch_measures!$F165</f>
        <v>0</v>
      </c>
      <c r="R165" s="187">
        <f>model_eui_end_uses!R165*base_building_arch_areas!$N$28</f>
        <v>0</v>
      </c>
      <c r="S165" s="187">
        <f>model_eui_end_uses!S165*base_building_arch_areas!$N$28</f>
        <v>853298.30981968506</v>
      </c>
      <c r="T165" s="187">
        <f>model_eui_end_uses!T165*base_building_arch_areas!$N$28</f>
        <v>989.72767882563994</v>
      </c>
      <c r="U165" s="187">
        <f>model_eui_end_uses!U165*base_building_arch_areas!$N$28</f>
        <v>0</v>
      </c>
      <c r="V165" s="187">
        <f>model_eui_end_uses!V165*base_building_arch_areas!$N$28</f>
        <v>5455.4061746952802</v>
      </c>
      <c r="W165" s="187">
        <f>model_eui_end_uses!W165*base_building_arch_areas!$N$28</f>
        <v>62145.375077326789</v>
      </c>
      <c r="X165" s="187">
        <f>model_eui_end_uses!X165*base_building_arch_areas!$N$28</f>
        <v>7445.0649104787826</v>
      </c>
      <c r="Y165" s="187">
        <f>model_eui_end_uses!Y165*base_building_arch_areas!$N$28</f>
        <v>0</v>
      </c>
      <c r="Z165" s="187">
        <f>model_eui_end_uses!Z165*base_building_arch_areas!$N$28</f>
        <v>30596.529892492981</v>
      </c>
      <c r="AA165" s="187">
        <f>model_eui_end_uses!AA165*base_building_arch_areas!$N$28</f>
        <v>45918.602721047988</v>
      </c>
      <c r="AB165" s="187">
        <f>model_eui_end_uses!AB165*base_building_arch_areas!$N$28</f>
        <v>0</v>
      </c>
      <c r="AC165" s="187">
        <f>model_eui_end_uses!AC165*base_building_arch_areas!$N$28</f>
        <v>1005849.0162745526</v>
      </c>
      <c r="AD165" s="187">
        <f>model_eui_end_uses!AD165*base_building_arch_areas!$N$28</f>
        <v>325824.47389628011</v>
      </c>
      <c r="AE165" s="187">
        <f>model_eui_end_uses!AE165*base_building_arch_areas!$N$28</f>
        <v>-367.32161276000977</v>
      </c>
      <c r="AF165" s="187">
        <f t="shared" si="29"/>
        <v>325457.15228352009</v>
      </c>
      <c r="AG165" s="187">
        <f>model_eui_end_uses!AH165*base_building_arch_areas!$N$28</f>
        <v>5278.356477119738</v>
      </c>
      <c r="AH165" s="187">
        <f>model_eui_end_uses!AI165*base_building_arch_areas!$N$28</f>
        <v>-41.507342241881105</v>
      </c>
      <c r="AI165" s="187">
        <f t="shared" si="30"/>
        <v>5236.8491348778571</v>
      </c>
      <c r="AJ165" s="200">
        <f>sim_annual_output!F165/sim_annual_output!H165*base_building_arch_areas!$N$28</f>
        <v>1165.7854886007628</v>
      </c>
      <c r="AK165">
        <f t="shared" si="31"/>
        <v>0.22261200553526225</v>
      </c>
    </row>
    <row r="166" spans="1:37">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f>model_eui_end_uses!G166*base_scenario_arch_measures!$F166</f>
        <v>0</v>
      </c>
      <c r="H166">
        <f>model_eui_end_uses!H166*base_scenario_arch_measures!$F166</f>
        <v>5.0857533027437727</v>
      </c>
      <c r="I166">
        <f>model_eui_end_uses!I166*base_scenario_arch_measures!$F166</f>
        <v>5.8737305753445018E-3</v>
      </c>
      <c r="J166">
        <f>model_eui_end_uses!J166*base_scenario_arch_measures!$F166</f>
        <v>0</v>
      </c>
      <c r="K166">
        <f>model_eui_end_uses!K166*base_scenario_arch_measures!$F166</f>
        <v>3.2713416121015908E-2</v>
      </c>
      <c r="L166">
        <f>model_eui_end_uses!L166*base_scenario_arch_measures!$F166</f>
        <v>0.37265557316907894</v>
      </c>
      <c r="M166">
        <f>model_eui_end_uses!M166*base_scenario_arch_measures!$F166</f>
        <v>4.4644431352184419E-2</v>
      </c>
      <c r="N166">
        <f>model_eui_end_uses!N166*base_scenario_arch_measures!$F166</f>
        <v>0</v>
      </c>
      <c r="O166">
        <f>model_eui_end_uses!O166*base_scenario_arch_measures!$F166</f>
        <v>0.1833501315012051</v>
      </c>
      <c r="P166">
        <f>model_eui_end_uses!P166*base_scenario_arch_measures!$F166</f>
        <v>0.27539230541276671</v>
      </c>
      <c r="Q166">
        <f>model_eui_end_uses!Q166*base_scenario_arch_measures!$F166</f>
        <v>0</v>
      </c>
      <c r="R166" s="187">
        <f>model_eui_end_uses!R166*base_building_arch_areas!$N$28</f>
        <v>0</v>
      </c>
      <c r="S166" s="187">
        <f>model_eui_end_uses!S166*base_building_arch_areas!$N$28</f>
        <v>853298.30981968506</v>
      </c>
      <c r="T166" s="187">
        <f>model_eui_end_uses!T166*base_building_arch_areas!$N$28</f>
        <v>989.72767882563994</v>
      </c>
      <c r="U166" s="187">
        <f>model_eui_end_uses!U166*base_building_arch_areas!$N$28</f>
        <v>0</v>
      </c>
      <c r="V166" s="187">
        <f>model_eui_end_uses!V166*base_building_arch_areas!$N$28</f>
        <v>5455.4061746952802</v>
      </c>
      <c r="W166" s="187">
        <f>model_eui_end_uses!W166*base_building_arch_areas!$N$28</f>
        <v>62145.375077326789</v>
      </c>
      <c r="X166" s="187">
        <f>model_eui_end_uses!X166*base_building_arch_areas!$N$28</f>
        <v>7445.0649104787826</v>
      </c>
      <c r="Y166" s="187">
        <f>model_eui_end_uses!Y166*base_building_arch_areas!$N$28</f>
        <v>0</v>
      </c>
      <c r="Z166" s="187">
        <f>model_eui_end_uses!Z166*base_building_arch_areas!$N$28</f>
        <v>30596.529892492981</v>
      </c>
      <c r="AA166" s="187">
        <f>model_eui_end_uses!AA166*base_building_arch_areas!$N$28</f>
        <v>45918.602721047988</v>
      </c>
      <c r="AB166" s="187">
        <f>model_eui_end_uses!AB166*base_building_arch_areas!$N$28</f>
        <v>0</v>
      </c>
      <c r="AC166" s="187">
        <f>model_eui_end_uses!AC166*base_building_arch_areas!$N$28</f>
        <v>1005849.0162745526</v>
      </c>
      <c r="AD166" s="187">
        <f>model_eui_end_uses!AD166*base_building_arch_areas!$N$28</f>
        <v>5179.9149651252847</v>
      </c>
      <c r="AE166" s="187">
        <f>model_eui_end_uses!AE166*base_building_arch_areas!$N$28</f>
        <v>23.807882308555634</v>
      </c>
      <c r="AF166" s="187">
        <f t="shared" si="29"/>
        <v>5203.7228474338399</v>
      </c>
      <c r="AG166" s="187">
        <f>model_eui_end_uses!AH166*base_building_arch_areas!$N$28</f>
        <v>83.914622435029614</v>
      </c>
      <c r="AH166" s="187">
        <f>model_eui_end_uses!AI166*base_building_arch_areas!$N$28</f>
        <v>2.6902907008667865</v>
      </c>
      <c r="AI166" s="187">
        <f t="shared" si="30"/>
        <v>86.604913135896396</v>
      </c>
      <c r="AJ166" s="200">
        <f>sim_annual_output!F166/sim_annual_output!H166*base_building_arch_areas!$N$28</f>
        <v>12607.968867246038</v>
      </c>
      <c r="AK166">
        <f t="shared" si="31"/>
        <v>145.58029574444814</v>
      </c>
    </row>
    <row r="167" spans="1:37">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f>model_eui_end_uses!G167*base_scenario_arch_measures!$F167</f>
        <v>0</v>
      </c>
      <c r="H167">
        <f>model_eui_end_uses!H167*base_scenario_arch_measures!$F167</f>
        <v>5.0857533027437727</v>
      </c>
      <c r="I167">
        <f>model_eui_end_uses!I167*base_scenario_arch_measures!$F167</f>
        <v>8.2191438259160907E-3</v>
      </c>
      <c r="J167">
        <f>model_eui_end_uses!J167*base_scenario_arch_measures!$F167</f>
        <v>0</v>
      </c>
      <c r="K167">
        <f>model_eui_end_uses!K167*base_scenario_arch_measures!$F167</f>
        <v>3.2713416121015908E-2</v>
      </c>
      <c r="L167">
        <f>model_eui_end_uses!L167*base_scenario_arch_measures!$F167</f>
        <v>0.37265557316907894</v>
      </c>
      <c r="M167">
        <f>model_eui_end_uses!M167*base_scenario_arch_measures!$F167</f>
        <v>4.4644431352184419E-2</v>
      </c>
      <c r="N167">
        <f>model_eui_end_uses!N167*base_scenario_arch_measures!$F167</f>
        <v>0</v>
      </c>
      <c r="O167">
        <f>model_eui_end_uses!O167*base_scenario_arch_measures!$F167</f>
        <v>0.1833501315012051</v>
      </c>
      <c r="P167">
        <f>model_eui_end_uses!P167*base_scenario_arch_measures!$F167</f>
        <v>0.27539230541276671</v>
      </c>
      <c r="Q167">
        <f>model_eui_end_uses!Q167*base_scenario_arch_measures!$F167</f>
        <v>0</v>
      </c>
      <c r="R167" s="187">
        <f>model_eui_end_uses!R167*base_building_arch_areas!$N$28</f>
        <v>0</v>
      </c>
      <c r="S167" s="187">
        <f>model_eui_end_uses!S167*base_building_arch_areas!$N$28</f>
        <v>853298.30981968506</v>
      </c>
      <c r="T167" s="187">
        <f>model_eui_end_uses!T167*base_building_arch_areas!$N$28</f>
        <v>989.72767882563994</v>
      </c>
      <c r="U167" s="187">
        <f>model_eui_end_uses!U167*base_building_arch_areas!$N$28</f>
        <v>0</v>
      </c>
      <c r="V167" s="187">
        <f>model_eui_end_uses!V167*base_building_arch_areas!$N$28</f>
        <v>5455.4061746952802</v>
      </c>
      <c r="W167" s="187">
        <f>model_eui_end_uses!W167*base_building_arch_areas!$N$28</f>
        <v>62145.375077326789</v>
      </c>
      <c r="X167" s="187">
        <f>model_eui_end_uses!X167*base_building_arch_areas!$N$28</f>
        <v>7445.0649104787826</v>
      </c>
      <c r="Y167" s="187">
        <f>model_eui_end_uses!Y167*base_building_arch_areas!$N$28</f>
        <v>0</v>
      </c>
      <c r="Z167" s="187">
        <f>model_eui_end_uses!Z167*base_building_arch_areas!$N$28</f>
        <v>30596.529892492981</v>
      </c>
      <c r="AA167" s="187">
        <f>model_eui_end_uses!AA167*base_building_arch_areas!$N$28</f>
        <v>45918.602721047988</v>
      </c>
      <c r="AB167" s="187">
        <f>model_eui_end_uses!AB167*base_building_arch_areas!$N$28</f>
        <v>0</v>
      </c>
      <c r="AC167" s="187">
        <f>model_eui_end_uses!AC167*base_building_arch_areas!$N$28</f>
        <v>1005849.0162745526</v>
      </c>
      <c r="AD167" s="187">
        <f>model_eui_end_uses!AD167*base_building_arch_areas!$N$28</f>
        <v>5179.9149651252847</v>
      </c>
      <c r="AE167" s="187">
        <f>model_eui_end_uses!AE167*base_building_arch_areas!$N$28</f>
        <v>-367.32161276000977</v>
      </c>
      <c r="AF167" s="187">
        <f t="shared" si="29"/>
        <v>4812.5933523652748</v>
      </c>
      <c r="AG167" s="187">
        <f>model_eui_end_uses!AH167*base_building_arch_areas!$N$28</f>
        <v>83.914622435029614</v>
      </c>
      <c r="AH167" s="187">
        <f>model_eui_end_uses!AI167*base_building_arch_areas!$N$28</f>
        <v>-41.507342241881105</v>
      </c>
      <c r="AI167" s="187">
        <f t="shared" si="30"/>
        <v>42.407280193148509</v>
      </c>
      <c r="AJ167" s="200">
        <f>sim_annual_output!F167/sim_annual_output!H167*base_building_arch_areas!$N$28</f>
        <v>9395.6817275984231</v>
      </c>
      <c r="AK167">
        <f t="shared" si="31"/>
        <v>221.55822502185433</v>
      </c>
    </row>
    <row r="168" spans="1:37">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f>model_eui_end_uses!G168*base_scenario_arch_measures!$F168</f>
        <v>0</v>
      </c>
      <c r="H168">
        <f>model_eui_end_uses!H168*base_scenario_arch_measures!$F168</f>
        <v>5.070232785494337</v>
      </c>
      <c r="I168">
        <f>model_eui_end_uses!I168*base_scenario_arch_measures!$F168</f>
        <v>3.0551556950923837E-2</v>
      </c>
      <c r="J168">
        <f>model_eui_end_uses!J168*base_scenario_arch_measures!$F168</f>
        <v>0</v>
      </c>
      <c r="K168">
        <f>model_eui_end_uses!K168*base_scenario_arch_measures!$F168</f>
        <v>3.2713416121015908E-2</v>
      </c>
      <c r="L168">
        <f>model_eui_end_uses!L168*base_scenario_arch_measures!$F168</f>
        <v>0.37265557316907894</v>
      </c>
      <c r="M168">
        <f>model_eui_end_uses!M168*base_scenario_arch_measures!$F168</f>
        <v>4.4644431352184419E-2</v>
      </c>
      <c r="N168">
        <f>model_eui_end_uses!N168*base_scenario_arch_measures!$F168</f>
        <v>0</v>
      </c>
      <c r="O168">
        <f>model_eui_end_uses!O168*base_scenario_arch_measures!$F168</f>
        <v>0.19562785999550159</v>
      </c>
      <c r="P168">
        <f>model_eui_end_uses!P168*base_scenario_arch_measures!$F168</f>
        <v>0.27243504522726336</v>
      </c>
      <c r="Q168">
        <f>model_eui_end_uses!Q168*base_scenario_arch_measures!$F168</f>
        <v>0</v>
      </c>
      <c r="R168" s="187">
        <f>model_eui_end_uses!R168*base_building_arch_areas!$N$28</f>
        <v>0</v>
      </c>
      <c r="S168" s="187">
        <f>model_eui_end_uses!S168*base_building_arch_areas!$N$28</f>
        <v>853298.30981968506</v>
      </c>
      <c r="T168" s="187">
        <f>model_eui_end_uses!T168*base_building_arch_areas!$N$28</f>
        <v>989.72767882563994</v>
      </c>
      <c r="U168" s="187">
        <f>model_eui_end_uses!U168*base_building_arch_areas!$N$28</f>
        <v>0</v>
      </c>
      <c r="V168" s="187">
        <f>model_eui_end_uses!V168*base_building_arch_areas!$N$28</f>
        <v>5455.4061746952802</v>
      </c>
      <c r="W168" s="187">
        <f>model_eui_end_uses!W168*base_building_arch_areas!$N$28</f>
        <v>62145.375077326789</v>
      </c>
      <c r="X168" s="187">
        <f>model_eui_end_uses!X168*base_building_arch_areas!$N$28</f>
        <v>7445.0649104787826</v>
      </c>
      <c r="Y168" s="187">
        <f>model_eui_end_uses!Y168*base_building_arch_areas!$N$28</f>
        <v>0</v>
      </c>
      <c r="Z168" s="187">
        <f>model_eui_end_uses!Z168*base_building_arch_areas!$N$28</f>
        <v>30596.529892492981</v>
      </c>
      <c r="AA168" s="187">
        <f>model_eui_end_uses!AA168*base_building_arch_areas!$N$28</f>
        <v>45918.602721047988</v>
      </c>
      <c r="AB168" s="187">
        <f>model_eui_end_uses!AB168*base_building_arch_areas!$N$28</f>
        <v>0</v>
      </c>
      <c r="AC168" s="187">
        <f>model_eui_end_uses!AC168*base_building_arch_areas!$N$28</f>
        <v>1005849.0162745526</v>
      </c>
      <c r="AD168" s="187">
        <f>model_eui_end_uses!AD168*base_building_arch_areas!$N$28</f>
        <v>7768.1718846659651</v>
      </c>
      <c r="AE168" s="187">
        <f>model_eui_end_uses!AE168*base_building_arch_areas!$N$28</f>
        <v>-5645.8692331634093</v>
      </c>
      <c r="AF168" s="187">
        <f t="shared" si="29"/>
        <v>2122.3026515025558</v>
      </c>
      <c r="AG168" s="187">
        <f>model_eui_end_uses!AH168*base_building_arch_areas!$N$28</f>
        <v>125.84438453158863</v>
      </c>
      <c r="AH168" s="187">
        <f>model_eui_end_uses!AI168*base_building_arch_areas!$N$28</f>
        <v>-637.98322334746524</v>
      </c>
      <c r="AI168" s="187">
        <f t="shared" si="30"/>
        <v>-512.13883881587662</v>
      </c>
      <c r="AJ168" s="200">
        <f>sim_annual_output!F168/sim_annual_output!H168*base_building_arch_areas!$N$28</f>
        <v>4410.9584866925406</v>
      </c>
      <c r="AK168">
        <f t="shared" si="31"/>
        <v>-8.6128177602994906</v>
      </c>
    </row>
    <row r="169" spans="1:37">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f>model_eui_end_uses!G169*base_scenario_arch_measures!$F169</f>
        <v>0</v>
      </c>
      <c r="H169">
        <f>model_eui_end_uses!H169*base_scenario_arch_measures!$F169</f>
        <v>5.086630283350507</v>
      </c>
      <c r="I169">
        <f>model_eui_end_uses!I169*base_scenario_arch_measures!$F169</f>
        <v>7.6684815844775423E-3</v>
      </c>
      <c r="J169">
        <f>model_eui_end_uses!J169*base_scenario_arch_measures!$F169</f>
        <v>0</v>
      </c>
      <c r="K169">
        <f>model_eui_end_uses!K169*base_scenario_arch_measures!$F169</f>
        <v>3.2713416121015908E-2</v>
      </c>
      <c r="L169">
        <f>model_eui_end_uses!L169*base_scenario_arch_measures!$F169</f>
        <v>0.37265557316907894</v>
      </c>
      <c r="M169">
        <f>model_eui_end_uses!M169*base_scenario_arch_measures!$F169</f>
        <v>4.4644431352184419E-2</v>
      </c>
      <c r="N169">
        <f>model_eui_end_uses!N169*base_scenario_arch_measures!$F169</f>
        <v>0</v>
      </c>
      <c r="O169">
        <f>model_eui_end_uses!O169*base_scenario_arch_measures!$F169</f>
        <v>0.18337052639903617</v>
      </c>
      <c r="P169">
        <f>model_eui_end_uses!P169*base_scenario_arch_measures!$F169</f>
        <v>0.27480085337566601</v>
      </c>
      <c r="Q169">
        <f>model_eui_end_uses!Q169*base_scenario_arch_measures!$F169</f>
        <v>0</v>
      </c>
      <c r="R169" s="187">
        <f>model_eui_end_uses!R169*base_building_arch_areas!$N$28</f>
        <v>0</v>
      </c>
      <c r="S169" s="187">
        <f>model_eui_end_uses!S169*base_building_arch_areas!$N$28</f>
        <v>853298.30981968506</v>
      </c>
      <c r="T169" s="187">
        <f>model_eui_end_uses!T169*base_building_arch_areas!$N$28</f>
        <v>989.72767882563994</v>
      </c>
      <c r="U169" s="187">
        <f>model_eui_end_uses!U169*base_building_arch_areas!$N$28</f>
        <v>0</v>
      </c>
      <c r="V169" s="187">
        <f>model_eui_end_uses!V169*base_building_arch_areas!$N$28</f>
        <v>5455.4061746952802</v>
      </c>
      <c r="W169" s="187">
        <f>model_eui_end_uses!W169*base_building_arch_areas!$N$28</f>
        <v>62145.375077326789</v>
      </c>
      <c r="X169" s="187">
        <f>model_eui_end_uses!X169*base_building_arch_areas!$N$28</f>
        <v>7445.0649104787826</v>
      </c>
      <c r="Y169" s="187">
        <f>model_eui_end_uses!Y169*base_building_arch_areas!$N$28</f>
        <v>0</v>
      </c>
      <c r="Z169" s="187">
        <f>model_eui_end_uses!Z169*base_building_arch_areas!$N$28</f>
        <v>30596.529892492981</v>
      </c>
      <c r="AA169" s="187">
        <f>model_eui_end_uses!AA169*base_building_arch_areas!$N$28</f>
        <v>45918.602721047988</v>
      </c>
      <c r="AB169" s="187">
        <f>model_eui_end_uses!AB169*base_building_arch_areas!$N$28</f>
        <v>0</v>
      </c>
      <c r="AC169" s="187">
        <f>model_eui_end_uses!AC169*base_building_arch_areas!$N$28</f>
        <v>1005849.0162745526</v>
      </c>
      <c r="AD169" s="187">
        <f>model_eui_end_uses!AD169*base_building_arch_areas!$N$28</f>
        <v>5033.666545230155</v>
      </c>
      <c r="AE169" s="187">
        <f>model_eui_end_uses!AE169*base_building_arch_areas!$N$28</f>
        <v>-180.25968033593696</v>
      </c>
      <c r="AF169" s="187">
        <f t="shared" si="29"/>
        <v>4853.4068648942184</v>
      </c>
      <c r="AG169" s="187">
        <f>model_eui_end_uses!AH169*base_building_arch_areas!$N$28</f>
        <v>81.545398032728514</v>
      </c>
      <c r="AH169" s="187">
        <f>model_eui_end_uses!AI169*base_building_arch_areas!$N$28</f>
        <v>-20.369343877960876</v>
      </c>
      <c r="AI169" s="187">
        <f t="shared" si="30"/>
        <v>61.176054154767641</v>
      </c>
      <c r="AJ169" s="200">
        <f>sim_annual_output!F169/sim_annual_output!H169*base_building_arch_areas!$N$28</f>
        <v>1723.7032991990809</v>
      </c>
      <c r="AK169">
        <f t="shared" si="31"/>
        <v>28.176111111029336</v>
      </c>
    </row>
    <row r="170" spans="1:37">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f>model_eui_end_uses!G170*base_scenario_arch_measures!$F170</f>
        <v>0</v>
      </c>
      <c r="H170">
        <f>model_eui_end_uses!H170*base_scenario_arch_measures!$F170</f>
        <v>5.2415907170708804</v>
      </c>
      <c r="I170">
        <f>model_eui_end_uses!I170*base_scenario_arch_measures!$F170</f>
        <v>4.731616296805294E-3</v>
      </c>
      <c r="J170">
        <f>model_eui_end_uses!J170*base_scenario_arch_measures!$F170</f>
        <v>0</v>
      </c>
      <c r="K170">
        <f>model_eui_end_uses!K170*base_scenario_arch_measures!$F170</f>
        <v>3.2713416121015908E-2</v>
      </c>
      <c r="L170">
        <f>model_eui_end_uses!L170*base_scenario_arch_measures!$F170</f>
        <v>0.26087113815705393</v>
      </c>
      <c r="M170">
        <f>model_eui_end_uses!M170*base_scenario_arch_measures!$F170</f>
        <v>4.4644431352184419E-2</v>
      </c>
      <c r="N170">
        <f>model_eui_end_uses!N170*base_scenario_arch_measures!$F170</f>
        <v>0</v>
      </c>
      <c r="O170">
        <f>model_eui_end_uses!O170*base_scenario_arch_measures!$F170</f>
        <v>0.18538962128431083</v>
      </c>
      <c r="P170">
        <f>model_eui_end_uses!P170*base_scenario_arch_measures!$F170</f>
        <v>0.21777671904002982</v>
      </c>
      <c r="Q170">
        <f>model_eui_end_uses!Q170*base_scenario_arch_measures!$F170</f>
        <v>0</v>
      </c>
      <c r="R170" s="187">
        <f>model_eui_end_uses!R170*base_building_arch_areas!$N$28</f>
        <v>0</v>
      </c>
      <c r="S170" s="187">
        <f>model_eui_end_uses!S170*base_building_arch_areas!$N$28</f>
        <v>853298.30981968506</v>
      </c>
      <c r="T170" s="187">
        <f>model_eui_end_uses!T170*base_building_arch_areas!$N$28</f>
        <v>989.72767882563994</v>
      </c>
      <c r="U170" s="187">
        <f>model_eui_end_uses!U170*base_building_arch_areas!$N$28</f>
        <v>0</v>
      </c>
      <c r="V170" s="187">
        <f>model_eui_end_uses!V170*base_building_arch_areas!$N$28</f>
        <v>5455.4061746952802</v>
      </c>
      <c r="W170" s="187">
        <f>model_eui_end_uses!W170*base_building_arch_areas!$N$28</f>
        <v>62145.375077326789</v>
      </c>
      <c r="X170" s="187">
        <f>model_eui_end_uses!X170*base_building_arch_areas!$N$28</f>
        <v>7445.0649104787826</v>
      </c>
      <c r="Y170" s="187">
        <f>model_eui_end_uses!Y170*base_building_arch_areas!$N$28</f>
        <v>0</v>
      </c>
      <c r="Z170" s="187">
        <f>model_eui_end_uses!Z170*base_building_arch_areas!$N$28</f>
        <v>30596.529892492981</v>
      </c>
      <c r="AA170" s="187">
        <f>model_eui_end_uses!AA170*base_building_arch_areas!$N$28</f>
        <v>45918.602721047988</v>
      </c>
      <c r="AB170" s="187">
        <f>model_eui_end_uses!AB170*base_building_arch_areas!$N$28</f>
        <v>0</v>
      </c>
      <c r="AC170" s="187">
        <f>model_eui_end_uses!AC170*base_building_arch_areas!$N$28</f>
        <v>1005849.0162745526</v>
      </c>
      <c r="AD170" s="187">
        <f>model_eui_end_uses!AD170*base_building_arch_areas!$N$28</f>
        <v>-20808.089137646875</v>
      </c>
      <c r="AE170" s="187">
        <f>model_eui_end_uses!AE170*base_building_arch_areas!$N$28</f>
        <v>28123.911258450924</v>
      </c>
      <c r="AF170" s="187">
        <f t="shared" si="29"/>
        <v>7315.8221208040486</v>
      </c>
      <c r="AG170" s="187">
        <f>model_eui_end_uses!AH170*base_building_arch_areas!$N$28</f>
        <v>-337.09104402987936</v>
      </c>
      <c r="AH170" s="187">
        <f>model_eui_end_uses!AI170*base_building_arch_areas!$N$28</f>
        <v>3178.0019722049542</v>
      </c>
      <c r="AI170" s="187">
        <f t="shared" si="30"/>
        <v>2840.9109281750748</v>
      </c>
      <c r="AJ170" s="200">
        <f>sim_annual_output!F170/sim_annual_output!H170*base_building_arch_areas!$N$28</f>
        <v>48368.32235604275</v>
      </c>
      <c r="AK170">
        <f t="shared" si="31"/>
        <v>17.025638458546556</v>
      </c>
    </row>
    <row r="171" spans="1:37">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f>model_eui_end_uses!G171*base_scenario_arch_measures!$F171</f>
        <v>0</v>
      </c>
      <c r="H171">
        <f>model_eui_end_uses!H171*base_scenario_arch_measures!$F171</f>
        <v>4.7520723793298441</v>
      </c>
      <c r="I171">
        <f>model_eui_end_uses!I171*base_scenario_arch_measures!$F171</f>
        <v>7.2197938321942835E-3</v>
      </c>
      <c r="J171">
        <f>model_eui_end_uses!J171*base_scenario_arch_measures!$F171</f>
        <v>0</v>
      </c>
      <c r="K171">
        <f>model_eui_end_uses!K171*base_scenario_arch_measures!$F171</f>
        <v>3.2713416121015908E-2</v>
      </c>
      <c r="L171">
        <f>model_eui_end_uses!L171*base_scenario_arch_measures!$F171</f>
        <v>0.37265557316907894</v>
      </c>
      <c r="M171">
        <f>model_eui_end_uses!M171*base_scenario_arch_measures!$F171</f>
        <v>4.4644431352184419E-2</v>
      </c>
      <c r="N171">
        <f>model_eui_end_uses!N171*base_scenario_arch_measures!$F171</f>
        <v>0</v>
      </c>
      <c r="O171">
        <f>model_eui_end_uses!O171*base_scenario_arch_measures!$F171</f>
        <v>0.17247965095725157</v>
      </c>
      <c r="P171">
        <f>model_eui_end_uses!P171*base_scenario_arch_measures!$F171</f>
        <v>0.25770992899323997</v>
      </c>
      <c r="Q171">
        <f>model_eui_end_uses!Q171*base_scenario_arch_measures!$F171</f>
        <v>0</v>
      </c>
      <c r="R171" s="187">
        <f>model_eui_end_uses!R171*base_building_arch_areas!$N$28</f>
        <v>0</v>
      </c>
      <c r="S171" s="187">
        <f>model_eui_end_uses!S171*base_building_arch_areas!$N$28</f>
        <v>853298.30981968506</v>
      </c>
      <c r="T171" s="187">
        <f>model_eui_end_uses!T171*base_building_arch_areas!$N$28</f>
        <v>989.72767882563994</v>
      </c>
      <c r="U171" s="187">
        <f>model_eui_end_uses!U171*base_building_arch_areas!$N$28</f>
        <v>0</v>
      </c>
      <c r="V171" s="187">
        <f>model_eui_end_uses!V171*base_building_arch_areas!$N$28</f>
        <v>5455.4061746952802</v>
      </c>
      <c r="W171" s="187">
        <f>model_eui_end_uses!W171*base_building_arch_areas!$N$28</f>
        <v>62145.375077326789</v>
      </c>
      <c r="X171" s="187">
        <f>model_eui_end_uses!X171*base_building_arch_areas!$N$28</f>
        <v>7445.0649104787826</v>
      </c>
      <c r="Y171" s="187">
        <f>model_eui_end_uses!Y171*base_building_arch_areas!$N$28</f>
        <v>0</v>
      </c>
      <c r="Z171" s="187">
        <f>model_eui_end_uses!Z171*base_building_arch_areas!$N$28</f>
        <v>30596.529892492981</v>
      </c>
      <c r="AA171" s="187">
        <f>model_eui_end_uses!AA171*base_building_arch_areas!$N$28</f>
        <v>45918.602721047988</v>
      </c>
      <c r="AB171" s="187">
        <f>model_eui_end_uses!AB171*base_building_arch_areas!$N$28</f>
        <v>0</v>
      </c>
      <c r="AC171" s="187">
        <f>model_eui_end_uses!AC171*base_building_arch_areas!$N$28</f>
        <v>1005849.0162745526</v>
      </c>
      <c r="AD171" s="187">
        <f>model_eui_end_uses!AD171*base_building_arch_areas!$N$28</f>
        <v>60825.738172225967</v>
      </c>
      <c r="AE171" s="187">
        <f>model_eui_end_uses!AE171*base_building_arch_areas!$N$28</f>
        <v>4560.9100251037517</v>
      </c>
      <c r="AF171" s="187">
        <f t="shared" si="29"/>
        <v>65386.64819732972</v>
      </c>
      <c r="AG171" s="187">
        <f>model_eui_end_uses!AH171*base_building_arch_areas!$N$28</f>
        <v>985.37695839006074</v>
      </c>
      <c r="AH171" s="187">
        <f>model_eui_end_uses!AI171*base_building_arch_areas!$N$28</f>
        <v>515.38283283672388</v>
      </c>
      <c r="AI171" s="187">
        <f t="shared" si="30"/>
        <v>1500.7597912267847</v>
      </c>
      <c r="AJ171" s="200">
        <f>sim_annual_output!F171/sim_annual_output!H171*base_building_arch_areas!$N$28</f>
        <v>131741.75269255348</v>
      </c>
      <c r="AK171">
        <f t="shared" si="31"/>
        <v>87.783370438557782</v>
      </c>
    </row>
    <row r="172" spans="1:37">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f>model_eui_end_uses!G172*base_scenario_arch_measures!$F172</f>
        <v>0</v>
      </c>
      <c r="H172">
        <f>model_eui_end_uses!H172*base_scenario_arch_measures!$F172</f>
        <v>4.436298176211583</v>
      </c>
      <c r="I172">
        <f>model_eui_end_uses!I172*base_scenario_arch_measures!$F172</f>
        <v>8.0559846432676323E-3</v>
      </c>
      <c r="J172">
        <f>model_eui_end_uses!J172*base_scenario_arch_measures!$F172</f>
        <v>0</v>
      </c>
      <c r="K172">
        <f>model_eui_end_uses!K172*base_scenario_arch_measures!$F172</f>
        <v>3.2713416121015908E-2</v>
      </c>
      <c r="L172">
        <f>model_eui_end_uses!L172*base_scenario_arch_measures!$F172</f>
        <v>0.37265557316907894</v>
      </c>
      <c r="M172">
        <f>model_eui_end_uses!M172*base_scenario_arch_measures!$F172</f>
        <v>4.4644431352184419E-2</v>
      </c>
      <c r="N172">
        <f>model_eui_end_uses!N172*base_scenario_arch_measures!$F172</f>
        <v>0</v>
      </c>
      <c r="O172">
        <f>model_eui_end_uses!O172*base_scenario_arch_measures!$F172</f>
        <v>0.16175193469811541</v>
      </c>
      <c r="P172">
        <f>model_eui_end_uses!P172*base_scenario_arch_measures!$F172</f>
        <v>0.2435354750006552</v>
      </c>
      <c r="Q172">
        <f>model_eui_end_uses!Q172*base_scenario_arch_measures!$F172</f>
        <v>0</v>
      </c>
      <c r="R172" s="187">
        <f>model_eui_end_uses!R172*base_building_arch_areas!$N$28</f>
        <v>0</v>
      </c>
      <c r="S172" s="187">
        <f>model_eui_end_uses!S172*base_building_arch_areas!$N$28</f>
        <v>853298.30981968506</v>
      </c>
      <c r="T172" s="187">
        <f>model_eui_end_uses!T172*base_building_arch_areas!$N$28</f>
        <v>989.72767882563994</v>
      </c>
      <c r="U172" s="187">
        <f>model_eui_end_uses!U172*base_building_arch_areas!$N$28</f>
        <v>0</v>
      </c>
      <c r="V172" s="187">
        <f>model_eui_end_uses!V172*base_building_arch_areas!$N$28</f>
        <v>5455.4061746952802</v>
      </c>
      <c r="W172" s="187">
        <f>model_eui_end_uses!W172*base_building_arch_areas!$N$28</f>
        <v>62145.375077326789</v>
      </c>
      <c r="X172" s="187">
        <f>model_eui_end_uses!X172*base_building_arch_areas!$N$28</f>
        <v>7445.0649104787826</v>
      </c>
      <c r="Y172" s="187">
        <f>model_eui_end_uses!Y172*base_building_arch_areas!$N$28</f>
        <v>0</v>
      </c>
      <c r="Z172" s="187">
        <f>model_eui_end_uses!Z172*base_building_arch_areas!$N$28</f>
        <v>30596.529892492981</v>
      </c>
      <c r="AA172" s="187">
        <f>model_eui_end_uses!AA172*base_building_arch_areas!$N$28</f>
        <v>45918.602721047988</v>
      </c>
      <c r="AB172" s="187">
        <f>model_eui_end_uses!AB172*base_building_arch_areas!$N$28</f>
        <v>0</v>
      </c>
      <c r="AC172" s="187">
        <f>model_eui_end_uses!AC172*base_building_arch_areas!$N$28</f>
        <v>1005849.0162745526</v>
      </c>
      <c r="AD172" s="187">
        <f>model_eui_end_uses!AD172*base_building_arch_areas!$N$28</f>
        <v>113485.37271262947</v>
      </c>
      <c r="AE172" s="187">
        <f>model_eui_end_uses!AE172*base_building_arch_areas!$N$28</f>
        <v>8574.2387571114923</v>
      </c>
      <c r="AF172" s="187">
        <f t="shared" si="29"/>
        <v>122059.61146974096</v>
      </c>
      <c r="AG172" s="187">
        <f>model_eui_end_uses!AH172*base_building_arch_areas!$N$28</f>
        <v>1838.4630379445971</v>
      </c>
      <c r="AH172" s="187">
        <f>model_eui_end_uses!AI172*base_building_arch_areas!$N$28</f>
        <v>968.88897955359857</v>
      </c>
      <c r="AI172" s="187">
        <f t="shared" si="30"/>
        <v>2807.3520174981959</v>
      </c>
      <c r="AJ172" s="200">
        <f>sim_annual_output!F172/sim_annual_output!H172*base_building_arch_areas!$N$28</f>
        <v>322701.99038540758</v>
      </c>
      <c r="AK172">
        <f t="shared" si="31"/>
        <v>114.94888719833118</v>
      </c>
    </row>
    <row r="173" spans="1:37">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f>model_eui_end_uses!G173*base_scenario_arch_measures!$F173</f>
        <v>0</v>
      </c>
      <c r="H173">
        <f>model_eui_end_uses!H173*base_scenario_arch_measures!$F173</f>
        <v>5.0771670507568967</v>
      </c>
      <c r="I173">
        <f>model_eui_end_uses!I173*base_scenario_arch_measures!$F173</f>
        <v>8.2191438259160907E-3</v>
      </c>
      <c r="J173">
        <f>model_eui_end_uses!J173*base_scenario_arch_measures!$F173</f>
        <v>0</v>
      </c>
      <c r="K173">
        <f>model_eui_end_uses!K173*base_scenario_arch_measures!$F173</f>
        <v>3.2713416121015908E-2</v>
      </c>
      <c r="L173">
        <f>model_eui_end_uses!L173*base_scenario_arch_measures!$F173</f>
        <v>0.37265557316907894</v>
      </c>
      <c r="M173">
        <f>model_eui_end_uses!M173*base_scenario_arch_measures!$F173</f>
        <v>4.4644431352184419E-2</v>
      </c>
      <c r="N173">
        <f>model_eui_end_uses!N173*base_scenario_arch_measures!$F173</f>
        <v>0</v>
      </c>
      <c r="O173">
        <f>model_eui_end_uses!O173*base_scenario_arch_measures!$F173</f>
        <v>0.1832481570120498</v>
      </c>
      <c r="P173">
        <f>model_eui_end_uses!P173*base_scenario_arch_measures!$F173</f>
        <v>0.27500480235397656</v>
      </c>
      <c r="Q173">
        <f>model_eui_end_uses!Q173*base_scenario_arch_measures!$F173</f>
        <v>0</v>
      </c>
      <c r="R173" s="187">
        <f>model_eui_end_uses!R173*base_building_arch_areas!$N$28</f>
        <v>0</v>
      </c>
      <c r="S173" s="187">
        <f>model_eui_end_uses!S173*base_building_arch_areas!$N$28</f>
        <v>853298.30981968506</v>
      </c>
      <c r="T173" s="187">
        <f>model_eui_end_uses!T173*base_building_arch_areas!$N$28</f>
        <v>989.72767882563994</v>
      </c>
      <c r="U173" s="187">
        <f>model_eui_end_uses!U173*base_building_arch_areas!$N$28</f>
        <v>0</v>
      </c>
      <c r="V173" s="187">
        <f>model_eui_end_uses!V173*base_building_arch_areas!$N$28</f>
        <v>5455.4061746952802</v>
      </c>
      <c r="W173" s="187">
        <f>model_eui_end_uses!W173*base_building_arch_areas!$N$28</f>
        <v>62145.375077326789</v>
      </c>
      <c r="X173" s="187">
        <f>model_eui_end_uses!X173*base_building_arch_areas!$N$28</f>
        <v>7445.0649104787826</v>
      </c>
      <c r="Y173" s="187">
        <f>model_eui_end_uses!Y173*base_building_arch_areas!$N$28</f>
        <v>0</v>
      </c>
      <c r="Z173" s="187">
        <f>model_eui_end_uses!Z173*base_building_arch_areas!$N$28</f>
        <v>30596.529892492981</v>
      </c>
      <c r="AA173" s="187">
        <f>model_eui_end_uses!AA173*base_building_arch_areas!$N$28</f>
        <v>45918.602721047988</v>
      </c>
      <c r="AB173" s="187">
        <f>model_eui_end_uses!AB173*base_building_arch_areas!$N$28</f>
        <v>0</v>
      </c>
      <c r="AC173" s="187">
        <f>model_eui_end_uses!AC173*base_building_arch_areas!$N$28</f>
        <v>1005849.0162745526</v>
      </c>
      <c r="AD173" s="187">
        <f>model_eui_end_uses!AD173*base_building_arch_areas!$N$28</f>
        <v>6611.7890296806245</v>
      </c>
      <c r="AE173" s="187">
        <f>model_eui_end_uses!AE173*base_building_arch_areas!$N$28</f>
        <v>-285.69458770221917</v>
      </c>
      <c r="AF173" s="187">
        <f t="shared" si="29"/>
        <v>6326.0944419784055</v>
      </c>
      <c r="AG173" s="187">
        <f>model_eui_end_uses!AH173*base_building_arch_areas!$N$28</f>
        <v>107.11098228082611</v>
      </c>
      <c r="AH173" s="187">
        <f>model_eui_end_uses!AI173*base_building_arch_areas!$N$28</f>
        <v>-32.28348841035077</v>
      </c>
      <c r="AI173" s="187">
        <f t="shared" si="30"/>
        <v>74.827493870475337</v>
      </c>
      <c r="AJ173" s="200">
        <f>sim_annual_output!F173/sim_annual_output!H173*base_building_arch_areas!$N$28</f>
        <v>8389.4823639695478</v>
      </c>
      <c r="AK173">
        <f t="shared" si="31"/>
        <v>112.11764459854219</v>
      </c>
    </row>
    <row r="174" spans="1:37">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f>model_eui_end_uses!G174*base_scenario_arch_measures!$F174</f>
        <v>0</v>
      </c>
      <c r="H174">
        <f>model_eui_end_uses!H174*base_scenario_arch_measures!$F174</f>
        <v>5.0857533027437727</v>
      </c>
      <c r="I174">
        <f>model_eui_end_uses!I174*base_scenario_arch_measures!$F174</f>
        <v>8.2191438259160907E-3</v>
      </c>
      <c r="J174">
        <f>model_eui_end_uses!J174*base_scenario_arch_measures!$F174</f>
        <v>0</v>
      </c>
      <c r="K174">
        <f>model_eui_end_uses!K174*base_scenario_arch_measures!$F174</f>
        <v>3.2713416121015908E-2</v>
      </c>
      <c r="L174">
        <f>model_eui_end_uses!L174*base_scenario_arch_measures!$F174</f>
        <v>0.37265557316907894</v>
      </c>
      <c r="M174">
        <f>model_eui_end_uses!M174*base_scenario_arch_measures!$F174</f>
        <v>4.4644431352184419E-2</v>
      </c>
      <c r="N174">
        <f>model_eui_end_uses!N174*base_scenario_arch_measures!$F174</f>
        <v>0</v>
      </c>
      <c r="O174">
        <f>model_eui_end_uses!O174*base_scenario_arch_measures!$F174</f>
        <v>0.1833501315012051</v>
      </c>
      <c r="P174">
        <f>model_eui_end_uses!P174*base_scenario_arch_measures!$F174</f>
        <v>0.27539230541276671</v>
      </c>
      <c r="Q174">
        <f>model_eui_end_uses!Q174*base_scenario_arch_measures!$F174</f>
        <v>0</v>
      </c>
      <c r="R174" s="187">
        <f>model_eui_end_uses!R174*base_building_arch_areas!$N$28</f>
        <v>0</v>
      </c>
      <c r="S174" s="187">
        <f>model_eui_end_uses!S174*base_building_arch_areas!$N$28</f>
        <v>853298.30981968506</v>
      </c>
      <c r="T174" s="187">
        <f>model_eui_end_uses!T174*base_building_arch_areas!$N$28</f>
        <v>989.72767882563994</v>
      </c>
      <c r="U174" s="187">
        <f>model_eui_end_uses!U174*base_building_arch_areas!$N$28</f>
        <v>0</v>
      </c>
      <c r="V174" s="187">
        <f>model_eui_end_uses!V174*base_building_arch_areas!$N$28</f>
        <v>5455.4061746952802</v>
      </c>
      <c r="W174" s="187">
        <f>model_eui_end_uses!W174*base_building_arch_areas!$N$28</f>
        <v>62145.375077326789</v>
      </c>
      <c r="X174" s="187">
        <f>model_eui_end_uses!X174*base_building_arch_areas!$N$28</f>
        <v>7445.0649104787826</v>
      </c>
      <c r="Y174" s="187">
        <f>model_eui_end_uses!Y174*base_building_arch_areas!$N$28</f>
        <v>0</v>
      </c>
      <c r="Z174" s="187">
        <f>model_eui_end_uses!Z174*base_building_arch_areas!$N$28</f>
        <v>30596.529892492981</v>
      </c>
      <c r="AA174" s="187">
        <f>model_eui_end_uses!AA174*base_building_arch_areas!$N$28</f>
        <v>45918.602721047988</v>
      </c>
      <c r="AB174" s="187">
        <f>model_eui_end_uses!AB174*base_building_arch_areas!$N$28</f>
        <v>0</v>
      </c>
      <c r="AC174" s="187">
        <f>model_eui_end_uses!AC174*base_building_arch_areas!$N$28</f>
        <v>1005849.0162745526</v>
      </c>
      <c r="AD174" s="187">
        <f>model_eui_end_uses!AD174*base_building_arch_areas!$N$28</f>
        <v>5179.9149651252847</v>
      </c>
      <c r="AE174" s="187">
        <f>model_eui_end_uses!AE174*base_building_arch_areas!$N$28</f>
        <v>-367.32161276000977</v>
      </c>
      <c r="AF174" s="187">
        <f t="shared" si="29"/>
        <v>4812.5933523652748</v>
      </c>
      <c r="AG174" s="187">
        <f>model_eui_end_uses!AH174*base_building_arch_areas!$N$28</f>
        <v>83.914622435029614</v>
      </c>
      <c r="AH174" s="187">
        <f>model_eui_end_uses!AI174*base_building_arch_areas!$N$28</f>
        <v>-41.507342241881105</v>
      </c>
      <c r="AI174" s="187">
        <f t="shared" si="30"/>
        <v>42.407280193148509</v>
      </c>
      <c r="AJ174" s="200">
        <f>sim_annual_output!F174/sim_annual_output!H174*base_building_arch_areas!$N$28</f>
        <v>918.49537640082917</v>
      </c>
      <c r="AK174">
        <f t="shared" si="31"/>
        <v>21.658907909619373</v>
      </c>
    </row>
    <row r="175" spans="1:37">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f>model_eui_end_uses!G175*base_scenario_arch_measures!$F175</f>
        <v>0</v>
      </c>
      <c r="H175">
        <f>model_eui_end_uses!H175*base_scenario_arch_measures!$F175</f>
        <v>5.086609888452676</v>
      </c>
      <c r="I175">
        <f>model_eui_end_uses!I175*base_scenario_arch_measures!$F175</f>
        <v>8.1783540302539769E-3</v>
      </c>
      <c r="J175">
        <f>model_eui_end_uses!J175*base_scenario_arch_measures!$F175</f>
        <v>0</v>
      </c>
      <c r="K175">
        <f>model_eui_end_uses!K175*base_scenario_arch_measures!$F175</f>
        <v>3.2713416121015908E-2</v>
      </c>
      <c r="L175">
        <f>model_eui_end_uses!L175*base_scenario_arch_measures!$F175</f>
        <v>0.37265557316907894</v>
      </c>
      <c r="M175">
        <f>model_eui_end_uses!M175*base_scenario_arch_measures!$F175</f>
        <v>4.4644431352184419E-2</v>
      </c>
      <c r="N175">
        <f>model_eui_end_uses!N175*base_scenario_arch_measures!$F175</f>
        <v>0</v>
      </c>
      <c r="O175">
        <f>model_eui_end_uses!O175*base_scenario_arch_measures!$F175</f>
        <v>0.18271788966844235</v>
      </c>
      <c r="P175">
        <f>model_eui_end_uses!P175*base_scenario_arch_measures!$F175</f>
        <v>0.27543309520842879</v>
      </c>
      <c r="Q175">
        <f>model_eui_end_uses!Q175*base_scenario_arch_measures!$F175</f>
        <v>0</v>
      </c>
      <c r="R175" s="187">
        <f>model_eui_end_uses!R175*base_building_arch_areas!$N$28</f>
        <v>0</v>
      </c>
      <c r="S175" s="187">
        <f>model_eui_end_uses!S175*base_building_arch_areas!$N$28</f>
        <v>853298.30981968506</v>
      </c>
      <c r="T175" s="187">
        <f>model_eui_end_uses!T175*base_building_arch_areas!$N$28</f>
        <v>989.72767882563994</v>
      </c>
      <c r="U175" s="187">
        <f>model_eui_end_uses!U175*base_building_arch_areas!$N$28</f>
        <v>0</v>
      </c>
      <c r="V175" s="187">
        <f>model_eui_end_uses!V175*base_building_arch_areas!$N$28</f>
        <v>5455.4061746952802</v>
      </c>
      <c r="W175" s="187">
        <f>model_eui_end_uses!W175*base_building_arch_areas!$N$28</f>
        <v>62145.375077326789</v>
      </c>
      <c r="X175" s="187">
        <f>model_eui_end_uses!X175*base_building_arch_areas!$N$28</f>
        <v>7445.0649104787826</v>
      </c>
      <c r="Y175" s="187">
        <f>model_eui_end_uses!Y175*base_building_arch_areas!$N$28</f>
        <v>0</v>
      </c>
      <c r="Z175" s="187">
        <f>model_eui_end_uses!Z175*base_building_arch_areas!$N$28</f>
        <v>30596.529892492981</v>
      </c>
      <c r="AA175" s="187">
        <f>model_eui_end_uses!AA175*base_building_arch_areas!$N$28</f>
        <v>45918.602721047988</v>
      </c>
      <c r="AB175" s="187">
        <f>model_eui_end_uses!AB175*base_building_arch_areas!$N$28</f>
        <v>0</v>
      </c>
      <c r="AC175" s="187">
        <f>model_eui_end_uses!AC175*base_building_arch_areas!$N$28</f>
        <v>1005849.0162745526</v>
      </c>
      <c r="AD175" s="187">
        <f>model_eui_end_uses!AD175*base_building_arch_areas!$N$28</f>
        <v>5037.0676712743352</v>
      </c>
      <c r="AE175" s="187">
        <f>model_eui_end_uses!AE175*base_building_arch_areas!$N$28</f>
        <v>-261.8867053937276</v>
      </c>
      <c r="AF175" s="187">
        <f t="shared" si="29"/>
        <v>4775.1809658806078</v>
      </c>
      <c r="AG175" s="187">
        <f>model_eui_end_uses!AH175*base_building_arch_areas!$N$28</f>
        <v>81.600496274644229</v>
      </c>
      <c r="AH175" s="187">
        <f>model_eui_end_uses!AI175*base_building_arch_areas!$N$28</f>
        <v>-29.593197709491218</v>
      </c>
      <c r="AI175" s="187">
        <f t="shared" si="30"/>
        <v>52.007298565153008</v>
      </c>
      <c r="AJ175" s="200">
        <f>sim_annual_output!F175/sim_annual_output!H175*base_building_arch_areas!$N$28</f>
        <v>3297.569543251193</v>
      </c>
      <c r="AK175">
        <f t="shared" si="31"/>
        <v>63.405899445442408</v>
      </c>
    </row>
    <row r="176" spans="1:37">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f>model_eui_end_uses!G176*base_scenario_arch_measures!$F176</f>
        <v>0</v>
      </c>
      <c r="H176">
        <f>model_eui_end_uses!H176*base_scenario_arch_measures!$F176</f>
        <v>4.9949348227020733</v>
      </c>
      <c r="I176">
        <f>model_eui_end_uses!I176*base_scenario_arch_measures!$F176</f>
        <v>8.9125703521720397E-3</v>
      </c>
      <c r="J176">
        <f>model_eui_end_uses!J176*base_scenario_arch_measures!$F176</f>
        <v>0</v>
      </c>
      <c r="K176">
        <f>model_eui_end_uses!K176*base_scenario_arch_measures!$F176</f>
        <v>3.2713416121015908E-2</v>
      </c>
      <c r="L176">
        <f>model_eui_end_uses!L176*base_scenario_arch_measures!$F176</f>
        <v>0.37265557316907894</v>
      </c>
      <c r="M176">
        <f>model_eui_end_uses!M176*base_scenario_arch_measures!$F176</f>
        <v>4.4644431352184419E-2</v>
      </c>
      <c r="N176">
        <f>model_eui_end_uses!N176*base_scenario_arch_measures!$F176</f>
        <v>0</v>
      </c>
      <c r="O176">
        <f>model_eui_end_uses!O176*base_scenario_arch_measures!$F176</f>
        <v>0.18304420803373925</v>
      </c>
      <c r="P176">
        <f>model_eui_end_uses!P176*base_scenario_arch_measures!$F176</f>
        <v>0.27482124827349708</v>
      </c>
      <c r="Q176">
        <f>model_eui_end_uses!Q176*base_scenario_arch_measures!$F176</f>
        <v>1.6234338673521607E-2</v>
      </c>
      <c r="R176" s="187">
        <f>model_eui_end_uses!R176*base_building_arch_areas!$N$28</f>
        <v>0</v>
      </c>
      <c r="S176" s="187">
        <f>model_eui_end_uses!S176*base_building_arch_areas!$N$28</f>
        <v>853298.30981968506</v>
      </c>
      <c r="T176" s="187">
        <f>model_eui_end_uses!T176*base_building_arch_areas!$N$28</f>
        <v>989.72767882563994</v>
      </c>
      <c r="U176" s="187">
        <f>model_eui_end_uses!U176*base_building_arch_areas!$N$28</f>
        <v>0</v>
      </c>
      <c r="V176" s="187">
        <f>model_eui_end_uses!V176*base_building_arch_areas!$N$28</f>
        <v>5455.4061746952802</v>
      </c>
      <c r="W176" s="187">
        <f>model_eui_end_uses!W176*base_building_arch_areas!$N$28</f>
        <v>62145.375077326789</v>
      </c>
      <c r="X176" s="187">
        <f>model_eui_end_uses!X176*base_building_arch_areas!$N$28</f>
        <v>7445.0649104787826</v>
      </c>
      <c r="Y176" s="187">
        <f>model_eui_end_uses!Y176*base_building_arch_areas!$N$28</f>
        <v>0</v>
      </c>
      <c r="Z176" s="187">
        <f>model_eui_end_uses!Z176*base_building_arch_areas!$N$28</f>
        <v>30596.529892492981</v>
      </c>
      <c r="AA176" s="187">
        <f>model_eui_end_uses!AA176*base_building_arch_areas!$N$28</f>
        <v>45918.602721047988</v>
      </c>
      <c r="AB176" s="187">
        <f>model_eui_end_uses!AB176*base_building_arch_areas!$N$28</f>
        <v>0</v>
      </c>
      <c r="AC176" s="187">
        <f>model_eui_end_uses!AC176*base_building_arch_areas!$N$28</f>
        <v>1005849.0162745526</v>
      </c>
      <c r="AD176" s="187">
        <f>model_eui_end_uses!AD176*base_building_arch_areas!$N$28</f>
        <v>20325.129239388552</v>
      </c>
      <c r="AE176" s="187">
        <f>model_eui_end_uses!AE176*base_building_arch_areas!$N$28</f>
        <v>-3044.0078094465207</v>
      </c>
      <c r="AF176" s="187">
        <f t="shared" si="29"/>
        <v>17281.121429942032</v>
      </c>
      <c r="AG176" s="187">
        <f>model_eui_end_uses!AH176*base_building_arch_areas!$N$28</f>
        <v>329.26709367809457</v>
      </c>
      <c r="AH176" s="187">
        <f>model_eui_end_uses!AI176*base_building_arch_areas!$N$28</f>
        <v>-343.97288246745683</v>
      </c>
      <c r="AI176" s="187">
        <f t="shared" si="30"/>
        <v>-14.705788789362259</v>
      </c>
      <c r="AJ176" s="200">
        <f>sim_annual_output!F176/sim_annual_output!H176*base_building_arch_areas!$N$28</f>
        <v>59513.290849214784</v>
      </c>
      <c r="AK176">
        <f t="shared" si="31"/>
        <v>-4046.9295256208884</v>
      </c>
    </row>
    <row r="177" spans="1:37">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f>model_eui_end_uses!G177*base_scenario_arch_measures!$F177</f>
        <v>0</v>
      </c>
      <c r="H177">
        <f>model_eui_end_uses!H177*base_scenario_arch_measures!$F177</f>
        <v>2.821960433292074</v>
      </c>
      <c r="I177">
        <f>model_eui_end_uses!I177*base_scenario_arch_measures!$F177</f>
        <v>1.0442187689501337E-2</v>
      </c>
      <c r="J177">
        <f>model_eui_end_uses!J177*base_scenario_arch_measures!$F177</f>
        <v>0</v>
      </c>
      <c r="K177">
        <f>model_eui_end_uses!K177*base_scenario_arch_measures!$F177</f>
        <v>3.2713416121015908E-2</v>
      </c>
      <c r="L177">
        <f>model_eui_end_uses!L177*base_scenario_arch_measures!$F177</f>
        <v>0.37265557316907894</v>
      </c>
      <c r="M177">
        <f>model_eui_end_uses!M177*base_scenario_arch_measures!$F177</f>
        <v>4.4644431352184419E-2</v>
      </c>
      <c r="N177">
        <f>model_eui_end_uses!N177*base_scenario_arch_measures!$F177</f>
        <v>0</v>
      </c>
      <c r="O177">
        <f>model_eui_end_uses!O177*base_scenario_arch_measures!$F177</f>
        <v>0.10927586257880501</v>
      </c>
      <c r="P177">
        <f>model_eui_end_uses!P177*base_scenario_arch_measures!$F177</f>
        <v>0.15969205001717865</v>
      </c>
      <c r="Q177">
        <f>model_eui_end_uses!Q177*base_scenario_arch_measures!$F177</f>
        <v>0</v>
      </c>
      <c r="R177" s="187">
        <f>model_eui_end_uses!R177*base_building_arch_areas!$N$28</f>
        <v>0</v>
      </c>
      <c r="S177" s="187">
        <f>model_eui_end_uses!S177*base_building_arch_areas!$N$28</f>
        <v>853298.30981968506</v>
      </c>
      <c r="T177" s="187">
        <f>model_eui_end_uses!T177*base_building_arch_areas!$N$28</f>
        <v>989.72767882563994</v>
      </c>
      <c r="U177" s="187">
        <f>model_eui_end_uses!U177*base_building_arch_areas!$N$28</f>
        <v>0</v>
      </c>
      <c r="V177" s="187">
        <f>model_eui_end_uses!V177*base_building_arch_areas!$N$28</f>
        <v>5455.4061746952802</v>
      </c>
      <c r="W177" s="187">
        <f>model_eui_end_uses!W177*base_building_arch_areas!$N$28</f>
        <v>62145.375077326789</v>
      </c>
      <c r="X177" s="187">
        <f>model_eui_end_uses!X177*base_building_arch_areas!$N$28</f>
        <v>7445.0649104787826</v>
      </c>
      <c r="Y177" s="187">
        <f>model_eui_end_uses!Y177*base_building_arch_areas!$N$28</f>
        <v>0</v>
      </c>
      <c r="Z177" s="187">
        <f>model_eui_end_uses!Z177*base_building_arch_areas!$N$28</f>
        <v>30596.529892492981</v>
      </c>
      <c r="AA177" s="187">
        <f>model_eui_end_uses!AA177*base_building_arch_areas!$N$28</f>
        <v>45918.602721047988</v>
      </c>
      <c r="AB177" s="187">
        <f>model_eui_end_uses!AB177*base_building_arch_areas!$N$28</f>
        <v>0</v>
      </c>
      <c r="AC177" s="187">
        <f>model_eui_end_uses!AC177*base_building_arch_areas!$N$28</f>
        <v>1005849.0162745526</v>
      </c>
      <c r="AD177" s="187">
        <f>model_eui_end_uses!AD177*base_building_arch_areas!$N$28</f>
        <v>382698.10360529157</v>
      </c>
      <c r="AE177" s="187">
        <f>model_eui_end_uses!AE177*base_building_arch_areas!$N$28</f>
        <v>30909.433488547831</v>
      </c>
      <c r="AF177" s="187">
        <f t="shared" si="29"/>
        <v>413607.53709383938</v>
      </c>
      <c r="AG177" s="187">
        <f>model_eui_end_uses!AH177*base_building_arch_areas!$N$28</f>
        <v>6199.709278405724</v>
      </c>
      <c r="AH177" s="187">
        <f>model_eui_end_uses!AI177*base_building_arch_areas!$N$28</f>
        <v>3492.7659842059052</v>
      </c>
      <c r="AI177" s="187">
        <f t="shared" si="30"/>
        <v>9692.4752626116297</v>
      </c>
      <c r="AJ177" s="200">
        <f>sim_annual_output!F177/sim_annual_output!H177*base_building_arch_areas!$N$28</f>
        <v>57382.723859909296</v>
      </c>
      <c r="AK177">
        <f t="shared" si="31"/>
        <v>5.9203374066128456</v>
      </c>
    </row>
    <row r="178" spans="1:37">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f>model_eui_end_uses!G178*base_scenario_arch_measures!$F178</f>
        <v>0</v>
      </c>
      <c r="H178">
        <f>model_eui_end_uses!H178*base_scenario_arch_measures!$F178</f>
        <v>2.4654168294095302</v>
      </c>
      <c r="I178">
        <f>model_eui_end_uses!I178*base_scenario_arch_measures!$F178</f>
        <v>1.0217843813359707E-2</v>
      </c>
      <c r="J178">
        <f>model_eui_end_uses!J178*base_scenario_arch_measures!$F178</f>
        <v>0</v>
      </c>
      <c r="K178">
        <f>model_eui_end_uses!K178*base_scenario_arch_measures!$F178</f>
        <v>3.2713416121015908E-2</v>
      </c>
      <c r="L178">
        <f>model_eui_end_uses!L178*base_scenario_arch_measures!$F178</f>
        <v>0.37265557316907894</v>
      </c>
      <c r="M178">
        <f>model_eui_end_uses!M178*base_scenario_arch_measures!$F178</f>
        <v>4.4644431352184419E-2</v>
      </c>
      <c r="N178">
        <f>model_eui_end_uses!N178*base_scenario_arch_measures!$F178</f>
        <v>0</v>
      </c>
      <c r="O178">
        <f>model_eui_end_uses!O178*base_scenario_arch_measures!$F178</f>
        <v>0.11451735132138673</v>
      </c>
      <c r="P178">
        <f>model_eui_end_uses!P178*base_scenario_arch_measures!$F178</f>
        <v>0.16030389695211036</v>
      </c>
      <c r="Q178">
        <f>model_eui_end_uses!Q178*base_scenario_arch_measures!$F178</f>
        <v>0</v>
      </c>
      <c r="R178" s="187">
        <f>model_eui_end_uses!R178*base_building_arch_areas!$N$28</f>
        <v>0</v>
      </c>
      <c r="S178" s="187">
        <f>model_eui_end_uses!S178*base_building_arch_areas!$N$28</f>
        <v>853298.30981968506</v>
      </c>
      <c r="T178" s="187">
        <f>model_eui_end_uses!T178*base_building_arch_areas!$N$28</f>
        <v>989.72767882563994</v>
      </c>
      <c r="U178" s="187">
        <f>model_eui_end_uses!U178*base_building_arch_areas!$N$28</f>
        <v>0</v>
      </c>
      <c r="V178" s="187">
        <f>model_eui_end_uses!V178*base_building_arch_areas!$N$28</f>
        <v>5455.4061746952802</v>
      </c>
      <c r="W178" s="187">
        <f>model_eui_end_uses!W178*base_building_arch_areas!$N$28</f>
        <v>62145.375077326789</v>
      </c>
      <c r="X178" s="187">
        <f>model_eui_end_uses!X178*base_building_arch_areas!$N$28</f>
        <v>7445.0649104787826</v>
      </c>
      <c r="Y178" s="187">
        <f>model_eui_end_uses!Y178*base_building_arch_areas!$N$28</f>
        <v>0</v>
      </c>
      <c r="Z178" s="187">
        <f>model_eui_end_uses!Z178*base_building_arch_areas!$N$28</f>
        <v>30596.529892492981</v>
      </c>
      <c r="AA178" s="187">
        <f>model_eui_end_uses!AA178*base_building_arch_areas!$N$28</f>
        <v>45918.602721047988</v>
      </c>
      <c r="AB178" s="187">
        <f>model_eui_end_uses!AB178*base_building_arch_areas!$N$28</f>
        <v>0</v>
      </c>
      <c r="AC178" s="187">
        <f>model_eui_end_uses!AC178*base_building_arch_areas!$N$28</f>
        <v>1005849.0162745526</v>
      </c>
      <c r="AD178" s="187">
        <f>model_eui_end_uses!AD178*base_building_arch_areas!$N$28</f>
        <v>442156.58910779963</v>
      </c>
      <c r="AE178" s="187">
        <f>model_eui_end_uses!AE178*base_building_arch_areas!$N$28</f>
        <v>29970.722700383321</v>
      </c>
      <c r="AF178" s="187">
        <f t="shared" si="29"/>
        <v>472127.31180818297</v>
      </c>
      <c r="AG178" s="187">
        <f>model_eui_end_uses!AH178*base_building_arch_areas!$N$28</f>
        <v>7162.9367435463537</v>
      </c>
      <c r="AH178" s="187">
        <f>model_eui_end_uses!AI178*base_building_arch_areas!$N$28</f>
        <v>3386.6916651433153</v>
      </c>
      <c r="AI178" s="187">
        <f t="shared" si="30"/>
        <v>10549.628408689669</v>
      </c>
      <c r="AJ178" s="200">
        <f>sim_annual_output!F178/sim_annual_output!H178*base_building_arch_areas!$N$28</f>
        <v>62763.344655751731</v>
      </c>
      <c r="AK178">
        <f t="shared" si="31"/>
        <v>5.9493417421275163</v>
      </c>
    </row>
    <row r="179" spans="1:37">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f>model_eui_end_uses!G179*base_scenario_arch_measures!$F179</f>
        <v>0</v>
      </c>
      <c r="H179">
        <f>model_eui_end_uses!H179*base_scenario_arch_measures!$F179</f>
        <v>5.240142679324876</v>
      </c>
      <c r="I179">
        <f>model_eui_end_uses!I179*base_scenario_arch_measures!$F179</f>
        <v>4.8743805816226947E-3</v>
      </c>
      <c r="J179">
        <f>model_eui_end_uses!J179*base_scenario_arch_measures!$F179</f>
        <v>0</v>
      </c>
      <c r="K179">
        <f>model_eui_end_uses!K179*base_scenario_arch_measures!$F179</f>
        <v>3.2713416121015908E-2</v>
      </c>
      <c r="L179">
        <f>model_eui_end_uses!L179*base_scenario_arch_measures!$F179</f>
        <v>0.26087113815705393</v>
      </c>
      <c r="M179">
        <f>model_eui_end_uses!M179*base_scenario_arch_measures!$F179</f>
        <v>4.4644431352184419E-2</v>
      </c>
      <c r="N179">
        <f>model_eui_end_uses!N179*base_scenario_arch_measures!$F179</f>
        <v>0</v>
      </c>
      <c r="O179">
        <f>model_eui_end_uses!O179*base_scenario_arch_measures!$F179</f>
        <v>0.1853488314886487</v>
      </c>
      <c r="P179">
        <f>model_eui_end_uses!P179*base_scenario_arch_measures!$F179</f>
        <v>0.27839035539393214</v>
      </c>
      <c r="Q179">
        <f>model_eui_end_uses!Q179*base_scenario_arch_measures!$F179</f>
        <v>0</v>
      </c>
      <c r="R179" s="187">
        <f>model_eui_end_uses!R179*base_building_arch_areas!$N$28</f>
        <v>0</v>
      </c>
      <c r="S179" s="187">
        <f>model_eui_end_uses!S179*base_building_arch_areas!$N$28</f>
        <v>853298.30981968506</v>
      </c>
      <c r="T179" s="187">
        <f>model_eui_end_uses!T179*base_building_arch_areas!$N$28</f>
        <v>989.72767882563994</v>
      </c>
      <c r="U179" s="187">
        <f>model_eui_end_uses!U179*base_building_arch_areas!$N$28</f>
        <v>0</v>
      </c>
      <c r="V179" s="187">
        <f>model_eui_end_uses!V179*base_building_arch_areas!$N$28</f>
        <v>5455.4061746952802</v>
      </c>
      <c r="W179" s="187">
        <f>model_eui_end_uses!W179*base_building_arch_areas!$N$28</f>
        <v>62145.375077326789</v>
      </c>
      <c r="X179" s="187">
        <f>model_eui_end_uses!X179*base_building_arch_areas!$N$28</f>
        <v>7445.0649104787826</v>
      </c>
      <c r="Y179" s="187">
        <f>model_eui_end_uses!Y179*base_building_arch_areas!$N$28</f>
        <v>0</v>
      </c>
      <c r="Z179" s="187">
        <f>model_eui_end_uses!Z179*base_building_arch_areas!$N$28</f>
        <v>30596.529892492981</v>
      </c>
      <c r="AA179" s="187">
        <f>model_eui_end_uses!AA179*base_building_arch_areas!$N$28</f>
        <v>45918.602721047988</v>
      </c>
      <c r="AB179" s="187">
        <f>model_eui_end_uses!AB179*base_building_arch_areas!$N$28</f>
        <v>0</v>
      </c>
      <c r="AC179" s="187">
        <f>model_eui_end_uses!AC179*base_building_arch_areas!$N$28</f>
        <v>1005849.0162745526</v>
      </c>
      <c r="AD179" s="187">
        <f>model_eui_end_uses!AD179*base_building_arch_areas!$N$28</f>
        <v>-20566.60918851765</v>
      </c>
      <c r="AE179" s="187">
        <f>model_eui_end_uses!AE179*base_building_arch_areas!$N$28</f>
        <v>17998.759025241536</v>
      </c>
      <c r="AF179" s="187">
        <f t="shared" si="29"/>
        <v>-2567.8501632761145</v>
      </c>
      <c r="AG179" s="187">
        <f>model_eui_end_uses!AH179*base_building_arch_areas!$N$28</f>
        <v>-333.17906885398594</v>
      </c>
      <c r="AH179" s="187">
        <f>model_eui_end_uses!AI179*base_building_arch_areas!$N$28</f>
        <v>2033.8597698522938</v>
      </c>
      <c r="AI179" s="187">
        <f t="shared" si="30"/>
        <v>1700.6807009983079</v>
      </c>
      <c r="AJ179" s="200">
        <f>sim_annual_output!F179/sim_annual_output!H179*base_building_arch_areas!$N$28</f>
        <v>29441.751723969013</v>
      </c>
      <c r="AK179">
        <f t="shared" si="31"/>
        <v>17.311745647896494</v>
      </c>
    </row>
    <row r="180" spans="1:37">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f>model_eui_end_uses!G180*base_scenario_arch_measures!$F180</f>
        <v>0</v>
      </c>
      <c r="H180">
        <f>model_eui_end_uses!H180*base_scenario_arch_measures!$F180</f>
        <v>1.5217653016643404</v>
      </c>
      <c r="I180">
        <f>model_eui_end_uses!I180*base_scenario_arch_measures!$F180</f>
        <v>1.0217843813359707E-2</v>
      </c>
      <c r="J180">
        <f>model_eui_end_uses!J180*base_scenario_arch_measures!$F180</f>
        <v>0</v>
      </c>
      <c r="K180">
        <f>model_eui_end_uses!K180*base_scenario_arch_measures!$F180</f>
        <v>3.2713416121015908E-2</v>
      </c>
      <c r="L180">
        <f>model_eui_end_uses!L180*base_scenario_arch_measures!$F180</f>
        <v>0.37265557316907894</v>
      </c>
      <c r="M180">
        <f>model_eui_end_uses!M180*base_scenario_arch_measures!$F180</f>
        <v>4.4644431352184419E-2</v>
      </c>
      <c r="N180">
        <f>model_eui_end_uses!N180*base_scenario_arch_measures!$F180</f>
        <v>0</v>
      </c>
      <c r="O180">
        <f>model_eui_end_uses!O180*base_scenario_arch_measures!$F180</f>
        <v>0.11451735132138673</v>
      </c>
      <c r="P180">
        <f>model_eui_end_uses!P180*base_scenario_arch_measures!$F180</f>
        <v>0.16030389695211036</v>
      </c>
      <c r="Q180">
        <f>model_eui_end_uses!Q180*base_scenario_arch_measures!$F180</f>
        <v>0</v>
      </c>
      <c r="R180" s="187">
        <f>model_eui_end_uses!R180*base_building_arch_areas!$N$28</f>
        <v>0</v>
      </c>
      <c r="S180" s="187">
        <f>model_eui_end_uses!S180*base_building_arch_areas!$N$28</f>
        <v>853298.30981968506</v>
      </c>
      <c r="T180" s="187">
        <f>model_eui_end_uses!T180*base_building_arch_areas!$N$28</f>
        <v>989.72767882563994</v>
      </c>
      <c r="U180" s="187">
        <f>model_eui_end_uses!U180*base_building_arch_areas!$N$28</f>
        <v>0</v>
      </c>
      <c r="V180" s="187">
        <f>model_eui_end_uses!V180*base_building_arch_areas!$N$28</f>
        <v>5455.4061746952802</v>
      </c>
      <c r="W180" s="187">
        <f>model_eui_end_uses!W180*base_building_arch_areas!$N$28</f>
        <v>62145.375077326789</v>
      </c>
      <c r="X180" s="187">
        <f>model_eui_end_uses!X180*base_building_arch_areas!$N$28</f>
        <v>7445.0649104787826</v>
      </c>
      <c r="Y180" s="187">
        <f>model_eui_end_uses!Y180*base_building_arch_areas!$N$28</f>
        <v>0</v>
      </c>
      <c r="Z180" s="187">
        <f>model_eui_end_uses!Z180*base_building_arch_areas!$N$28</f>
        <v>30596.529892492981</v>
      </c>
      <c r="AA180" s="187">
        <f>model_eui_end_uses!AA180*base_building_arch_areas!$N$28</f>
        <v>45918.602721047988</v>
      </c>
      <c r="AB180" s="187">
        <f>model_eui_end_uses!AB180*base_building_arch_areas!$N$28</f>
        <v>0</v>
      </c>
      <c r="AC180" s="187">
        <f>model_eui_end_uses!AC180*base_building_arch_areas!$N$28</f>
        <v>1005849.0162745526</v>
      </c>
      <c r="AD180" s="187">
        <f>model_eui_end_uses!AD180*base_building_arch_areas!$N$28</f>
        <v>599523.29004107649</v>
      </c>
      <c r="AE180" s="187">
        <f>model_eui_end_uses!AE180*base_building_arch_areas!$N$28</f>
        <v>29970.722700383321</v>
      </c>
      <c r="AF180" s="187">
        <f t="shared" si="29"/>
        <v>629494.01274145977</v>
      </c>
      <c r="AG180" s="187">
        <f>model_eui_end_uses!AH180*base_building_arch_areas!$N$28</f>
        <v>9712.2772986654381</v>
      </c>
      <c r="AH180" s="187">
        <f>model_eui_end_uses!AI180*base_building_arch_areas!$N$28</f>
        <v>3386.6916651433153</v>
      </c>
      <c r="AI180" s="187">
        <f t="shared" si="30"/>
        <v>13098.968963808753</v>
      </c>
      <c r="AJ180" s="200">
        <f>sim_annual_output!F180/sim_annual_output!H180*base_building_arch_areas!$N$28</f>
        <v>63929.130144352486</v>
      </c>
      <c r="AK180">
        <f t="shared" si="31"/>
        <v>4.8804703882406928</v>
      </c>
    </row>
    <row r="181" spans="1:37">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f>model_eui_end_uses!G181*base_scenario_arch_measures!$F181</f>
        <v>0</v>
      </c>
      <c r="H181">
        <f>model_eui_end_uses!H181*base_scenario_arch_measures!$F181</f>
        <v>4.4814932698052061</v>
      </c>
      <c r="I181">
        <f>model_eui_end_uses!I181*base_scenario_arch_measures!$F181</f>
        <v>7.5461121974912003E-3</v>
      </c>
      <c r="J181">
        <f>model_eui_end_uses!J181*base_scenario_arch_measures!$F181</f>
        <v>0</v>
      </c>
      <c r="K181">
        <f>model_eui_end_uses!K181*base_scenario_arch_measures!$F181</f>
        <v>3.2713416121015908E-2</v>
      </c>
      <c r="L181">
        <f>model_eui_end_uses!L181*base_scenario_arch_measures!$F181</f>
        <v>0.37265557316907894</v>
      </c>
      <c r="M181">
        <f>model_eui_end_uses!M181*base_scenario_arch_measures!$F181</f>
        <v>4.4644431352184419E-2</v>
      </c>
      <c r="N181">
        <f>model_eui_end_uses!N181*base_scenario_arch_measures!$F181</f>
        <v>0</v>
      </c>
      <c r="O181">
        <f>model_eui_end_uses!O181*base_scenario_arch_measures!$F181</f>
        <v>0.197198267128493</v>
      </c>
      <c r="P181">
        <f>model_eui_end_uses!P181*base_scenario_arch_measures!$F181</f>
        <v>0.28197985741219822</v>
      </c>
      <c r="Q181">
        <f>model_eui_end_uses!Q181*base_scenario_arch_measures!$F181</f>
        <v>0</v>
      </c>
      <c r="R181" s="187">
        <f>model_eui_end_uses!R181*base_building_arch_areas!$N$28</f>
        <v>0</v>
      </c>
      <c r="S181" s="187">
        <f>model_eui_end_uses!S181*base_building_arch_areas!$N$28</f>
        <v>853298.30981968506</v>
      </c>
      <c r="T181" s="187">
        <f>model_eui_end_uses!T181*base_building_arch_areas!$N$28</f>
        <v>989.72767882563994</v>
      </c>
      <c r="U181" s="187">
        <f>model_eui_end_uses!U181*base_building_arch_areas!$N$28</f>
        <v>0</v>
      </c>
      <c r="V181" s="187">
        <f>model_eui_end_uses!V181*base_building_arch_areas!$N$28</f>
        <v>5455.4061746952802</v>
      </c>
      <c r="W181" s="187">
        <f>model_eui_end_uses!W181*base_building_arch_areas!$N$28</f>
        <v>62145.375077326789</v>
      </c>
      <c r="X181" s="187">
        <f>model_eui_end_uses!X181*base_building_arch_areas!$N$28</f>
        <v>7445.0649104787826</v>
      </c>
      <c r="Y181" s="187">
        <f>model_eui_end_uses!Y181*base_building_arch_areas!$N$28</f>
        <v>0</v>
      </c>
      <c r="Z181" s="187">
        <f>model_eui_end_uses!Z181*base_building_arch_areas!$N$28</f>
        <v>30596.529892492981</v>
      </c>
      <c r="AA181" s="187">
        <f>model_eui_end_uses!AA181*base_building_arch_areas!$N$28</f>
        <v>45918.602721047988</v>
      </c>
      <c r="AB181" s="187">
        <f>model_eui_end_uses!AB181*base_building_arch_areas!$N$28</f>
        <v>0</v>
      </c>
      <c r="AC181" s="187">
        <f>model_eui_end_uses!AC181*base_building_arch_areas!$N$28</f>
        <v>1005849.0162745526</v>
      </c>
      <c r="AD181" s="187">
        <f>model_eui_end_uses!AD181*base_building_arch_areas!$N$28</f>
        <v>105948.47739896069</v>
      </c>
      <c r="AE181" s="187">
        <f>model_eui_end_uses!AE181*base_building_arch_areas!$N$28</f>
        <v>-3663.0127494680705</v>
      </c>
      <c r="AF181" s="187">
        <f t="shared" si="29"/>
        <v>102285.46464949263</v>
      </c>
      <c r="AG181" s="187">
        <f>model_eui_end_uses!AH181*base_building_arch_areas!$N$28</f>
        <v>1716.3653338631632</v>
      </c>
      <c r="AH181" s="187">
        <f>model_eui_end_uses!AI181*base_building_arch_areas!$N$28</f>
        <v>-413.92044068989196</v>
      </c>
      <c r="AI181" s="187">
        <f t="shared" si="30"/>
        <v>1302.4448931732713</v>
      </c>
      <c r="AJ181" s="200">
        <f>sim_annual_output!F181/sim_annual_output!H181*base_building_arch_areas!$N$28</f>
        <v>5380.6207958424357</v>
      </c>
      <c r="AK181">
        <f t="shared" si="31"/>
        <v>4.1311696364620181</v>
      </c>
    </row>
    <row r="182" spans="1:37">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f>model_eui_end_uses!G182*base_scenario_arch_measures!$F182</f>
        <v>0</v>
      </c>
      <c r="H182">
        <f>model_eui_end_uses!H182*base_scenario_arch_measures!$F182</f>
        <v>1.702586465834494</v>
      </c>
      <c r="I182">
        <f>model_eui_end_uses!I182*base_scenario_arch_measures!$F182</f>
        <v>3.6241733445788821E-2</v>
      </c>
      <c r="J182">
        <f>model_eui_end_uses!J182*base_scenario_arch_measures!$F182</f>
        <v>0</v>
      </c>
      <c r="K182">
        <f>model_eui_end_uses!K182*base_scenario_arch_measures!$F182</f>
        <v>3.2713416121015908E-2</v>
      </c>
      <c r="L182">
        <f>model_eui_end_uses!L182*base_scenario_arch_measures!$F182</f>
        <v>0.26087113815705393</v>
      </c>
      <c r="M182">
        <f>model_eui_end_uses!M182*base_scenario_arch_measures!$F182</f>
        <v>4.4644431352184419E-2</v>
      </c>
      <c r="N182">
        <f>model_eui_end_uses!N182*base_scenario_arch_measures!$F182</f>
        <v>0</v>
      </c>
      <c r="O182">
        <f>model_eui_end_uses!O182*base_scenario_arch_measures!$F182</f>
        <v>0.12787600940072927</v>
      </c>
      <c r="P182">
        <f>model_eui_end_uses!P182*base_scenario_arch_measures!$F182</f>
        <v>0.12467401044125324</v>
      </c>
      <c r="Q182">
        <f>model_eui_end_uses!Q182*base_scenario_arch_measures!$F182</f>
        <v>0</v>
      </c>
      <c r="R182" s="187">
        <f>model_eui_end_uses!R182*base_building_arch_areas!$N$28</f>
        <v>0</v>
      </c>
      <c r="S182" s="187">
        <f>model_eui_end_uses!S182*base_building_arch_areas!$N$28</f>
        <v>853298.30981968506</v>
      </c>
      <c r="T182" s="187">
        <f>model_eui_end_uses!T182*base_building_arch_areas!$N$28</f>
        <v>989.72767882563994</v>
      </c>
      <c r="U182" s="187">
        <f>model_eui_end_uses!U182*base_building_arch_areas!$N$28</f>
        <v>0</v>
      </c>
      <c r="V182" s="187">
        <f>model_eui_end_uses!V182*base_building_arch_areas!$N$28</f>
        <v>5455.4061746952802</v>
      </c>
      <c r="W182" s="187">
        <f>model_eui_end_uses!W182*base_building_arch_areas!$N$28</f>
        <v>62145.375077326789</v>
      </c>
      <c r="X182" s="187">
        <f>model_eui_end_uses!X182*base_building_arch_areas!$N$28</f>
        <v>7445.0649104787826</v>
      </c>
      <c r="Y182" s="187">
        <f>model_eui_end_uses!Y182*base_building_arch_areas!$N$28</f>
        <v>0</v>
      </c>
      <c r="Z182" s="187">
        <f>model_eui_end_uses!Z182*base_building_arch_areas!$N$28</f>
        <v>30596.529892492981</v>
      </c>
      <c r="AA182" s="187">
        <f>model_eui_end_uses!AA182*base_building_arch_areas!$N$28</f>
        <v>45918.602721047988</v>
      </c>
      <c r="AB182" s="187">
        <f>model_eui_end_uses!AB182*base_building_arch_areas!$N$28</f>
        <v>0</v>
      </c>
      <c r="AC182" s="187">
        <f>model_eui_end_uses!AC182*base_building_arch_areas!$N$28</f>
        <v>1005849.0162745526</v>
      </c>
      <c r="AD182" s="187">
        <f>model_eui_end_uses!AD182*base_building_arch_areas!$N$28</f>
        <v>569368.90653431311</v>
      </c>
      <c r="AE182" s="187">
        <f>model_eui_end_uses!AE182*base_building_arch_areas!$N$28</f>
        <v>47986.487355845231</v>
      </c>
      <c r="AF182" s="187">
        <f t="shared" si="29"/>
        <v>617355.39389015839</v>
      </c>
      <c r="AG182" s="187">
        <f>model_eui_end_uses!AH182*base_building_arch_areas!$N$28</f>
        <v>9223.7762858558726</v>
      </c>
      <c r="AH182" s="187">
        <f>model_eui_end_uses!AI182*base_building_arch_areas!$N$28</f>
        <v>5422.4730712105102</v>
      </c>
      <c r="AI182" s="187">
        <f t="shared" si="30"/>
        <v>14646.249357066383</v>
      </c>
      <c r="AJ182" s="200">
        <f>sim_annual_output!F182/sim_annual_output!H182*base_building_arch_areas!$N$28</f>
        <v>124273.19983567465</v>
      </c>
      <c r="AK182">
        <f t="shared" si="31"/>
        <v>8.4849845722254145</v>
      </c>
    </row>
    <row r="183" spans="1:37">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f>model_eui_end_uses!G183*base_scenario_arch_measures!$F183</f>
        <v>0</v>
      </c>
      <c r="H183">
        <f>model_eui_end_uses!H183*base_scenario_arch_measures!$F183</f>
        <v>5.086915811920143</v>
      </c>
      <c r="I183">
        <f>model_eui_end_uses!I183*base_scenario_arch_measures!$F183</f>
        <v>7.9947999497744608E-3</v>
      </c>
      <c r="J183">
        <f>model_eui_end_uses!J183*base_scenario_arch_measures!$F183</f>
        <v>0</v>
      </c>
      <c r="K183">
        <f>model_eui_end_uses!K183*base_scenario_arch_measures!$F183</f>
        <v>3.2713416121015908E-2</v>
      </c>
      <c r="L183">
        <f>model_eui_end_uses!L183*base_scenario_arch_measures!$F183</f>
        <v>0.37265557316907894</v>
      </c>
      <c r="M183">
        <f>model_eui_end_uses!M183*base_scenario_arch_measures!$F183</f>
        <v>4.4644431352184419E-2</v>
      </c>
      <c r="N183">
        <f>model_eui_end_uses!N183*base_scenario_arch_measures!$F183</f>
        <v>0</v>
      </c>
      <c r="O183">
        <f>model_eui_end_uses!O183*base_scenario_arch_measures!$F183</f>
        <v>0.18337052639903617</v>
      </c>
      <c r="P183">
        <f>model_eui_end_uses!P183*base_scenario_arch_measures!$F183</f>
        <v>0.27547388500409087</v>
      </c>
      <c r="Q183">
        <f>model_eui_end_uses!Q183*base_scenario_arch_measures!$F183</f>
        <v>0</v>
      </c>
      <c r="R183" s="187">
        <f>model_eui_end_uses!R183*base_building_arch_areas!$N$28</f>
        <v>0</v>
      </c>
      <c r="S183" s="187">
        <f>model_eui_end_uses!S183*base_building_arch_areas!$N$28</f>
        <v>853298.30981968506</v>
      </c>
      <c r="T183" s="187">
        <f>model_eui_end_uses!T183*base_building_arch_areas!$N$28</f>
        <v>989.72767882563994</v>
      </c>
      <c r="U183" s="187">
        <f>model_eui_end_uses!U183*base_building_arch_areas!$N$28</f>
        <v>0</v>
      </c>
      <c r="V183" s="187">
        <f>model_eui_end_uses!V183*base_building_arch_areas!$N$28</f>
        <v>5455.4061746952802</v>
      </c>
      <c r="W183" s="187">
        <f>model_eui_end_uses!W183*base_building_arch_areas!$N$28</f>
        <v>62145.375077326789</v>
      </c>
      <c r="X183" s="187">
        <f>model_eui_end_uses!X183*base_building_arch_areas!$N$28</f>
        <v>7445.0649104787826</v>
      </c>
      <c r="Y183" s="187">
        <f>model_eui_end_uses!Y183*base_building_arch_areas!$N$28</f>
        <v>0</v>
      </c>
      <c r="Z183" s="187">
        <f>model_eui_end_uses!Z183*base_building_arch_areas!$N$28</f>
        <v>30596.529892492981</v>
      </c>
      <c r="AA183" s="187">
        <f>model_eui_end_uses!AA183*base_building_arch_areas!$N$28</f>
        <v>45918.602721047988</v>
      </c>
      <c r="AB183" s="187">
        <f>model_eui_end_uses!AB183*base_building_arch_areas!$N$28</f>
        <v>0</v>
      </c>
      <c r="AC183" s="187">
        <f>model_eui_end_uses!AC183*base_building_arch_areas!$N$28</f>
        <v>1005849.0162745526</v>
      </c>
      <c r="AD183" s="187">
        <f>model_eui_end_uses!AD183*base_building_arch_areas!$N$28</f>
        <v>4986.0507806130445</v>
      </c>
      <c r="AE183" s="187">
        <f>model_eui_end_uses!AE183*base_building_arch_areas!$N$28</f>
        <v>-346.91485649557012</v>
      </c>
      <c r="AF183" s="187">
        <f t="shared" si="29"/>
        <v>4639.1359241174741</v>
      </c>
      <c r="AG183" s="187">
        <f>model_eui_end_uses!AH183*base_building_arch_areas!$N$28</f>
        <v>80.774022645931311</v>
      </c>
      <c r="AH183" s="187">
        <f>model_eui_end_uses!AI183*base_building_arch_areas!$N$28</f>
        <v>-39.201378783999424</v>
      </c>
      <c r="AI183" s="187">
        <f t="shared" si="30"/>
        <v>41.572643861931887</v>
      </c>
      <c r="AJ183" s="200">
        <f>sim_annual_output!F183/sim_annual_output!H183*base_building_arch_areas!$N$28</f>
        <v>3111.1828865598332</v>
      </c>
      <c r="AK183">
        <f t="shared" si="31"/>
        <v>74.837263102449597</v>
      </c>
    </row>
    <row r="184" spans="1:37">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f>model_eui_end_uses!G184*base_scenario_arch_measures!$F184</f>
        <v>0</v>
      </c>
      <c r="H184">
        <f>model_eui_end_uses!H184*base_scenario_arch_measures!$F184</f>
        <v>5.0857533027437727</v>
      </c>
      <c r="I184">
        <f>model_eui_end_uses!I184*base_scenario_arch_measures!$F184</f>
        <v>8.2191438259160907E-3</v>
      </c>
      <c r="J184">
        <f>model_eui_end_uses!J184*base_scenario_arch_measures!$F184</f>
        <v>0</v>
      </c>
      <c r="K184">
        <f>model_eui_end_uses!K184*base_scenario_arch_measures!$F184</f>
        <v>3.2713416121015908E-2</v>
      </c>
      <c r="L184">
        <f>model_eui_end_uses!L184*base_scenario_arch_measures!$F184</f>
        <v>0.37265557316907894</v>
      </c>
      <c r="M184">
        <f>model_eui_end_uses!M184*base_scenario_arch_measures!$F184</f>
        <v>4.4644431352184419E-2</v>
      </c>
      <c r="N184">
        <f>model_eui_end_uses!N184*base_scenario_arch_measures!$F184</f>
        <v>0</v>
      </c>
      <c r="O184">
        <f>model_eui_end_uses!O184*base_scenario_arch_measures!$F184</f>
        <v>0.1833501315012051</v>
      </c>
      <c r="P184">
        <f>model_eui_end_uses!P184*base_scenario_arch_measures!$F184</f>
        <v>0.21539051599379613</v>
      </c>
      <c r="Q184">
        <f>model_eui_end_uses!Q184*base_scenario_arch_measures!$F184</f>
        <v>0</v>
      </c>
      <c r="R184" s="187">
        <f>model_eui_end_uses!R184*base_building_arch_areas!$N$28</f>
        <v>0</v>
      </c>
      <c r="S184" s="187">
        <f>model_eui_end_uses!S184*base_building_arch_areas!$N$28</f>
        <v>853298.30981968506</v>
      </c>
      <c r="T184" s="187">
        <f>model_eui_end_uses!T184*base_building_arch_areas!$N$28</f>
        <v>989.72767882563994</v>
      </c>
      <c r="U184" s="187">
        <f>model_eui_end_uses!U184*base_building_arch_areas!$N$28</f>
        <v>0</v>
      </c>
      <c r="V184" s="187">
        <f>model_eui_end_uses!V184*base_building_arch_areas!$N$28</f>
        <v>5455.4061746952802</v>
      </c>
      <c r="W184" s="187">
        <f>model_eui_end_uses!W184*base_building_arch_areas!$N$28</f>
        <v>62145.375077326789</v>
      </c>
      <c r="X184" s="187">
        <f>model_eui_end_uses!X184*base_building_arch_areas!$N$28</f>
        <v>7445.0649104787826</v>
      </c>
      <c r="Y184" s="187">
        <f>model_eui_end_uses!Y184*base_building_arch_areas!$N$28</f>
        <v>0</v>
      </c>
      <c r="Z184" s="187">
        <f>model_eui_end_uses!Z184*base_building_arch_areas!$N$28</f>
        <v>30596.529892492981</v>
      </c>
      <c r="AA184" s="187">
        <f>model_eui_end_uses!AA184*base_building_arch_areas!$N$28</f>
        <v>45918.602721047988</v>
      </c>
      <c r="AB184" s="187">
        <f>model_eui_end_uses!AB184*base_building_arch_areas!$N$28</f>
        <v>0</v>
      </c>
      <c r="AC184" s="187">
        <f>model_eui_end_uses!AC184*base_building_arch_areas!$N$28</f>
        <v>1005849.0162745526</v>
      </c>
      <c r="AD184" s="187">
        <f>model_eui_end_uses!AD184*base_building_arch_areas!$N$28</f>
        <v>5179.9149651252847</v>
      </c>
      <c r="AE184" s="187">
        <f>model_eui_end_uses!AE184*base_building_arch_areas!$N$28</f>
        <v>9638.7912089067577</v>
      </c>
      <c r="AF184" s="187">
        <f t="shared" si="29"/>
        <v>14818.706174032042</v>
      </c>
      <c r="AG184" s="187">
        <f>model_eui_end_uses!AH184*base_building_arch_areas!$N$28</f>
        <v>83.914622435029614</v>
      </c>
      <c r="AH184" s="187">
        <f>model_eui_end_uses!AI184*base_building_arch_areas!$N$28</f>
        <v>1089.1834066064637</v>
      </c>
      <c r="AI184" s="187">
        <f t="shared" si="30"/>
        <v>1173.0980290414932</v>
      </c>
      <c r="AJ184" s="200">
        <f>sim_annual_output!F184/sim_annual_output!H184*base_building_arch_areas!$N$28</f>
        <v>5501.2231885800566</v>
      </c>
      <c r="AK184">
        <f t="shared" si="31"/>
        <v>4.6894829352624159</v>
      </c>
    </row>
    <row r="185" spans="1:37">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f>model_eui_end_uses!G185*base_scenario_arch_measures!$F185</f>
        <v>0</v>
      </c>
      <c r="H185">
        <f>model_eui_end_uses!H185*base_scenario_arch_measures!$F185</f>
        <v>2.2310207723586619</v>
      </c>
      <c r="I185">
        <f>model_eui_end_uses!I185*base_scenario_arch_measures!$F185</f>
        <v>2.2875825006347782E-2</v>
      </c>
      <c r="J185">
        <f>model_eui_end_uses!J185*base_scenario_arch_measures!$F185</f>
        <v>0</v>
      </c>
      <c r="K185">
        <f>model_eui_end_uses!K185*base_scenario_arch_measures!$F185</f>
        <v>1.5143550685176161E-2</v>
      </c>
      <c r="L185">
        <f>model_eui_end_uses!L185*base_scenario_arch_measures!$F185</f>
        <v>0.17250807862814144</v>
      </c>
      <c r="M185">
        <f>model_eui_end_uses!M185*base_scenario_arch_measures!$F185</f>
        <v>2.0666603771727316E-2</v>
      </c>
      <c r="N185">
        <f>model_eui_end_uses!N185*base_scenario_arch_measures!$F185</f>
        <v>0</v>
      </c>
      <c r="O185">
        <f>model_eui_end_uses!O185*base_scenario_arch_measures!$F185</f>
        <v>8.2043301405349656E-2</v>
      </c>
      <c r="P185">
        <f>model_eui_end_uses!P185*base_scenario_arch_measures!$F185</f>
        <v>0.1215732557188363</v>
      </c>
      <c r="Q185">
        <f>model_eui_end_uses!Q185*base_scenario_arch_measures!$F185</f>
        <v>0</v>
      </c>
      <c r="R185" s="187">
        <f>model_eui_end_uses!R185*base_building_arch_areas!$N$29</f>
        <v>0</v>
      </c>
      <c r="S185" s="187">
        <f>model_eui_end_uses!S185*base_building_arch_areas!$N$29</f>
        <v>509757.1017704535</v>
      </c>
      <c r="T185" s="187">
        <f>model_eui_end_uses!T185*base_building_arch_areas!$N$29</f>
        <v>524.38301811744589</v>
      </c>
      <c r="U185" s="187">
        <f>model_eui_end_uses!U185*base_building_arch_areas!$N$29</f>
        <v>0</v>
      </c>
      <c r="V185" s="187">
        <f>model_eui_end_uses!V185*base_building_arch_areas!$N$29</f>
        <v>3504.6265044182633</v>
      </c>
      <c r="W185" s="187">
        <f>model_eui_end_uses!W185*base_building_arch_areas!$N$29</f>
        <v>39923.027112674885</v>
      </c>
      <c r="X185" s="187">
        <f>model_eui_end_uses!X185*base_building_arch_areas!$N$29</f>
        <v>4782.8101110795378</v>
      </c>
      <c r="Y185" s="187">
        <f>model_eui_end_uses!Y185*base_building_arch_areas!$N$29</f>
        <v>0</v>
      </c>
      <c r="Z185" s="187">
        <f>model_eui_end_uses!Z185*base_building_arch_areas!$N$29</f>
        <v>18252.898888971431</v>
      </c>
      <c r="AA185" s="187">
        <f>model_eui_end_uses!AA185*base_building_arch_areas!$N$29</f>
        <v>27549.772814345313</v>
      </c>
      <c r="AB185" s="187">
        <f>model_eui_end_uses!AB185*base_building_arch_areas!$N$29</f>
        <v>0</v>
      </c>
      <c r="AC185" s="187">
        <f>model_eui_end_uses!AC185*base_building_arch_areas!$N$29</f>
        <v>604294.62022006034</v>
      </c>
      <c r="AD185" s="187">
        <f>model_eui_end_uses!AD185*base_building_arch_areas!$N$29</f>
        <v>-6561.342514194539</v>
      </c>
      <c r="AE185" s="187">
        <f>model_eui_end_uses!AE185*base_building_arch_areas!$N$29</f>
        <v>-6089.3977978888452</v>
      </c>
      <c r="AF185" s="187">
        <f t="shared" si="23"/>
        <v>-12650.740312083384</v>
      </c>
      <c r="AG185" s="187">
        <f>model_eui_end_uses!AH185*base_building_arch_areas!$N$29</f>
        <v>-106.29374872995155</v>
      </c>
      <c r="AH185" s="187">
        <f>model_eui_end_uses!AI185*base_building_arch_areas!$N$29</f>
        <v>-688.10195116143962</v>
      </c>
      <c r="AI185" s="187">
        <f t="shared" si="24"/>
        <v>-794.39569989139113</v>
      </c>
      <c r="AJ185" s="200">
        <f>sim_annual_output!F185/sim_annual_output!H185*base_building_arch_areas!$N$29</f>
        <v>2833.6592230393962</v>
      </c>
      <c r="AK185">
        <f t="shared" si="25"/>
        <v>-3.5670626407303199</v>
      </c>
    </row>
    <row r="186" spans="1:37">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f>model_eui_end_uses!G186*base_scenario_arch_measures!$F186</f>
        <v>0</v>
      </c>
      <c r="H186">
        <f>model_eui_end_uses!H186*base_scenario_arch_measures!$F186</f>
        <v>2.2026690998476992</v>
      </c>
      <c r="I186">
        <f>model_eui_end_uses!I186*base_scenario_arch_measures!$F186</f>
        <v>2.265867932944064E-3</v>
      </c>
      <c r="J186">
        <f>model_eui_end_uses!J186*base_scenario_arch_measures!$F186</f>
        <v>0</v>
      </c>
      <c r="K186">
        <f>model_eui_end_uses!K186*base_scenario_arch_measures!$F186</f>
        <v>1.5143550685176161E-2</v>
      </c>
      <c r="L186">
        <f>model_eui_end_uses!L186*base_scenario_arch_measures!$F186</f>
        <v>0.17250807862814144</v>
      </c>
      <c r="M186">
        <f>model_eui_end_uses!M186*base_scenario_arch_measures!$F186</f>
        <v>2.0666603771727316E-2</v>
      </c>
      <c r="N186">
        <f>model_eui_end_uses!N186*base_scenario_arch_measures!$F186</f>
        <v>0</v>
      </c>
      <c r="O186">
        <f>model_eui_end_uses!O186*base_scenario_arch_measures!$F186</f>
        <v>7.8871086299227969E-2</v>
      </c>
      <c r="P186">
        <f>model_eui_end_uses!P186*base_scenario_arch_measures!$F186</f>
        <v>0.11904303652704877</v>
      </c>
      <c r="Q186">
        <f>model_eui_end_uses!Q186*base_scenario_arch_measures!$F186</f>
        <v>0</v>
      </c>
      <c r="R186" s="187">
        <f>model_eui_end_uses!R186*base_building_arch_areas!$N$29</f>
        <v>0</v>
      </c>
      <c r="S186" s="187">
        <f>model_eui_end_uses!S186*base_building_arch_areas!$N$29</f>
        <v>509757.1017704535</v>
      </c>
      <c r="T186" s="187">
        <f>model_eui_end_uses!T186*base_building_arch_areas!$N$29</f>
        <v>524.38301811744589</v>
      </c>
      <c r="U186" s="187">
        <f>model_eui_end_uses!U186*base_building_arch_areas!$N$29</f>
        <v>0</v>
      </c>
      <c r="V186" s="187">
        <f>model_eui_end_uses!V186*base_building_arch_areas!$N$29</f>
        <v>3504.6265044182633</v>
      </c>
      <c r="W186" s="187">
        <f>model_eui_end_uses!W186*base_building_arch_areas!$N$29</f>
        <v>39923.027112674885</v>
      </c>
      <c r="X186" s="187">
        <f>model_eui_end_uses!X186*base_building_arch_areas!$N$29</f>
        <v>4782.8101110795378</v>
      </c>
      <c r="Y186" s="187">
        <f>model_eui_end_uses!Y186*base_building_arch_areas!$N$29</f>
        <v>0</v>
      </c>
      <c r="Z186" s="187">
        <f>model_eui_end_uses!Z186*base_building_arch_areas!$N$29</f>
        <v>18252.898888971431</v>
      </c>
      <c r="AA186" s="187">
        <f>model_eui_end_uses!AA186*base_building_arch_areas!$N$29</f>
        <v>27549.772814345313</v>
      </c>
      <c r="AB186" s="187">
        <f>model_eui_end_uses!AB186*base_building_arch_areas!$N$29</f>
        <v>0</v>
      </c>
      <c r="AC186" s="187">
        <f>model_eui_end_uses!AC186*base_building_arch_areas!$N$29</f>
        <v>604294.62022006034</v>
      </c>
      <c r="AD186" s="187">
        <f>model_eui_end_uses!AD186*base_building_arch_areas!$N$29</f>
        <v>0</v>
      </c>
      <c r="AE186" s="187">
        <f>model_eui_end_uses!AE186*base_building_arch_areas!$N$29</f>
        <v>0</v>
      </c>
      <c r="AF186" s="187">
        <f t="shared" ref="AF186:AF207" si="32">SUM(AD186:AE186)</f>
        <v>0</v>
      </c>
      <c r="AG186" s="187">
        <f>model_eui_end_uses!AH186*base_building_arch_areas!$N$29</f>
        <v>0</v>
      </c>
      <c r="AH186" s="187">
        <f>model_eui_end_uses!AI186*base_building_arch_areas!$N$29</f>
        <v>0</v>
      </c>
      <c r="AI186" s="187">
        <f t="shared" ref="AI186:AI207" si="33">SUM(AG186:AH186)</f>
        <v>0</v>
      </c>
      <c r="AJ186" s="200">
        <f>sim_annual_output!F186/sim_annual_output!H186*base_building_arch_areas!$N$29</f>
        <v>0</v>
      </c>
      <c r="AK186">
        <f t="shared" ref="AK186:AK207" si="34">IF(AI186=0,0,AJ186/AI186)</f>
        <v>0</v>
      </c>
    </row>
    <row r="187" spans="1:37">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f>model_eui_end_uses!G187*base_scenario_arch_measures!$F187</f>
        <v>0</v>
      </c>
      <c r="H187">
        <f>model_eui_end_uses!H187*base_scenario_arch_measures!$F187</f>
        <v>2.1825123163608846</v>
      </c>
      <c r="I187">
        <f>model_eui_end_uses!I187*base_scenario_arch_measures!$F187</f>
        <v>3.8236521368431083E-3</v>
      </c>
      <c r="J187">
        <f>model_eui_end_uses!J187*base_scenario_arch_measures!$F187</f>
        <v>0</v>
      </c>
      <c r="K187">
        <f>model_eui_end_uses!K187*base_scenario_arch_measures!$F187</f>
        <v>1.5143550685176161E-2</v>
      </c>
      <c r="L187">
        <f>model_eui_end_uses!L187*base_scenario_arch_measures!$F187</f>
        <v>0.17250807862814144</v>
      </c>
      <c r="M187">
        <f>model_eui_end_uses!M187*base_scenario_arch_measures!$F187</f>
        <v>2.0666603771727316E-2</v>
      </c>
      <c r="N187">
        <f>model_eui_end_uses!N187*base_scenario_arch_measures!$F187</f>
        <v>0</v>
      </c>
      <c r="O187">
        <f>model_eui_end_uses!O187*base_scenario_arch_measures!$F187</f>
        <v>7.900326192864969E-2</v>
      </c>
      <c r="P187">
        <f>model_eui_end_uses!P187*base_scenario_arch_measures!$F187</f>
        <v>0.11926018220395591</v>
      </c>
      <c r="Q187">
        <f>model_eui_end_uses!Q187*base_scenario_arch_measures!$F187</f>
        <v>0</v>
      </c>
      <c r="R187" s="187">
        <f>model_eui_end_uses!R187*base_building_arch_areas!$N$29</f>
        <v>0</v>
      </c>
      <c r="S187" s="187">
        <f>model_eui_end_uses!S187*base_building_arch_areas!$N$29</f>
        <v>509757.1017704535</v>
      </c>
      <c r="T187" s="187">
        <f>model_eui_end_uses!T187*base_building_arch_areas!$N$29</f>
        <v>524.38301811744589</v>
      </c>
      <c r="U187" s="187">
        <f>model_eui_end_uses!U187*base_building_arch_areas!$N$29</f>
        <v>0</v>
      </c>
      <c r="V187" s="187">
        <f>model_eui_end_uses!V187*base_building_arch_areas!$N$29</f>
        <v>3504.6265044182633</v>
      </c>
      <c r="W187" s="187">
        <f>model_eui_end_uses!W187*base_building_arch_areas!$N$29</f>
        <v>39923.027112674885</v>
      </c>
      <c r="X187" s="187">
        <f>model_eui_end_uses!X187*base_building_arch_areas!$N$29</f>
        <v>4782.8101110795378</v>
      </c>
      <c r="Y187" s="187">
        <f>model_eui_end_uses!Y187*base_building_arch_areas!$N$29</f>
        <v>0</v>
      </c>
      <c r="Z187" s="187">
        <f>model_eui_end_uses!Z187*base_building_arch_areas!$N$29</f>
        <v>18252.898888971431</v>
      </c>
      <c r="AA187" s="187">
        <f>model_eui_end_uses!AA187*base_building_arch_areas!$N$29</f>
        <v>27549.772814345313</v>
      </c>
      <c r="AB187" s="187">
        <f>model_eui_end_uses!AB187*base_building_arch_areas!$N$29</f>
        <v>0</v>
      </c>
      <c r="AC187" s="187">
        <f>model_eui_end_uses!AC187*base_building_arch_areas!$N$29</f>
        <v>604294.62022006034</v>
      </c>
      <c r="AD187" s="187">
        <f>model_eui_end_uses!AD187*base_building_arch_areas!$N$29</f>
        <v>4664.8239320031134</v>
      </c>
      <c r="AE187" s="187">
        <f>model_eui_end_uses!AE187*base_building_arch_areas!$N$29</f>
        <v>-441.35570691551624</v>
      </c>
      <c r="AF187" s="187">
        <f t="shared" si="32"/>
        <v>4223.4682250875976</v>
      </c>
      <c r="AG187" s="187">
        <f>model_eui_end_uses!AH187*base_building_arch_areas!$N$29</f>
        <v>75.570147698450441</v>
      </c>
      <c r="AH187" s="187">
        <f>model_eui_end_uses!AI187*base_building_arch_areas!$N$29</f>
        <v>-49.873194881453337</v>
      </c>
      <c r="AI187" s="187">
        <f t="shared" si="33"/>
        <v>25.696952816997104</v>
      </c>
      <c r="AJ187" s="200">
        <f>sim_annual_output!F187/sim_annual_output!H187*base_building_arch_areas!$N$29</f>
        <v>52660.263944833001</v>
      </c>
      <c r="AK187">
        <f t="shared" si="34"/>
        <v>2049.2804855057043</v>
      </c>
    </row>
    <row r="188" spans="1:37">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f>model_eui_end_uses!G188*base_scenario_arch_measures!$F188</f>
        <v>0</v>
      </c>
      <c r="H188">
        <f>model_eui_end_uses!H188*base_scenario_arch_measures!$F188</f>
        <v>1.3559709000048261</v>
      </c>
      <c r="I188">
        <f>model_eui_end_uses!I188*base_scenario_arch_measures!$F188</f>
        <v>3.8236521368431083E-3</v>
      </c>
      <c r="J188">
        <f>model_eui_end_uses!J188*base_scenario_arch_measures!$F188</f>
        <v>0</v>
      </c>
      <c r="K188">
        <f>model_eui_end_uses!K188*base_scenario_arch_measures!$F188</f>
        <v>1.5143550685176161E-2</v>
      </c>
      <c r="L188">
        <f>model_eui_end_uses!L188*base_scenario_arch_measures!$F188</f>
        <v>0.17250807862814144</v>
      </c>
      <c r="M188">
        <f>model_eui_end_uses!M188*base_scenario_arch_measures!$F188</f>
        <v>2.0666603771727316E-2</v>
      </c>
      <c r="N188">
        <f>model_eui_end_uses!N188*base_scenario_arch_measures!$F188</f>
        <v>0</v>
      </c>
      <c r="O188">
        <f>model_eui_end_uses!O188*base_scenario_arch_measures!$F188</f>
        <v>7.900326192864969E-2</v>
      </c>
      <c r="P188">
        <f>model_eui_end_uses!P188*base_scenario_arch_measures!$F188</f>
        <v>0.11926018220395591</v>
      </c>
      <c r="Q188">
        <f>model_eui_end_uses!Q188*base_scenario_arch_measures!$F188</f>
        <v>0</v>
      </c>
      <c r="R188" s="187">
        <f>model_eui_end_uses!R188*base_building_arch_areas!$N$29</f>
        <v>0</v>
      </c>
      <c r="S188" s="187">
        <f>model_eui_end_uses!S188*base_building_arch_areas!$N$29</f>
        <v>509757.1017704535</v>
      </c>
      <c r="T188" s="187">
        <f>model_eui_end_uses!T188*base_building_arch_areas!$N$29</f>
        <v>524.38301811744589</v>
      </c>
      <c r="U188" s="187">
        <f>model_eui_end_uses!U188*base_building_arch_areas!$N$29</f>
        <v>0</v>
      </c>
      <c r="V188" s="187">
        <f>model_eui_end_uses!V188*base_building_arch_areas!$N$29</f>
        <v>3504.6265044182633</v>
      </c>
      <c r="W188" s="187">
        <f>model_eui_end_uses!W188*base_building_arch_areas!$N$29</f>
        <v>39923.027112674885</v>
      </c>
      <c r="X188" s="187">
        <f>model_eui_end_uses!X188*base_building_arch_areas!$N$29</f>
        <v>4782.8101110795378</v>
      </c>
      <c r="Y188" s="187">
        <f>model_eui_end_uses!Y188*base_building_arch_areas!$N$29</f>
        <v>0</v>
      </c>
      <c r="Z188" s="187">
        <f>model_eui_end_uses!Z188*base_building_arch_areas!$N$29</f>
        <v>18252.898888971431</v>
      </c>
      <c r="AA188" s="187">
        <f>model_eui_end_uses!AA188*base_building_arch_areas!$N$29</f>
        <v>27549.772814345313</v>
      </c>
      <c r="AB188" s="187">
        <f>model_eui_end_uses!AB188*base_building_arch_areas!$N$29</f>
        <v>0</v>
      </c>
      <c r="AC188" s="187">
        <f>model_eui_end_uses!AC188*base_building_arch_areas!$N$29</f>
        <v>604294.62022006034</v>
      </c>
      <c r="AD188" s="187">
        <f>model_eui_end_uses!AD188*base_building_arch_areas!$N$29</f>
        <v>195948.82429503661</v>
      </c>
      <c r="AE188" s="187">
        <f>model_eui_end_uses!AE188*base_building_arch_areas!$N$29</f>
        <v>-441.35570691551624</v>
      </c>
      <c r="AF188" s="187">
        <f t="shared" si="32"/>
        <v>195507.46858812109</v>
      </c>
      <c r="AG188" s="187">
        <f>model_eui_end_uses!AH188*base_building_arch_areas!$N$29</f>
        <v>3174.3709535795924</v>
      </c>
      <c r="AH188" s="187">
        <f>model_eui_end_uses!AI188*base_building_arch_areas!$N$29</f>
        <v>-49.873194881453337</v>
      </c>
      <c r="AI188" s="187">
        <f t="shared" si="33"/>
        <v>3124.497758698139</v>
      </c>
      <c r="AJ188" s="200">
        <f>sim_annual_output!F188/sim_annual_output!H188*base_building_arch_areas!$N$29</f>
        <v>748.91632098221146</v>
      </c>
      <c r="AK188">
        <f t="shared" si="34"/>
        <v>0.23969174530445392</v>
      </c>
    </row>
    <row r="189" spans="1:37">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f>model_eui_end_uses!G189*base_scenario_arch_measures!$F189</f>
        <v>0</v>
      </c>
      <c r="H189">
        <f>model_eui_end_uses!H189*base_scenario_arch_measures!$F189</f>
        <v>2.1825123163608846</v>
      </c>
      <c r="I189">
        <f>model_eui_end_uses!I189*base_scenario_arch_measures!$F189</f>
        <v>2.7284826359201438E-3</v>
      </c>
      <c r="J189">
        <f>model_eui_end_uses!J189*base_scenario_arch_measures!$F189</f>
        <v>0</v>
      </c>
      <c r="K189">
        <f>model_eui_end_uses!K189*base_scenario_arch_measures!$F189</f>
        <v>1.5143550685176161E-2</v>
      </c>
      <c r="L189">
        <f>model_eui_end_uses!L189*base_scenario_arch_measures!$F189</f>
        <v>0.17250807862814144</v>
      </c>
      <c r="M189">
        <f>model_eui_end_uses!M189*base_scenario_arch_measures!$F189</f>
        <v>2.0666603771727316E-2</v>
      </c>
      <c r="N189">
        <f>model_eui_end_uses!N189*base_scenario_arch_measures!$F189</f>
        <v>0</v>
      </c>
      <c r="O189">
        <f>model_eui_end_uses!O189*base_scenario_arch_measures!$F189</f>
        <v>7.900326192864969E-2</v>
      </c>
      <c r="P189">
        <f>model_eui_end_uses!P189*base_scenario_arch_measures!$F189</f>
        <v>0.11926018220395591</v>
      </c>
      <c r="Q189">
        <f>model_eui_end_uses!Q189*base_scenario_arch_measures!$F189</f>
        <v>0</v>
      </c>
      <c r="R189" s="187">
        <f>model_eui_end_uses!R189*base_building_arch_areas!$N$29</f>
        <v>0</v>
      </c>
      <c r="S189" s="187">
        <f>model_eui_end_uses!S189*base_building_arch_areas!$N$29</f>
        <v>509757.1017704535</v>
      </c>
      <c r="T189" s="187">
        <f>model_eui_end_uses!T189*base_building_arch_areas!$N$29</f>
        <v>524.38301811744589</v>
      </c>
      <c r="U189" s="187">
        <f>model_eui_end_uses!U189*base_building_arch_areas!$N$29</f>
        <v>0</v>
      </c>
      <c r="V189" s="187">
        <f>model_eui_end_uses!V189*base_building_arch_areas!$N$29</f>
        <v>3504.6265044182633</v>
      </c>
      <c r="W189" s="187">
        <f>model_eui_end_uses!W189*base_building_arch_areas!$N$29</f>
        <v>39923.027112674885</v>
      </c>
      <c r="X189" s="187">
        <f>model_eui_end_uses!X189*base_building_arch_areas!$N$29</f>
        <v>4782.8101110795378</v>
      </c>
      <c r="Y189" s="187">
        <f>model_eui_end_uses!Y189*base_building_arch_areas!$N$29</f>
        <v>0</v>
      </c>
      <c r="Z189" s="187">
        <f>model_eui_end_uses!Z189*base_building_arch_areas!$N$29</f>
        <v>18252.898888971431</v>
      </c>
      <c r="AA189" s="187">
        <f>model_eui_end_uses!AA189*base_building_arch_areas!$N$29</f>
        <v>27549.772814345313</v>
      </c>
      <c r="AB189" s="187">
        <f>model_eui_end_uses!AB189*base_building_arch_areas!$N$29</f>
        <v>0</v>
      </c>
      <c r="AC189" s="187">
        <f>model_eui_end_uses!AC189*base_building_arch_areas!$N$29</f>
        <v>604294.62022006034</v>
      </c>
      <c r="AD189" s="187">
        <f>model_eui_end_uses!AD189*base_building_arch_areas!$N$29</f>
        <v>4664.8239320031134</v>
      </c>
      <c r="AE189" s="187">
        <f>model_eui_end_uses!AE189*base_building_arch_areas!$N$29</f>
        <v>-187.90391482541281</v>
      </c>
      <c r="AF189" s="187">
        <f t="shared" si="32"/>
        <v>4476.9200171777011</v>
      </c>
      <c r="AG189" s="187">
        <f>model_eui_end_uses!AH189*base_building_arch_areas!$N$29</f>
        <v>75.570147698450441</v>
      </c>
      <c r="AH189" s="187">
        <f>model_eui_end_uses!AI189*base_building_arch_areas!$N$29</f>
        <v>-21.233142375271647</v>
      </c>
      <c r="AI189" s="187">
        <f t="shared" si="33"/>
        <v>54.337005323178794</v>
      </c>
      <c r="AJ189" s="200">
        <f>sim_annual_output!F189/sim_annual_output!H189*base_building_arch_areas!$N$29</f>
        <v>8099.5292456842335</v>
      </c>
      <c r="AK189">
        <f t="shared" si="34"/>
        <v>149.06101647506841</v>
      </c>
    </row>
    <row r="190" spans="1:37">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f>model_eui_end_uses!G190*base_scenario_arch_measures!$F190</f>
        <v>0</v>
      </c>
      <c r="H190">
        <f>model_eui_end_uses!H190*base_scenario_arch_measures!$F190</f>
        <v>2.1825123163608846</v>
      </c>
      <c r="I190">
        <f>model_eui_end_uses!I190*base_scenario_arch_measures!$F190</f>
        <v>3.8236521368431083E-3</v>
      </c>
      <c r="J190">
        <f>model_eui_end_uses!J190*base_scenario_arch_measures!$F190</f>
        <v>0</v>
      </c>
      <c r="K190">
        <f>model_eui_end_uses!K190*base_scenario_arch_measures!$F190</f>
        <v>1.5143550685176161E-2</v>
      </c>
      <c r="L190">
        <f>model_eui_end_uses!L190*base_scenario_arch_measures!$F190</f>
        <v>0.17250807862814144</v>
      </c>
      <c r="M190">
        <f>model_eui_end_uses!M190*base_scenario_arch_measures!$F190</f>
        <v>2.0666603771727316E-2</v>
      </c>
      <c r="N190">
        <f>model_eui_end_uses!N190*base_scenario_arch_measures!$F190</f>
        <v>0</v>
      </c>
      <c r="O190">
        <f>model_eui_end_uses!O190*base_scenario_arch_measures!$F190</f>
        <v>7.900326192864969E-2</v>
      </c>
      <c r="P190">
        <f>model_eui_end_uses!P190*base_scenario_arch_measures!$F190</f>
        <v>0.11926018220395591</v>
      </c>
      <c r="Q190">
        <f>model_eui_end_uses!Q190*base_scenario_arch_measures!$F190</f>
        <v>0</v>
      </c>
      <c r="R190" s="187">
        <f>model_eui_end_uses!R190*base_building_arch_areas!$N$29</f>
        <v>0</v>
      </c>
      <c r="S190" s="187">
        <f>model_eui_end_uses!S190*base_building_arch_areas!$N$29</f>
        <v>509757.1017704535</v>
      </c>
      <c r="T190" s="187">
        <f>model_eui_end_uses!T190*base_building_arch_areas!$N$29</f>
        <v>524.38301811744589</v>
      </c>
      <c r="U190" s="187">
        <f>model_eui_end_uses!U190*base_building_arch_areas!$N$29</f>
        <v>0</v>
      </c>
      <c r="V190" s="187">
        <f>model_eui_end_uses!V190*base_building_arch_areas!$N$29</f>
        <v>3504.6265044182633</v>
      </c>
      <c r="W190" s="187">
        <f>model_eui_end_uses!W190*base_building_arch_areas!$N$29</f>
        <v>39923.027112674885</v>
      </c>
      <c r="X190" s="187">
        <f>model_eui_end_uses!X190*base_building_arch_areas!$N$29</f>
        <v>4782.8101110795378</v>
      </c>
      <c r="Y190" s="187">
        <f>model_eui_end_uses!Y190*base_building_arch_areas!$N$29</f>
        <v>0</v>
      </c>
      <c r="Z190" s="187">
        <f>model_eui_end_uses!Z190*base_building_arch_areas!$N$29</f>
        <v>18252.898888971431</v>
      </c>
      <c r="AA190" s="187">
        <f>model_eui_end_uses!AA190*base_building_arch_areas!$N$29</f>
        <v>27549.772814345313</v>
      </c>
      <c r="AB190" s="187">
        <f>model_eui_end_uses!AB190*base_building_arch_areas!$N$29</f>
        <v>0</v>
      </c>
      <c r="AC190" s="187">
        <f>model_eui_end_uses!AC190*base_building_arch_areas!$N$29</f>
        <v>604294.62022006034</v>
      </c>
      <c r="AD190" s="187">
        <f>model_eui_end_uses!AD190*base_building_arch_areas!$N$29</f>
        <v>4664.8239320031134</v>
      </c>
      <c r="AE190" s="187">
        <f>model_eui_end_uses!AE190*base_building_arch_areas!$N$29</f>
        <v>-441.35570691551624</v>
      </c>
      <c r="AF190" s="187">
        <f t="shared" si="32"/>
        <v>4223.4682250875976</v>
      </c>
      <c r="AG190" s="187">
        <f>model_eui_end_uses!AH190*base_building_arch_areas!$N$29</f>
        <v>75.570147698450441</v>
      </c>
      <c r="AH190" s="187">
        <f>model_eui_end_uses!AI190*base_building_arch_areas!$N$29</f>
        <v>-49.873194881453337</v>
      </c>
      <c r="AI190" s="187">
        <f t="shared" si="33"/>
        <v>25.696952816997104</v>
      </c>
      <c r="AJ190" s="200">
        <f>sim_annual_output!F190/sim_annual_output!H190*base_building_arch_areas!$N$29</f>
        <v>6035.9126626275583</v>
      </c>
      <c r="AK190">
        <f t="shared" si="34"/>
        <v>234.88826498662277</v>
      </c>
    </row>
    <row r="191" spans="1:37">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f>model_eui_end_uses!G191*base_scenario_arch_measures!$F191</f>
        <v>0</v>
      </c>
      <c r="H191">
        <f>model_eui_end_uses!H191*base_scenario_arch_measures!$F191</f>
        <v>2.1734205212799464</v>
      </c>
      <c r="I191">
        <f>model_eui_end_uses!I191*base_scenario_arch_measures!$F191</f>
        <v>1.3651854295987986E-2</v>
      </c>
      <c r="J191">
        <f>model_eui_end_uses!J191*base_scenario_arch_measures!$F191</f>
        <v>0</v>
      </c>
      <c r="K191">
        <f>model_eui_end_uses!K191*base_scenario_arch_measures!$F191</f>
        <v>1.5143550685176161E-2</v>
      </c>
      <c r="L191">
        <f>model_eui_end_uses!L191*base_scenario_arch_measures!$F191</f>
        <v>0.17250807862814144</v>
      </c>
      <c r="M191">
        <f>model_eui_end_uses!M191*base_scenario_arch_measures!$F191</f>
        <v>2.0666603771727316E-2</v>
      </c>
      <c r="N191">
        <f>model_eui_end_uses!N191*base_scenario_arch_measures!$F191</f>
        <v>0</v>
      </c>
      <c r="O191">
        <f>model_eui_end_uses!O191*base_scenario_arch_measures!$F191</f>
        <v>8.4233640407195581E-2</v>
      </c>
      <c r="P191">
        <f>model_eui_end_uses!P191*base_scenario_arch_measures!$F191</f>
        <v>0.11769295688366961</v>
      </c>
      <c r="Q191">
        <f>model_eui_end_uses!Q191*base_scenario_arch_measures!$F191</f>
        <v>0</v>
      </c>
      <c r="R191" s="187">
        <f>model_eui_end_uses!R191*base_building_arch_areas!$N$29</f>
        <v>0</v>
      </c>
      <c r="S191" s="187">
        <f>model_eui_end_uses!S191*base_building_arch_areas!$N$29</f>
        <v>509757.1017704535</v>
      </c>
      <c r="T191" s="187">
        <f>model_eui_end_uses!T191*base_building_arch_areas!$N$29</f>
        <v>524.38301811744589</v>
      </c>
      <c r="U191" s="187">
        <f>model_eui_end_uses!U191*base_building_arch_areas!$N$29</f>
        <v>0</v>
      </c>
      <c r="V191" s="187">
        <f>model_eui_end_uses!V191*base_building_arch_areas!$N$29</f>
        <v>3504.6265044182633</v>
      </c>
      <c r="W191" s="187">
        <f>model_eui_end_uses!W191*base_building_arch_areas!$N$29</f>
        <v>39923.027112674885</v>
      </c>
      <c r="X191" s="187">
        <f>model_eui_end_uses!X191*base_building_arch_areas!$N$29</f>
        <v>4782.8101110795378</v>
      </c>
      <c r="Y191" s="187">
        <f>model_eui_end_uses!Y191*base_building_arch_areas!$N$29</f>
        <v>0</v>
      </c>
      <c r="Z191" s="187">
        <f>model_eui_end_uses!Z191*base_building_arch_areas!$N$29</f>
        <v>18252.898888971431</v>
      </c>
      <c r="AA191" s="187">
        <f>model_eui_end_uses!AA191*base_building_arch_areas!$N$29</f>
        <v>27549.772814345313</v>
      </c>
      <c r="AB191" s="187">
        <f>model_eui_end_uses!AB191*base_building_arch_areas!$N$29</f>
        <v>0</v>
      </c>
      <c r="AC191" s="187">
        <f>model_eui_end_uses!AC191*base_building_arch_areas!$N$29</f>
        <v>604294.62022006034</v>
      </c>
      <c r="AD191" s="187">
        <f>model_eui_end_uses!AD191*base_building_arch_areas!$N$29</f>
        <v>6768.9107921993909</v>
      </c>
      <c r="AE191" s="187">
        <f>model_eui_end_uses!AE191*base_building_arch_areas!$N$29</f>
        <v>-3563.6195939564805</v>
      </c>
      <c r="AF191" s="187">
        <f t="shared" si="32"/>
        <v>3205.2911982429105</v>
      </c>
      <c r="AG191" s="187">
        <f>model_eui_end_uses!AH191*base_building_arch_areas!$N$29</f>
        <v>109.65635483363015</v>
      </c>
      <c r="AH191" s="187">
        <f>model_eui_end_uses!AI191*base_building_arch_areas!$N$29</f>
        <v>-402.68901411708231</v>
      </c>
      <c r="AI191" s="187">
        <f t="shared" si="33"/>
        <v>-293.03265928345218</v>
      </c>
      <c r="AJ191" s="200">
        <f>sim_annual_output!F191/sim_annual_output!H191*base_building_arch_areas!$N$29</f>
        <v>2833.6592230393962</v>
      </c>
      <c r="AK191">
        <f t="shared" si="34"/>
        <v>-9.670114006979615</v>
      </c>
    </row>
    <row r="192" spans="1:37">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f>model_eui_end_uses!G192*base_scenario_arch_measures!$F192</f>
        <v>0</v>
      </c>
      <c r="H192">
        <f>model_eui_end_uses!H192*base_scenario_arch_measures!$F192</f>
        <v>2.183069342227733</v>
      </c>
      <c r="I192">
        <f>model_eui_end_uses!I192*base_scenario_arch_measures!$F192</f>
        <v>3.5593008779996344E-3</v>
      </c>
      <c r="J192">
        <f>model_eui_end_uses!J192*base_scenario_arch_measures!$F192</f>
        <v>0</v>
      </c>
      <c r="K192">
        <f>model_eui_end_uses!K192*base_scenario_arch_measures!$F192</f>
        <v>1.5143550685176161E-2</v>
      </c>
      <c r="L192">
        <f>model_eui_end_uses!L192*base_scenario_arch_measures!$F192</f>
        <v>0.17250807862814144</v>
      </c>
      <c r="M192">
        <f>model_eui_end_uses!M192*base_scenario_arch_measures!$F192</f>
        <v>2.0666603771727316E-2</v>
      </c>
      <c r="N192">
        <f>model_eui_end_uses!N192*base_scenario_arch_measures!$F192</f>
        <v>0</v>
      </c>
      <c r="O192">
        <f>model_eui_end_uses!O192*base_scenario_arch_measures!$F192</f>
        <v>7.9012703045036964E-2</v>
      </c>
      <c r="P192">
        <f>model_eui_end_uses!P192*base_scenario_arch_measures!$F192</f>
        <v>0.11887309643207795</v>
      </c>
      <c r="Q192">
        <f>model_eui_end_uses!Q192*base_scenario_arch_measures!$F192</f>
        <v>0</v>
      </c>
      <c r="R192" s="187">
        <f>model_eui_end_uses!R192*base_building_arch_areas!$N$29</f>
        <v>0</v>
      </c>
      <c r="S192" s="187">
        <f>model_eui_end_uses!S192*base_building_arch_areas!$N$29</f>
        <v>509757.1017704535</v>
      </c>
      <c r="T192" s="187">
        <f>model_eui_end_uses!T192*base_building_arch_areas!$N$29</f>
        <v>524.38301811744589</v>
      </c>
      <c r="U192" s="187">
        <f>model_eui_end_uses!U192*base_building_arch_areas!$N$29</f>
        <v>0</v>
      </c>
      <c r="V192" s="187">
        <f>model_eui_end_uses!V192*base_building_arch_areas!$N$29</f>
        <v>3504.6265044182633</v>
      </c>
      <c r="W192" s="187">
        <f>model_eui_end_uses!W192*base_building_arch_areas!$N$29</f>
        <v>39923.027112674885</v>
      </c>
      <c r="X192" s="187">
        <f>model_eui_end_uses!X192*base_building_arch_areas!$N$29</f>
        <v>4782.8101110795378</v>
      </c>
      <c r="Y192" s="187">
        <f>model_eui_end_uses!Y192*base_building_arch_areas!$N$29</f>
        <v>0</v>
      </c>
      <c r="Z192" s="187">
        <f>model_eui_end_uses!Z192*base_building_arch_areas!$N$29</f>
        <v>18252.898888971431</v>
      </c>
      <c r="AA192" s="187">
        <f>model_eui_end_uses!AA192*base_building_arch_areas!$N$29</f>
        <v>27549.772814345313</v>
      </c>
      <c r="AB192" s="187">
        <f>model_eui_end_uses!AB192*base_building_arch_areas!$N$29</f>
        <v>0</v>
      </c>
      <c r="AC192" s="187">
        <f>model_eui_end_uses!AC192*base_building_arch_areas!$N$29</f>
        <v>604294.62022006034</v>
      </c>
      <c r="AD192" s="187">
        <f>model_eui_end_uses!AD192*base_building_arch_areas!$N$29</f>
        <v>4535.913106715936</v>
      </c>
      <c r="AE192" s="187">
        <f>model_eui_end_uses!AE192*base_building_arch_areas!$N$29</f>
        <v>-292.78051844889927</v>
      </c>
      <c r="AF192" s="187">
        <f t="shared" si="32"/>
        <v>4243.1325882670371</v>
      </c>
      <c r="AG192" s="187">
        <f>model_eui_end_uses!AH192*base_building_arch_areas!$N$29</f>
        <v>73.48179232879815</v>
      </c>
      <c r="AH192" s="187">
        <f>model_eui_end_uses!AI192*base_building_arch_areas!$N$29</f>
        <v>-33.08419858472562</v>
      </c>
      <c r="AI192" s="187">
        <f t="shared" si="33"/>
        <v>40.39759374407253</v>
      </c>
      <c r="AJ192" s="200">
        <f>sim_annual_output!F192/sim_annual_output!H192*base_building_arch_areas!$N$29</f>
        <v>1107.3302472228347</v>
      </c>
      <c r="AK192">
        <f t="shared" si="34"/>
        <v>27.410797143958888</v>
      </c>
    </row>
    <row r="193" spans="1:37">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f>model_eui_end_uses!G193*base_scenario_arch_measures!$F193</f>
        <v>0</v>
      </c>
      <c r="H193">
        <f>model_eui_end_uses!H193*base_scenario_arch_measures!$F193</f>
        <v>2.2535661582914552</v>
      </c>
      <c r="I193">
        <f>model_eui_end_uses!I193*base_scenario_arch_measures!$F193</f>
        <v>2.1525745362968611E-3</v>
      </c>
      <c r="J193">
        <f>model_eui_end_uses!J193*base_scenario_arch_measures!$F193</f>
        <v>0</v>
      </c>
      <c r="K193">
        <f>model_eui_end_uses!K193*base_scenario_arch_measures!$F193</f>
        <v>1.5143550685176161E-2</v>
      </c>
      <c r="L193">
        <f>model_eui_end_uses!L193*base_scenario_arch_measures!$F193</f>
        <v>0.12076131970953137</v>
      </c>
      <c r="M193">
        <f>model_eui_end_uses!M193*base_scenario_arch_measures!$F193</f>
        <v>2.0666603771727316E-2</v>
      </c>
      <c r="N193">
        <f>model_eui_end_uses!N193*base_scenario_arch_measures!$F193</f>
        <v>0</v>
      </c>
      <c r="O193">
        <f>model_eui_end_uses!O193*base_scenario_arch_measures!$F193</f>
        <v>7.9919050218214591E-2</v>
      </c>
      <c r="P193">
        <f>model_eui_end_uses!P193*base_scenario_arch_measures!$F193</f>
        <v>9.4430046105443879E-2</v>
      </c>
      <c r="Q193">
        <f>model_eui_end_uses!Q193*base_scenario_arch_measures!$F193</f>
        <v>0</v>
      </c>
      <c r="R193" s="187">
        <f>model_eui_end_uses!R193*base_building_arch_areas!$N$29</f>
        <v>0</v>
      </c>
      <c r="S193" s="187">
        <f>model_eui_end_uses!S193*base_building_arch_areas!$N$29</f>
        <v>509757.1017704535</v>
      </c>
      <c r="T193" s="187">
        <f>model_eui_end_uses!T193*base_building_arch_areas!$N$29</f>
        <v>524.38301811744589</v>
      </c>
      <c r="U193" s="187">
        <f>model_eui_end_uses!U193*base_building_arch_areas!$N$29</f>
        <v>0</v>
      </c>
      <c r="V193" s="187">
        <f>model_eui_end_uses!V193*base_building_arch_areas!$N$29</f>
        <v>3504.6265044182633</v>
      </c>
      <c r="W193" s="187">
        <f>model_eui_end_uses!W193*base_building_arch_areas!$N$29</f>
        <v>39923.027112674885</v>
      </c>
      <c r="X193" s="187">
        <f>model_eui_end_uses!X193*base_building_arch_areas!$N$29</f>
        <v>4782.8101110795378</v>
      </c>
      <c r="Y193" s="187">
        <f>model_eui_end_uses!Y193*base_building_arch_areas!$N$29</f>
        <v>0</v>
      </c>
      <c r="Z193" s="187">
        <f>model_eui_end_uses!Z193*base_building_arch_areas!$N$29</f>
        <v>18252.898888971431</v>
      </c>
      <c r="AA193" s="187">
        <f>model_eui_end_uses!AA193*base_building_arch_areas!$N$29</f>
        <v>27549.772814345313</v>
      </c>
      <c r="AB193" s="187">
        <f>model_eui_end_uses!AB193*base_building_arch_areas!$N$29</f>
        <v>0</v>
      </c>
      <c r="AC193" s="187">
        <f>model_eui_end_uses!AC193*base_building_arch_areas!$N$29</f>
        <v>604294.62022006034</v>
      </c>
      <c r="AD193" s="187">
        <f>model_eui_end_uses!AD193*base_building_arch_areas!$N$29</f>
        <v>-11778.953544463102</v>
      </c>
      <c r="AE193" s="187">
        <f>model_eui_end_uses!AE193*base_building_arch_areas!$N$29</f>
        <v>17455.399715584488</v>
      </c>
      <c r="AF193" s="187">
        <f t="shared" si="32"/>
        <v>5676.4461711213862</v>
      </c>
      <c r="AG193" s="187">
        <f>model_eui_end_uses!AH193*base_building_arch_areas!$N$29</f>
        <v>-190.81904742030224</v>
      </c>
      <c r="AH193" s="187">
        <f>model_eui_end_uses!AI193*base_building_arch_areas!$N$29</f>
        <v>1972.460167861047</v>
      </c>
      <c r="AI193" s="187">
        <f t="shared" si="33"/>
        <v>1781.6411204407448</v>
      </c>
      <c r="AJ193" s="200">
        <f>sim_annual_output!F193/sim_annual_output!H193*base_building_arch_areas!$N$29</f>
        <v>31072.462631566061</v>
      </c>
      <c r="AK193">
        <f t="shared" si="34"/>
        <v>17.440360056283005</v>
      </c>
    </row>
    <row r="194" spans="1:37">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f>model_eui_end_uses!G194*base_scenario_arch_measures!$F194</f>
        <v>0</v>
      </c>
      <c r="H194">
        <f>model_eui_end_uses!H194*base_scenario_arch_measures!$F194</f>
        <v>1.9381101364437052</v>
      </c>
      <c r="I194">
        <f>model_eui_end_uses!I194*base_scenario_arch_measures!$F194</f>
        <v>3.1250095241853551E-3</v>
      </c>
      <c r="J194">
        <f>model_eui_end_uses!J194*base_scenario_arch_measures!$F194</f>
        <v>0</v>
      </c>
      <c r="K194">
        <f>model_eui_end_uses!K194*base_scenario_arch_measures!$F194</f>
        <v>1.5143550685176161E-2</v>
      </c>
      <c r="L194">
        <f>model_eui_end_uses!L194*base_scenario_arch_measures!$F194</f>
        <v>0.17250807862814144</v>
      </c>
      <c r="M194">
        <f>model_eui_end_uses!M194*base_scenario_arch_measures!$F194</f>
        <v>2.0666603771727316E-2</v>
      </c>
      <c r="N194">
        <f>model_eui_end_uses!N194*base_scenario_arch_measures!$F194</f>
        <v>0</v>
      </c>
      <c r="O194">
        <f>model_eui_end_uses!O194*base_scenario_arch_measures!$F194</f>
        <v>7.107272416334548E-2</v>
      </c>
      <c r="P194">
        <f>model_eui_end_uses!P194*base_scenario_arch_measures!$F194</f>
        <v>0.10642026391727288</v>
      </c>
      <c r="Q194">
        <f>model_eui_end_uses!Q194*base_scenario_arch_measures!$F194</f>
        <v>0</v>
      </c>
      <c r="R194" s="187">
        <f>model_eui_end_uses!R194*base_building_arch_areas!$N$29</f>
        <v>0</v>
      </c>
      <c r="S194" s="187">
        <f>model_eui_end_uses!S194*base_building_arch_areas!$N$29</f>
        <v>509757.1017704535</v>
      </c>
      <c r="T194" s="187">
        <f>model_eui_end_uses!T194*base_building_arch_areas!$N$29</f>
        <v>524.38301811744589</v>
      </c>
      <c r="U194" s="187">
        <f>model_eui_end_uses!U194*base_building_arch_areas!$N$29</f>
        <v>0</v>
      </c>
      <c r="V194" s="187">
        <f>model_eui_end_uses!V194*base_building_arch_areas!$N$29</f>
        <v>3504.6265044182633</v>
      </c>
      <c r="W194" s="187">
        <f>model_eui_end_uses!W194*base_building_arch_areas!$N$29</f>
        <v>39923.027112674885</v>
      </c>
      <c r="X194" s="187">
        <f>model_eui_end_uses!X194*base_building_arch_areas!$N$29</f>
        <v>4782.8101110795378</v>
      </c>
      <c r="Y194" s="187">
        <f>model_eui_end_uses!Y194*base_building_arch_areas!$N$29</f>
        <v>0</v>
      </c>
      <c r="Z194" s="187">
        <f>model_eui_end_uses!Z194*base_building_arch_areas!$N$29</f>
        <v>18252.898888971431</v>
      </c>
      <c r="AA194" s="187">
        <f>model_eui_end_uses!AA194*base_building_arch_areas!$N$29</f>
        <v>27549.772814345313</v>
      </c>
      <c r="AB194" s="187">
        <f>model_eui_end_uses!AB194*base_building_arch_areas!$N$29</f>
        <v>0</v>
      </c>
      <c r="AC194" s="187">
        <f>model_eui_end_uses!AC194*base_building_arch_areas!$N$29</f>
        <v>604294.62022006034</v>
      </c>
      <c r="AD194" s="187">
        <f>model_eui_end_uses!AD194*base_building_arch_areas!$N$29</f>
        <v>61226.087223696159</v>
      </c>
      <c r="AE194" s="187">
        <f>model_eui_end_uses!AE194*base_building_arch_areas!$N$29</f>
        <v>4527.1733897472877</v>
      </c>
      <c r="AF194" s="187">
        <f t="shared" si="32"/>
        <v>65753.260613443446</v>
      </c>
      <c r="AG194" s="187">
        <f>model_eui_end_uses!AH194*base_building_arch_areas!$N$29</f>
        <v>991.86261302387766</v>
      </c>
      <c r="AH194" s="187">
        <f>model_eui_end_uses!AI194*base_building_arch_areas!$N$29</f>
        <v>511.57059304144349</v>
      </c>
      <c r="AI194" s="187">
        <f t="shared" si="33"/>
        <v>1503.4332060653212</v>
      </c>
      <c r="AJ194" s="200">
        <f>sim_annual_output!F194/sim_annual_output!H194*base_building_arch_areas!$N$29</f>
        <v>123932.23458002401</v>
      </c>
      <c r="AK194">
        <f t="shared" si="34"/>
        <v>82.43281715479111</v>
      </c>
    </row>
    <row r="195" spans="1:37">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f>model_eui_end_uses!G195*base_scenario_arch_measures!$F195</f>
        <v>0</v>
      </c>
      <c r="H195">
        <f>model_eui_end_uses!H195*base_scenario_arch_measures!$F195</f>
        <v>2.0560202390042819</v>
      </c>
      <c r="I195">
        <f>model_eui_end_uses!I195*base_scenario_arch_measures!$F195</f>
        <v>3.927504417103044E-3</v>
      </c>
      <c r="J195">
        <f>model_eui_end_uses!J195*base_scenario_arch_measures!$F195</f>
        <v>0</v>
      </c>
      <c r="K195">
        <f>model_eui_end_uses!K195*base_scenario_arch_measures!$F195</f>
        <v>1.5143550685176161E-2</v>
      </c>
      <c r="L195">
        <f>model_eui_end_uses!L195*base_scenario_arch_measures!$F195</f>
        <v>0.17250807862814144</v>
      </c>
      <c r="M195">
        <f>model_eui_end_uses!M195*base_scenario_arch_measures!$F195</f>
        <v>2.0666603771727316E-2</v>
      </c>
      <c r="N195">
        <f>model_eui_end_uses!N195*base_scenario_arch_measures!$F195</f>
        <v>0</v>
      </c>
      <c r="O195">
        <f>model_eui_end_uses!O195*base_scenario_arch_measures!$F195</f>
        <v>7.4660348390506906E-2</v>
      </c>
      <c r="P195">
        <f>model_eui_end_uses!P195*base_scenario_arch_measures!$F195</f>
        <v>0.11267972408203088</v>
      </c>
      <c r="Q195">
        <f>model_eui_end_uses!Q195*base_scenario_arch_measures!$F195</f>
        <v>0</v>
      </c>
      <c r="R195" s="187">
        <f>model_eui_end_uses!R195*base_building_arch_areas!$N$29</f>
        <v>0</v>
      </c>
      <c r="S195" s="187">
        <f>model_eui_end_uses!S195*base_building_arch_areas!$N$29</f>
        <v>509757.1017704535</v>
      </c>
      <c r="T195" s="187">
        <f>model_eui_end_uses!T195*base_building_arch_areas!$N$29</f>
        <v>524.38301811744589</v>
      </c>
      <c r="U195" s="187">
        <f>model_eui_end_uses!U195*base_building_arch_areas!$N$29</f>
        <v>0</v>
      </c>
      <c r="V195" s="187">
        <f>model_eui_end_uses!V195*base_building_arch_areas!$N$29</f>
        <v>3504.6265044182633</v>
      </c>
      <c r="W195" s="187">
        <f>model_eui_end_uses!W195*base_building_arch_areas!$N$29</f>
        <v>39923.027112674885</v>
      </c>
      <c r="X195" s="187">
        <f>model_eui_end_uses!X195*base_building_arch_areas!$N$29</f>
        <v>4782.8101110795378</v>
      </c>
      <c r="Y195" s="187">
        <f>model_eui_end_uses!Y195*base_building_arch_areas!$N$29</f>
        <v>0</v>
      </c>
      <c r="Z195" s="187">
        <f>model_eui_end_uses!Z195*base_building_arch_areas!$N$29</f>
        <v>18252.898888971431</v>
      </c>
      <c r="AA195" s="187">
        <f>model_eui_end_uses!AA195*base_building_arch_areas!$N$29</f>
        <v>27549.772814345313</v>
      </c>
      <c r="AB195" s="187">
        <f>model_eui_end_uses!AB195*base_building_arch_areas!$N$29</f>
        <v>0</v>
      </c>
      <c r="AC195" s="187">
        <f>model_eui_end_uses!AC195*base_building_arch_areas!$N$29</f>
        <v>604294.62022006034</v>
      </c>
      <c r="AD195" s="187">
        <f>model_eui_end_uses!AD195*base_building_arch_areas!$N$29</f>
        <v>33938.505918409624</v>
      </c>
      <c r="AE195" s="187">
        <f>model_eui_end_uses!AE195*base_building_arch_areas!$N$29</f>
        <v>2062.5732045952782</v>
      </c>
      <c r="AF195" s="187">
        <f t="shared" si="32"/>
        <v>36001.0791230049</v>
      </c>
      <c r="AG195" s="187">
        <f>model_eui_end_uses!AH195*base_building_arch_areas!$N$29</f>
        <v>549.80379587823586</v>
      </c>
      <c r="AH195" s="187">
        <f>model_eui_end_uses!AI195*base_building_arch_areas!$N$29</f>
        <v>233.07077211926645</v>
      </c>
      <c r="AI195" s="187">
        <f t="shared" si="33"/>
        <v>782.87456799750225</v>
      </c>
      <c r="AJ195" s="200">
        <f>sim_annual_output!F195/sim_annual_output!H195*base_building_arch_areas!$N$29</f>
        <v>207308.11094856707</v>
      </c>
      <c r="AK195">
        <f t="shared" si="34"/>
        <v>264.80373666861595</v>
      </c>
    </row>
    <row r="196" spans="1:37">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f>model_eui_end_uses!G196*base_scenario_arch_measures!$F196</f>
        <v>0</v>
      </c>
      <c r="H196">
        <f>model_eui_end_uses!H196*base_scenario_arch_measures!$F196</f>
        <v>2.1786036941765556</v>
      </c>
      <c r="I196">
        <f>model_eui_end_uses!I196*base_scenario_arch_measures!$F196</f>
        <v>3.8236521368431083E-3</v>
      </c>
      <c r="J196">
        <f>model_eui_end_uses!J196*base_scenario_arch_measures!$F196</f>
        <v>0</v>
      </c>
      <c r="K196">
        <f>model_eui_end_uses!K196*base_scenario_arch_measures!$F196</f>
        <v>1.5143550685176161E-2</v>
      </c>
      <c r="L196">
        <f>model_eui_end_uses!L196*base_scenario_arch_measures!$F196</f>
        <v>0.17250807862814144</v>
      </c>
      <c r="M196">
        <f>model_eui_end_uses!M196*base_scenario_arch_measures!$F196</f>
        <v>2.0666603771727316E-2</v>
      </c>
      <c r="N196">
        <f>model_eui_end_uses!N196*base_scenario_arch_measures!$F196</f>
        <v>0</v>
      </c>
      <c r="O196">
        <f>model_eui_end_uses!O196*base_scenario_arch_measures!$F196</f>
        <v>7.8956056346713377E-2</v>
      </c>
      <c r="P196">
        <f>model_eui_end_uses!P196*base_scenario_arch_measures!$F196</f>
        <v>0.11906191875982329</v>
      </c>
      <c r="Q196">
        <f>model_eui_end_uses!Q196*base_scenario_arch_measures!$F196</f>
        <v>0</v>
      </c>
      <c r="R196" s="187">
        <f>model_eui_end_uses!R196*base_building_arch_areas!$N$29</f>
        <v>0</v>
      </c>
      <c r="S196" s="187">
        <f>model_eui_end_uses!S196*base_building_arch_areas!$N$29</f>
        <v>509757.1017704535</v>
      </c>
      <c r="T196" s="187">
        <f>model_eui_end_uses!T196*base_building_arch_areas!$N$29</f>
        <v>524.38301811744589</v>
      </c>
      <c r="U196" s="187">
        <f>model_eui_end_uses!U196*base_building_arch_areas!$N$29</f>
        <v>0</v>
      </c>
      <c r="V196" s="187">
        <f>model_eui_end_uses!V196*base_building_arch_areas!$N$29</f>
        <v>3504.6265044182633</v>
      </c>
      <c r="W196" s="187">
        <f>model_eui_end_uses!W196*base_building_arch_areas!$N$29</f>
        <v>39923.027112674885</v>
      </c>
      <c r="X196" s="187">
        <f>model_eui_end_uses!X196*base_building_arch_areas!$N$29</f>
        <v>4782.8101110795378</v>
      </c>
      <c r="Y196" s="187">
        <f>model_eui_end_uses!Y196*base_building_arch_areas!$N$29</f>
        <v>0</v>
      </c>
      <c r="Z196" s="187">
        <f>model_eui_end_uses!Z196*base_building_arch_areas!$N$29</f>
        <v>18252.898888971431</v>
      </c>
      <c r="AA196" s="187">
        <f>model_eui_end_uses!AA196*base_building_arch_areas!$N$29</f>
        <v>27549.772814345313</v>
      </c>
      <c r="AB196" s="187">
        <f>model_eui_end_uses!AB196*base_building_arch_areas!$N$29</f>
        <v>0</v>
      </c>
      <c r="AC196" s="187">
        <f>model_eui_end_uses!AC196*base_building_arch_areas!$N$29</f>
        <v>604294.62022006034</v>
      </c>
      <c r="AD196" s="187">
        <f>model_eui_end_uses!AD196*base_building_arch_areas!$N$29</f>
        <v>5569.3846382557476</v>
      </c>
      <c r="AE196" s="187">
        <f>model_eui_end_uses!AE196*base_building_arch_areas!$N$29</f>
        <v>-384.54754661945378</v>
      </c>
      <c r="AF196" s="187">
        <f t="shared" si="32"/>
        <v>5184.8370916362937</v>
      </c>
      <c r="AG196" s="187">
        <f>model_eui_end_uses!AH196*base_building_arch_areas!$N$29</f>
        <v>90.224031139743104</v>
      </c>
      <c r="AH196" s="187">
        <f>model_eui_end_uses!AI196*base_building_arch_areas!$N$29</f>
        <v>-43.453872767998277</v>
      </c>
      <c r="AI196" s="187">
        <f t="shared" si="33"/>
        <v>46.770158371744827</v>
      </c>
      <c r="AJ196" s="200">
        <f>sim_annual_output!F196/sim_annual_output!H196*base_building_arch_areas!$N$29</f>
        <v>5389.516620686737</v>
      </c>
      <c r="AK196">
        <f t="shared" si="34"/>
        <v>115.23408960579224</v>
      </c>
    </row>
    <row r="197" spans="1:37">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f>model_eui_end_uses!G197*base_scenario_arch_measures!$F197</f>
        <v>0</v>
      </c>
      <c r="H197">
        <f>model_eui_end_uses!H197*base_scenario_arch_measures!$F197</f>
        <v>2.1825123163608846</v>
      </c>
      <c r="I197">
        <f>model_eui_end_uses!I197*base_scenario_arch_measures!$F197</f>
        <v>3.8236521368431083E-3</v>
      </c>
      <c r="J197">
        <f>model_eui_end_uses!J197*base_scenario_arch_measures!$F197</f>
        <v>0</v>
      </c>
      <c r="K197">
        <f>model_eui_end_uses!K197*base_scenario_arch_measures!$F197</f>
        <v>1.5143550685176161E-2</v>
      </c>
      <c r="L197">
        <f>model_eui_end_uses!L197*base_scenario_arch_measures!$F197</f>
        <v>0.17250807862814144</v>
      </c>
      <c r="M197">
        <f>model_eui_end_uses!M197*base_scenario_arch_measures!$F197</f>
        <v>2.0666603771727316E-2</v>
      </c>
      <c r="N197">
        <f>model_eui_end_uses!N197*base_scenario_arch_measures!$F197</f>
        <v>0</v>
      </c>
      <c r="O197">
        <f>model_eui_end_uses!O197*base_scenario_arch_measures!$F197</f>
        <v>7.900326192864969E-2</v>
      </c>
      <c r="P197">
        <f>model_eui_end_uses!P197*base_scenario_arch_measures!$F197</f>
        <v>0.11926018220395591</v>
      </c>
      <c r="Q197">
        <f>model_eui_end_uses!Q197*base_scenario_arch_measures!$F197</f>
        <v>0</v>
      </c>
      <c r="R197" s="187">
        <f>model_eui_end_uses!R197*base_building_arch_areas!$N$29</f>
        <v>0</v>
      </c>
      <c r="S197" s="187">
        <f>model_eui_end_uses!S197*base_building_arch_areas!$N$29</f>
        <v>509757.1017704535</v>
      </c>
      <c r="T197" s="187">
        <f>model_eui_end_uses!T197*base_building_arch_areas!$N$29</f>
        <v>524.38301811744589</v>
      </c>
      <c r="U197" s="187">
        <f>model_eui_end_uses!U197*base_building_arch_areas!$N$29</f>
        <v>0</v>
      </c>
      <c r="V197" s="187">
        <f>model_eui_end_uses!V197*base_building_arch_areas!$N$29</f>
        <v>3504.6265044182633</v>
      </c>
      <c r="W197" s="187">
        <f>model_eui_end_uses!W197*base_building_arch_areas!$N$29</f>
        <v>39923.027112674885</v>
      </c>
      <c r="X197" s="187">
        <f>model_eui_end_uses!X197*base_building_arch_areas!$N$29</f>
        <v>4782.8101110795378</v>
      </c>
      <c r="Y197" s="187">
        <f>model_eui_end_uses!Y197*base_building_arch_areas!$N$29</f>
        <v>0</v>
      </c>
      <c r="Z197" s="187">
        <f>model_eui_end_uses!Z197*base_building_arch_areas!$N$29</f>
        <v>18252.898888971431</v>
      </c>
      <c r="AA197" s="187">
        <f>model_eui_end_uses!AA197*base_building_arch_areas!$N$29</f>
        <v>27549.772814345313</v>
      </c>
      <c r="AB197" s="187">
        <f>model_eui_end_uses!AB197*base_building_arch_areas!$N$29</f>
        <v>0</v>
      </c>
      <c r="AC197" s="187">
        <f>model_eui_end_uses!AC197*base_building_arch_areas!$N$29</f>
        <v>604294.62022006034</v>
      </c>
      <c r="AD197" s="187">
        <f>model_eui_end_uses!AD197*base_building_arch_areas!$N$29</f>
        <v>4664.8239320031134</v>
      </c>
      <c r="AE197" s="187">
        <f>model_eui_end_uses!AE197*base_building_arch_areas!$N$29</f>
        <v>-441.35570691551624</v>
      </c>
      <c r="AF197" s="187">
        <f t="shared" si="32"/>
        <v>4223.4682250875976</v>
      </c>
      <c r="AG197" s="187">
        <f>model_eui_end_uses!AH197*base_building_arch_areas!$N$29</f>
        <v>75.570147698450441</v>
      </c>
      <c r="AH197" s="187">
        <f>model_eui_end_uses!AI197*base_building_arch_areas!$N$29</f>
        <v>-49.873194881453337</v>
      </c>
      <c r="AI197" s="187">
        <f t="shared" si="33"/>
        <v>25.696952816997104</v>
      </c>
      <c r="AJ197" s="200">
        <f>sim_annual_output!F197/sim_annual_output!H197*base_building_arch_areas!$N$29</f>
        <v>590.05381767009783</v>
      </c>
      <c r="AK197">
        <f t="shared" si="34"/>
        <v>22.962015063506286</v>
      </c>
    </row>
    <row r="198" spans="1:37">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f>model_eui_end_uses!G198*base_scenario_arch_measures!$F198</f>
        <v>0</v>
      </c>
      <c r="H198">
        <f>model_eui_end_uses!H198*base_scenario_arch_measures!$F198</f>
        <v>2.1828899610163748</v>
      </c>
      <c r="I198">
        <f>model_eui_end_uses!I198*base_scenario_arch_measures!$F198</f>
        <v>3.8047699040685743E-3</v>
      </c>
      <c r="J198">
        <f>model_eui_end_uses!J198*base_scenario_arch_measures!$F198</f>
        <v>0</v>
      </c>
      <c r="K198">
        <f>model_eui_end_uses!K198*base_scenario_arch_measures!$F198</f>
        <v>1.5143550685176161E-2</v>
      </c>
      <c r="L198">
        <f>model_eui_end_uses!L198*base_scenario_arch_measures!$F198</f>
        <v>0.17250807862814144</v>
      </c>
      <c r="M198">
        <f>model_eui_end_uses!M198*base_scenario_arch_measures!$F198</f>
        <v>2.0666603771727316E-2</v>
      </c>
      <c r="N198">
        <f>model_eui_end_uses!N198*base_scenario_arch_measures!$F198</f>
        <v>0</v>
      </c>
      <c r="O198">
        <f>model_eui_end_uses!O198*base_scenario_arch_measures!$F198</f>
        <v>7.872946955341896E-2</v>
      </c>
      <c r="P198">
        <f>model_eui_end_uses!P198*base_scenario_arch_measures!$F198</f>
        <v>0.11926962332034317</v>
      </c>
      <c r="Q198">
        <f>model_eui_end_uses!Q198*base_scenario_arch_measures!$F198</f>
        <v>0</v>
      </c>
      <c r="R198" s="187">
        <f>model_eui_end_uses!R198*base_building_arch_areas!$N$29</f>
        <v>0</v>
      </c>
      <c r="S198" s="187">
        <f>model_eui_end_uses!S198*base_building_arch_areas!$N$29</f>
        <v>509757.1017704535</v>
      </c>
      <c r="T198" s="187">
        <f>model_eui_end_uses!T198*base_building_arch_areas!$N$29</f>
        <v>524.38301811744589</v>
      </c>
      <c r="U198" s="187">
        <f>model_eui_end_uses!U198*base_building_arch_areas!$N$29</f>
        <v>0</v>
      </c>
      <c r="V198" s="187">
        <f>model_eui_end_uses!V198*base_building_arch_areas!$N$29</f>
        <v>3504.6265044182633</v>
      </c>
      <c r="W198" s="187">
        <f>model_eui_end_uses!W198*base_building_arch_areas!$N$29</f>
        <v>39923.027112674885</v>
      </c>
      <c r="X198" s="187">
        <f>model_eui_end_uses!X198*base_building_arch_areas!$N$29</f>
        <v>4782.8101110795378</v>
      </c>
      <c r="Y198" s="187">
        <f>model_eui_end_uses!Y198*base_building_arch_areas!$N$29</f>
        <v>0</v>
      </c>
      <c r="Z198" s="187">
        <f>model_eui_end_uses!Z198*base_building_arch_areas!$N$29</f>
        <v>18252.898888971431</v>
      </c>
      <c r="AA198" s="187">
        <f>model_eui_end_uses!AA198*base_building_arch_areas!$N$29</f>
        <v>27549.772814345313</v>
      </c>
      <c r="AB198" s="187">
        <f>model_eui_end_uses!AB198*base_building_arch_areas!$N$29</f>
        <v>0</v>
      </c>
      <c r="AC198" s="187">
        <f>model_eui_end_uses!AC198*base_building_arch_areas!$N$29</f>
        <v>604294.62022006034</v>
      </c>
      <c r="AD198" s="187">
        <f>model_eui_end_uses!AD198*base_building_arch_areas!$N$29</f>
        <v>4577.4267623169562</v>
      </c>
      <c r="AE198" s="187">
        <f>model_eui_end_uses!AE198*base_building_arch_areas!$N$29</f>
        <v>-375.80782965082562</v>
      </c>
      <c r="AF198" s="187">
        <f t="shared" si="32"/>
        <v>4201.6189326661306</v>
      </c>
      <c r="AG198" s="187">
        <f>model_eui_end_uses!AH198*base_building_arch_areas!$N$29</f>
        <v>74.154313549534677</v>
      </c>
      <c r="AH198" s="187">
        <f>model_eui_end_uses!AI198*base_building_arch_areas!$N$29</f>
        <v>-42.466284750543295</v>
      </c>
      <c r="AI198" s="187">
        <f t="shared" si="33"/>
        <v>31.688028798991382</v>
      </c>
      <c r="AJ198" s="200">
        <f>sim_annual_output!F198/sim_annual_output!H198*base_building_arch_areas!$N$29</f>
        <v>2118.4031493468178</v>
      </c>
      <c r="AK198">
        <f t="shared" si="34"/>
        <v>66.851843728892533</v>
      </c>
    </row>
    <row r="199" spans="1:37">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f>model_eui_end_uses!G199*base_scenario_arch_measures!$F199</f>
        <v>0</v>
      </c>
      <c r="H199">
        <f>model_eui_end_uses!H199*base_scenario_arch_measures!$F199</f>
        <v>2.1403199672261883</v>
      </c>
      <c r="I199">
        <f>model_eui_end_uses!I199*base_scenario_arch_measures!$F199</f>
        <v>4.1729734431719843E-3</v>
      </c>
      <c r="J199">
        <f>model_eui_end_uses!J199*base_scenario_arch_measures!$F199</f>
        <v>0</v>
      </c>
      <c r="K199">
        <f>model_eui_end_uses!K199*base_scenario_arch_measures!$F199</f>
        <v>1.5143550685176161E-2</v>
      </c>
      <c r="L199">
        <f>model_eui_end_uses!L199*base_scenario_arch_measures!$F199</f>
        <v>0.17250807862814144</v>
      </c>
      <c r="M199">
        <f>model_eui_end_uses!M199*base_scenario_arch_measures!$F199</f>
        <v>2.0666603771727316E-2</v>
      </c>
      <c r="N199">
        <f>model_eui_end_uses!N199*base_scenario_arch_measures!$F199</f>
        <v>0</v>
      </c>
      <c r="O199">
        <f>model_eui_end_uses!O199*base_scenario_arch_measures!$F199</f>
        <v>7.8871086299227969E-2</v>
      </c>
      <c r="P199">
        <f>model_eui_end_uses!P199*base_scenario_arch_measures!$F199</f>
        <v>0.11906191875982329</v>
      </c>
      <c r="Q199">
        <f>model_eui_end_uses!Q199*base_scenario_arch_measures!$F199</f>
        <v>7.5151286442644797E-3</v>
      </c>
      <c r="R199" s="187">
        <f>model_eui_end_uses!R199*base_building_arch_areas!$N$29</f>
        <v>0</v>
      </c>
      <c r="S199" s="187">
        <f>model_eui_end_uses!S199*base_building_arch_areas!$N$29</f>
        <v>509757.1017704535</v>
      </c>
      <c r="T199" s="187">
        <f>model_eui_end_uses!T199*base_building_arch_areas!$N$29</f>
        <v>524.38301811744589</v>
      </c>
      <c r="U199" s="187">
        <f>model_eui_end_uses!U199*base_building_arch_areas!$N$29</f>
        <v>0</v>
      </c>
      <c r="V199" s="187">
        <f>model_eui_end_uses!V199*base_building_arch_areas!$N$29</f>
        <v>3504.6265044182633</v>
      </c>
      <c r="W199" s="187">
        <f>model_eui_end_uses!W199*base_building_arch_areas!$N$29</f>
        <v>39923.027112674885</v>
      </c>
      <c r="X199" s="187">
        <f>model_eui_end_uses!X199*base_building_arch_areas!$N$29</f>
        <v>4782.8101110795378</v>
      </c>
      <c r="Y199" s="187">
        <f>model_eui_end_uses!Y199*base_building_arch_areas!$N$29</f>
        <v>0</v>
      </c>
      <c r="Z199" s="187">
        <f>model_eui_end_uses!Z199*base_building_arch_areas!$N$29</f>
        <v>18252.898888971431</v>
      </c>
      <c r="AA199" s="187">
        <f>model_eui_end_uses!AA199*base_building_arch_areas!$N$29</f>
        <v>27549.772814345313</v>
      </c>
      <c r="AB199" s="187">
        <f>model_eui_end_uses!AB199*base_building_arch_areas!$N$29</f>
        <v>0</v>
      </c>
      <c r="AC199" s="187">
        <f>model_eui_end_uses!AC199*base_building_arch_areas!$N$29</f>
        <v>604294.62022006034</v>
      </c>
      <c r="AD199" s="187">
        <f>model_eui_end_uses!AD199*base_building_arch_areas!$N$29</f>
        <v>14429.272715198402</v>
      </c>
      <c r="AE199" s="187">
        <f>model_eui_end_uses!AE199*base_building_arch_areas!$N$29</f>
        <v>-2184.9292421560313</v>
      </c>
      <c r="AF199" s="187">
        <f t="shared" si="32"/>
        <v>12244.343473042371</v>
      </c>
      <c r="AG199" s="187">
        <f>model_eui_end_uses!AH199*base_building_arch_areas!$N$29</f>
        <v>233.75421798621412</v>
      </c>
      <c r="AH199" s="187">
        <f>model_eui_end_uses!AI199*base_building_arch_areas!$N$29</f>
        <v>-246.89700436363154</v>
      </c>
      <c r="AI199" s="187">
        <f t="shared" si="33"/>
        <v>-13.142786377417423</v>
      </c>
      <c r="AJ199" s="200">
        <f>sim_annual_output!F199/sim_annual_output!H199*base_building_arch_areas!$N$29</f>
        <v>38232.140705263089</v>
      </c>
      <c r="AK199">
        <f t="shared" si="34"/>
        <v>-2908.982890489297</v>
      </c>
    </row>
    <row r="200" spans="1:37">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f>model_eui_end_uses!G200*base_scenario_arch_measures!$F200</f>
        <v>0</v>
      </c>
      <c r="H200">
        <f>model_eui_end_uses!H200*base_scenario_arch_measures!$F200</f>
        <v>1.2390143501993633</v>
      </c>
      <c r="I200">
        <f>model_eui_end_uses!I200*base_scenario_arch_measures!$F200</f>
        <v>4.701675960858933E-3</v>
      </c>
      <c r="J200">
        <f>model_eui_end_uses!J200*base_scenario_arch_measures!$F200</f>
        <v>0</v>
      </c>
      <c r="K200">
        <f>model_eui_end_uses!K200*base_scenario_arch_measures!$F200</f>
        <v>1.5143550685176161E-2</v>
      </c>
      <c r="L200">
        <f>model_eui_end_uses!L200*base_scenario_arch_measures!$F200</f>
        <v>0.17250807862814144</v>
      </c>
      <c r="M200">
        <f>model_eui_end_uses!M200*base_scenario_arch_measures!$F200</f>
        <v>2.0666603771727316E-2</v>
      </c>
      <c r="N200">
        <f>model_eui_end_uses!N200*base_scenario_arch_measures!$F200</f>
        <v>0</v>
      </c>
      <c r="O200">
        <f>model_eui_end_uses!O200*base_scenario_arch_measures!$F200</f>
        <v>4.8272428088095835E-2</v>
      </c>
      <c r="P200">
        <f>model_eui_end_uses!P200*base_scenario_arch_measures!$F200</f>
        <v>7.0846137370051077E-2</v>
      </c>
      <c r="Q200">
        <f>model_eui_end_uses!Q200*base_scenario_arch_measures!$F200</f>
        <v>0</v>
      </c>
      <c r="R200" s="187">
        <f>model_eui_end_uses!R200*base_building_arch_areas!$N$29</f>
        <v>0</v>
      </c>
      <c r="S200" s="187">
        <f>model_eui_end_uses!S200*base_building_arch_areas!$N$29</f>
        <v>509757.1017704535</v>
      </c>
      <c r="T200" s="187">
        <f>model_eui_end_uses!T200*base_building_arch_areas!$N$29</f>
        <v>524.38301811744589</v>
      </c>
      <c r="U200" s="187">
        <f>model_eui_end_uses!U200*base_building_arch_areas!$N$29</f>
        <v>0</v>
      </c>
      <c r="V200" s="187">
        <f>model_eui_end_uses!V200*base_building_arch_areas!$N$29</f>
        <v>3504.6265044182633</v>
      </c>
      <c r="W200" s="187">
        <f>model_eui_end_uses!W200*base_building_arch_areas!$N$29</f>
        <v>39923.027112674885</v>
      </c>
      <c r="X200" s="187">
        <f>model_eui_end_uses!X200*base_building_arch_areas!$N$29</f>
        <v>4782.8101110795378</v>
      </c>
      <c r="Y200" s="187">
        <f>model_eui_end_uses!Y200*base_building_arch_areas!$N$29</f>
        <v>0</v>
      </c>
      <c r="Z200" s="187">
        <f>model_eui_end_uses!Z200*base_building_arch_areas!$N$29</f>
        <v>18252.898888971431</v>
      </c>
      <c r="AA200" s="187">
        <f>model_eui_end_uses!AA200*base_building_arch_areas!$N$29</f>
        <v>27549.772814345313</v>
      </c>
      <c r="AB200" s="187">
        <f>model_eui_end_uses!AB200*base_building_arch_areas!$N$29</f>
        <v>0</v>
      </c>
      <c r="AC200" s="187">
        <f>model_eui_end_uses!AC200*base_building_arch_areas!$N$29</f>
        <v>604294.62022006034</v>
      </c>
      <c r="AD200" s="187">
        <f>model_eui_end_uses!AD200*base_building_arch_areas!$N$29</f>
        <v>223015.72774686545</v>
      </c>
      <c r="AE200" s="187">
        <f>model_eui_end_uses!AE200*base_building_arch_areas!$N$29</f>
        <v>17671.707710557926</v>
      </c>
      <c r="AF200" s="187">
        <f t="shared" si="32"/>
        <v>240687.43545742339</v>
      </c>
      <c r="AG200" s="187">
        <f>model_eui_end_uses!AH200*base_building_arch_areas!$N$29</f>
        <v>3612.8547894992198</v>
      </c>
      <c r="AH200" s="187">
        <f>model_eui_end_uses!AI200*base_building_arch_areas!$N$29</f>
        <v>1996.9029712930455</v>
      </c>
      <c r="AI200" s="187">
        <f t="shared" si="33"/>
        <v>5609.7577607922649</v>
      </c>
      <c r="AJ200" s="200">
        <f>sim_annual_output!F200/sim_annual_output!H200*base_building_arch_areas!$N$29</f>
        <v>36863.435736090796</v>
      </c>
      <c r="AK200">
        <f t="shared" si="34"/>
        <v>6.571306161156695</v>
      </c>
    </row>
    <row r="201" spans="1:37">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f>model_eui_end_uses!G201*base_scenario_arch_measures!$F201</f>
        <v>0</v>
      </c>
      <c r="H201">
        <f>model_eui_end_uses!H201*base_scenario_arch_measures!$F201</f>
        <v>1.0678563512146011</v>
      </c>
      <c r="I201">
        <f>model_eui_end_uses!I201*base_scenario_arch_measures!$F201</f>
        <v>4.61670591337353E-3</v>
      </c>
      <c r="J201">
        <f>model_eui_end_uses!J201*base_scenario_arch_measures!$F201</f>
        <v>0</v>
      </c>
      <c r="K201">
        <f>model_eui_end_uses!K201*base_scenario_arch_measures!$F201</f>
        <v>1.5143550685176161E-2</v>
      </c>
      <c r="L201">
        <f>model_eui_end_uses!L201*base_scenario_arch_measures!$F201</f>
        <v>0.17250807862814144</v>
      </c>
      <c r="M201">
        <f>model_eui_end_uses!M201*base_scenario_arch_measures!$F201</f>
        <v>2.0666603771727316E-2</v>
      </c>
      <c r="N201">
        <f>model_eui_end_uses!N201*base_scenario_arch_measures!$F201</f>
        <v>0</v>
      </c>
      <c r="O201">
        <f>model_eui_end_uses!O201*base_scenario_arch_measures!$F201</f>
        <v>5.0491090439103568E-2</v>
      </c>
      <c r="P201">
        <f>model_eui_end_uses!P201*base_scenario_arch_measures!$F201</f>
        <v>7.0374081550687737E-2</v>
      </c>
      <c r="Q201">
        <f>model_eui_end_uses!Q201*base_scenario_arch_measures!$F201</f>
        <v>0</v>
      </c>
      <c r="R201" s="187">
        <f>model_eui_end_uses!R201*base_building_arch_areas!$N$29</f>
        <v>0</v>
      </c>
      <c r="S201" s="187">
        <f>model_eui_end_uses!S201*base_building_arch_areas!$N$29</f>
        <v>509757.1017704535</v>
      </c>
      <c r="T201" s="187">
        <f>model_eui_end_uses!T201*base_building_arch_areas!$N$29</f>
        <v>524.38301811744589</v>
      </c>
      <c r="U201" s="187">
        <f>model_eui_end_uses!U201*base_building_arch_areas!$N$29</f>
        <v>0</v>
      </c>
      <c r="V201" s="187">
        <f>model_eui_end_uses!V201*base_building_arch_areas!$N$29</f>
        <v>3504.6265044182633</v>
      </c>
      <c r="W201" s="187">
        <f>model_eui_end_uses!W201*base_building_arch_areas!$N$29</f>
        <v>39923.027112674885</v>
      </c>
      <c r="X201" s="187">
        <f>model_eui_end_uses!X201*base_building_arch_areas!$N$29</f>
        <v>4782.8101110795378</v>
      </c>
      <c r="Y201" s="187">
        <f>model_eui_end_uses!Y201*base_building_arch_areas!$N$29</f>
        <v>0</v>
      </c>
      <c r="Z201" s="187">
        <f>model_eui_end_uses!Z201*base_building_arch_areas!$N$29</f>
        <v>18252.898888971431</v>
      </c>
      <c r="AA201" s="187">
        <f>model_eui_end_uses!AA201*base_building_arch_areas!$N$29</f>
        <v>27549.772814345313</v>
      </c>
      <c r="AB201" s="187">
        <f>model_eui_end_uses!AB201*base_building_arch_areas!$N$29</f>
        <v>0</v>
      </c>
      <c r="AC201" s="187">
        <f>model_eui_end_uses!AC201*base_building_arch_areas!$N$29</f>
        <v>604294.62022006034</v>
      </c>
      <c r="AD201" s="187">
        <f>model_eui_end_uses!AD201*base_building_arch_areas!$N$29</f>
        <v>262626.30997791205</v>
      </c>
      <c r="AE201" s="187">
        <f>model_eui_end_uses!AE201*base_building_arch_areas!$N$29</f>
        <v>17287.160163938461</v>
      </c>
      <c r="AF201" s="187">
        <f t="shared" si="32"/>
        <v>279913.47014185053</v>
      </c>
      <c r="AG201" s="187">
        <f>model_eui_end_uses!AH201*base_building_arch_areas!$N$29</f>
        <v>4254.5462216421747</v>
      </c>
      <c r="AH201" s="187">
        <f>model_eui_end_uses!AI201*base_building_arch_areas!$N$29</f>
        <v>1953.4490985250461</v>
      </c>
      <c r="AI201" s="187">
        <f t="shared" si="33"/>
        <v>6207.9953201672206</v>
      </c>
      <c r="AJ201" s="200">
        <f>sim_annual_output!F201/sim_annual_output!H201*base_building_arch_areas!$N$29</f>
        <v>40320.019104493571</v>
      </c>
      <c r="AK201">
        <f t="shared" si="34"/>
        <v>6.4948533342978578</v>
      </c>
    </row>
    <row r="202" spans="1:37">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f>model_eui_end_uses!G202*base_scenario_arch_measures!$F202</f>
        <v>0</v>
      </c>
      <c r="H202">
        <f>model_eui_end_uses!H202*base_scenario_arch_measures!$F202</f>
        <v>2.2527070167002141</v>
      </c>
      <c r="I202">
        <f>model_eui_end_uses!I202*base_scenario_arch_measures!$F202</f>
        <v>2.2186623510077295E-3</v>
      </c>
      <c r="J202">
        <f>model_eui_end_uses!J202*base_scenario_arch_measures!$F202</f>
        <v>0</v>
      </c>
      <c r="K202">
        <f>model_eui_end_uses!K202*base_scenario_arch_measures!$F202</f>
        <v>1.5143550685176161E-2</v>
      </c>
      <c r="L202">
        <f>model_eui_end_uses!L202*base_scenario_arch_measures!$F202</f>
        <v>0.12076131970953137</v>
      </c>
      <c r="M202">
        <f>model_eui_end_uses!M202*base_scenario_arch_measures!$F202</f>
        <v>2.0666603771727316E-2</v>
      </c>
      <c r="N202">
        <f>model_eui_end_uses!N202*base_scenario_arch_measures!$F202</f>
        <v>0</v>
      </c>
      <c r="O202">
        <f>model_eui_end_uses!O202*base_scenario_arch_measures!$F202</f>
        <v>7.9900167985440057E-2</v>
      </c>
      <c r="P202">
        <f>model_eui_end_uses!P202*base_scenario_arch_measures!$F202</f>
        <v>0.12073299636036953</v>
      </c>
      <c r="Q202">
        <f>model_eui_end_uses!Q202*base_scenario_arch_measures!$F202</f>
        <v>0</v>
      </c>
      <c r="R202" s="187">
        <f>model_eui_end_uses!R202*base_building_arch_areas!$N$29</f>
        <v>0</v>
      </c>
      <c r="S202" s="187">
        <f>model_eui_end_uses!S202*base_building_arch_areas!$N$29</f>
        <v>509757.1017704535</v>
      </c>
      <c r="T202" s="187">
        <f>model_eui_end_uses!T202*base_building_arch_areas!$N$29</f>
        <v>524.38301811744589</v>
      </c>
      <c r="U202" s="187">
        <f>model_eui_end_uses!U202*base_building_arch_areas!$N$29</f>
        <v>0</v>
      </c>
      <c r="V202" s="187">
        <f>model_eui_end_uses!V202*base_building_arch_areas!$N$29</f>
        <v>3504.6265044182633</v>
      </c>
      <c r="W202" s="187">
        <f>model_eui_end_uses!W202*base_building_arch_areas!$N$29</f>
        <v>39923.027112674885</v>
      </c>
      <c r="X202" s="187">
        <f>model_eui_end_uses!X202*base_building_arch_areas!$N$29</f>
        <v>4782.8101110795378</v>
      </c>
      <c r="Y202" s="187">
        <f>model_eui_end_uses!Y202*base_building_arch_areas!$N$29</f>
        <v>0</v>
      </c>
      <c r="Z202" s="187">
        <f>model_eui_end_uses!Z202*base_building_arch_areas!$N$29</f>
        <v>18252.898888971431</v>
      </c>
      <c r="AA202" s="187">
        <f>model_eui_end_uses!AA202*base_building_arch_areas!$N$29</f>
        <v>27549.772814345313</v>
      </c>
      <c r="AB202" s="187">
        <f>model_eui_end_uses!AB202*base_building_arch_areas!$N$29</f>
        <v>0</v>
      </c>
      <c r="AC202" s="187">
        <f>model_eui_end_uses!AC202*base_building_arch_areas!$N$29</f>
        <v>604294.62022006034</v>
      </c>
      <c r="AD202" s="187">
        <f>model_eui_end_uses!AD202*base_building_arch_areas!$N$29</f>
        <v>-11580.124983426898</v>
      </c>
      <c r="AE202" s="187">
        <f>model_eui_end_uses!AE202*base_building_arch_areas!$N$29</f>
        <v>11357.262200727015</v>
      </c>
      <c r="AF202" s="187">
        <f t="shared" si="32"/>
        <v>-222.86278269988361</v>
      </c>
      <c r="AG202" s="187">
        <f>model_eui_end_uses!AH202*base_building_arch_areas!$N$29</f>
        <v>-187.59802473151575</v>
      </c>
      <c r="AH202" s="187">
        <f>model_eui_end_uses!AI202*base_building_arch_areas!$N$29</f>
        <v>1283.3706286821525</v>
      </c>
      <c r="AI202" s="187">
        <f t="shared" si="33"/>
        <v>1095.7726039506367</v>
      </c>
      <c r="AJ202" s="200">
        <f>sim_annual_output!F202/sim_annual_output!H202*base_building_arch_areas!$N$29</f>
        <v>18913.77839232792</v>
      </c>
      <c r="AK202">
        <f t="shared" si="34"/>
        <v>17.260678286842772</v>
      </c>
    </row>
    <row r="203" spans="1:37">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f>model_eui_end_uses!G203*base_scenario_arch_measures!$F203</f>
        <v>0</v>
      </c>
      <c r="H203">
        <f>model_eui_end_uses!H203*base_scenario_arch_measures!$F203</f>
        <v>0.6578475487483727</v>
      </c>
      <c r="I203">
        <f>model_eui_end_uses!I203*base_scenario_arch_measures!$F203</f>
        <v>4.61670591337353E-3</v>
      </c>
      <c r="J203">
        <f>model_eui_end_uses!J203*base_scenario_arch_measures!$F203</f>
        <v>0</v>
      </c>
      <c r="K203">
        <f>model_eui_end_uses!K203*base_scenario_arch_measures!$F203</f>
        <v>1.5143550685176161E-2</v>
      </c>
      <c r="L203">
        <f>model_eui_end_uses!L203*base_scenario_arch_measures!$F203</f>
        <v>0.17250807862814144</v>
      </c>
      <c r="M203">
        <f>model_eui_end_uses!M203*base_scenario_arch_measures!$F203</f>
        <v>2.0666603771727316E-2</v>
      </c>
      <c r="N203">
        <f>model_eui_end_uses!N203*base_scenario_arch_measures!$F203</f>
        <v>0</v>
      </c>
      <c r="O203">
        <f>model_eui_end_uses!O203*base_scenario_arch_measures!$F203</f>
        <v>5.0491090439103568E-2</v>
      </c>
      <c r="P203">
        <f>model_eui_end_uses!P203*base_scenario_arch_measures!$F203</f>
        <v>7.0374081550687737E-2</v>
      </c>
      <c r="Q203">
        <f>model_eui_end_uses!Q203*base_scenario_arch_measures!$F203</f>
        <v>0</v>
      </c>
      <c r="R203" s="187">
        <f>model_eui_end_uses!R203*base_building_arch_areas!$N$29</f>
        <v>0</v>
      </c>
      <c r="S203" s="187">
        <f>model_eui_end_uses!S203*base_building_arch_areas!$N$29</f>
        <v>509757.1017704535</v>
      </c>
      <c r="T203" s="187">
        <f>model_eui_end_uses!T203*base_building_arch_areas!$N$29</f>
        <v>524.38301811744589</v>
      </c>
      <c r="U203" s="187">
        <f>model_eui_end_uses!U203*base_building_arch_areas!$N$29</f>
        <v>0</v>
      </c>
      <c r="V203" s="187">
        <f>model_eui_end_uses!V203*base_building_arch_areas!$N$29</f>
        <v>3504.6265044182633</v>
      </c>
      <c r="W203" s="187">
        <f>model_eui_end_uses!W203*base_building_arch_areas!$N$29</f>
        <v>39923.027112674885</v>
      </c>
      <c r="X203" s="187">
        <f>model_eui_end_uses!X203*base_building_arch_areas!$N$29</f>
        <v>4782.8101110795378</v>
      </c>
      <c r="Y203" s="187">
        <f>model_eui_end_uses!Y203*base_building_arch_areas!$N$29</f>
        <v>0</v>
      </c>
      <c r="Z203" s="187">
        <f>model_eui_end_uses!Z203*base_building_arch_areas!$N$29</f>
        <v>18252.898888971431</v>
      </c>
      <c r="AA203" s="187">
        <f>model_eui_end_uses!AA203*base_building_arch_areas!$N$29</f>
        <v>27549.772814345313</v>
      </c>
      <c r="AB203" s="187">
        <f>model_eui_end_uses!AB203*base_building_arch_areas!$N$29</f>
        <v>0</v>
      </c>
      <c r="AC203" s="187">
        <f>model_eui_end_uses!AC203*base_building_arch_areas!$N$29</f>
        <v>604294.62022006034</v>
      </c>
      <c r="AD203" s="187">
        <f>model_eui_end_uses!AD203*base_building_arch_areas!$N$29</f>
        <v>357513.41710626386</v>
      </c>
      <c r="AE203" s="187">
        <f>model_eui_end_uses!AE203*base_building_arch_areas!$N$29</f>
        <v>17287.160163938461</v>
      </c>
      <c r="AF203" s="187">
        <f t="shared" si="32"/>
        <v>374800.57727020234</v>
      </c>
      <c r="AG203" s="187">
        <f>model_eui_end_uses!AH203*base_building_arch_areas!$N$29</f>
        <v>5791.7173571214744</v>
      </c>
      <c r="AH203" s="187">
        <f>model_eui_end_uses!AI203*base_building_arch_areas!$N$29</f>
        <v>1953.4490985250461</v>
      </c>
      <c r="AI203" s="187">
        <f t="shared" si="33"/>
        <v>7745.1664556465203</v>
      </c>
      <c r="AJ203" s="200">
        <f>sim_annual_output!F203/sim_annual_output!H203*base_building_arch_areas!$N$29</f>
        <v>41068.935425475778</v>
      </c>
      <c r="AK203">
        <f t="shared" si="34"/>
        <v>5.3025245694409788</v>
      </c>
    </row>
    <row r="204" spans="1:37">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f>model_eui_end_uses!G204*base_scenario_arch_measures!$F204</f>
        <v>0</v>
      </c>
      <c r="H204">
        <f>model_eui_end_uses!H204*base_scenario_arch_measures!$F204</f>
        <v>1.9063502209169394</v>
      </c>
      <c r="I204">
        <f>model_eui_end_uses!I204*base_scenario_arch_measures!$F204</f>
        <v>3.5215364124505663E-3</v>
      </c>
      <c r="J204">
        <f>model_eui_end_uses!J204*base_scenario_arch_measures!$F204</f>
        <v>0</v>
      </c>
      <c r="K204">
        <f>model_eui_end_uses!K204*base_scenario_arch_measures!$F204</f>
        <v>1.5143550685176161E-2</v>
      </c>
      <c r="L204">
        <f>model_eui_end_uses!L204*base_scenario_arch_measures!$F204</f>
        <v>0.17250807862814144</v>
      </c>
      <c r="M204">
        <f>model_eui_end_uses!M204*base_scenario_arch_measures!$F204</f>
        <v>2.0666603771727316E-2</v>
      </c>
      <c r="N204">
        <f>model_eui_end_uses!N204*base_scenario_arch_measures!$F204</f>
        <v>0</v>
      </c>
      <c r="O204">
        <f>model_eui_end_uses!O204*base_scenario_arch_measures!$F204</f>
        <v>8.483787185598067E-2</v>
      </c>
      <c r="P204">
        <f>model_eui_end_uses!P204*base_scenario_arch_measures!$F204</f>
        <v>0.12155437348606178</v>
      </c>
      <c r="Q204">
        <f>model_eui_end_uses!Q204*base_scenario_arch_measures!$F204</f>
        <v>0</v>
      </c>
      <c r="R204" s="187">
        <f>model_eui_end_uses!R204*base_building_arch_areas!$N$29</f>
        <v>0</v>
      </c>
      <c r="S204" s="187">
        <f>model_eui_end_uses!S204*base_building_arch_areas!$N$29</f>
        <v>509757.1017704535</v>
      </c>
      <c r="T204" s="187">
        <f>model_eui_end_uses!T204*base_building_arch_areas!$N$29</f>
        <v>524.38301811744589</v>
      </c>
      <c r="U204" s="187">
        <f>model_eui_end_uses!U204*base_building_arch_areas!$N$29</f>
        <v>0</v>
      </c>
      <c r="V204" s="187">
        <f>model_eui_end_uses!V204*base_building_arch_areas!$N$29</f>
        <v>3504.6265044182633</v>
      </c>
      <c r="W204" s="187">
        <f>model_eui_end_uses!W204*base_building_arch_areas!$N$29</f>
        <v>39923.027112674885</v>
      </c>
      <c r="X204" s="187">
        <f>model_eui_end_uses!X204*base_building_arch_areas!$N$29</f>
        <v>4782.8101110795378</v>
      </c>
      <c r="Y204" s="187">
        <f>model_eui_end_uses!Y204*base_building_arch_areas!$N$29</f>
        <v>0</v>
      </c>
      <c r="Z204" s="187">
        <f>model_eui_end_uses!Z204*base_building_arch_areas!$N$29</f>
        <v>18252.898888971431</v>
      </c>
      <c r="AA204" s="187">
        <f>model_eui_end_uses!AA204*base_building_arch_areas!$N$29</f>
        <v>27549.772814345313</v>
      </c>
      <c r="AB204" s="187">
        <f>model_eui_end_uses!AB204*base_building_arch_areas!$N$29</f>
        <v>0</v>
      </c>
      <c r="AC204" s="187">
        <f>model_eui_end_uses!AC204*base_building_arch_areas!$N$29</f>
        <v>604294.62022006034</v>
      </c>
      <c r="AD204" s="187">
        <f>model_eui_end_uses!AD204*base_building_arch_areas!$N$29</f>
        <v>68576.189194309001</v>
      </c>
      <c r="AE204" s="187">
        <f>model_eui_end_uses!AE204*base_building_arch_areas!$N$29</f>
        <v>-2252.6620486628535</v>
      </c>
      <c r="AF204" s="187">
        <f t="shared" si="32"/>
        <v>66323.527145646149</v>
      </c>
      <c r="AG204" s="187">
        <f>model_eui_end_uses!AH204*base_building_arch_areas!$N$29</f>
        <v>1110.9342649478058</v>
      </c>
      <c r="AH204" s="187">
        <f>model_eui_end_uses!AI204*base_building_arch_areas!$N$29</f>
        <v>-254.55081149890242</v>
      </c>
      <c r="AI204" s="187">
        <f t="shared" si="33"/>
        <v>856.38345344890331</v>
      </c>
      <c r="AJ204" s="200">
        <f>sim_annual_output!F204/sim_annual_output!H204*base_building_arch_areas!$N$29</f>
        <v>3456.5833684027716</v>
      </c>
      <c r="AK204">
        <f t="shared" si="34"/>
        <v>4.0362566026726849</v>
      </c>
    </row>
    <row r="205" spans="1:37">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f>model_eui_end_uses!G205*base_scenario_arch_measures!$F205</f>
        <v>0</v>
      </c>
      <c r="H205">
        <f>model_eui_end_uses!H205*base_scenario_arch_measures!$F205</f>
        <v>0.73661478276734071</v>
      </c>
      <c r="I205">
        <f>model_eui_end_uses!I205*base_scenario_arch_measures!$F205</f>
        <v>1.5917722228932053E-2</v>
      </c>
      <c r="J205">
        <f>model_eui_end_uses!J205*base_scenario_arch_measures!$F205</f>
        <v>0</v>
      </c>
      <c r="K205">
        <f>model_eui_end_uses!K205*base_scenario_arch_measures!$F205</f>
        <v>1.5143550685176161E-2</v>
      </c>
      <c r="L205">
        <f>model_eui_end_uses!L205*base_scenario_arch_measures!$F205</f>
        <v>0.12076131970953137</v>
      </c>
      <c r="M205">
        <f>model_eui_end_uses!M205*base_scenario_arch_measures!$F205</f>
        <v>2.0666603771727316E-2</v>
      </c>
      <c r="N205">
        <f>model_eui_end_uses!N205*base_scenario_arch_measures!$F205</f>
        <v>0</v>
      </c>
      <c r="O205">
        <f>model_eui_end_uses!O205*base_scenario_arch_measures!$F205</f>
        <v>5.6542846043341671E-2</v>
      </c>
      <c r="P205">
        <f>model_eui_end_uses!P205*base_scenario_arch_measures!$F205</f>
        <v>5.4975620723055355E-2</v>
      </c>
      <c r="Q205">
        <f>model_eui_end_uses!Q205*base_scenario_arch_measures!$F205</f>
        <v>0</v>
      </c>
      <c r="R205" s="187">
        <f>model_eui_end_uses!R205*base_building_arch_areas!$N$29</f>
        <v>0</v>
      </c>
      <c r="S205" s="187">
        <f>model_eui_end_uses!S205*base_building_arch_areas!$N$29</f>
        <v>509757.1017704535</v>
      </c>
      <c r="T205" s="187">
        <f>model_eui_end_uses!T205*base_building_arch_areas!$N$29</f>
        <v>524.38301811744589</v>
      </c>
      <c r="U205" s="187">
        <f>model_eui_end_uses!U205*base_building_arch_areas!$N$29</f>
        <v>0</v>
      </c>
      <c r="V205" s="187">
        <f>model_eui_end_uses!V205*base_building_arch_areas!$N$29</f>
        <v>3504.6265044182633</v>
      </c>
      <c r="W205" s="187">
        <f>model_eui_end_uses!W205*base_building_arch_areas!$N$29</f>
        <v>39923.027112674885</v>
      </c>
      <c r="X205" s="187">
        <f>model_eui_end_uses!X205*base_building_arch_areas!$N$29</f>
        <v>4782.8101110795378</v>
      </c>
      <c r="Y205" s="187">
        <f>model_eui_end_uses!Y205*base_building_arch_areas!$N$29</f>
        <v>0</v>
      </c>
      <c r="Z205" s="187">
        <f>model_eui_end_uses!Z205*base_building_arch_areas!$N$29</f>
        <v>18252.898888971431</v>
      </c>
      <c r="AA205" s="187">
        <f>model_eui_end_uses!AA205*base_building_arch_areas!$N$29</f>
        <v>27549.772814345313</v>
      </c>
      <c r="AB205" s="187">
        <f>model_eui_end_uses!AB205*base_building_arch_areas!$N$29</f>
        <v>0</v>
      </c>
      <c r="AC205" s="187">
        <f>model_eui_end_uses!AC205*base_building_arch_areas!$N$29</f>
        <v>604294.62022006034</v>
      </c>
      <c r="AD205" s="187">
        <f>model_eui_end_uses!AD205*base_building_arch_areas!$N$29</f>
        <v>339284.55243895616</v>
      </c>
      <c r="AE205" s="187">
        <f>model_eui_end_uses!AE205*base_building_arch_areas!$N$29</f>
        <v>28810.476987069338</v>
      </c>
      <c r="AF205" s="187">
        <f t="shared" si="32"/>
        <v>368095.02942602552</v>
      </c>
      <c r="AG205" s="187">
        <f>model_eui_end_uses!AH205*base_building_arch_areas!$N$29</f>
        <v>5496.4097495110891</v>
      </c>
      <c r="AH205" s="187">
        <f>model_eui_end_uses!AI205*base_building_arch_areas!$N$29</f>
        <v>3255.5838995388353</v>
      </c>
      <c r="AI205" s="187">
        <f t="shared" si="33"/>
        <v>8751.993649049924</v>
      </c>
      <c r="AJ205" s="200">
        <f>sim_annual_output!F205/sim_annual_output!H205*base_building_arch_areas!$N$29</f>
        <v>79834.779663734211</v>
      </c>
      <c r="AK205">
        <f t="shared" si="34"/>
        <v>9.1218964346941345</v>
      </c>
    </row>
    <row r="206" spans="1:37">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f>model_eui_end_uses!G206*base_scenario_arch_measures!$F206</f>
        <v>0</v>
      </c>
      <c r="H206">
        <f>model_eui_end_uses!H206*base_scenario_arch_measures!$F206</f>
        <v>2.1832015178571549</v>
      </c>
      <c r="I206">
        <f>model_eui_end_uses!I206*base_scenario_arch_measures!$F206</f>
        <v>3.7197998565831718E-3</v>
      </c>
      <c r="J206">
        <f>model_eui_end_uses!J206*base_scenario_arch_measures!$F206</f>
        <v>0</v>
      </c>
      <c r="K206">
        <f>model_eui_end_uses!K206*base_scenario_arch_measures!$F206</f>
        <v>1.5143550685176161E-2</v>
      </c>
      <c r="L206">
        <f>model_eui_end_uses!L206*base_scenario_arch_measures!$F206</f>
        <v>0.17250807862814144</v>
      </c>
      <c r="M206">
        <f>model_eui_end_uses!M206*base_scenario_arch_measures!$F206</f>
        <v>2.0666603771727316E-2</v>
      </c>
      <c r="N206">
        <f>model_eui_end_uses!N206*base_scenario_arch_measures!$F206</f>
        <v>0</v>
      </c>
      <c r="O206">
        <f>model_eui_end_uses!O206*base_scenario_arch_measures!$F206</f>
        <v>7.9012703045036964E-2</v>
      </c>
      <c r="P206">
        <f>model_eui_end_uses!P206*base_scenario_arch_measures!$F206</f>
        <v>0.11930738778589225</v>
      </c>
      <c r="Q206">
        <f>model_eui_end_uses!Q206*base_scenario_arch_measures!$F206</f>
        <v>0</v>
      </c>
      <c r="R206" s="187">
        <f>model_eui_end_uses!R206*base_building_arch_areas!$N$29</f>
        <v>0</v>
      </c>
      <c r="S206" s="187">
        <f>model_eui_end_uses!S206*base_building_arch_areas!$N$29</f>
        <v>509757.1017704535</v>
      </c>
      <c r="T206" s="187">
        <f>model_eui_end_uses!T206*base_building_arch_areas!$N$29</f>
        <v>524.38301811744589</v>
      </c>
      <c r="U206" s="187">
        <f>model_eui_end_uses!U206*base_building_arch_areas!$N$29</f>
        <v>0</v>
      </c>
      <c r="V206" s="187">
        <f>model_eui_end_uses!V206*base_building_arch_areas!$N$29</f>
        <v>3504.6265044182633</v>
      </c>
      <c r="W206" s="187">
        <f>model_eui_end_uses!W206*base_building_arch_areas!$N$29</f>
        <v>39923.027112674885</v>
      </c>
      <c r="X206" s="187">
        <f>model_eui_end_uses!X206*base_building_arch_areas!$N$29</f>
        <v>4782.8101110795378</v>
      </c>
      <c r="Y206" s="187">
        <f>model_eui_end_uses!Y206*base_building_arch_areas!$N$29</f>
        <v>0</v>
      </c>
      <c r="Z206" s="187">
        <f>model_eui_end_uses!Z206*base_building_arch_areas!$N$29</f>
        <v>18252.898888971431</v>
      </c>
      <c r="AA206" s="187">
        <f>model_eui_end_uses!AA206*base_building_arch_areas!$N$29</f>
        <v>27549.772814345313</v>
      </c>
      <c r="AB206" s="187">
        <f>model_eui_end_uses!AB206*base_building_arch_areas!$N$29</f>
        <v>0</v>
      </c>
      <c r="AC206" s="187">
        <f>model_eui_end_uses!AC206*base_building_arch_areas!$N$29</f>
        <v>604294.62022006034</v>
      </c>
      <c r="AD206" s="187">
        <f>model_eui_end_uses!AD206*base_building_arch_areas!$N$29</f>
        <v>4505.3240973257889</v>
      </c>
      <c r="AE206" s="187">
        <f>model_eui_end_uses!AE206*base_building_arch_areas!$N$29</f>
        <v>-430.43106070473618</v>
      </c>
      <c r="AF206" s="187">
        <f t="shared" si="32"/>
        <v>4074.8930366210525</v>
      </c>
      <c r="AG206" s="187">
        <f>model_eui_end_uses!AH206*base_building_arch_areas!$N$29</f>
        <v>72.986250376677773</v>
      </c>
      <c r="AH206" s="187">
        <f>model_eui_end_uses!AI206*base_building_arch_areas!$N$29</f>
        <v>-48.638709859635192</v>
      </c>
      <c r="AI206" s="187">
        <f t="shared" si="33"/>
        <v>24.347540517042582</v>
      </c>
      <c r="AJ206" s="200">
        <f>sim_annual_output!F206/sim_annual_output!H206*base_building_arch_areas!$N$29</f>
        <v>1998.6658472664767</v>
      </c>
      <c r="AK206">
        <f t="shared" si="34"/>
        <v>82.089024386979361</v>
      </c>
    </row>
    <row r="207" spans="1:37">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f>model_eui_end_uses!G207*base_scenario_arch_measures!$F207</f>
        <v>0</v>
      </c>
      <c r="H207">
        <f>model_eui_end_uses!H207*base_scenario_arch_measures!$F207</f>
        <v>2.1825123163608846</v>
      </c>
      <c r="I207">
        <f>model_eui_end_uses!I207*base_scenario_arch_measures!$F207</f>
        <v>3.8236521368431083E-3</v>
      </c>
      <c r="J207">
        <f>model_eui_end_uses!J207*base_scenario_arch_measures!$F207</f>
        <v>0</v>
      </c>
      <c r="K207">
        <f>model_eui_end_uses!K207*base_scenario_arch_measures!$F207</f>
        <v>1.5143550685176161E-2</v>
      </c>
      <c r="L207">
        <f>model_eui_end_uses!L207*base_scenario_arch_measures!$F207</f>
        <v>0.17250807862814144</v>
      </c>
      <c r="M207">
        <f>model_eui_end_uses!M207*base_scenario_arch_measures!$F207</f>
        <v>2.0666603771727316E-2</v>
      </c>
      <c r="N207">
        <f>model_eui_end_uses!N207*base_scenario_arch_measures!$F207</f>
        <v>0</v>
      </c>
      <c r="O207">
        <f>model_eui_end_uses!O207*base_scenario_arch_measures!$F207</f>
        <v>7.900326192864969E-2</v>
      </c>
      <c r="P207">
        <f>model_eui_end_uses!P207*base_scenario_arch_measures!$F207</f>
        <v>9.3268788789810042E-2</v>
      </c>
      <c r="Q207">
        <f>model_eui_end_uses!Q207*base_scenario_arch_measures!$F207</f>
        <v>0</v>
      </c>
      <c r="R207" s="187">
        <f>model_eui_end_uses!R207*base_building_arch_areas!$N$29</f>
        <v>0</v>
      </c>
      <c r="S207" s="187">
        <f>model_eui_end_uses!S207*base_building_arch_areas!$N$29</f>
        <v>509757.1017704535</v>
      </c>
      <c r="T207" s="187">
        <f>model_eui_end_uses!T207*base_building_arch_areas!$N$29</f>
        <v>524.38301811744589</v>
      </c>
      <c r="U207" s="187">
        <f>model_eui_end_uses!U207*base_building_arch_areas!$N$29</f>
        <v>0</v>
      </c>
      <c r="V207" s="187">
        <f>model_eui_end_uses!V207*base_building_arch_areas!$N$29</f>
        <v>3504.6265044182633</v>
      </c>
      <c r="W207" s="187">
        <f>model_eui_end_uses!W207*base_building_arch_areas!$N$29</f>
        <v>39923.027112674885</v>
      </c>
      <c r="X207" s="187">
        <f>model_eui_end_uses!X207*base_building_arch_areas!$N$29</f>
        <v>4782.8101110795378</v>
      </c>
      <c r="Y207" s="187">
        <f>model_eui_end_uses!Y207*base_building_arch_areas!$N$29</f>
        <v>0</v>
      </c>
      <c r="Z207" s="187">
        <f>model_eui_end_uses!Z207*base_building_arch_areas!$N$29</f>
        <v>18252.898888971431</v>
      </c>
      <c r="AA207" s="187">
        <f>model_eui_end_uses!AA207*base_building_arch_areas!$N$29</f>
        <v>27549.772814345313</v>
      </c>
      <c r="AB207" s="187">
        <f>model_eui_end_uses!AB207*base_building_arch_areas!$N$29</f>
        <v>0</v>
      </c>
      <c r="AC207" s="187">
        <f>model_eui_end_uses!AC207*base_building_arch_areas!$N$29</f>
        <v>604294.62022006034</v>
      </c>
      <c r="AD207" s="187">
        <f>model_eui_end_uses!AD207*base_building_arch_areas!$N$29</f>
        <v>4664.8239320031134</v>
      </c>
      <c r="AE207" s="187">
        <f>model_eui_end_uses!AE207*base_building_arch_areas!$N$29</f>
        <v>5573.7544967400208</v>
      </c>
      <c r="AF207" s="187">
        <f t="shared" si="32"/>
        <v>10238.578428743134</v>
      </c>
      <c r="AG207" s="187">
        <f>model_eui_end_uses!AH207*base_building_arch_areas!$N$29</f>
        <v>75.570147698450441</v>
      </c>
      <c r="AH207" s="187">
        <f>model_eui_end_uses!AI207*base_building_arch_areas!$N$29</f>
        <v>629.83425813162228</v>
      </c>
      <c r="AI207" s="187">
        <f t="shared" si="33"/>
        <v>705.40440583007273</v>
      </c>
      <c r="AJ207" s="200">
        <f>sim_annual_output!F207/sim_annual_output!H207*base_building_arch_areas!$N$29</f>
        <v>3534.0599720780483</v>
      </c>
      <c r="AK207">
        <f t="shared" si="34"/>
        <v>5.0099771746100776</v>
      </c>
    </row>
    <row r="208" spans="1:37">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f>model_eui_end_uses!G208*base_scenario_arch_measures!$F208</f>
        <v>0</v>
      </c>
      <c r="H208">
        <f>model_eui_end_uses!H208*base_scenario_arch_measures!$F208</f>
        <v>7.9884750929264401</v>
      </c>
      <c r="I208">
        <f>model_eui_end_uses!I208*base_scenario_arch_measures!$F208</f>
        <v>7.9048550598833367E-2</v>
      </c>
      <c r="J208">
        <f>model_eui_end_uses!J208*base_scenario_arch_measures!$F208</f>
        <v>0</v>
      </c>
      <c r="K208">
        <f>model_eui_end_uses!K208*base_scenario_arch_measures!$F208</f>
        <v>0.10184247000845681</v>
      </c>
      <c r="L208">
        <f>model_eui_end_uses!L208*base_scenario_arch_measures!$F208</f>
        <v>1.1601406558569345</v>
      </c>
      <c r="M208">
        <f>model_eui_end_uses!M208*base_scenario_arch_measures!$F208</f>
        <v>0.13898576486814959</v>
      </c>
      <c r="N208">
        <f>model_eui_end_uses!N208*base_scenario_arch_measures!$F208</f>
        <v>0</v>
      </c>
      <c r="O208">
        <f>model_eui_end_uses!O208*base_scenario_arch_measures!$F208</f>
        <v>0.31428941804355437</v>
      </c>
      <c r="P208">
        <f>model_eui_end_uses!P208*base_scenario_arch_measures!$F208</f>
        <v>0.45492599601657918</v>
      </c>
      <c r="Q208">
        <f>model_eui_end_uses!Q208*base_scenario_arch_measures!$F208</f>
        <v>0</v>
      </c>
      <c r="R208" s="187">
        <f>model_eui_end_uses!R208*base_building_arch_areas!$N$30</f>
        <v>0</v>
      </c>
      <c r="S208" s="187">
        <f>model_eui_end_uses!S208*base_building_arch_areas!$N$30</f>
        <v>1775924.0080285671</v>
      </c>
      <c r="T208" s="187">
        <f>model_eui_end_uses!T208*base_building_arch_areas!$N$30</f>
        <v>2658.4191017931958</v>
      </c>
      <c r="U208" s="187">
        <f>model_eui_end_uses!U208*base_building_arch_areas!$N$30</f>
        <v>0</v>
      </c>
      <c r="V208" s="187">
        <f>model_eui_end_uses!V208*base_building_arch_areas!$N$30</f>
        <v>22925.291609012285</v>
      </c>
      <c r="W208" s="187">
        <f>model_eui_end_uses!W208*base_building_arch_areas!$N$30</f>
        <v>261153.94531164123</v>
      </c>
      <c r="X208" s="187">
        <f>model_eui_end_uses!X208*base_building_arch_areas!$N$30</f>
        <v>31286.448461426367</v>
      </c>
      <c r="Y208" s="187">
        <f>model_eui_end_uses!Y208*base_building_arch_areas!$N$30</f>
        <v>0</v>
      </c>
      <c r="Z208" s="187">
        <f>model_eui_end_uses!Z208*base_building_arch_areas!$N$30</f>
        <v>68918.80058519778</v>
      </c>
      <c r="AA208" s="187">
        <f>model_eui_end_uses!AA208*base_building_arch_areas!$N$30</f>
        <v>100991.34071650925</v>
      </c>
      <c r="AB208" s="187">
        <f>model_eui_end_uses!AB208*base_building_arch_areas!$N$30</f>
        <v>0</v>
      </c>
      <c r="AC208" s="187">
        <f>model_eui_end_uses!AC208*base_building_arch_areas!$N$30</f>
        <v>2263858.2538141469</v>
      </c>
      <c r="AD208" s="187">
        <f>model_eui_end_uses!AD208*base_building_arch_areas!$N$30</f>
        <v>-22325.003424736344</v>
      </c>
      <c r="AE208" s="187">
        <f>model_eui_end_uses!AE208*base_building_arch_areas!$N$30</f>
        <v>-18380.252499494949</v>
      </c>
      <c r="AF208" s="187">
        <f t="shared" ref="AF208:AF254" si="35">SUM(AD208:AE208)</f>
        <v>-40705.255924231293</v>
      </c>
      <c r="AG208" s="187">
        <f>model_eui_end_uses!AH208*base_building_arch_areas!$N$30</f>
        <v>-361.66505548072877</v>
      </c>
      <c r="AH208" s="187">
        <f>model_eui_end_uses!AI208*base_building_arch_areas!$N$30</f>
        <v>-2076.9685324429292</v>
      </c>
      <c r="AI208" s="187">
        <f t="shared" ref="AI208:AI254" si="36">SUM(AG208:AH208)</f>
        <v>-2438.6335879236581</v>
      </c>
      <c r="AJ208" s="200">
        <f>sim_annual_output!F208/sim_annual_output!H208*base_building_arch_areas!$N$30</f>
        <v>18536.201768390303</v>
      </c>
      <c r="AK208">
        <f t="shared" ref="AK208:AK254" si="37">IF(AI208=0,0,AJ208/AI208)</f>
        <v>-7.6010606350143419</v>
      </c>
    </row>
    <row r="209" spans="1:37">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f>model_eui_end_uses!G209*base_scenario_arch_measures!$F209</f>
        <v>0</v>
      </c>
      <c r="H209">
        <f>model_eui_end_uses!H209*base_scenario_arch_measures!$F209</f>
        <v>7.8892993210104745</v>
      </c>
      <c r="I209">
        <f>model_eui_end_uses!I209*base_scenario_arch_measures!$F209</f>
        <v>1.180966298103053E-2</v>
      </c>
      <c r="J209">
        <f>model_eui_end_uses!J209*base_scenario_arch_measures!$F209</f>
        <v>0</v>
      </c>
      <c r="K209">
        <f>model_eui_end_uses!K209*base_scenario_arch_measures!$F209</f>
        <v>0.10184247000845681</v>
      </c>
      <c r="L209">
        <f>model_eui_end_uses!L209*base_scenario_arch_measures!$F209</f>
        <v>1.1601406558569345</v>
      </c>
      <c r="M209">
        <f>model_eui_end_uses!M209*base_scenario_arch_measures!$F209</f>
        <v>0.13898576486814959</v>
      </c>
      <c r="N209">
        <f>model_eui_end_uses!N209*base_scenario_arch_measures!$F209</f>
        <v>0</v>
      </c>
      <c r="O209">
        <f>model_eui_end_uses!O209*base_scenario_arch_measures!$F209</f>
        <v>0.30616233814263011</v>
      </c>
      <c r="P209">
        <f>model_eui_end_uses!P209*base_scenario_arch_measures!$F209</f>
        <v>0.44864020765570817</v>
      </c>
      <c r="Q209">
        <f>model_eui_end_uses!Q209*base_scenario_arch_measures!$F209</f>
        <v>0</v>
      </c>
      <c r="R209" s="187">
        <f>model_eui_end_uses!R209*base_building_arch_areas!$N$30</f>
        <v>0</v>
      </c>
      <c r="S209" s="187">
        <f>model_eui_end_uses!S209*base_building_arch_areas!$N$30</f>
        <v>1775924.0080285671</v>
      </c>
      <c r="T209" s="187">
        <f>model_eui_end_uses!T209*base_building_arch_areas!$N$30</f>
        <v>2658.4191017931958</v>
      </c>
      <c r="U209" s="187">
        <f>model_eui_end_uses!U209*base_building_arch_areas!$N$30</f>
        <v>0</v>
      </c>
      <c r="V209" s="187">
        <f>model_eui_end_uses!V209*base_building_arch_areas!$N$30</f>
        <v>22925.291609012285</v>
      </c>
      <c r="W209" s="187">
        <f>model_eui_end_uses!W209*base_building_arch_areas!$N$30</f>
        <v>261153.94531164123</v>
      </c>
      <c r="X209" s="187">
        <f>model_eui_end_uses!X209*base_building_arch_areas!$N$30</f>
        <v>31286.448461426367</v>
      </c>
      <c r="Y209" s="187">
        <f>model_eui_end_uses!Y209*base_building_arch_areas!$N$30</f>
        <v>0</v>
      </c>
      <c r="Z209" s="187">
        <f>model_eui_end_uses!Z209*base_building_arch_areas!$N$30</f>
        <v>68918.80058519778</v>
      </c>
      <c r="AA209" s="187">
        <f>model_eui_end_uses!AA209*base_building_arch_areas!$N$30</f>
        <v>100991.34071650925</v>
      </c>
      <c r="AB209" s="187">
        <f>model_eui_end_uses!AB209*base_building_arch_areas!$N$30</f>
        <v>0</v>
      </c>
      <c r="AC209" s="187">
        <f>model_eui_end_uses!AC209*base_building_arch_areas!$N$30</f>
        <v>2263858.2538141469</v>
      </c>
      <c r="AD209" s="187">
        <f>model_eui_end_uses!AD209*base_building_arch_areas!$N$30</f>
        <v>0</v>
      </c>
      <c r="AE209" s="187">
        <f>model_eui_end_uses!AE209*base_building_arch_areas!$N$30</f>
        <v>0</v>
      </c>
      <c r="AF209" s="187">
        <f t="shared" ref="AF209:AF230" si="38">SUM(AD209:AE209)</f>
        <v>0</v>
      </c>
      <c r="AG209" s="187">
        <f>model_eui_end_uses!AH209*base_building_arch_areas!$N$30</f>
        <v>0</v>
      </c>
      <c r="AH209" s="187">
        <f>model_eui_end_uses!AI209*base_building_arch_areas!$N$30</f>
        <v>0</v>
      </c>
      <c r="AI209" s="187">
        <f t="shared" ref="AI209:AI230" si="39">SUM(AG209:AH209)</f>
        <v>0</v>
      </c>
      <c r="AJ209" s="200">
        <f>sim_annual_output!F209/sim_annual_output!H209*base_building_arch_areas!$N$30</f>
        <v>0</v>
      </c>
      <c r="AK209">
        <f t="shared" ref="AK209:AK230" si="40">IF(AI209=0,0,AJ209/AI209)</f>
        <v>0</v>
      </c>
    </row>
    <row r="210" spans="1:37">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f>model_eui_end_uses!G210*base_scenario_arch_measures!$F210</f>
        <v>0</v>
      </c>
      <c r="H210">
        <f>model_eui_end_uses!H210*base_scenario_arch_measures!$F210</f>
        <v>7.836155837595836</v>
      </c>
      <c r="I210">
        <f>model_eui_end_uses!I210*base_scenario_arch_measures!$F210</f>
        <v>2.2603440974445527E-2</v>
      </c>
      <c r="J210">
        <f>model_eui_end_uses!J210*base_scenario_arch_measures!$F210</f>
        <v>0</v>
      </c>
      <c r="K210">
        <f>model_eui_end_uses!K210*base_scenario_arch_measures!$F210</f>
        <v>0.10184247000845681</v>
      </c>
      <c r="L210">
        <f>model_eui_end_uses!L210*base_scenario_arch_measures!$F210</f>
        <v>1.1601406558569345</v>
      </c>
      <c r="M210">
        <f>model_eui_end_uses!M210*base_scenario_arch_measures!$F210</f>
        <v>0.13898576486814959</v>
      </c>
      <c r="N210">
        <f>model_eui_end_uses!N210*base_scenario_arch_measures!$F210</f>
        <v>0</v>
      </c>
      <c r="O210">
        <f>model_eui_end_uses!O210*base_scenario_arch_measures!$F210</f>
        <v>0.30908300748202472</v>
      </c>
      <c r="P210">
        <f>model_eui_end_uses!P210*base_scenario_arch_measures!$F210</f>
        <v>0.45098944168956895</v>
      </c>
      <c r="Q210">
        <f>model_eui_end_uses!Q210*base_scenario_arch_measures!$F210</f>
        <v>0</v>
      </c>
      <c r="R210" s="187">
        <f>model_eui_end_uses!R210*base_building_arch_areas!$N$30</f>
        <v>0</v>
      </c>
      <c r="S210" s="187">
        <f>model_eui_end_uses!S210*base_building_arch_areas!$N$30</f>
        <v>1775924.0080285671</v>
      </c>
      <c r="T210" s="187">
        <f>model_eui_end_uses!T210*base_building_arch_areas!$N$30</f>
        <v>2658.4191017931958</v>
      </c>
      <c r="U210" s="187">
        <f>model_eui_end_uses!U210*base_building_arch_areas!$N$30</f>
        <v>0</v>
      </c>
      <c r="V210" s="187">
        <f>model_eui_end_uses!V210*base_building_arch_areas!$N$30</f>
        <v>22925.291609012285</v>
      </c>
      <c r="W210" s="187">
        <f>model_eui_end_uses!W210*base_building_arch_areas!$N$30</f>
        <v>261153.94531164123</v>
      </c>
      <c r="X210" s="187">
        <f>model_eui_end_uses!X210*base_building_arch_areas!$N$30</f>
        <v>31286.448461426367</v>
      </c>
      <c r="Y210" s="187">
        <f>model_eui_end_uses!Y210*base_building_arch_areas!$N$30</f>
        <v>0</v>
      </c>
      <c r="Z210" s="187">
        <f>model_eui_end_uses!Z210*base_building_arch_areas!$N$30</f>
        <v>68918.80058519778</v>
      </c>
      <c r="AA210" s="187">
        <f>model_eui_end_uses!AA210*base_building_arch_areas!$N$30</f>
        <v>100991.34071650925</v>
      </c>
      <c r="AB210" s="187">
        <f>model_eui_end_uses!AB210*base_building_arch_areas!$N$30</f>
        <v>0</v>
      </c>
      <c r="AC210" s="187">
        <f>model_eui_end_uses!AC210*base_building_arch_areas!$N$30</f>
        <v>2263858.2538141469</v>
      </c>
      <c r="AD210" s="187">
        <f>model_eui_end_uses!AD210*base_building_arch_areas!$N$30</f>
        <v>11962.885958069586</v>
      </c>
      <c r="AE210" s="187">
        <f>model_eui_end_uses!AE210*base_building_arch_areas!$N$30</f>
        <v>-3616.0216814714204</v>
      </c>
      <c r="AF210" s="187">
        <f t="shared" si="38"/>
        <v>8346.8642765981658</v>
      </c>
      <c r="AG210" s="187">
        <f>model_eui_end_uses!AH210*base_building_arch_areas!$N$30</f>
        <v>193.79875252072728</v>
      </c>
      <c r="AH210" s="187">
        <f>model_eui_end_uses!AI210*base_building_arch_areas!$N$30</f>
        <v>-408.61045000627053</v>
      </c>
      <c r="AI210" s="187">
        <f t="shared" si="39"/>
        <v>-214.81169748554325</v>
      </c>
      <c r="AJ210" s="200">
        <f>sim_annual_output!F210/sim_annual_output!H210*base_building_arch_areas!$N$30</f>
        <v>173593.43589195498</v>
      </c>
      <c r="AK210">
        <f t="shared" si="40"/>
        <v>-808.1191011659771</v>
      </c>
    </row>
    <row r="211" spans="1:37">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f>model_eui_end_uses!G211*base_scenario_arch_measures!$F211</f>
        <v>0</v>
      </c>
      <c r="H211">
        <f>model_eui_end_uses!H211*base_scenario_arch_measures!$F211</f>
        <v>4.8558032551787775</v>
      </c>
      <c r="I211">
        <f>model_eui_end_uses!I211*base_scenario_arch_measures!$F211</f>
        <v>2.2603440974445527E-2</v>
      </c>
      <c r="J211">
        <f>model_eui_end_uses!J211*base_scenario_arch_measures!$F211</f>
        <v>0</v>
      </c>
      <c r="K211">
        <f>model_eui_end_uses!K211*base_scenario_arch_measures!$F211</f>
        <v>0.10184247000845681</v>
      </c>
      <c r="L211">
        <f>model_eui_end_uses!L211*base_scenario_arch_measures!$F211</f>
        <v>1.1601406558569345</v>
      </c>
      <c r="M211">
        <f>model_eui_end_uses!M211*base_scenario_arch_measures!$F211</f>
        <v>0.13898576486814959</v>
      </c>
      <c r="N211">
        <f>model_eui_end_uses!N211*base_scenario_arch_measures!$F211</f>
        <v>0</v>
      </c>
      <c r="O211">
        <f>model_eui_end_uses!O211*base_scenario_arch_measures!$F211</f>
        <v>0.30908300748202472</v>
      </c>
      <c r="P211">
        <f>model_eui_end_uses!P211*base_scenario_arch_measures!$F211</f>
        <v>0.45098944168956895</v>
      </c>
      <c r="Q211">
        <f>model_eui_end_uses!Q211*base_scenario_arch_measures!$F211</f>
        <v>0</v>
      </c>
      <c r="R211" s="187">
        <f>model_eui_end_uses!R211*base_building_arch_areas!$N$30</f>
        <v>0</v>
      </c>
      <c r="S211" s="187">
        <f>model_eui_end_uses!S211*base_building_arch_areas!$N$30</f>
        <v>1775924.0080285671</v>
      </c>
      <c r="T211" s="187">
        <f>model_eui_end_uses!T211*base_building_arch_areas!$N$30</f>
        <v>2658.4191017931958</v>
      </c>
      <c r="U211" s="187">
        <f>model_eui_end_uses!U211*base_building_arch_areas!$N$30</f>
        <v>0</v>
      </c>
      <c r="V211" s="187">
        <f>model_eui_end_uses!V211*base_building_arch_areas!$N$30</f>
        <v>22925.291609012285</v>
      </c>
      <c r="W211" s="187">
        <f>model_eui_end_uses!W211*base_building_arch_areas!$N$30</f>
        <v>261153.94531164123</v>
      </c>
      <c r="X211" s="187">
        <f>model_eui_end_uses!X211*base_building_arch_areas!$N$30</f>
        <v>31286.448461426367</v>
      </c>
      <c r="Y211" s="187">
        <f>model_eui_end_uses!Y211*base_building_arch_areas!$N$30</f>
        <v>0</v>
      </c>
      <c r="Z211" s="187">
        <f>model_eui_end_uses!Z211*base_building_arch_areas!$N$30</f>
        <v>68918.80058519778</v>
      </c>
      <c r="AA211" s="187">
        <f>model_eui_end_uses!AA211*base_building_arch_areas!$N$30</f>
        <v>100991.34071650925</v>
      </c>
      <c r="AB211" s="187">
        <f>model_eui_end_uses!AB211*base_building_arch_areas!$N$30</f>
        <v>0</v>
      </c>
      <c r="AC211" s="187">
        <f>model_eui_end_uses!AC211*base_building_arch_areas!$N$30</f>
        <v>2263858.2538141469</v>
      </c>
      <c r="AD211" s="187">
        <f>model_eui_end_uses!AD211*base_building_arch_areas!$N$30</f>
        <v>682856.39476544887</v>
      </c>
      <c r="AE211" s="187">
        <f>model_eui_end_uses!AE211*base_building_arch_areas!$N$30</f>
        <v>-3616.0216814714204</v>
      </c>
      <c r="AF211" s="187">
        <f t="shared" si="38"/>
        <v>679240.37308397749</v>
      </c>
      <c r="AG211" s="187">
        <f>model_eui_end_uses!AH211*base_building_arch_areas!$N$30</f>
        <v>11062.273595200271</v>
      </c>
      <c r="AH211" s="187">
        <f>model_eui_end_uses!AI211*base_building_arch_areas!$N$30</f>
        <v>-408.61045000627053</v>
      </c>
      <c r="AI211" s="187">
        <f t="shared" si="39"/>
        <v>10653.663145194001</v>
      </c>
      <c r="AJ211" s="200">
        <f>sim_annual_output!F211/sim_annual_output!H211*base_building_arch_areas!$N$30</f>
        <v>4898.9885306239685</v>
      </c>
      <c r="AK211">
        <f t="shared" si="40"/>
        <v>0.45984075748011261</v>
      </c>
    </row>
    <row r="212" spans="1:37">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f>model_eui_end_uses!G212*base_scenario_arch_measures!$F212</f>
        <v>0</v>
      </c>
      <c r="H212">
        <f>model_eui_end_uses!H212*base_scenario_arch_measures!$F212</f>
        <v>7.836155837595836</v>
      </c>
      <c r="I212">
        <f>model_eui_end_uses!I212*base_scenario_arch_measures!$F212</f>
        <v>1.9365307576421024E-2</v>
      </c>
      <c r="J212">
        <f>model_eui_end_uses!J212*base_scenario_arch_measures!$F212</f>
        <v>0</v>
      </c>
      <c r="K212">
        <f>model_eui_end_uses!K212*base_scenario_arch_measures!$F212</f>
        <v>0.10184247000845681</v>
      </c>
      <c r="L212">
        <f>model_eui_end_uses!L212*base_scenario_arch_measures!$F212</f>
        <v>1.1601406558569345</v>
      </c>
      <c r="M212">
        <f>model_eui_end_uses!M212*base_scenario_arch_measures!$F212</f>
        <v>0.13898576486814959</v>
      </c>
      <c r="N212">
        <f>model_eui_end_uses!N212*base_scenario_arch_measures!$F212</f>
        <v>0</v>
      </c>
      <c r="O212">
        <f>model_eui_end_uses!O212*base_scenario_arch_measures!$F212</f>
        <v>0.30908300748202472</v>
      </c>
      <c r="P212">
        <f>model_eui_end_uses!P212*base_scenario_arch_measures!$F212</f>
        <v>0.45098944168956895</v>
      </c>
      <c r="Q212">
        <f>model_eui_end_uses!Q212*base_scenario_arch_measures!$F212</f>
        <v>0</v>
      </c>
      <c r="R212" s="187">
        <f>model_eui_end_uses!R212*base_building_arch_areas!$N$30</f>
        <v>0</v>
      </c>
      <c r="S212" s="187">
        <f>model_eui_end_uses!S212*base_building_arch_areas!$N$30</f>
        <v>1775924.0080285671</v>
      </c>
      <c r="T212" s="187">
        <f>model_eui_end_uses!T212*base_building_arch_areas!$N$30</f>
        <v>2658.4191017931958</v>
      </c>
      <c r="U212" s="187">
        <f>model_eui_end_uses!U212*base_building_arch_areas!$N$30</f>
        <v>0</v>
      </c>
      <c r="V212" s="187">
        <f>model_eui_end_uses!V212*base_building_arch_areas!$N$30</f>
        <v>22925.291609012285</v>
      </c>
      <c r="W212" s="187">
        <f>model_eui_end_uses!W212*base_building_arch_areas!$N$30</f>
        <v>261153.94531164123</v>
      </c>
      <c r="X212" s="187">
        <f>model_eui_end_uses!X212*base_building_arch_areas!$N$30</f>
        <v>31286.448461426367</v>
      </c>
      <c r="Y212" s="187">
        <f>model_eui_end_uses!Y212*base_building_arch_areas!$N$30</f>
        <v>0</v>
      </c>
      <c r="Z212" s="187">
        <f>model_eui_end_uses!Z212*base_building_arch_areas!$N$30</f>
        <v>68918.80058519778</v>
      </c>
      <c r="AA212" s="187">
        <f>model_eui_end_uses!AA212*base_building_arch_areas!$N$30</f>
        <v>100991.34071650925</v>
      </c>
      <c r="AB212" s="187">
        <f>model_eui_end_uses!AB212*base_building_arch_areas!$N$30</f>
        <v>0</v>
      </c>
      <c r="AC212" s="187">
        <f>model_eui_end_uses!AC212*base_building_arch_areas!$N$30</f>
        <v>2263858.2538141469</v>
      </c>
      <c r="AD212" s="187">
        <f>model_eui_end_uses!AD212*base_building_arch_areas!$N$30</f>
        <v>11962.885958069586</v>
      </c>
      <c r="AE212" s="187">
        <f>model_eui_end_uses!AE212*base_building_arch_areas!$N$30</f>
        <v>-2887.1003148506697</v>
      </c>
      <c r="AF212" s="187">
        <f t="shared" si="38"/>
        <v>9075.7856432189164</v>
      </c>
      <c r="AG212" s="187">
        <f>model_eui_end_uses!AH212*base_building_arch_areas!$N$30</f>
        <v>193.79875252072728</v>
      </c>
      <c r="AH212" s="187">
        <f>model_eui_end_uses!AI212*base_building_arch_areas!$N$30</f>
        <v>-326.24233557812568</v>
      </c>
      <c r="AI212" s="187">
        <f t="shared" si="39"/>
        <v>-132.4435830573984</v>
      </c>
      <c r="AJ212" s="200">
        <f>sim_annual_output!F212/sim_annual_output!H212*base_building_arch_areas!$N$30</f>
        <v>52982.555949669244</v>
      </c>
      <c r="AK212">
        <f t="shared" si="40"/>
        <v>-400.03867855725156</v>
      </c>
    </row>
    <row r="213" spans="1:37">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f>model_eui_end_uses!G213*base_scenario_arch_measures!$F213</f>
        <v>0</v>
      </c>
      <c r="H213">
        <f>model_eui_end_uses!H213*base_scenario_arch_measures!$F213</f>
        <v>7.836155837595836</v>
      </c>
      <c r="I213">
        <f>model_eui_end_uses!I213*base_scenario_arch_measures!$F213</f>
        <v>2.2603440974445527E-2</v>
      </c>
      <c r="J213">
        <f>model_eui_end_uses!J213*base_scenario_arch_measures!$F213</f>
        <v>0</v>
      </c>
      <c r="K213">
        <f>model_eui_end_uses!K213*base_scenario_arch_measures!$F213</f>
        <v>0.10184247000845681</v>
      </c>
      <c r="L213">
        <f>model_eui_end_uses!L213*base_scenario_arch_measures!$F213</f>
        <v>1.1601406558569345</v>
      </c>
      <c r="M213">
        <f>model_eui_end_uses!M213*base_scenario_arch_measures!$F213</f>
        <v>0.13898576486814959</v>
      </c>
      <c r="N213">
        <f>model_eui_end_uses!N213*base_scenario_arch_measures!$F213</f>
        <v>0</v>
      </c>
      <c r="O213">
        <f>model_eui_end_uses!O213*base_scenario_arch_measures!$F213</f>
        <v>0.30908300748202472</v>
      </c>
      <c r="P213">
        <f>model_eui_end_uses!P213*base_scenario_arch_measures!$F213</f>
        <v>0.45098944168956895</v>
      </c>
      <c r="Q213">
        <f>model_eui_end_uses!Q213*base_scenario_arch_measures!$F213</f>
        <v>0</v>
      </c>
      <c r="R213" s="187">
        <f>model_eui_end_uses!R213*base_building_arch_areas!$N$30</f>
        <v>0</v>
      </c>
      <c r="S213" s="187">
        <f>model_eui_end_uses!S213*base_building_arch_areas!$N$30</f>
        <v>1775924.0080285671</v>
      </c>
      <c r="T213" s="187">
        <f>model_eui_end_uses!T213*base_building_arch_areas!$N$30</f>
        <v>2658.4191017931958</v>
      </c>
      <c r="U213" s="187">
        <f>model_eui_end_uses!U213*base_building_arch_areas!$N$30</f>
        <v>0</v>
      </c>
      <c r="V213" s="187">
        <f>model_eui_end_uses!V213*base_building_arch_areas!$N$30</f>
        <v>22925.291609012285</v>
      </c>
      <c r="W213" s="187">
        <f>model_eui_end_uses!W213*base_building_arch_areas!$N$30</f>
        <v>261153.94531164123</v>
      </c>
      <c r="X213" s="187">
        <f>model_eui_end_uses!X213*base_building_arch_areas!$N$30</f>
        <v>31286.448461426367</v>
      </c>
      <c r="Y213" s="187">
        <f>model_eui_end_uses!Y213*base_building_arch_areas!$N$30</f>
        <v>0</v>
      </c>
      <c r="Z213" s="187">
        <f>model_eui_end_uses!Z213*base_building_arch_areas!$N$30</f>
        <v>68918.80058519778</v>
      </c>
      <c r="AA213" s="187">
        <f>model_eui_end_uses!AA213*base_building_arch_areas!$N$30</f>
        <v>100991.34071650925</v>
      </c>
      <c r="AB213" s="187">
        <f>model_eui_end_uses!AB213*base_building_arch_areas!$N$30</f>
        <v>0</v>
      </c>
      <c r="AC213" s="187">
        <f>model_eui_end_uses!AC213*base_building_arch_areas!$N$30</f>
        <v>2263858.2538141469</v>
      </c>
      <c r="AD213" s="187">
        <f>model_eui_end_uses!AD213*base_building_arch_areas!$N$30</f>
        <v>11962.885958069586</v>
      </c>
      <c r="AE213" s="187">
        <f>model_eui_end_uses!AE213*base_building_arch_areas!$N$30</f>
        <v>-3616.0216814714204</v>
      </c>
      <c r="AF213" s="187">
        <f t="shared" si="38"/>
        <v>8346.8642765981658</v>
      </c>
      <c r="AG213" s="187">
        <f>model_eui_end_uses!AH213*base_building_arch_areas!$N$30</f>
        <v>193.79875252072728</v>
      </c>
      <c r="AH213" s="187">
        <f>model_eui_end_uses!AI213*base_building_arch_areas!$N$30</f>
        <v>-408.61045000627053</v>
      </c>
      <c r="AI213" s="187">
        <f t="shared" si="39"/>
        <v>-214.81169748554325</v>
      </c>
      <c r="AJ213" s="200">
        <f>sim_annual_output!F213/sim_annual_output!H213*base_building_arch_areas!$N$30</f>
        <v>39483.539185364803</v>
      </c>
      <c r="AK213">
        <f t="shared" si="40"/>
        <v>-183.80534974368439</v>
      </c>
    </row>
    <row r="214" spans="1:37">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f>model_eui_end_uses!G214*base_scenario_arch_measures!$F214</f>
        <v>0</v>
      </c>
      <c r="H214">
        <f>model_eui_end_uses!H214*base_scenario_arch_measures!$F214</f>
        <v>7.8209175627816041</v>
      </c>
      <c r="I214">
        <f>model_eui_end_uses!I214*base_scenario_arch_measures!$F214</f>
        <v>5.8222908352715021E-2</v>
      </c>
      <c r="J214">
        <f>model_eui_end_uses!J214*base_scenario_arch_measures!$F214</f>
        <v>0</v>
      </c>
      <c r="K214">
        <f>model_eui_end_uses!K214*base_scenario_arch_measures!$F214</f>
        <v>0.10184247000845681</v>
      </c>
      <c r="L214">
        <f>model_eui_end_uses!L214*base_scenario_arch_measures!$F214</f>
        <v>1.1601406558569345</v>
      </c>
      <c r="M214">
        <f>model_eui_end_uses!M214*base_scenario_arch_measures!$F214</f>
        <v>0.13898576486814959</v>
      </c>
      <c r="N214">
        <f>model_eui_end_uses!N214*base_scenario_arch_measures!$F214</f>
        <v>0</v>
      </c>
      <c r="O214">
        <f>model_eui_end_uses!O214*base_scenario_arch_measures!$F214</f>
        <v>0.32260697637965652</v>
      </c>
      <c r="P214">
        <f>model_eui_end_uses!P214*base_scenario_arch_measures!$F214</f>
        <v>0.44152901274239942</v>
      </c>
      <c r="Q214">
        <f>model_eui_end_uses!Q214*base_scenario_arch_measures!$F214</f>
        <v>0</v>
      </c>
      <c r="R214" s="187">
        <f>model_eui_end_uses!R214*base_building_arch_areas!$N$30</f>
        <v>0</v>
      </c>
      <c r="S214" s="187">
        <f>model_eui_end_uses!S214*base_building_arch_areas!$N$30</f>
        <v>1775924.0080285671</v>
      </c>
      <c r="T214" s="187">
        <f>model_eui_end_uses!T214*base_building_arch_areas!$N$30</f>
        <v>2658.4191017931958</v>
      </c>
      <c r="U214" s="187">
        <f>model_eui_end_uses!U214*base_building_arch_areas!$N$30</f>
        <v>0</v>
      </c>
      <c r="V214" s="187">
        <f>model_eui_end_uses!V214*base_building_arch_areas!$N$30</f>
        <v>22925.291609012285</v>
      </c>
      <c r="W214" s="187">
        <f>model_eui_end_uses!W214*base_building_arch_areas!$N$30</f>
        <v>261153.94531164123</v>
      </c>
      <c r="X214" s="187">
        <f>model_eui_end_uses!X214*base_building_arch_areas!$N$30</f>
        <v>31286.448461426367</v>
      </c>
      <c r="Y214" s="187">
        <f>model_eui_end_uses!Y214*base_building_arch_areas!$N$30</f>
        <v>0</v>
      </c>
      <c r="Z214" s="187">
        <f>model_eui_end_uses!Z214*base_building_arch_areas!$N$30</f>
        <v>68918.80058519778</v>
      </c>
      <c r="AA214" s="187">
        <f>model_eui_end_uses!AA214*base_building_arch_areas!$N$30</f>
        <v>100991.34071650925</v>
      </c>
      <c r="AB214" s="187">
        <f>model_eui_end_uses!AB214*base_building_arch_areas!$N$30</f>
        <v>0</v>
      </c>
      <c r="AC214" s="187">
        <f>model_eui_end_uses!AC214*base_building_arch_areas!$N$30</f>
        <v>2263858.2538141469</v>
      </c>
      <c r="AD214" s="187">
        <f>model_eui_end_uses!AD214*base_building_arch_areas!$N$30</f>
        <v>15393.104153931483</v>
      </c>
      <c r="AE214" s="187">
        <f>model_eui_end_uses!AE214*base_building_arch_areas!$N$30</f>
        <v>-12548.881566529144</v>
      </c>
      <c r="AF214" s="187">
        <f t="shared" si="38"/>
        <v>2844.2225874023388</v>
      </c>
      <c r="AG214" s="187">
        <f>model_eui_end_uses!AH214*base_building_arch_areas!$N$30</f>
        <v>249.36828729369</v>
      </c>
      <c r="AH214" s="187">
        <f>model_eui_end_uses!AI214*base_building_arch_areas!$N$30</f>
        <v>-1418.0236170177934</v>
      </c>
      <c r="AI214" s="187">
        <f t="shared" si="39"/>
        <v>-1168.6553297241035</v>
      </c>
      <c r="AJ214" s="200">
        <f>sim_annual_output!F214/sim_annual_output!H214*base_building_arch_areas!$N$30</f>
        <v>18536.201768390303</v>
      </c>
      <c r="AK214">
        <f t="shared" si="40"/>
        <v>-15.861136553209693</v>
      </c>
    </row>
    <row r="215" spans="1:37">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f>model_eui_end_uses!G215*base_scenario_arch_measures!$F215</f>
        <v>0</v>
      </c>
      <c r="H215">
        <f>model_eui_end_uses!H215*base_scenario_arch_measures!$F215</f>
        <v>7.844409903120213</v>
      </c>
      <c r="I215">
        <f>model_eui_end_uses!I215*base_scenario_arch_measures!$F215</f>
        <v>1.9619278823324909E-2</v>
      </c>
      <c r="J215">
        <f>model_eui_end_uses!J215*base_scenario_arch_measures!$F215</f>
        <v>0</v>
      </c>
      <c r="K215">
        <f>model_eui_end_uses!K215*base_scenario_arch_measures!$F215</f>
        <v>0.10184247000845681</v>
      </c>
      <c r="L215">
        <f>model_eui_end_uses!L215*base_scenario_arch_measures!$F215</f>
        <v>1.1601406558569345</v>
      </c>
      <c r="M215">
        <f>model_eui_end_uses!M215*base_scenario_arch_measures!$F215</f>
        <v>0.13898576486814959</v>
      </c>
      <c r="N215">
        <f>model_eui_end_uses!N215*base_scenario_arch_measures!$F215</f>
        <v>0</v>
      </c>
      <c r="O215">
        <f>model_eui_end_uses!O215*base_scenario_arch_measures!$F215</f>
        <v>0.30914650029375074</v>
      </c>
      <c r="P215">
        <f>model_eui_end_uses!P215*base_scenario_arch_measures!$F215</f>
        <v>0.44406872521143825</v>
      </c>
      <c r="Q215">
        <f>model_eui_end_uses!Q215*base_scenario_arch_measures!$F215</f>
        <v>0</v>
      </c>
      <c r="R215" s="187">
        <f>model_eui_end_uses!R215*base_building_arch_areas!$N$30</f>
        <v>0</v>
      </c>
      <c r="S215" s="187">
        <f>model_eui_end_uses!S215*base_building_arch_areas!$N$30</f>
        <v>1775924.0080285671</v>
      </c>
      <c r="T215" s="187">
        <f>model_eui_end_uses!T215*base_building_arch_areas!$N$30</f>
        <v>2658.4191017931958</v>
      </c>
      <c r="U215" s="187">
        <f>model_eui_end_uses!U215*base_building_arch_areas!$N$30</f>
        <v>0</v>
      </c>
      <c r="V215" s="187">
        <f>model_eui_end_uses!V215*base_building_arch_areas!$N$30</f>
        <v>22925.291609012285</v>
      </c>
      <c r="W215" s="187">
        <f>model_eui_end_uses!W215*base_building_arch_areas!$N$30</f>
        <v>261153.94531164123</v>
      </c>
      <c r="X215" s="187">
        <f>model_eui_end_uses!X215*base_building_arch_areas!$N$30</f>
        <v>31286.448461426367</v>
      </c>
      <c r="Y215" s="187">
        <f>model_eui_end_uses!Y215*base_building_arch_areas!$N$30</f>
        <v>0</v>
      </c>
      <c r="Z215" s="187">
        <f>model_eui_end_uses!Z215*base_building_arch_areas!$N$30</f>
        <v>68918.80058519778</v>
      </c>
      <c r="AA215" s="187">
        <f>model_eui_end_uses!AA215*base_building_arch_areas!$N$30</f>
        <v>100991.34071650925</v>
      </c>
      <c r="AB215" s="187">
        <f>model_eui_end_uses!AB215*base_building_arch_areas!$N$30</f>
        <v>0</v>
      </c>
      <c r="AC215" s="187">
        <f>model_eui_end_uses!AC215*base_building_arch_areas!$N$30</f>
        <v>2263858.2538141469</v>
      </c>
      <c r="AD215" s="187">
        <f>model_eui_end_uses!AD215*base_building_arch_areas!$N$30</f>
        <v>10104.851101977445</v>
      </c>
      <c r="AE215" s="187">
        <f>model_eui_end_uses!AE215*base_building_arch_areas!$N$30</f>
        <v>-1400.6724299770376</v>
      </c>
      <c r="AF215" s="187">
        <f t="shared" si="38"/>
        <v>8704.1786720004075</v>
      </c>
      <c r="AG215" s="187">
        <f>model_eui_end_uses!AH215*base_building_arch_areas!$N$30</f>
        <v>163.69858785203459</v>
      </c>
      <c r="AH215" s="187">
        <f>model_eui_end_uses!AI215*base_building_arch_areas!$N$30</f>
        <v>-158.27598458740525</v>
      </c>
      <c r="AI215" s="187">
        <f t="shared" si="39"/>
        <v>5.4226032646293447</v>
      </c>
      <c r="AJ215" s="200">
        <f>sim_annual_output!F215/sim_annual_output!H215*base_building_arch_areas!$N$30</f>
        <v>7243.5304569714708</v>
      </c>
      <c r="AK215">
        <f t="shared" si="40"/>
        <v>1335.8031379908803</v>
      </c>
    </row>
    <row r="216" spans="1:37">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f>model_eui_end_uses!G216*base_scenario_arch_measures!$F216</f>
        <v>0</v>
      </c>
      <c r="H216">
        <f>model_eui_end_uses!H216*base_scenario_arch_measures!$F216</f>
        <v>8.2865738439798484</v>
      </c>
      <c r="I216">
        <f>model_eui_end_uses!I216*base_scenario_arch_measures!$F216</f>
        <v>9.7778930057994679E-3</v>
      </c>
      <c r="J216">
        <f>model_eui_end_uses!J216*base_scenario_arch_measures!$F216</f>
        <v>0</v>
      </c>
      <c r="K216">
        <f>model_eui_end_uses!K216*base_scenario_arch_measures!$F216</f>
        <v>0.10184247000845681</v>
      </c>
      <c r="L216">
        <f>model_eui_end_uses!L216*base_scenario_arch_measures!$F216</f>
        <v>0.81213655478688984</v>
      </c>
      <c r="M216">
        <f>model_eui_end_uses!M216*base_scenario_arch_measures!$F216</f>
        <v>0.13898576486814959</v>
      </c>
      <c r="N216">
        <f>model_eui_end_uses!N216*base_scenario_arch_measures!$F216</f>
        <v>0</v>
      </c>
      <c r="O216">
        <f>model_eui_end_uses!O216*base_scenario_arch_measures!$F216</f>
        <v>0.3158767383367036</v>
      </c>
      <c r="P216">
        <f>model_eui_end_uses!P216*base_scenario_arch_measures!$F216</f>
        <v>0.36368682556635951</v>
      </c>
      <c r="Q216">
        <f>model_eui_end_uses!Q216*base_scenario_arch_measures!$F216</f>
        <v>0</v>
      </c>
      <c r="R216" s="187">
        <f>model_eui_end_uses!R216*base_building_arch_areas!$N$30</f>
        <v>0</v>
      </c>
      <c r="S216" s="187">
        <f>model_eui_end_uses!S216*base_building_arch_areas!$N$30</f>
        <v>1775924.0080285671</v>
      </c>
      <c r="T216" s="187">
        <f>model_eui_end_uses!T216*base_building_arch_areas!$N$30</f>
        <v>2658.4191017931958</v>
      </c>
      <c r="U216" s="187">
        <f>model_eui_end_uses!U216*base_building_arch_areas!$N$30</f>
        <v>0</v>
      </c>
      <c r="V216" s="187">
        <f>model_eui_end_uses!V216*base_building_arch_areas!$N$30</f>
        <v>22925.291609012285</v>
      </c>
      <c r="W216" s="187">
        <f>model_eui_end_uses!W216*base_building_arch_areas!$N$30</f>
        <v>261153.94531164123</v>
      </c>
      <c r="X216" s="187">
        <f>model_eui_end_uses!X216*base_building_arch_areas!$N$30</f>
        <v>31286.448461426367</v>
      </c>
      <c r="Y216" s="187">
        <f>model_eui_end_uses!Y216*base_building_arch_areas!$N$30</f>
        <v>0</v>
      </c>
      <c r="Z216" s="187">
        <f>model_eui_end_uses!Z216*base_building_arch_areas!$N$30</f>
        <v>68918.80058519778</v>
      </c>
      <c r="AA216" s="187">
        <f>model_eui_end_uses!AA216*base_building_arch_areas!$N$30</f>
        <v>100991.34071650925</v>
      </c>
      <c r="AB216" s="187">
        <f>model_eui_end_uses!AB216*base_building_arch_areas!$N$30</f>
        <v>0</v>
      </c>
      <c r="AC216" s="187">
        <f>model_eui_end_uses!AC216*base_building_arch_areas!$N$30</f>
        <v>2263858.2538141469</v>
      </c>
      <c r="AD216" s="187">
        <f>model_eui_end_uses!AD216*base_building_arch_areas!$N$30</f>
        <v>-89428.646881285051</v>
      </c>
      <c r="AE216" s="187">
        <f>model_eui_end_uses!AE216*base_building_arch_areas!$N$30</f>
        <v>95731.672816187202</v>
      </c>
      <c r="AF216" s="187">
        <f t="shared" si="38"/>
        <v>6303.0259349021508</v>
      </c>
      <c r="AG216" s="187">
        <f>model_eui_end_uses!AH216*base_building_arch_areas!$N$30</f>
        <v>-1448.7440794768179</v>
      </c>
      <c r="AH216" s="187">
        <f>model_eui_end_uses!AI216*base_building_arch_areas!$N$30</f>
        <v>10817.679028229155</v>
      </c>
      <c r="AI216" s="187">
        <f t="shared" si="39"/>
        <v>9368.9349487523377</v>
      </c>
      <c r="AJ216" s="200">
        <f>sim_annual_output!F216/sim_annual_output!H216*base_building_arch_areas!$N$30</f>
        <v>203258.54008715035</v>
      </c>
      <c r="AK216">
        <f t="shared" si="40"/>
        <v>21.69494624511384</v>
      </c>
    </row>
    <row r="217" spans="1:37">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f>model_eui_end_uses!G217*base_scenario_arch_measures!$F217</f>
        <v>0</v>
      </c>
      <c r="H217">
        <f>model_eui_end_uses!H217*base_scenario_arch_measures!$F217</f>
        <v>7.4609133202953508</v>
      </c>
      <c r="I217">
        <f>model_eui_end_uses!I217*base_scenario_arch_measures!$F217</f>
        <v>2.1651048798555967E-2</v>
      </c>
      <c r="J217">
        <f>model_eui_end_uses!J217*base_scenario_arch_measures!$F217</f>
        <v>0</v>
      </c>
      <c r="K217">
        <f>model_eui_end_uses!K217*base_scenario_arch_measures!$F217</f>
        <v>0.10184247000845681</v>
      </c>
      <c r="L217">
        <f>model_eui_end_uses!L217*base_scenario_arch_measures!$F217</f>
        <v>1.1601406558569345</v>
      </c>
      <c r="M217">
        <f>model_eui_end_uses!M217*base_scenario_arch_measures!$F217</f>
        <v>0.13898576486814959</v>
      </c>
      <c r="N217">
        <f>model_eui_end_uses!N217*base_scenario_arch_measures!$F217</f>
        <v>0</v>
      </c>
      <c r="O217">
        <f>model_eui_end_uses!O217*base_scenario_arch_measures!$F217</f>
        <v>0.29663841638373456</v>
      </c>
      <c r="P217">
        <f>model_eui_end_uses!P217*base_scenario_arch_measures!$F217</f>
        <v>0.43111619161934017</v>
      </c>
      <c r="Q217">
        <f>model_eui_end_uses!Q217*base_scenario_arch_measures!$F217</f>
        <v>0</v>
      </c>
      <c r="R217" s="187">
        <f>model_eui_end_uses!R217*base_building_arch_areas!$N$30</f>
        <v>0</v>
      </c>
      <c r="S217" s="187">
        <f>model_eui_end_uses!S217*base_building_arch_areas!$N$30</f>
        <v>1775924.0080285671</v>
      </c>
      <c r="T217" s="187">
        <f>model_eui_end_uses!T217*base_building_arch_areas!$N$30</f>
        <v>2658.4191017931958</v>
      </c>
      <c r="U217" s="187">
        <f>model_eui_end_uses!U217*base_building_arch_areas!$N$30</f>
        <v>0</v>
      </c>
      <c r="V217" s="187">
        <f>model_eui_end_uses!V217*base_building_arch_areas!$N$30</f>
        <v>22925.291609012285</v>
      </c>
      <c r="W217" s="187">
        <f>model_eui_end_uses!W217*base_building_arch_areas!$N$30</f>
        <v>261153.94531164123</v>
      </c>
      <c r="X217" s="187">
        <f>model_eui_end_uses!X217*base_building_arch_areas!$N$30</f>
        <v>31286.448461426367</v>
      </c>
      <c r="Y217" s="187">
        <f>model_eui_end_uses!Y217*base_building_arch_areas!$N$30</f>
        <v>0</v>
      </c>
      <c r="Z217" s="187">
        <f>model_eui_end_uses!Z217*base_building_arch_areas!$N$30</f>
        <v>68918.80058519778</v>
      </c>
      <c r="AA217" s="187">
        <f>model_eui_end_uses!AA217*base_building_arch_areas!$N$30</f>
        <v>100991.34071650925</v>
      </c>
      <c r="AB217" s="187">
        <f>model_eui_end_uses!AB217*base_building_arch_areas!$N$30</f>
        <v>0</v>
      </c>
      <c r="AC217" s="187">
        <f>model_eui_end_uses!AC217*base_building_arch_areas!$N$30</f>
        <v>2263858.2538141469</v>
      </c>
      <c r="AD217" s="187">
        <f>model_eui_end_uses!AD217*base_building_arch_areas!$N$30</f>
        <v>96432.009031175825</v>
      </c>
      <c r="AE217" s="187">
        <f>model_eui_end_uses!AE217*base_building_arch_areas!$N$30</f>
        <v>3873.2880461610694</v>
      </c>
      <c r="AF217" s="187">
        <f t="shared" si="38"/>
        <v>100305.2970773369</v>
      </c>
      <c r="AG217" s="187">
        <f>model_eui_end_uses!AH217*base_building_arch_areas!$N$30</f>
        <v>1562.1985463050482</v>
      </c>
      <c r="AH217" s="187">
        <f>model_eui_end_uses!AI217*base_building_arch_areas!$N$30</f>
        <v>437.68154921620089</v>
      </c>
      <c r="AI217" s="187">
        <f t="shared" si="39"/>
        <v>1999.8800955212491</v>
      </c>
      <c r="AJ217" s="200">
        <f>sim_annual_output!F217/sim_annual_output!H217*base_building_arch_areas!$N$30</f>
        <v>703045.48000596743</v>
      </c>
      <c r="AK217">
        <f t="shared" si="40"/>
        <v>351.54381584198205</v>
      </c>
    </row>
    <row r="218" spans="1:37">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f>model_eui_end_uses!G218*base_scenario_arch_measures!$F218</f>
        <v>0</v>
      </c>
      <c r="H218">
        <f>model_eui_end_uses!H218*base_scenario_arch_measures!$F218</f>
        <v>7.5981847792468997</v>
      </c>
      <c r="I218">
        <f>model_eui_end_uses!I218*base_scenario_arch_measures!$F218</f>
        <v>2.3111383468253293E-2</v>
      </c>
      <c r="J218">
        <f>model_eui_end_uses!J218*base_scenario_arch_measures!$F218</f>
        <v>0</v>
      </c>
      <c r="K218">
        <f>model_eui_end_uses!K218*base_scenario_arch_measures!$F218</f>
        <v>0.10184247000845681</v>
      </c>
      <c r="L218">
        <f>model_eui_end_uses!L218*base_scenario_arch_measures!$F218</f>
        <v>1.1601406558569345</v>
      </c>
      <c r="M218">
        <f>model_eui_end_uses!M218*base_scenario_arch_measures!$F218</f>
        <v>0.13898576486814959</v>
      </c>
      <c r="N218">
        <f>model_eui_end_uses!N218*base_scenario_arch_measures!$F218</f>
        <v>0</v>
      </c>
      <c r="O218">
        <f>model_eui_end_uses!O218*base_scenario_arch_measures!$F218</f>
        <v>0.30082894195764859</v>
      </c>
      <c r="P218">
        <f>model_eui_end_uses!P218*base_scenario_arch_measures!$F218</f>
        <v>0.43778293685056713</v>
      </c>
      <c r="Q218">
        <f>model_eui_end_uses!Q218*base_scenario_arch_measures!$F218</f>
        <v>0</v>
      </c>
      <c r="R218" s="187">
        <f>model_eui_end_uses!R218*base_building_arch_areas!$N$30</f>
        <v>0</v>
      </c>
      <c r="S218" s="187">
        <f>model_eui_end_uses!S218*base_building_arch_areas!$N$30</f>
        <v>1775924.0080285671</v>
      </c>
      <c r="T218" s="187">
        <f>model_eui_end_uses!T218*base_building_arch_areas!$N$30</f>
        <v>2658.4191017931958</v>
      </c>
      <c r="U218" s="187">
        <f>model_eui_end_uses!U218*base_building_arch_areas!$N$30</f>
        <v>0</v>
      </c>
      <c r="V218" s="187">
        <f>model_eui_end_uses!V218*base_building_arch_areas!$N$30</f>
        <v>22925.291609012285</v>
      </c>
      <c r="W218" s="187">
        <f>model_eui_end_uses!W218*base_building_arch_areas!$N$30</f>
        <v>261153.94531164123</v>
      </c>
      <c r="X218" s="187">
        <f>model_eui_end_uses!X218*base_building_arch_areas!$N$30</f>
        <v>31286.448461426367</v>
      </c>
      <c r="Y218" s="187">
        <f>model_eui_end_uses!Y218*base_building_arch_areas!$N$30</f>
        <v>0</v>
      </c>
      <c r="Z218" s="187">
        <f>model_eui_end_uses!Z218*base_building_arch_areas!$N$30</f>
        <v>68918.80058519778</v>
      </c>
      <c r="AA218" s="187">
        <f>model_eui_end_uses!AA218*base_building_arch_areas!$N$30</f>
        <v>100991.34071650925</v>
      </c>
      <c r="AB218" s="187">
        <f>model_eui_end_uses!AB218*base_building_arch_areas!$N$30</f>
        <v>0</v>
      </c>
      <c r="AC218" s="187">
        <f>model_eui_end_uses!AC218*base_building_arch_areas!$N$30</f>
        <v>2263858.2538141469</v>
      </c>
      <c r="AD218" s="187">
        <f>model_eui_end_uses!AD218*base_building_arch_areas!$N$30</f>
        <v>65531.460116783797</v>
      </c>
      <c r="AE218" s="187">
        <f>model_eui_end_uses!AE218*base_building_arch_areas!$N$30</f>
        <v>1100.5283378391923</v>
      </c>
      <c r="AF218" s="187">
        <f t="shared" si="38"/>
        <v>66631.988454622988</v>
      </c>
      <c r="AG218" s="187">
        <f>model_eui_end_uses!AH218*base_building_arch_areas!$N$30</f>
        <v>1061.6096538918973</v>
      </c>
      <c r="AH218" s="187">
        <f>model_eui_end_uses!AI218*base_building_arch_areas!$N$30</f>
        <v>124.35970217582874</v>
      </c>
      <c r="AI218" s="187">
        <f t="shared" si="39"/>
        <v>1185.969356067726</v>
      </c>
      <c r="AJ218" s="200">
        <f>sim_annual_output!F218/sim_annual_output!H218*base_building_arch_areas!$N$30</f>
        <v>1356092.8362602401</v>
      </c>
      <c r="AK218">
        <f t="shared" si="40"/>
        <v>1143.4467756878526</v>
      </c>
    </row>
    <row r="219" spans="1:37">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f>model_eui_end_uses!G219*base_scenario_arch_measures!$F219</f>
        <v>0</v>
      </c>
      <c r="H219">
        <f>model_eui_end_uses!H219*base_scenario_arch_measures!$F219</f>
        <v>7.8157111522200733</v>
      </c>
      <c r="I219">
        <f>model_eui_end_uses!I219*base_scenario_arch_measures!$F219</f>
        <v>2.2730426597897469E-2</v>
      </c>
      <c r="J219">
        <f>model_eui_end_uses!J219*base_scenario_arch_measures!$F219</f>
        <v>0</v>
      </c>
      <c r="K219">
        <f>model_eui_end_uses!K219*base_scenario_arch_measures!$F219</f>
        <v>0.10184247000845681</v>
      </c>
      <c r="L219">
        <f>model_eui_end_uses!L219*base_scenario_arch_measures!$F219</f>
        <v>1.1601406558569345</v>
      </c>
      <c r="M219">
        <f>model_eui_end_uses!M219*base_scenario_arch_measures!$F219</f>
        <v>0.13898576486814959</v>
      </c>
      <c r="N219">
        <f>model_eui_end_uses!N219*base_scenario_arch_measures!$F219</f>
        <v>0</v>
      </c>
      <c r="O219">
        <f>model_eui_end_uses!O219*base_scenario_arch_measures!$F219</f>
        <v>0.30882903623512087</v>
      </c>
      <c r="P219">
        <f>model_eui_end_uses!P219*base_scenario_arch_measures!$F219</f>
        <v>0.44997355670195349</v>
      </c>
      <c r="Q219">
        <f>model_eui_end_uses!Q219*base_scenario_arch_measures!$F219</f>
        <v>0</v>
      </c>
      <c r="R219" s="187">
        <f>model_eui_end_uses!R219*base_building_arch_areas!$N$30</f>
        <v>0</v>
      </c>
      <c r="S219" s="187">
        <f>model_eui_end_uses!S219*base_building_arch_areas!$N$30</f>
        <v>1775924.0080285671</v>
      </c>
      <c r="T219" s="187">
        <f>model_eui_end_uses!T219*base_building_arch_areas!$N$30</f>
        <v>2658.4191017931958</v>
      </c>
      <c r="U219" s="187">
        <f>model_eui_end_uses!U219*base_building_arch_areas!$N$30</f>
        <v>0</v>
      </c>
      <c r="V219" s="187">
        <f>model_eui_end_uses!V219*base_building_arch_areas!$N$30</f>
        <v>22925.291609012285</v>
      </c>
      <c r="W219" s="187">
        <f>model_eui_end_uses!W219*base_building_arch_areas!$N$30</f>
        <v>261153.94531164123</v>
      </c>
      <c r="X219" s="187">
        <f>model_eui_end_uses!X219*base_building_arch_areas!$N$30</f>
        <v>31286.448461426367</v>
      </c>
      <c r="Y219" s="187">
        <f>model_eui_end_uses!Y219*base_building_arch_areas!$N$30</f>
        <v>0</v>
      </c>
      <c r="Z219" s="187">
        <f>model_eui_end_uses!Z219*base_building_arch_areas!$N$30</f>
        <v>68918.80058519778</v>
      </c>
      <c r="AA219" s="187">
        <f>model_eui_end_uses!AA219*base_building_arch_areas!$N$30</f>
        <v>100991.34071650925</v>
      </c>
      <c r="AB219" s="187">
        <f>model_eui_end_uses!AB219*base_building_arch_areas!$N$30</f>
        <v>0</v>
      </c>
      <c r="AC219" s="187">
        <f>model_eui_end_uses!AC219*base_building_arch_areas!$N$30</f>
        <v>2263858.2538141469</v>
      </c>
      <c r="AD219" s="187">
        <f>model_eui_end_uses!AD219*base_building_arch_areas!$N$30</f>
        <v>16565.095370851406</v>
      </c>
      <c r="AE219" s="187">
        <f>model_eui_end_uses!AE219*base_building_arch_areas!$N$30</f>
        <v>-3358.7553167817041</v>
      </c>
      <c r="AF219" s="187">
        <f t="shared" si="38"/>
        <v>13206.340054069702</v>
      </c>
      <c r="AG219" s="187">
        <f>model_eui_end_uses!AH219*base_building_arch_areas!$N$30</f>
        <v>268.35454500779275</v>
      </c>
      <c r="AH219" s="187">
        <f>model_eui_end_uses!AI219*base_building_arch_areas!$N$30</f>
        <v>-379.53935079633254</v>
      </c>
      <c r="AI219" s="187">
        <f t="shared" si="39"/>
        <v>-111.18480578853979</v>
      </c>
      <c r="AJ219" s="200">
        <f>sim_annual_output!F219/sim_annual_output!H219*base_building_arch_areas!$N$30</f>
        <v>35255.180546370699</v>
      </c>
      <c r="AK219">
        <f t="shared" si="40"/>
        <v>-317.08631675286495</v>
      </c>
    </row>
    <row r="220" spans="1:37">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f>model_eui_end_uses!G220*base_scenario_arch_measures!$F220</f>
        <v>0</v>
      </c>
      <c r="H220">
        <f>model_eui_end_uses!H220*base_scenario_arch_measures!$F220</f>
        <v>7.836155837595836</v>
      </c>
      <c r="I220">
        <f>model_eui_end_uses!I220*base_scenario_arch_measures!$F220</f>
        <v>2.2603440974445527E-2</v>
      </c>
      <c r="J220">
        <f>model_eui_end_uses!J220*base_scenario_arch_measures!$F220</f>
        <v>0</v>
      </c>
      <c r="K220">
        <f>model_eui_end_uses!K220*base_scenario_arch_measures!$F220</f>
        <v>0.10184247000845681</v>
      </c>
      <c r="L220">
        <f>model_eui_end_uses!L220*base_scenario_arch_measures!$F220</f>
        <v>1.1601406558569345</v>
      </c>
      <c r="M220">
        <f>model_eui_end_uses!M220*base_scenario_arch_measures!$F220</f>
        <v>0.13898576486814959</v>
      </c>
      <c r="N220">
        <f>model_eui_end_uses!N220*base_scenario_arch_measures!$F220</f>
        <v>0</v>
      </c>
      <c r="O220">
        <f>model_eui_end_uses!O220*base_scenario_arch_measures!$F220</f>
        <v>0.30908300748202472</v>
      </c>
      <c r="P220">
        <f>model_eui_end_uses!P220*base_scenario_arch_measures!$F220</f>
        <v>0.45098944168956895</v>
      </c>
      <c r="Q220">
        <f>model_eui_end_uses!Q220*base_scenario_arch_measures!$F220</f>
        <v>0</v>
      </c>
      <c r="R220" s="187">
        <f>model_eui_end_uses!R220*base_building_arch_areas!$N$30</f>
        <v>0</v>
      </c>
      <c r="S220" s="187">
        <f>model_eui_end_uses!S220*base_building_arch_areas!$N$30</f>
        <v>1775924.0080285671</v>
      </c>
      <c r="T220" s="187">
        <f>model_eui_end_uses!T220*base_building_arch_areas!$N$30</f>
        <v>2658.4191017931958</v>
      </c>
      <c r="U220" s="187">
        <f>model_eui_end_uses!U220*base_building_arch_areas!$N$30</f>
        <v>0</v>
      </c>
      <c r="V220" s="187">
        <f>model_eui_end_uses!V220*base_building_arch_areas!$N$30</f>
        <v>22925.291609012285</v>
      </c>
      <c r="W220" s="187">
        <f>model_eui_end_uses!W220*base_building_arch_areas!$N$30</f>
        <v>261153.94531164123</v>
      </c>
      <c r="X220" s="187">
        <f>model_eui_end_uses!X220*base_building_arch_areas!$N$30</f>
        <v>31286.448461426367</v>
      </c>
      <c r="Y220" s="187">
        <f>model_eui_end_uses!Y220*base_building_arch_areas!$N$30</f>
        <v>0</v>
      </c>
      <c r="Z220" s="187">
        <f>model_eui_end_uses!Z220*base_building_arch_areas!$N$30</f>
        <v>68918.80058519778</v>
      </c>
      <c r="AA220" s="187">
        <f>model_eui_end_uses!AA220*base_building_arch_areas!$N$30</f>
        <v>100991.34071650925</v>
      </c>
      <c r="AB220" s="187">
        <f>model_eui_end_uses!AB220*base_building_arch_areas!$N$30</f>
        <v>0</v>
      </c>
      <c r="AC220" s="187">
        <f>model_eui_end_uses!AC220*base_building_arch_areas!$N$30</f>
        <v>2263858.2538141469</v>
      </c>
      <c r="AD220" s="187">
        <f>model_eui_end_uses!AD220*base_building_arch_areas!$N$30</f>
        <v>11962.885958069586</v>
      </c>
      <c r="AE220" s="187">
        <f>model_eui_end_uses!AE220*base_building_arch_areas!$N$30</f>
        <v>-3616.0216814714204</v>
      </c>
      <c r="AF220" s="187">
        <f t="shared" si="38"/>
        <v>8346.8642765981658</v>
      </c>
      <c r="AG220" s="187">
        <f>model_eui_end_uses!AH220*base_building_arch_areas!$N$30</f>
        <v>193.79875252072728</v>
      </c>
      <c r="AH220" s="187">
        <f>model_eui_end_uses!AI220*base_building_arch_areas!$N$30</f>
        <v>-408.61045000627053</v>
      </c>
      <c r="AI220" s="187">
        <f t="shared" si="39"/>
        <v>-214.81169748554325</v>
      </c>
      <c r="AJ220" s="200">
        <f>sim_annual_output!F220/sim_annual_output!H220*base_building_arch_areas!$N$30</f>
        <v>3859.7995586817451</v>
      </c>
      <c r="AK220">
        <f t="shared" si="40"/>
        <v>-17.968293178920149</v>
      </c>
    </row>
    <row r="221" spans="1:37">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f>model_eui_end_uses!G221*base_scenario_arch_measures!$F221</f>
        <v>0</v>
      </c>
      <c r="H221">
        <f>model_eui_end_uses!H221*base_scenario_arch_measures!$F221</f>
        <v>7.8374891866420819</v>
      </c>
      <c r="I221">
        <f>model_eui_end_uses!I221*base_scenario_arch_measures!$F221</f>
        <v>2.2539948162719554E-2</v>
      </c>
      <c r="J221">
        <f>model_eui_end_uses!J221*base_scenario_arch_measures!$F221</f>
        <v>0</v>
      </c>
      <c r="K221">
        <f>model_eui_end_uses!K221*base_scenario_arch_measures!$F221</f>
        <v>0.10184247000845681</v>
      </c>
      <c r="L221">
        <f>model_eui_end_uses!L221*base_scenario_arch_measures!$F221</f>
        <v>1.1601406558569345</v>
      </c>
      <c r="M221">
        <f>model_eui_end_uses!M221*base_scenario_arch_measures!$F221</f>
        <v>0.13898576486814959</v>
      </c>
      <c r="N221">
        <f>model_eui_end_uses!N221*base_scenario_arch_measures!$F221</f>
        <v>0</v>
      </c>
      <c r="O221">
        <f>model_eui_end_uses!O221*base_scenario_arch_measures!$F221</f>
        <v>0.30806712249440926</v>
      </c>
      <c r="P221">
        <f>model_eui_end_uses!P221*base_scenario_arch_measures!$F221</f>
        <v>0.45105293450129497</v>
      </c>
      <c r="Q221">
        <f>model_eui_end_uses!Q221*base_scenario_arch_measures!$F221</f>
        <v>0</v>
      </c>
      <c r="R221" s="187">
        <f>model_eui_end_uses!R221*base_building_arch_areas!$N$30</f>
        <v>0</v>
      </c>
      <c r="S221" s="187">
        <f>model_eui_end_uses!S221*base_building_arch_areas!$N$30</f>
        <v>1775924.0080285671</v>
      </c>
      <c r="T221" s="187">
        <f>model_eui_end_uses!T221*base_building_arch_areas!$N$30</f>
        <v>2658.4191017931958</v>
      </c>
      <c r="U221" s="187">
        <f>model_eui_end_uses!U221*base_building_arch_areas!$N$30</f>
        <v>0</v>
      </c>
      <c r="V221" s="187">
        <f>model_eui_end_uses!V221*base_building_arch_areas!$N$30</f>
        <v>22925.291609012285</v>
      </c>
      <c r="W221" s="187">
        <f>model_eui_end_uses!W221*base_building_arch_areas!$N$30</f>
        <v>261153.94531164123</v>
      </c>
      <c r="X221" s="187">
        <f>model_eui_end_uses!X221*base_building_arch_areas!$N$30</f>
        <v>31286.448461426367</v>
      </c>
      <c r="Y221" s="187">
        <f>model_eui_end_uses!Y221*base_building_arch_areas!$N$30</f>
        <v>0</v>
      </c>
      <c r="Z221" s="187">
        <f>model_eui_end_uses!Z221*base_building_arch_areas!$N$30</f>
        <v>68918.80058519778</v>
      </c>
      <c r="AA221" s="187">
        <f>model_eui_end_uses!AA221*base_building_arch_areas!$N$30</f>
        <v>100991.34071650925</v>
      </c>
      <c r="AB221" s="187">
        <f>model_eui_end_uses!AB221*base_building_arch_areas!$N$30</f>
        <v>0</v>
      </c>
      <c r="AC221" s="187">
        <f>model_eui_end_uses!AC221*base_building_arch_areas!$N$30</f>
        <v>2263858.2538141469</v>
      </c>
      <c r="AD221" s="187">
        <f>model_eui_end_uses!AD221*base_building_arch_areas!$N$30</f>
        <v>11662.741865931472</v>
      </c>
      <c r="AE221" s="187">
        <f>model_eui_end_uses!AE221*base_building_arch_areas!$N$30</f>
        <v>-3387.3404684139023</v>
      </c>
      <c r="AF221" s="187">
        <f t="shared" si="38"/>
        <v>8275.4013975175694</v>
      </c>
      <c r="AG221" s="187">
        <f>model_eui_end_uses!AH221*base_building_arch_areas!$N$30</f>
        <v>188.93641822808985</v>
      </c>
      <c r="AH221" s="187">
        <f>model_eui_end_uses!AI221*base_building_arch_areas!$N$30</f>
        <v>-382.76947293077097</v>
      </c>
      <c r="AI221" s="187">
        <f t="shared" si="39"/>
        <v>-193.83305470268112</v>
      </c>
      <c r="AJ221" s="200">
        <f>sim_annual_output!F221/sim_annual_output!H221*base_building_arch_areas!$N$30</f>
        <v>13857.399606776975</v>
      </c>
      <c r="AK221">
        <f t="shared" si="40"/>
        <v>-71.491416301686641</v>
      </c>
    </row>
    <row r="222" spans="1:37">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f>model_eui_end_uses!G222*base_scenario_arch_measures!$F222</f>
        <v>0</v>
      </c>
      <c r="H222">
        <f>model_eui_end_uses!H222*base_scenario_arch_measures!$F222</f>
        <v>7.5509461273227769</v>
      </c>
      <c r="I222">
        <f>model_eui_end_uses!I222*base_scenario_arch_measures!$F222</f>
        <v>2.6095545619373908E-2</v>
      </c>
      <c r="J222">
        <f>model_eui_end_uses!J222*base_scenario_arch_measures!$F222</f>
        <v>0</v>
      </c>
      <c r="K222">
        <f>model_eui_end_uses!K222*base_scenario_arch_measures!$F222</f>
        <v>0.10184247000845681</v>
      </c>
      <c r="L222">
        <f>model_eui_end_uses!L222*base_scenario_arch_measures!$F222</f>
        <v>1.1601406558569345</v>
      </c>
      <c r="M222">
        <f>model_eui_end_uses!M222*base_scenario_arch_measures!$F222</f>
        <v>0.13898576486814959</v>
      </c>
      <c r="N222">
        <f>model_eui_end_uses!N222*base_scenario_arch_measures!$F222</f>
        <v>0</v>
      </c>
      <c r="O222">
        <f>model_eui_end_uses!O222*base_scenario_arch_measures!$F222</f>
        <v>0.30781315124750536</v>
      </c>
      <c r="P222">
        <f>model_eui_end_uses!P222*base_scenario_arch_measures!$F222</f>
        <v>0.44870370046743407</v>
      </c>
      <c r="Q222">
        <f>model_eui_end_uses!Q222*base_scenario_arch_measures!$F222</f>
        <v>5.0540278133872581E-2</v>
      </c>
      <c r="R222" s="187">
        <f>model_eui_end_uses!R222*base_building_arch_areas!$N$30</f>
        <v>0</v>
      </c>
      <c r="S222" s="187">
        <f>model_eui_end_uses!S222*base_building_arch_areas!$N$30</f>
        <v>1775924.0080285671</v>
      </c>
      <c r="T222" s="187">
        <f>model_eui_end_uses!T222*base_building_arch_areas!$N$30</f>
        <v>2658.4191017931958</v>
      </c>
      <c r="U222" s="187">
        <f>model_eui_end_uses!U222*base_building_arch_areas!$N$30</f>
        <v>0</v>
      </c>
      <c r="V222" s="187">
        <f>model_eui_end_uses!V222*base_building_arch_areas!$N$30</f>
        <v>22925.291609012285</v>
      </c>
      <c r="W222" s="187">
        <f>model_eui_end_uses!W222*base_building_arch_areas!$N$30</f>
        <v>261153.94531164123</v>
      </c>
      <c r="X222" s="187">
        <f>model_eui_end_uses!X222*base_building_arch_areas!$N$30</f>
        <v>31286.448461426367</v>
      </c>
      <c r="Y222" s="187">
        <f>model_eui_end_uses!Y222*base_building_arch_areas!$N$30</f>
        <v>0</v>
      </c>
      <c r="Z222" s="187">
        <f>model_eui_end_uses!Z222*base_building_arch_areas!$N$30</f>
        <v>68918.80058519778</v>
      </c>
      <c r="AA222" s="187">
        <f>model_eui_end_uses!AA222*base_building_arch_areas!$N$30</f>
        <v>100991.34071650925</v>
      </c>
      <c r="AB222" s="187">
        <f>model_eui_end_uses!AB222*base_building_arch_areas!$N$30</f>
        <v>0</v>
      </c>
      <c r="AC222" s="187">
        <f>model_eui_end_uses!AC222*base_building_arch_areas!$N$30</f>
        <v>2263858.2538141469</v>
      </c>
      <c r="AD222" s="187">
        <f>model_eui_end_uses!AD222*base_building_arch_areas!$N$30</f>
        <v>76165.136523956666</v>
      </c>
      <c r="AE222" s="187">
        <f>model_eui_end_uses!AE222*base_building_arch_areas!$N$30</f>
        <v>-14978.619455264845</v>
      </c>
      <c r="AF222" s="187">
        <f t="shared" si="38"/>
        <v>61186.517068691821</v>
      </c>
      <c r="AG222" s="187">
        <f>model_eui_end_uses!AH222*base_building_arch_areas!$N$30</f>
        <v>1233.875211688098</v>
      </c>
      <c r="AH222" s="187">
        <f>model_eui_end_uses!AI222*base_building_arch_areas!$N$30</f>
        <v>-1692.5839984449276</v>
      </c>
      <c r="AI222" s="187">
        <f t="shared" si="39"/>
        <v>-458.70878675682957</v>
      </c>
      <c r="AJ222" s="200">
        <f>sim_annual_output!F222/sim_annual_output!H222*base_building_arch_areas!$N$30</f>
        <v>250093.1193095663</v>
      </c>
      <c r="AK222">
        <f t="shared" si="40"/>
        <v>-545.21109368272369</v>
      </c>
    </row>
    <row r="223" spans="1:37">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f>model_eui_end_uses!G223*base_scenario_arch_measures!$F223</f>
        <v>0</v>
      </c>
      <c r="H223">
        <f>model_eui_end_uses!H223*base_scenario_arch_measures!$F223</f>
        <v>5.7380993669228646</v>
      </c>
      <c r="I223">
        <f>model_eui_end_uses!I223*base_scenario_arch_measures!$F223</f>
        <v>2.7301909042167349E-2</v>
      </c>
      <c r="J223">
        <f>model_eui_end_uses!J223*base_scenario_arch_measures!$F223</f>
        <v>0</v>
      </c>
      <c r="K223">
        <f>model_eui_end_uses!K223*base_scenario_arch_measures!$F223</f>
        <v>0.10184247000845681</v>
      </c>
      <c r="L223">
        <f>model_eui_end_uses!L223*base_scenario_arch_measures!$F223</f>
        <v>1.1601406558569345</v>
      </c>
      <c r="M223">
        <f>model_eui_end_uses!M223*base_scenario_arch_measures!$F223</f>
        <v>0.13898576486814959</v>
      </c>
      <c r="N223">
        <f>model_eui_end_uses!N223*base_scenario_arch_measures!$F223</f>
        <v>0</v>
      </c>
      <c r="O223">
        <f>model_eui_end_uses!O223*base_scenario_arch_measures!$F223</f>
        <v>0.23974885707726487</v>
      </c>
      <c r="P223">
        <f>model_eui_end_uses!P223*base_scenario_arch_measures!$F223</f>
        <v>0.34121037021536588</v>
      </c>
      <c r="Q223">
        <f>model_eui_end_uses!Q223*base_scenario_arch_measures!$F223</f>
        <v>0</v>
      </c>
      <c r="R223" s="187">
        <f>model_eui_end_uses!R223*base_building_arch_areas!$N$30</f>
        <v>0</v>
      </c>
      <c r="S223" s="187">
        <f>model_eui_end_uses!S223*base_building_arch_areas!$N$30</f>
        <v>1775924.0080285671</v>
      </c>
      <c r="T223" s="187">
        <f>model_eui_end_uses!T223*base_building_arch_areas!$N$30</f>
        <v>2658.4191017931958</v>
      </c>
      <c r="U223" s="187">
        <f>model_eui_end_uses!U223*base_building_arch_areas!$N$30</f>
        <v>0</v>
      </c>
      <c r="V223" s="187">
        <f>model_eui_end_uses!V223*base_building_arch_areas!$N$30</f>
        <v>22925.291609012285</v>
      </c>
      <c r="W223" s="187">
        <f>model_eui_end_uses!W223*base_building_arch_areas!$N$30</f>
        <v>261153.94531164123</v>
      </c>
      <c r="X223" s="187">
        <f>model_eui_end_uses!X223*base_building_arch_areas!$N$30</f>
        <v>31286.448461426367</v>
      </c>
      <c r="Y223" s="187">
        <f>model_eui_end_uses!Y223*base_building_arch_areas!$N$30</f>
        <v>0</v>
      </c>
      <c r="Z223" s="187">
        <f>model_eui_end_uses!Z223*base_building_arch_areas!$N$30</f>
        <v>68918.80058519778</v>
      </c>
      <c r="AA223" s="187">
        <f>model_eui_end_uses!AA223*base_building_arch_areas!$N$30</f>
        <v>100991.34071650925</v>
      </c>
      <c r="AB223" s="187">
        <f>model_eui_end_uses!AB223*base_building_arch_areas!$N$30</f>
        <v>0</v>
      </c>
      <c r="AC223" s="187">
        <f>model_eui_end_uses!AC223*base_building_arch_areas!$N$30</f>
        <v>2263858.2538141469</v>
      </c>
      <c r="AD223" s="187">
        <f>model_eui_end_uses!AD223*base_building_arch_areas!$N$30</f>
        <v>484246.76122502831</v>
      </c>
      <c r="AE223" s="187">
        <f>model_eui_end_uses!AE223*base_building_arch_areas!$N$30</f>
        <v>35645.684085334571</v>
      </c>
      <c r="AF223" s="187">
        <f t="shared" si="38"/>
        <v>519892.44531036291</v>
      </c>
      <c r="AG223" s="187">
        <f>model_eui_end_uses!AH223*base_building_arch_areas!$N$30</f>
        <v>7844.7975318454583</v>
      </c>
      <c r="AH223" s="187">
        <f>model_eui_end_uses!AI223*base_building_arch_areas!$N$30</f>
        <v>4027.9623016428063</v>
      </c>
      <c r="AI223" s="187">
        <f t="shared" si="39"/>
        <v>11872.759833488264</v>
      </c>
      <c r="AJ223" s="200">
        <f>sim_annual_output!F223/sim_annual_output!H223*base_building_arch_areas!$N$30</f>
        <v>221144.6753460741</v>
      </c>
      <c r="AK223">
        <f t="shared" si="40"/>
        <v>18.626223257907924</v>
      </c>
    </row>
    <row r="224" spans="1:37">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f>model_eui_end_uses!G224*base_scenario_arch_measures!$F224</f>
        <v>0</v>
      </c>
      <c r="H224">
        <f>model_eui_end_uses!H224*base_scenario_arch_measures!$F224</f>
        <v>4.9346613273424333</v>
      </c>
      <c r="I224">
        <f>model_eui_end_uses!I224*base_scenario_arch_measures!$F224</f>
        <v>2.527013906693629E-2</v>
      </c>
      <c r="J224">
        <f>model_eui_end_uses!J224*base_scenario_arch_measures!$F224</f>
        <v>0</v>
      </c>
      <c r="K224">
        <f>model_eui_end_uses!K224*base_scenario_arch_measures!$F224</f>
        <v>0.10184247000845681</v>
      </c>
      <c r="L224">
        <f>model_eui_end_uses!L224*base_scenario_arch_measures!$F224</f>
        <v>1.1601406558569345</v>
      </c>
      <c r="M224">
        <f>model_eui_end_uses!M224*base_scenario_arch_measures!$F224</f>
        <v>0.13898576486814959</v>
      </c>
      <c r="N224">
        <f>model_eui_end_uses!N224*base_scenario_arch_measures!$F224</f>
        <v>0</v>
      </c>
      <c r="O224">
        <f>model_eui_end_uses!O224*base_scenario_arch_measures!$F224</f>
        <v>0.24393938265117898</v>
      </c>
      <c r="P224">
        <f>model_eui_end_uses!P224*base_scenario_arch_measures!$F224</f>
        <v>0.33314678312616763</v>
      </c>
      <c r="Q224">
        <f>model_eui_end_uses!Q224*base_scenario_arch_measures!$F224</f>
        <v>0</v>
      </c>
      <c r="R224" s="187">
        <f>model_eui_end_uses!R224*base_building_arch_areas!$N$30</f>
        <v>0</v>
      </c>
      <c r="S224" s="187">
        <f>model_eui_end_uses!S224*base_building_arch_areas!$N$30</f>
        <v>1775924.0080285671</v>
      </c>
      <c r="T224" s="187">
        <f>model_eui_end_uses!T224*base_building_arch_areas!$N$30</f>
        <v>2658.4191017931958</v>
      </c>
      <c r="U224" s="187">
        <f>model_eui_end_uses!U224*base_building_arch_areas!$N$30</f>
        <v>0</v>
      </c>
      <c r="V224" s="187">
        <f>model_eui_end_uses!V224*base_building_arch_areas!$N$30</f>
        <v>22925.291609012285</v>
      </c>
      <c r="W224" s="187">
        <f>model_eui_end_uses!W224*base_building_arch_areas!$N$30</f>
        <v>261153.94531164123</v>
      </c>
      <c r="X224" s="187">
        <f>model_eui_end_uses!X224*base_building_arch_areas!$N$30</f>
        <v>31286.448461426367</v>
      </c>
      <c r="Y224" s="187">
        <f>model_eui_end_uses!Y224*base_building_arch_areas!$N$30</f>
        <v>0</v>
      </c>
      <c r="Z224" s="187">
        <f>model_eui_end_uses!Z224*base_building_arch_areas!$N$30</f>
        <v>68918.80058519778</v>
      </c>
      <c r="AA224" s="187">
        <f>model_eui_end_uses!AA224*base_building_arch_areas!$N$30</f>
        <v>100991.34071650925</v>
      </c>
      <c r="AB224" s="187">
        <f>model_eui_end_uses!AB224*base_building_arch_areas!$N$30</f>
        <v>0</v>
      </c>
      <c r="AC224" s="187">
        <f>model_eui_end_uses!AC224*base_building_arch_areas!$N$30</f>
        <v>2263858.2538141469</v>
      </c>
      <c r="AD224" s="187">
        <f>model_eui_end_uses!AD224*base_building_arch_areas!$N$30</f>
        <v>665105.01560186211</v>
      </c>
      <c r="AE224" s="187">
        <f>model_eui_end_uses!AE224*base_building_arch_areas!$N$30</f>
        <v>36974.893636231209</v>
      </c>
      <c r="AF224" s="187">
        <f t="shared" si="38"/>
        <v>702079.9092380933</v>
      </c>
      <c r="AG224" s="187">
        <f>model_eui_end_uses!AH224*base_building_arch_areas!$N$30</f>
        <v>10774.701252750167</v>
      </c>
      <c r="AH224" s="187">
        <f>model_eui_end_uses!AI224*base_building_arch_areas!$N$30</f>
        <v>4178.162980894127</v>
      </c>
      <c r="AI224" s="187">
        <f t="shared" si="39"/>
        <v>14952.864233644294</v>
      </c>
      <c r="AJ224" s="200">
        <f>sim_annual_output!F224/sim_annual_output!H224*base_building_arch_areas!$N$30</f>
        <v>243755.69583330551</v>
      </c>
      <c r="AK224">
        <f t="shared" si="40"/>
        <v>16.301605633845689</v>
      </c>
    </row>
    <row r="225" spans="1:37">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f>model_eui_end_uses!G225*base_scenario_arch_measures!$F225</f>
        <v>0</v>
      </c>
      <c r="H225">
        <f>model_eui_end_uses!H225*base_scenario_arch_measures!$F225</f>
        <v>8.2851770021219</v>
      </c>
      <c r="I225">
        <f>model_eui_end_uses!I225*base_scenario_arch_measures!$F225</f>
        <v>1.0222342687881263E-2</v>
      </c>
      <c r="J225">
        <f>model_eui_end_uses!J225*base_scenario_arch_measures!$F225</f>
        <v>0</v>
      </c>
      <c r="K225">
        <f>model_eui_end_uses!K225*base_scenario_arch_measures!$F225</f>
        <v>0.10184247000845681</v>
      </c>
      <c r="L225">
        <f>model_eui_end_uses!L225*base_scenario_arch_measures!$F225</f>
        <v>0.81213655478688984</v>
      </c>
      <c r="M225">
        <f>model_eui_end_uses!M225*base_scenario_arch_measures!$F225</f>
        <v>0.13898576486814959</v>
      </c>
      <c r="N225">
        <f>model_eui_end_uses!N225*base_scenario_arch_measures!$F225</f>
        <v>0</v>
      </c>
      <c r="O225">
        <f>model_eui_end_uses!O225*base_scenario_arch_measures!$F225</f>
        <v>0.31581324552497764</v>
      </c>
      <c r="P225">
        <f>model_eui_end_uses!P225*base_scenario_arch_measures!$F225</f>
        <v>0.46476738183410471</v>
      </c>
      <c r="Q225">
        <f>model_eui_end_uses!Q225*base_scenario_arch_measures!$F225</f>
        <v>0</v>
      </c>
      <c r="R225" s="187">
        <f>model_eui_end_uses!R225*base_building_arch_areas!$N$30</f>
        <v>0</v>
      </c>
      <c r="S225" s="187">
        <f>model_eui_end_uses!S225*base_building_arch_areas!$N$30</f>
        <v>1775924.0080285671</v>
      </c>
      <c r="T225" s="187">
        <f>model_eui_end_uses!T225*base_building_arch_areas!$N$30</f>
        <v>2658.4191017931958</v>
      </c>
      <c r="U225" s="187">
        <f>model_eui_end_uses!U225*base_building_arch_areas!$N$30</f>
        <v>0</v>
      </c>
      <c r="V225" s="187">
        <f>model_eui_end_uses!V225*base_building_arch_areas!$N$30</f>
        <v>22925.291609012285</v>
      </c>
      <c r="W225" s="187">
        <f>model_eui_end_uses!W225*base_building_arch_areas!$N$30</f>
        <v>261153.94531164123</v>
      </c>
      <c r="X225" s="187">
        <f>model_eui_end_uses!X225*base_building_arch_areas!$N$30</f>
        <v>31286.448461426367</v>
      </c>
      <c r="Y225" s="187">
        <f>model_eui_end_uses!Y225*base_building_arch_areas!$N$30</f>
        <v>0</v>
      </c>
      <c r="Z225" s="187">
        <f>model_eui_end_uses!Z225*base_building_arch_areas!$N$30</f>
        <v>68918.80058519778</v>
      </c>
      <c r="AA225" s="187">
        <f>model_eui_end_uses!AA225*base_building_arch_areas!$N$30</f>
        <v>100991.34071650925</v>
      </c>
      <c r="AB225" s="187">
        <f>model_eui_end_uses!AB225*base_building_arch_areas!$N$30</f>
        <v>0</v>
      </c>
      <c r="AC225" s="187">
        <f>model_eui_end_uses!AC225*base_building_arch_areas!$N$30</f>
        <v>2263858.2538141469</v>
      </c>
      <c r="AD225" s="187">
        <f>model_eui_end_uses!AD225*base_building_arch_areas!$N$30</f>
        <v>-89114.210213336322</v>
      </c>
      <c r="AE225" s="187">
        <f>model_eui_end_uses!AE225*base_building_arch_areas!$N$30</f>
        <v>72892.136662071498</v>
      </c>
      <c r="AF225" s="187">
        <f t="shared" si="38"/>
        <v>-16222.073551264824</v>
      </c>
      <c r="AG225" s="187">
        <f>model_eui_end_uses!AH225*base_building_arch_areas!$N$30</f>
        <v>-1443.6502054560483</v>
      </c>
      <c r="AH225" s="187">
        <f>model_eui_end_uses!AI225*base_building_arch_areas!$N$30</f>
        <v>8236.8114428140798</v>
      </c>
      <c r="AI225" s="187">
        <f t="shared" si="39"/>
        <v>6793.1612373580319</v>
      </c>
      <c r="AJ225" s="200">
        <f>sim_annual_output!F225/sim_annual_output!H225*base_building_arch_areas!$N$30</f>
        <v>123723.27964926109</v>
      </c>
      <c r="AK225">
        <f t="shared" si="40"/>
        <v>18.212916685807834</v>
      </c>
    </row>
    <row r="226" spans="1:37">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f>model_eui_end_uses!G226*base_scenario_arch_measures!$F226</f>
        <v>0</v>
      </c>
      <c r="H226">
        <f>model_eui_end_uses!H226*base_scenario_arch_measures!$F226</f>
        <v>3.0586392192751806</v>
      </c>
      <c r="I226">
        <f>model_eui_end_uses!I226*base_scenario_arch_measures!$F226</f>
        <v>2.527013906693629E-2</v>
      </c>
      <c r="J226">
        <f>model_eui_end_uses!J226*base_scenario_arch_measures!$F226</f>
        <v>0</v>
      </c>
      <c r="K226">
        <f>model_eui_end_uses!K226*base_scenario_arch_measures!$F226</f>
        <v>0.10184247000845681</v>
      </c>
      <c r="L226">
        <f>model_eui_end_uses!L226*base_scenario_arch_measures!$F226</f>
        <v>1.1601406558569345</v>
      </c>
      <c r="M226">
        <f>model_eui_end_uses!M226*base_scenario_arch_measures!$F226</f>
        <v>0.13898576486814959</v>
      </c>
      <c r="N226">
        <f>model_eui_end_uses!N226*base_scenario_arch_measures!$F226</f>
        <v>0</v>
      </c>
      <c r="O226">
        <f>model_eui_end_uses!O226*base_scenario_arch_measures!$F226</f>
        <v>0.24393938265117898</v>
      </c>
      <c r="P226">
        <f>model_eui_end_uses!P226*base_scenario_arch_measures!$F226</f>
        <v>0.33314678312616763</v>
      </c>
      <c r="Q226">
        <f>model_eui_end_uses!Q226*base_scenario_arch_measures!$F226</f>
        <v>0</v>
      </c>
      <c r="R226" s="187">
        <f>model_eui_end_uses!R226*base_building_arch_areas!$N$30</f>
        <v>0</v>
      </c>
      <c r="S226" s="187">
        <f>model_eui_end_uses!S226*base_building_arch_areas!$N$30</f>
        <v>1775924.0080285671</v>
      </c>
      <c r="T226" s="187">
        <f>model_eui_end_uses!T226*base_building_arch_areas!$N$30</f>
        <v>2658.4191017931958</v>
      </c>
      <c r="U226" s="187">
        <f>model_eui_end_uses!U226*base_building_arch_areas!$N$30</f>
        <v>0</v>
      </c>
      <c r="V226" s="187">
        <f>model_eui_end_uses!V226*base_building_arch_areas!$N$30</f>
        <v>22925.291609012285</v>
      </c>
      <c r="W226" s="187">
        <f>model_eui_end_uses!W226*base_building_arch_areas!$N$30</f>
        <v>261153.94531164123</v>
      </c>
      <c r="X226" s="187">
        <f>model_eui_end_uses!X226*base_building_arch_areas!$N$30</f>
        <v>31286.448461426367</v>
      </c>
      <c r="Y226" s="187">
        <f>model_eui_end_uses!Y226*base_building_arch_areas!$N$30</f>
        <v>0</v>
      </c>
      <c r="Z226" s="187">
        <f>model_eui_end_uses!Z226*base_building_arch_areas!$N$30</f>
        <v>68918.80058519778</v>
      </c>
      <c r="AA226" s="187">
        <f>model_eui_end_uses!AA226*base_building_arch_areas!$N$30</f>
        <v>100991.34071650925</v>
      </c>
      <c r="AB226" s="187">
        <f>model_eui_end_uses!AB226*base_building_arch_areas!$N$30</f>
        <v>0</v>
      </c>
      <c r="AC226" s="187">
        <f>model_eui_end_uses!AC226*base_building_arch_areas!$N$30</f>
        <v>2263858.2538141469</v>
      </c>
      <c r="AD226" s="187">
        <f>model_eui_end_uses!AD226*base_building_arch_areas!$N$30</f>
        <v>1087407.7532399457</v>
      </c>
      <c r="AE226" s="187">
        <f>model_eui_end_uses!AE226*base_building_arch_areas!$N$30</f>
        <v>36974.893636231209</v>
      </c>
      <c r="AF226" s="187">
        <f t="shared" si="38"/>
        <v>1124382.6468761771</v>
      </c>
      <c r="AG226" s="187">
        <f>model_eui_end_uses!AH226*base_building_arch_areas!$N$30</f>
        <v>17616.005602487119</v>
      </c>
      <c r="AH226" s="187">
        <f>model_eui_end_uses!AI226*base_building_arch_areas!$N$30</f>
        <v>4178.162980894127</v>
      </c>
      <c r="AI226" s="187">
        <f t="shared" si="39"/>
        <v>21794.168583381244</v>
      </c>
      <c r="AJ226" s="200">
        <f>sim_annual_output!F226/sim_annual_output!H226*base_building_arch_areas!$N$30</f>
        <v>248654.63163730854</v>
      </c>
      <c r="AK226">
        <f t="shared" si="40"/>
        <v>11.409227687947487</v>
      </c>
    </row>
    <row r="227" spans="1:37">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f>model_eui_end_uses!G227*base_scenario_arch_measures!$F227</f>
        <v>0</v>
      </c>
      <c r="H227">
        <f>model_eui_end_uses!H227*base_scenario_arch_measures!$F227</f>
        <v>6.7840164544847781</v>
      </c>
      <c r="I227">
        <f>model_eui_end_uses!I227*base_scenario_arch_measures!$F227</f>
        <v>2.0127221317132672E-2</v>
      </c>
      <c r="J227">
        <f>model_eui_end_uses!J227*base_scenario_arch_measures!$F227</f>
        <v>0</v>
      </c>
      <c r="K227">
        <f>model_eui_end_uses!K227*base_scenario_arch_measures!$F227</f>
        <v>0.10184247000845681</v>
      </c>
      <c r="L227">
        <f>model_eui_end_uses!L227*base_scenario_arch_measures!$F227</f>
        <v>1.1601406558569345</v>
      </c>
      <c r="M227">
        <f>model_eui_end_uses!M227*base_scenario_arch_measures!$F227</f>
        <v>0.13898576486814959</v>
      </c>
      <c r="N227">
        <f>model_eui_end_uses!N227*base_scenario_arch_measures!$F227</f>
        <v>0</v>
      </c>
      <c r="O227">
        <f>model_eui_end_uses!O227*base_scenario_arch_measures!$F227</f>
        <v>0.31981329266371378</v>
      </c>
      <c r="P227">
        <f>model_eui_end_uses!P227*base_scenario_arch_measures!$F227</f>
        <v>0.44641795924529909</v>
      </c>
      <c r="Q227">
        <f>model_eui_end_uses!Q227*base_scenario_arch_measures!$F227</f>
        <v>0</v>
      </c>
      <c r="R227" s="187">
        <f>model_eui_end_uses!R227*base_building_arch_areas!$N$30</f>
        <v>0</v>
      </c>
      <c r="S227" s="187">
        <f>model_eui_end_uses!S227*base_building_arch_areas!$N$30</f>
        <v>1775924.0080285671</v>
      </c>
      <c r="T227" s="187">
        <f>model_eui_end_uses!T227*base_building_arch_areas!$N$30</f>
        <v>2658.4191017931958</v>
      </c>
      <c r="U227" s="187">
        <f>model_eui_end_uses!U227*base_building_arch_areas!$N$30</f>
        <v>0</v>
      </c>
      <c r="V227" s="187">
        <f>model_eui_end_uses!V227*base_building_arch_areas!$N$30</f>
        <v>22925.291609012285</v>
      </c>
      <c r="W227" s="187">
        <f>model_eui_end_uses!W227*base_building_arch_areas!$N$30</f>
        <v>261153.94531164123</v>
      </c>
      <c r="X227" s="187">
        <f>model_eui_end_uses!X227*base_building_arch_areas!$N$30</f>
        <v>31286.448461426367</v>
      </c>
      <c r="Y227" s="187">
        <f>model_eui_end_uses!Y227*base_building_arch_areas!$N$30</f>
        <v>0</v>
      </c>
      <c r="Z227" s="187">
        <f>model_eui_end_uses!Z227*base_building_arch_areas!$N$30</f>
        <v>68918.80058519778</v>
      </c>
      <c r="AA227" s="187">
        <f>model_eui_end_uses!AA227*base_building_arch_areas!$N$30</f>
        <v>100991.34071650925</v>
      </c>
      <c r="AB227" s="187">
        <f>model_eui_end_uses!AB227*base_building_arch_areas!$N$30</f>
        <v>0</v>
      </c>
      <c r="AC227" s="187">
        <f>model_eui_end_uses!AC227*base_building_arch_areas!$N$30</f>
        <v>2263858.2538141469</v>
      </c>
      <c r="AD227" s="187">
        <f>model_eui_end_uses!AD227*base_building_arch_areas!$N$30</f>
        <v>248805.15980653744</v>
      </c>
      <c r="AE227" s="187">
        <f>model_eui_end_uses!AE227*base_building_arch_areas!$N$30</f>
        <v>-4444.9910788047637</v>
      </c>
      <c r="AF227" s="187">
        <f t="shared" si="38"/>
        <v>244360.16872773267</v>
      </c>
      <c r="AG227" s="187">
        <f>model_eui_end_uses!AH227*base_building_arch_areas!$N$30</f>
        <v>4030.6435888659062</v>
      </c>
      <c r="AH227" s="187">
        <f>model_eui_end_uses!AI227*base_building_arch_areas!$N$30</f>
        <v>-502.28399190493832</v>
      </c>
      <c r="AI227" s="187">
        <f t="shared" si="39"/>
        <v>3528.3595969609678</v>
      </c>
      <c r="AJ227" s="200">
        <f>sim_annual_output!F227/sim_annual_output!H227*base_building_arch_areas!$N$30</f>
        <v>22611.020487231388</v>
      </c>
      <c r="AK227">
        <f t="shared" si="40"/>
        <v>6.4083662296514845</v>
      </c>
    </row>
    <row r="228" spans="1:37">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f>model_eui_end_uses!G228*base_scenario_arch_measures!$F228</f>
        <v>0</v>
      </c>
      <c r="H228">
        <f>model_eui_end_uses!H228*base_scenario_arch_measures!$F228</f>
        <v>3.4308340816128196</v>
      </c>
      <c r="I228">
        <f>model_eui_end_uses!I228*base_scenario_arch_measures!$F228</f>
        <v>6.0127692704494133E-2</v>
      </c>
      <c r="J228">
        <f>model_eui_end_uses!J228*base_scenario_arch_measures!$F228</f>
        <v>0</v>
      </c>
      <c r="K228">
        <f>model_eui_end_uses!K228*base_scenario_arch_measures!$F228</f>
        <v>0.10184247000845681</v>
      </c>
      <c r="L228">
        <f>model_eui_end_uses!L228*base_scenario_arch_measures!$F228</f>
        <v>0.81213655478688984</v>
      </c>
      <c r="M228">
        <f>model_eui_end_uses!M228*base_scenario_arch_measures!$F228</f>
        <v>0.13898576486814959</v>
      </c>
      <c r="N228">
        <f>model_eui_end_uses!N228*base_scenario_arch_measures!$F228</f>
        <v>0</v>
      </c>
      <c r="O228">
        <f>model_eui_end_uses!O228*base_scenario_arch_measures!$F228</f>
        <v>0.27378100416238516</v>
      </c>
      <c r="P228">
        <f>model_eui_end_uses!P228*base_scenario_arch_measures!$F228</f>
        <v>0.25993957120612354</v>
      </c>
      <c r="Q228">
        <f>model_eui_end_uses!Q228*base_scenario_arch_measures!$F228</f>
        <v>0</v>
      </c>
      <c r="R228" s="187">
        <f>model_eui_end_uses!R228*base_building_arch_areas!$N$30</f>
        <v>0</v>
      </c>
      <c r="S228" s="187">
        <f>model_eui_end_uses!S228*base_building_arch_areas!$N$30</f>
        <v>1775924.0080285671</v>
      </c>
      <c r="T228" s="187">
        <f>model_eui_end_uses!T228*base_building_arch_areas!$N$30</f>
        <v>2658.4191017931958</v>
      </c>
      <c r="U228" s="187">
        <f>model_eui_end_uses!U228*base_building_arch_areas!$N$30</f>
        <v>0</v>
      </c>
      <c r="V228" s="187">
        <f>model_eui_end_uses!V228*base_building_arch_areas!$N$30</f>
        <v>22925.291609012285</v>
      </c>
      <c r="W228" s="187">
        <f>model_eui_end_uses!W228*base_building_arch_areas!$N$30</f>
        <v>261153.94531164123</v>
      </c>
      <c r="X228" s="187">
        <f>model_eui_end_uses!X228*base_building_arch_areas!$N$30</f>
        <v>31286.448461426367</v>
      </c>
      <c r="Y228" s="187">
        <f>model_eui_end_uses!Y228*base_building_arch_areas!$N$30</f>
        <v>0</v>
      </c>
      <c r="Z228" s="187">
        <f>model_eui_end_uses!Z228*base_building_arch_areas!$N$30</f>
        <v>68918.80058519778</v>
      </c>
      <c r="AA228" s="187">
        <f>model_eui_end_uses!AA228*base_building_arch_areas!$N$30</f>
        <v>100991.34071650925</v>
      </c>
      <c r="AB228" s="187">
        <f>model_eui_end_uses!AB228*base_building_arch_areas!$N$30</f>
        <v>0</v>
      </c>
      <c r="AC228" s="187">
        <f>model_eui_end_uses!AC228*base_building_arch_areas!$N$30</f>
        <v>2263858.2538141469</v>
      </c>
      <c r="AD228" s="187">
        <f>model_eui_end_uses!AD228*base_building_arch_areas!$N$30</f>
        <v>1003624.6738060118</v>
      </c>
      <c r="AE228" s="187">
        <f>model_eui_end_uses!AE228*base_building_arch_areas!$N$30</f>
        <v>117227.70684359028</v>
      </c>
      <c r="AF228" s="187">
        <f t="shared" si="38"/>
        <v>1120852.380649602</v>
      </c>
      <c r="AG228" s="187">
        <f>model_eui_end_uses!AH228*base_building_arch_areas!$N$30</f>
        <v>16258.719715657389</v>
      </c>
      <c r="AH228" s="187">
        <f>model_eui_end_uses!AI228*base_building_arch_areas!$N$30</f>
        <v>13246.730873325701</v>
      </c>
      <c r="AI228" s="187">
        <f t="shared" si="39"/>
        <v>29505.450588983091</v>
      </c>
      <c r="AJ228" s="200">
        <f>sim_annual_output!F228/sim_annual_output!H228*base_building_arch_areas!$N$30</f>
        <v>502238.9914252442</v>
      </c>
      <c r="AK228">
        <f t="shared" si="40"/>
        <v>17.021905492023667</v>
      </c>
    </row>
    <row r="229" spans="1:37">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f>model_eui_end_uses!G229*base_scenario_arch_measures!$F229</f>
        <v>0</v>
      </c>
      <c r="H229">
        <f>model_eui_end_uses!H229*base_scenario_arch_measures!$F229</f>
        <v>7.8369812441482738</v>
      </c>
      <c r="I229">
        <f>model_eui_end_uses!I229*base_scenario_arch_measures!$F229</f>
        <v>2.1968512857185818E-2</v>
      </c>
      <c r="J229">
        <f>model_eui_end_uses!J229*base_scenario_arch_measures!$F229</f>
        <v>0</v>
      </c>
      <c r="K229">
        <f>model_eui_end_uses!K229*base_scenario_arch_measures!$F229</f>
        <v>0.10184247000845681</v>
      </c>
      <c r="L229">
        <f>model_eui_end_uses!L229*base_scenario_arch_measures!$F229</f>
        <v>1.1601406558569345</v>
      </c>
      <c r="M229">
        <f>model_eui_end_uses!M229*base_scenario_arch_measures!$F229</f>
        <v>0.13898576486814959</v>
      </c>
      <c r="N229">
        <f>model_eui_end_uses!N229*base_scenario_arch_measures!$F229</f>
        <v>0</v>
      </c>
      <c r="O229">
        <f>model_eui_end_uses!O229*base_scenario_arch_measures!$F229</f>
        <v>0.30908300748202472</v>
      </c>
      <c r="P229">
        <f>model_eui_end_uses!P229*base_scenario_arch_measures!$F229</f>
        <v>0.45117992012474695</v>
      </c>
      <c r="Q229">
        <f>model_eui_end_uses!Q229*base_scenario_arch_measures!$F229</f>
        <v>0</v>
      </c>
      <c r="R229" s="187">
        <f>model_eui_end_uses!R229*base_building_arch_areas!$N$30</f>
        <v>0</v>
      </c>
      <c r="S229" s="187">
        <f>model_eui_end_uses!S229*base_building_arch_areas!$N$30</f>
        <v>1775924.0080285671</v>
      </c>
      <c r="T229" s="187">
        <f>model_eui_end_uses!T229*base_building_arch_areas!$N$30</f>
        <v>2658.4191017931958</v>
      </c>
      <c r="U229" s="187">
        <f>model_eui_end_uses!U229*base_building_arch_areas!$N$30</f>
        <v>0</v>
      </c>
      <c r="V229" s="187">
        <f>model_eui_end_uses!V229*base_building_arch_areas!$N$30</f>
        <v>22925.291609012285</v>
      </c>
      <c r="W229" s="187">
        <f>model_eui_end_uses!W229*base_building_arch_areas!$N$30</f>
        <v>261153.94531164123</v>
      </c>
      <c r="X229" s="187">
        <f>model_eui_end_uses!X229*base_building_arch_areas!$N$30</f>
        <v>31286.448461426367</v>
      </c>
      <c r="Y229" s="187">
        <f>model_eui_end_uses!Y229*base_building_arch_areas!$N$30</f>
        <v>0</v>
      </c>
      <c r="Z229" s="187">
        <f>model_eui_end_uses!Z229*base_building_arch_areas!$N$30</f>
        <v>68918.80058519778</v>
      </c>
      <c r="AA229" s="187">
        <f>model_eui_end_uses!AA229*base_building_arch_areas!$N$30</f>
        <v>100991.34071650925</v>
      </c>
      <c r="AB229" s="187">
        <f>model_eui_end_uses!AB229*base_building_arch_areas!$N$30</f>
        <v>0</v>
      </c>
      <c r="AC229" s="187">
        <f>model_eui_end_uses!AC229*base_building_arch_areas!$N$30</f>
        <v>2263858.2538141469</v>
      </c>
      <c r="AD229" s="187">
        <f>model_eui_end_uses!AD229*base_building_arch_areas!$N$30</f>
        <v>11777.082472460264</v>
      </c>
      <c r="AE229" s="187">
        <f>model_eui_end_uses!AE229*base_building_arch_areas!$N$30</f>
        <v>-3515.9736507587604</v>
      </c>
      <c r="AF229" s="187">
        <f t="shared" si="38"/>
        <v>8261.108821701504</v>
      </c>
      <c r="AG229" s="187">
        <f>model_eui_end_uses!AH229*base_building_arch_areas!$N$30</f>
        <v>190.78873605385627</v>
      </c>
      <c r="AH229" s="187">
        <f>model_eui_end_uses!AI229*base_building_arch_areas!$N$30</f>
        <v>-397.30502253573997</v>
      </c>
      <c r="AI229" s="187">
        <f t="shared" si="39"/>
        <v>-206.5162864818837</v>
      </c>
      <c r="AJ229" s="200">
        <f>sim_annual_output!F229/sim_annual_output!H229*base_building_arch_areas!$N$30</f>
        <v>13074.145652837062</v>
      </c>
      <c r="AK229">
        <f t="shared" si="40"/>
        <v>-63.308060955202045</v>
      </c>
    </row>
    <row r="230" spans="1:37">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f>model_eui_end_uses!G230*base_scenario_arch_measures!$F230</f>
        <v>0</v>
      </c>
      <c r="H230">
        <f>model_eui_end_uses!H230*base_scenario_arch_measures!$F230</f>
        <v>7.836155837595836</v>
      </c>
      <c r="I230">
        <f>model_eui_end_uses!I230*base_scenario_arch_measures!$F230</f>
        <v>2.2603440974445527E-2</v>
      </c>
      <c r="J230">
        <f>model_eui_end_uses!J230*base_scenario_arch_measures!$F230</f>
        <v>0</v>
      </c>
      <c r="K230">
        <f>model_eui_end_uses!K230*base_scenario_arch_measures!$F230</f>
        <v>0.10184247000845681</v>
      </c>
      <c r="L230">
        <f>model_eui_end_uses!L230*base_scenario_arch_measures!$F230</f>
        <v>1.1601406558569345</v>
      </c>
      <c r="M230">
        <f>model_eui_end_uses!M230*base_scenario_arch_measures!$F230</f>
        <v>0.13898576486814959</v>
      </c>
      <c r="N230">
        <f>model_eui_end_uses!N230*base_scenario_arch_measures!$F230</f>
        <v>0</v>
      </c>
      <c r="O230">
        <f>model_eui_end_uses!O230*base_scenario_arch_measures!$F230</f>
        <v>0.30908300748202472</v>
      </c>
      <c r="P230">
        <f>model_eui_end_uses!P230*base_scenario_arch_measures!$F230</f>
        <v>0.3527025691377666</v>
      </c>
      <c r="Q230">
        <f>model_eui_end_uses!Q230*base_scenario_arch_measures!$F230</f>
        <v>0</v>
      </c>
      <c r="R230" s="187">
        <f>model_eui_end_uses!R230*base_building_arch_areas!$N$30</f>
        <v>0</v>
      </c>
      <c r="S230" s="187">
        <f>model_eui_end_uses!S230*base_building_arch_areas!$N$30</f>
        <v>1775924.0080285671</v>
      </c>
      <c r="T230" s="187">
        <f>model_eui_end_uses!T230*base_building_arch_areas!$N$30</f>
        <v>2658.4191017931958</v>
      </c>
      <c r="U230" s="187">
        <f>model_eui_end_uses!U230*base_building_arch_areas!$N$30</f>
        <v>0</v>
      </c>
      <c r="V230" s="187">
        <f>model_eui_end_uses!V230*base_building_arch_areas!$N$30</f>
        <v>22925.291609012285</v>
      </c>
      <c r="W230" s="187">
        <f>model_eui_end_uses!W230*base_building_arch_areas!$N$30</f>
        <v>261153.94531164123</v>
      </c>
      <c r="X230" s="187">
        <f>model_eui_end_uses!X230*base_building_arch_areas!$N$30</f>
        <v>31286.448461426367</v>
      </c>
      <c r="Y230" s="187">
        <f>model_eui_end_uses!Y230*base_building_arch_areas!$N$30</f>
        <v>0</v>
      </c>
      <c r="Z230" s="187">
        <f>model_eui_end_uses!Z230*base_building_arch_areas!$N$30</f>
        <v>68918.80058519778</v>
      </c>
      <c r="AA230" s="187">
        <f>model_eui_end_uses!AA230*base_building_arch_areas!$N$30</f>
        <v>100991.34071650925</v>
      </c>
      <c r="AB230" s="187">
        <f>model_eui_end_uses!AB230*base_building_arch_areas!$N$30</f>
        <v>0</v>
      </c>
      <c r="AC230" s="187">
        <f>model_eui_end_uses!AC230*base_building_arch_areas!$N$30</f>
        <v>2263858.2538141469</v>
      </c>
      <c r="AD230" s="187">
        <f>model_eui_end_uses!AD230*base_building_arch_areas!$N$30</f>
        <v>11962.885958069586</v>
      </c>
      <c r="AE230" s="187">
        <f>model_eui_end_uses!AE230*base_building_arch_areas!$N$30</f>
        <v>18508.88568183974</v>
      </c>
      <c r="AF230" s="187">
        <f t="shared" si="38"/>
        <v>30471.771639909326</v>
      </c>
      <c r="AG230" s="187">
        <f>model_eui_end_uses!AH230*base_building_arch_areas!$N$30</f>
        <v>193.79875252072728</v>
      </c>
      <c r="AH230" s="187">
        <f>model_eui_end_uses!AI230*base_building_arch_areas!$N$30</f>
        <v>2091.5040820478903</v>
      </c>
      <c r="AI230" s="187">
        <f t="shared" si="39"/>
        <v>2285.3028345686175</v>
      </c>
      <c r="AJ230" s="200">
        <f>sim_annual_output!F230/sim_annual_output!H230*base_building_arch_areas!$N$30</f>
        <v>23117.828767626572</v>
      </c>
      <c r="AK230">
        <f t="shared" si="40"/>
        <v>10.115871042530948</v>
      </c>
    </row>
    <row r="231" spans="1:37">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f>model_eui_end_uses!G231*base_scenario_arch_measures!$F231</f>
        <v>0</v>
      </c>
      <c r="H231">
        <f>model_eui_end_uses!H231*base_scenario_arch_measures!$F231</f>
        <v>9.5634222643817299</v>
      </c>
      <c r="I231">
        <f>model_eui_end_uses!I231*base_scenario_arch_measures!$F231</f>
        <v>1.2885814863303478E-2</v>
      </c>
      <c r="J231">
        <f>model_eui_end_uses!J231*base_scenario_arch_measures!$F231</f>
        <v>3.7349485938372118E-2</v>
      </c>
      <c r="K231">
        <f>model_eui_end_uses!K231*base_scenario_arch_measures!$F231</f>
        <v>0</v>
      </c>
      <c r="L231">
        <f>model_eui_end_uses!L231*base_scenario_arch_measures!$F231</f>
        <v>0.48922497858835273</v>
      </c>
      <c r="M231">
        <f>model_eui_end_uses!M231*base_scenario_arch_measures!$F231</f>
        <v>7.0129190415196746E-2</v>
      </c>
      <c r="N231">
        <f>model_eui_end_uses!N231*base_scenario_arch_measures!$F231</f>
        <v>0</v>
      </c>
      <c r="O231">
        <f>model_eui_end_uses!O231*base_scenario_arch_measures!$F231</f>
        <v>0.58653064320773463</v>
      </c>
      <c r="P231">
        <f>model_eui_end_uses!P231*base_scenario_arch_measures!$F231</f>
        <v>0.49913962811976675</v>
      </c>
      <c r="Q231">
        <f>model_eui_end_uses!Q231*base_scenario_arch_measures!$F231</f>
        <v>0</v>
      </c>
      <c r="R231" s="187">
        <f>model_eui_end_uses!R231*base_building_arch_areas!$N$26</f>
        <v>0</v>
      </c>
      <c r="S231" s="187">
        <f>model_eui_end_uses!S231*base_building_arch_areas!$N$26</f>
        <v>839286.69104523736</v>
      </c>
      <c r="T231" s="187">
        <f>model_eui_end_uses!T231*base_building_arch_areas!$N$26</f>
        <v>574.32134931832854</v>
      </c>
      <c r="U231" s="187">
        <f>model_eui_end_uses!U231*base_building_arch_areas!$N$26</f>
        <v>3265.3061482128064</v>
      </c>
      <c r="V231" s="187">
        <f>model_eui_end_uses!V231*base_building_arch_areas!$N$26</f>
        <v>0</v>
      </c>
      <c r="W231" s="187">
        <f>model_eui_end_uses!W231*base_building_arch_areas!$N$26</f>
        <v>42752.368354539067</v>
      </c>
      <c r="X231" s="187">
        <f>model_eui_end_uses!X231*base_building_arch_areas!$N$26</f>
        <v>6128.4462410061451</v>
      </c>
      <c r="Y231" s="187">
        <f>model_eui_end_uses!Y231*base_building_arch_areas!$N$26</f>
        <v>0</v>
      </c>
      <c r="Z231" s="187">
        <f>model_eui_end_uses!Z231*base_building_arch_areas!$N$26</f>
        <v>47218.528233144745</v>
      </c>
      <c r="AA231" s="187">
        <f>model_eui_end_uses!AA231*base_building_arch_areas!$N$26</f>
        <v>43304.111960395254</v>
      </c>
      <c r="AB231" s="187">
        <f>model_eui_end_uses!AB231*base_building_arch_areas!$N$26</f>
        <v>0</v>
      </c>
      <c r="AC231" s="187">
        <f>model_eui_end_uses!AC231*base_building_arch_areas!$N$26</f>
        <v>982529.77333185368</v>
      </c>
      <c r="AD231" s="187">
        <f>model_eui_end_uses!AD231*base_building_arch_areas!$N$26</f>
        <v>3558.8168132207247</v>
      </c>
      <c r="AE231" s="187">
        <f>model_eui_end_uses!AE231*base_building_arch_areas!$N$26</f>
        <v>-4902.1925492183873</v>
      </c>
      <c r="AF231" s="187">
        <f t="shared" si="35"/>
        <v>-1343.3757359976626</v>
      </c>
      <c r="AG231" s="187">
        <f>model_eui_end_uses!AH231*base_building_arch_areas!$N$26</f>
        <v>57.652832374175738</v>
      </c>
      <c r="AH231" s="187">
        <f>model_eui_end_uses!AI231*base_building_arch_areas!$N$26</f>
        <v>-553.94775806167775</v>
      </c>
      <c r="AI231" s="187">
        <f t="shared" si="36"/>
        <v>-496.29492568750203</v>
      </c>
      <c r="AJ231" s="200">
        <f>sim_annual_output!F231/sim_annual_output!H231*base_building_arch_areas!$N$26</f>
        <v>2213.6355765446679</v>
      </c>
      <c r="AK231">
        <f t="shared" si="37"/>
        <v>-4.4603228080121653</v>
      </c>
    </row>
    <row r="232" spans="1:37">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f>model_eui_end_uses!G232*base_scenario_arch_measures!$F232</f>
        <v>0</v>
      </c>
      <c r="H232">
        <f>model_eui_end_uses!H232*base_scenario_arch_measures!$F232</f>
        <v>9.6041466065938259</v>
      </c>
      <c r="I232">
        <f>model_eui_end_uses!I232*base_scenario_arch_measures!$F232</f>
        <v>6.5720885330382397E-3</v>
      </c>
      <c r="J232">
        <f>model_eui_end_uses!J232*base_scenario_arch_measures!$F232</f>
        <v>3.7365633576045422E-2</v>
      </c>
      <c r="K232">
        <f>model_eui_end_uses!K232*base_scenario_arch_measures!$F232</f>
        <v>0</v>
      </c>
      <c r="L232">
        <f>model_eui_end_uses!L232*base_scenario_arch_measures!$F232</f>
        <v>0.48922497858835273</v>
      </c>
      <c r="M232">
        <f>model_eui_end_uses!M232*base_scenario_arch_measures!$F232</f>
        <v>7.0129190415196746E-2</v>
      </c>
      <c r="N232">
        <f>model_eui_end_uses!N232*base_scenario_arch_measures!$F232</f>
        <v>0</v>
      </c>
      <c r="O232">
        <f>model_eui_end_uses!O232*base_scenario_arch_measures!$F232</f>
        <v>0.54033225182438727</v>
      </c>
      <c r="P232">
        <f>model_eui_end_uses!P232*base_scenario_arch_measures!$F232</f>
        <v>0.49553870491861801</v>
      </c>
      <c r="Q232">
        <f>model_eui_end_uses!Q232*base_scenario_arch_measures!$F232</f>
        <v>0</v>
      </c>
      <c r="R232" s="187">
        <f>model_eui_end_uses!R232*base_building_arch_areas!$N$26</f>
        <v>0</v>
      </c>
      <c r="S232" s="187">
        <f>model_eui_end_uses!S232*base_building_arch_areas!$N$26</f>
        <v>839286.69104523736</v>
      </c>
      <c r="T232" s="187">
        <f>model_eui_end_uses!T232*base_building_arch_areas!$N$26</f>
        <v>574.32134931832854</v>
      </c>
      <c r="U232" s="187">
        <f>model_eui_end_uses!U232*base_building_arch_areas!$N$26</f>
        <v>3265.3061482128064</v>
      </c>
      <c r="V232" s="187">
        <f>model_eui_end_uses!V232*base_building_arch_areas!$N$26</f>
        <v>0</v>
      </c>
      <c r="W232" s="187">
        <f>model_eui_end_uses!W232*base_building_arch_areas!$N$26</f>
        <v>42752.368354539067</v>
      </c>
      <c r="X232" s="187">
        <f>model_eui_end_uses!X232*base_building_arch_areas!$N$26</f>
        <v>6128.4462410061451</v>
      </c>
      <c r="Y232" s="187">
        <f>model_eui_end_uses!Y232*base_building_arch_areas!$N$26</f>
        <v>0</v>
      </c>
      <c r="Z232" s="187">
        <f>model_eui_end_uses!Z232*base_building_arch_areas!$N$26</f>
        <v>47218.528233144745</v>
      </c>
      <c r="AA232" s="187">
        <f>model_eui_end_uses!AA232*base_building_arch_areas!$N$26</f>
        <v>43304.111960395254</v>
      </c>
      <c r="AB232" s="187">
        <f>model_eui_end_uses!AB232*base_building_arch_areas!$N$26</f>
        <v>0</v>
      </c>
      <c r="AC232" s="187">
        <f>model_eui_end_uses!AC232*base_building_arch_areas!$N$26</f>
        <v>982529.77333185368</v>
      </c>
      <c r="AD232" s="187">
        <f>model_eui_end_uses!AD232*base_building_arch_areas!$N$26</f>
        <v>0</v>
      </c>
      <c r="AE232" s="187">
        <f>model_eui_end_uses!AE232*base_building_arch_areas!$N$26</f>
        <v>0</v>
      </c>
      <c r="AF232" s="187">
        <f t="shared" ref="AF232:AF253" si="41">SUM(AD232:AE232)</f>
        <v>0</v>
      </c>
      <c r="AG232" s="187">
        <f>model_eui_end_uses!AH232*base_building_arch_areas!$N$26</f>
        <v>0</v>
      </c>
      <c r="AH232" s="187">
        <f>model_eui_end_uses!AI232*base_building_arch_areas!$N$26</f>
        <v>0</v>
      </c>
      <c r="AI232" s="187">
        <f t="shared" ref="AI232:AI253" si="42">SUM(AG232:AH232)</f>
        <v>0</v>
      </c>
      <c r="AJ232" s="200">
        <f>sim_annual_output!F232/sim_annual_output!H232*base_building_arch_areas!$N$26</f>
        <v>0</v>
      </c>
      <c r="AK232">
        <f t="shared" ref="AK232:AK253" si="43">IF(AI232=0,0,AJ232/AI232)</f>
        <v>0</v>
      </c>
    </row>
    <row r="233" spans="1:37">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f>model_eui_end_uses!G233*base_scenario_arch_measures!$F233</f>
        <v>0</v>
      </c>
      <c r="H233">
        <f>model_eui_end_uses!H233*base_scenario_arch_measures!$F233</f>
        <v>9.579392278040638</v>
      </c>
      <c r="I233">
        <f>model_eui_end_uses!I233*base_scenario_arch_measures!$F233</f>
        <v>7.3148798660106215E-3</v>
      </c>
      <c r="J233">
        <f>model_eui_end_uses!J233*base_scenario_arch_measures!$F233</f>
        <v>3.7365633576045422E-2</v>
      </c>
      <c r="K233">
        <f>model_eui_end_uses!K233*base_scenario_arch_measures!$F233</f>
        <v>0</v>
      </c>
      <c r="L233">
        <f>model_eui_end_uses!L233*base_scenario_arch_measures!$F233</f>
        <v>0.48922497858835273</v>
      </c>
      <c r="M233">
        <f>model_eui_end_uses!M233*base_scenario_arch_measures!$F233</f>
        <v>7.0129190415196746E-2</v>
      </c>
      <c r="N233">
        <f>model_eui_end_uses!N233*base_scenario_arch_measures!$F233</f>
        <v>0</v>
      </c>
      <c r="O233">
        <f>model_eui_end_uses!O233*base_scenario_arch_measures!$F233</f>
        <v>0.5413818482731525</v>
      </c>
      <c r="P233">
        <f>model_eui_end_uses!P233*base_scenario_arch_measures!$F233</f>
        <v>0.49913962811976675</v>
      </c>
      <c r="Q233">
        <f>model_eui_end_uses!Q233*base_scenario_arch_measures!$F233</f>
        <v>0</v>
      </c>
      <c r="R233" s="187">
        <f>model_eui_end_uses!R233*base_building_arch_areas!$N$26</f>
        <v>0</v>
      </c>
      <c r="S233" s="187">
        <f>model_eui_end_uses!S233*base_building_arch_areas!$N$26</f>
        <v>839286.69104523736</v>
      </c>
      <c r="T233" s="187">
        <f>model_eui_end_uses!T233*base_building_arch_areas!$N$26</f>
        <v>574.32134931832854</v>
      </c>
      <c r="U233" s="187">
        <f>model_eui_end_uses!U233*base_building_arch_areas!$N$26</f>
        <v>3265.3061482128064</v>
      </c>
      <c r="V233" s="187">
        <f>model_eui_end_uses!V233*base_building_arch_areas!$N$26</f>
        <v>0</v>
      </c>
      <c r="W233" s="187">
        <f>model_eui_end_uses!W233*base_building_arch_areas!$N$26</f>
        <v>42752.368354539067</v>
      </c>
      <c r="X233" s="187">
        <f>model_eui_end_uses!X233*base_building_arch_areas!$N$26</f>
        <v>6128.4462410061451</v>
      </c>
      <c r="Y233" s="187">
        <f>model_eui_end_uses!Y233*base_building_arch_areas!$N$26</f>
        <v>0</v>
      </c>
      <c r="Z233" s="187">
        <f>model_eui_end_uses!Z233*base_building_arch_areas!$N$26</f>
        <v>47218.528233144745</v>
      </c>
      <c r="AA233" s="187">
        <f>model_eui_end_uses!AA233*base_building_arch_areas!$N$26</f>
        <v>43304.111960395254</v>
      </c>
      <c r="AB233" s="187">
        <f>model_eui_end_uses!AB233*base_building_arch_areas!$N$26</f>
        <v>0</v>
      </c>
      <c r="AC233" s="187">
        <f>model_eui_end_uses!AC233*base_building_arch_areas!$N$26</f>
        <v>982529.77333185368</v>
      </c>
      <c r="AD233" s="187">
        <f>model_eui_end_uses!AD233*base_building_arch_areas!$N$26</f>
        <v>2163.2300454667275</v>
      </c>
      <c r="AE233" s="187">
        <f>model_eui_end_uses!AE233*base_building_arch_areas!$N$26</f>
        <v>-471.3103947723057</v>
      </c>
      <c r="AF233" s="187">
        <f t="shared" si="41"/>
        <v>1691.9196506944218</v>
      </c>
      <c r="AG233" s="187">
        <f>model_eui_end_uses!AH233*base_building_arch_areas!$N$26</f>
        <v>35.044326736560983</v>
      </c>
      <c r="AH233" s="187">
        <f>model_eui_end_uses!AI233*base_building_arch_areas!$N$26</f>
        <v>-53.258074609270544</v>
      </c>
      <c r="AI233" s="187">
        <f t="shared" si="42"/>
        <v>-18.213747872709561</v>
      </c>
      <c r="AJ233" s="200">
        <f>sim_annual_output!F233/sim_annual_output!H233*base_building_arch_areas!$N$26</f>
        <v>41137.844942935859</v>
      </c>
      <c r="AK233">
        <f t="shared" si="43"/>
        <v>-2258.6150434515707</v>
      </c>
    </row>
    <row r="234" spans="1:37">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f>model_eui_end_uses!G234*base_scenario_arch_measures!$F234</f>
        <v>0</v>
      </c>
      <c r="H234">
        <f>model_eui_end_uses!H234*base_scenario_arch_measures!$F234</f>
        <v>6.041073468151354</v>
      </c>
      <c r="I234">
        <f>model_eui_end_uses!I234*base_scenario_arch_measures!$F234</f>
        <v>7.3148798660106215E-3</v>
      </c>
      <c r="J234">
        <f>model_eui_end_uses!J234*base_scenario_arch_measures!$F234</f>
        <v>3.7365633576045422E-2</v>
      </c>
      <c r="K234">
        <f>model_eui_end_uses!K234*base_scenario_arch_measures!$F234</f>
        <v>0</v>
      </c>
      <c r="L234">
        <f>model_eui_end_uses!L234*base_scenario_arch_measures!$F234</f>
        <v>0.48922497858835273</v>
      </c>
      <c r="M234">
        <f>model_eui_end_uses!M234*base_scenario_arch_measures!$F234</f>
        <v>7.0129190415196746E-2</v>
      </c>
      <c r="N234">
        <f>model_eui_end_uses!N234*base_scenario_arch_measures!$F234</f>
        <v>0</v>
      </c>
      <c r="O234">
        <f>model_eui_end_uses!O234*base_scenario_arch_measures!$F234</f>
        <v>0.5413818482731525</v>
      </c>
      <c r="P234">
        <f>model_eui_end_uses!P234*base_scenario_arch_measures!$F234</f>
        <v>0.49913962811976675</v>
      </c>
      <c r="Q234">
        <f>model_eui_end_uses!Q234*base_scenario_arch_measures!$F234</f>
        <v>0</v>
      </c>
      <c r="R234" s="187">
        <f>model_eui_end_uses!R234*base_building_arch_areas!$N$26</f>
        <v>0</v>
      </c>
      <c r="S234" s="187">
        <f>model_eui_end_uses!S234*base_building_arch_areas!$N$26</f>
        <v>839286.69104523736</v>
      </c>
      <c r="T234" s="187">
        <f>model_eui_end_uses!T234*base_building_arch_areas!$N$26</f>
        <v>574.32134931832854</v>
      </c>
      <c r="U234" s="187">
        <f>model_eui_end_uses!U234*base_building_arch_areas!$N$26</f>
        <v>3265.3061482128064</v>
      </c>
      <c r="V234" s="187">
        <f>model_eui_end_uses!V234*base_building_arch_areas!$N$26</f>
        <v>0</v>
      </c>
      <c r="W234" s="187">
        <f>model_eui_end_uses!W234*base_building_arch_areas!$N$26</f>
        <v>42752.368354539067</v>
      </c>
      <c r="X234" s="187">
        <f>model_eui_end_uses!X234*base_building_arch_areas!$N$26</f>
        <v>6128.4462410061451</v>
      </c>
      <c r="Y234" s="187">
        <f>model_eui_end_uses!Y234*base_building_arch_areas!$N$26</f>
        <v>0</v>
      </c>
      <c r="Z234" s="187">
        <f>model_eui_end_uses!Z234*base_building_arch_areas!$N$26</f>
        <v>47218.528233144745</v>
      </c>
      <c r="AA234" s="187">
        <f>model_eui_end_uses!AA234*base_building_arch_areas!$N$26</f>
        <v>43304.111960395254</v>
      </c>
      <c r="AB234" s="187">
        <f>model_eui_end_uses!AB234*base_building_arch_areas!$N$26</f>
        <v>0</v>
      </c>
      <c r="AC234" s="187">
        <f>model_eui_end_uses!AC234*base_building_arch_areas!$N$26</f>
        <v>982529.77333185368</v>
      </c>
      <c r="AD234" s="187">
        <f>model_eui_end_uses!AD234*base_building_arch_areas!$N$26</f>
        <v>311369.66008644988</v>
      </c>
      <c r="AE234" s="187">
        <f>model_eui_end_uses!AE234*base_building_arch_areas!$N$26</f>
        <v>-471.3103947723057</v>
      </c>
      <c r="AF234" s="187">
        <f t="shared" si="41"/>
        <v>310898.34969167755</v>
      </c>
      <c r="AG234" s="187">
        <f>model_eui_end_uses!AH234*base_building_arch_areas!$N$26</f>
        <v>5044.1884934004884</v>
      </c>
      <c r="AH234" s="187">
        <f>model_eui_end_uses!AI234*base_building_arch_areas!$N$26</f>
        <v>-53.258074609270544</v>
      </c>
      <c r="AI234" s="187">
        <f t="shared" si="42"/>
        <v>4990.9304187912176</v>
      </c>
      <c r="AJ234" s="200">
        <f>sim_annual_output!F234/sim_annual_output!H234*base_building_arch_areas!$N$26</f>
        <v>585.04840613931526</v>
      </c>
      <c r="AK234">
        <f t="shared" si="43"/>
        <v>0.11722231268473815</v>
      </c>
    </row>
    <row r="235" spans="1:37">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f>model_eui_end_uses!G235*base_scenario_arch_measures!$F235</f>
        <v>0</v>
      </c>
      <c r="H235">
        <f>model_eui_end_uses!H235*base_scenario_arch_measures!$F235</f>
        <v>9.579392278040638</v>
      </c>
      <c r="I235">
        <f>model_eui_end_uses!I235*base_scenario_arch_measures!$F235</f>
        <v>5.2156869684799791E-3</v>
      </c>
      <c r="J235">
        <f>model_eui_end_uses!J235*base_scenario_arch_measures!$F235</f>
        <v>3.7365633576045422E-2</v>
      </c>
      <c r="K235">
        <f>model_eui_end_uses!K235*base_scenario_arch_measures!$F235</f>
        <v>0</v>
      </c>
      <c r="L235">
        <f>model_eui_end_uses!L235*base_scenario_arch_measures!$F235</f>
        <v>0.48922497858835273</v>
      </c>
      <c r="M235">
        <f>model_eui_end_uses!M235*base_scenario_arch_measures!$F235</f>
        <v>7.0129190415196746E-2</v>
      </c>
      <c r="N235">
        <f>model_eui_end_uses!N235*base_scenario_arch_measures!$F235</f>
        <v>0</v>
      </c>
      <c r="O235">
        <f>model_eui_end_uses!O235*base_scenario_arch_measures!$F235</f>
        <v>0.5413818482731525</v>
      </c>
      <c r="P235">
        <f>model_eui_end_uses!P235*base_scenario_arch_measures!$F235</f>
        <v>0.49913962811976675</v>
      </c>
      <c r="Q235">
        <f>model_eui_end_uses!Q235*base_scenario_arch_measures!$F235</f>
        <v>0</v>
      </c>
      <c r="R235" s="187">
        <f>model_eui_end_uses!R235*base_building_arch_areas!$N$26</f>
        <v>0</v>
      </c>
      <c r="S235" s="187">
        <f>model_eui_end_uses!S235*base_building_arch_areas!$N$26</f>
        <v>839286.69104523736</v>
      </c>
      <c r="T235" s="187">
        <f>model_eui_end_uses!T235*base_building_arch_areas!$N$26</f>
        <v>574.32134931832854</v>
      </c>
      <c r="U235" s="187">
        <f>model_eui_end_uses!U235*base_building_arch_areas!$N$26</f>
        <v>3265.3061482128064</v>
      </c>
      <c r="V235" s="187">
        <f>model_eui_end_uses!V235*base_building_arch_areas!$N$26</f>
        <v>0</v>
      </c>
      <c r="W235" s="187">
        <f>model_eui_end_uses!W235*base_building_arch_areas!$N$26</f>
        <v>42752.368354539067</v>
      </c>
      <c r="X235" s="187">
        <f>model_eui_end_uses!X235*base_building_arch_areas!$N$26</f>
        <v>6128.4462410061451</v>
      </c>
      <c r="Y235" s="187">
        <f>model_eui_end_uses!Y235*base_building_arch_areas!$N$26</f>
        <v>0</v>
      </c>
      <c r="Z235" s="187">
        <f>model_eui_end_uses!Z235*base_building_arch_areas!$N$26</f>
        <v>47218.528233144745</v>
      </c>
      <c r="AA235" s="187">
        <f>model_eui_end_uses!AA235*base_building_arch_areas!$N$26</f>
        <v>43304.111960395254</v>
      </c>
      <c r="AB235" s="187">
        <f>model_eui_end_uses!AB235*base_building_arch_areas!$N$26</f>
        <v>0</v>
      </c>
      <c r="AC235" s="187">
        <f>model_eui_end_uses!AC235*base_building_arch_areas!$N$26</f>
        <v>982529.77333185368</v>
      </c>
      <c r="AD235" s="187">
        <f>model_eui_end_uses!AD235*base_building_arch_areas!$N$26</f>
        <v>2163.2300454667275</v>
      </c>
      <c r="AE235" s="187">
        <f>model_eui_end_uses!AE235*base_building_arch_areas!$N$26</f>
        <v>-287.86622914238069</v>
      </c>
      <c r="AF235" s="187">
        <f t="shared" si="41"/>
        <v>1875.3638163243468</v>
      </c>
      <c r="AG235" s="187">
        <f>model_eui_end_uses!AH235*base_building_arch_areas!$N$26</f>
        <v>35.044326736560983</v>
      </c>
      <c r="AH235" s="187">
        <f>model_eui_end_uses!AI235*base_building_arch_areas!$N$26</f>
        <v>-32.528883893089017</v>
      </c>
      <c r="AI235" s="187">
        <f t="shared" si="42"/>
        <v>2.5154428434719662</v>
      </c>
      <c r="AJ235" s="200">
        <f>sim_annual_output!F235/sim_annual_output!H235*base_building_arch_areas!$N$26</f>
        <v>3110.4667453758366</v>
      </c>
      <c r="AK235">
        <f t="shared" si="43"/>
        <v>1236.5483689872208</v>
      </c>
    </row>
    <row r="236" spans="1:37">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f>model_eui_end_uses!G236*base_scenario_arch_measures!$F236</f>
        <v>0</v>
      </c>
      <c r="H236">
        <f>model_eui_end_uses!H236*base_scenario_arch_measures!$F236</f>
        <v>7.3533758342237983</v>
      </c>
      <c r="I236">
        <f>model_eui_end_uses!I236*base_scenario_arch_measures!$F236</f>
        <v>7.9607853729431258E-3</v>
      </c>
      <c r="J236">
        <f>model_eui_end_uses!J236*base_scenario_arch_measures!$F236</f>
        <v>3.7349485938372118E-2</v>
      </c>
      <c r="K236">
        <f>model_eui_end_uses!K236*base_scenario_arch_measures!$F236</f>
        <v>0</v>
      </c>
      <c r="L236">
        <f>model_eui_end_uses!L236*base_scenario_arch_measures!$F236</f>
        <v>0.48922497858835273</v>
      </c>
      <c r="M236">
        <f>model_eui_end_uses!M236*base_scenario_arch_measures!$F236</f>
        <v>7.0129190415196746E-2</v>
      </c>
      <c r="N236">
        <f>model_eui_end_uses!N236*base_scenario_arch_measures!$F236</f>
        <v>0</v>
      </c>
      <c r="O236">
        <f>model_eui_end_uses!O236*base_scenario_arch_measures!$F236</f>
        <v>0.53810387782547009</v>
      </c>
      <c r="P236">
        <f>model_eui_end_uses!P236*base_scenario_arch_measures!$F236</f>
        <v>0.49912348048209337</v>
      </c>
      <c r="Q236">
        <f>model_eui_end_uses!Q236*base_scenario_arch_measures!$F236</f>
        <v>0</v>
      </c>
      <c r="R236" s="187">
        <f>model_eui_end_uses!R236*base_building_arch_areas!$N$26</f>
        <v>0</v>
      </c>
      <c r="S236" s="187">
        <f>model_eui_end_uses!S236*base_building_arch_areas!$N$26</f>
        <v>839286.69104523736</v>
      </c>
      <c r="T236" s="187">
        <f>model_eui_end_uses!T236*base_building_arch_areas!$N$26</f>
        <v>574.32134931832854</v>
      </c>
      <c r="U236" s="187">
        <f>model_eui_end_uses!U236*base_building_arch_areas!$N$26</f>
        <v>3265.3061482128064</v>
      </c>
      <c r="V236" s="187">
        <f>model_eui_end_uses!V236*base_building_arch_areas!$N$26</f>
        <v>0</v>
      </c>
      <c r="W236" s="187">
        <f>model_eui_end_uses!W236*base_building_arch_areas!$N$26</f>
        <v>42752.368354539067</v>
      </c>
      <c r="X236" s="187">
        <f>model_eui_end_uses!X236*base_building_arch_areas!$N$26</f>
        <v>6128.4462410061451</v>
      </c>
      <c r="Y236" s="187">
        <f>model_eui_end_uses!Y236*base_building_arch_areas!$N$26</f>
        <v>0</v>
      </c>
      <c r="Z236" s="187">
        <f>model_eui_end_uses!Z236*base_building_arch_areas!$N$26</f>
        <v>47218.528233144745</v>
      </c>
      <c r="AA236" s="187">
        <f>model_eui_end_uses!AA236*base_building_arch_areas!$N$26</f>
        <v>43304.111960395254</v>
      </c>
      <c r="AB236" s="187">
        <f>model_eui_end_uses!AB236*base_building_arch_areas!$N$26</f>
        <v>0</v>
      </c>
      <c r="AC236" s="187">
        <f>model_eui_end_uses!AC236*base_building_arch_areas!$N$26</f>
        <v>982529.77333185368</v>
      </c>
      <c r="AD236" s="187">
        <f>model_eui_end_uses!AD236*base_building_arch_areas!$N$26</f>
        <v>196690.24549738044</v>
      </c>
      <c r="AE236" s="187">
        <f>model_eui_end_uses!AE236*base_building_arch_areas!$N$26</f>
        <v>-238.47741531891961</v>
      </c>
      <c r="AF236" s="187">
        <f t="shared" si="41"/>
        <v>196451.76808206152</v>
      </c>
      <c r="AG236" s="187">
        <f>model_eui_end_uses!AH236*base_building_arch_areas!$N$26</f>
        <v>3186.3819770575628</v>
      </c>
      <c r="AH236" s="187">
        <f>model_eui_end_uses!AI236*base_building_arch_areas!$N$26</f>
        <v>-26.947947931037916</v>
      </c>
      <c r="AI236" s="187">
        <f t="shared" si="42"/>
        <v>3159.4340291265248</v>
      </c>
      <c r="AJ236" s="200">
        <f>sim_annual_output!F236/sim_annual_output!H236*base_building_arch_areas!$N$26</f>
        <v>5763.0413223140495</v>
      </c>
      <c r="AK236">
        <f t="shared" si="43"/>
        <v>1.8240739541275792</v>
      </c>
    </row>
    <row r="237" spans="1:37">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f>model_eui_end_uses!G237*base_scenario_arch_measures!$F237</f>
        <v>0</v>
      </c>
      <c r="H237">
        <f>model_eui_end_uses!H237*base_scenario_arch_measures!$F237</f>
        <v>9.5860935476750626</v>
      </c>
      <c r="I237">
        <f>model_eui_end_uses!I237*base_scenario_arch_measures!$F237</f>
        <v>1.1206460545278966E-2</v>
      </c>
      <c r="J237">
        <f>model_eui_end_uses!J237*base_scenario_arch_measures!$F237</f>
        <v>3.7365633576045422E-2</v>
      </c>
      <c r="K237">
        <f>model_eui_end_uses!K237*base_scenario_arch_measures!$F237</f>
        <v>0</v>
      </c>
      <c r="L237">
        <f>model_eui_end_uses!L237*base_scenario_arch_measures!$F237</f>
        <v>0.48922497858835273</v>
      </c>
      <c r="M237">
        <f>model_eui_end_uses!M237*base_scenario_arch_measures!$F237</f>
        <v>7.0129190415196746E-2</v>
      </c>
      <c r="N237">
        <f>model_eui_end_uses!N237*base_scenario_arch_measures!$F237</f>
        <v>0</v>
      </c>
      <c r="O237">
        <f>model_eui_end_uses!O237*base_scenario_arch_measures!$F237</f>
        <v>0.54105889551968633</v>
      </c>
      <c r="P237">
        <f>model_eui_end_uses!P237*base_scenario_arch_measures!$F237</f>
        <v>0.49913962811976675</v>
      </c>
      <c r="Q237">
        <f>model_eui_end_uses!Q237*base_scenario_arch_measures!$F237</f>
        <v>0</v>
      </c>
      <c r="R237" s="187">
        <f>model_eui_end_uses!R237*base_building_arch_areas!$N$26</f>
        <v>0</v>
      </c>
      <c r="S237" s="187">
        <f>model_eui_end_uses!S237*base_building_arch_areas!$N$26</f>
        <v>839286.69104523736</v>
      </c>
      <c r="T237" s="187">
        <f>model_eui_end_uses!T237*base_building_arch_areas!$N$26</f>
        <v>574.32134931832854</v>
      </c>
      <c r="U237" s="187">
        <f>model_eui_end_uses!U237*base_building_arch_areas!$N$26</f>
        <v>3265.3061482128064</v>
      </c>
      <c r="V237" s="187">
        <f>model_eui_end_uses!V237*base_building_arch_areas!$N$26</f>
        <v>0</v>
      </c>
      <c r="W237" s="187">
        <f>model_eui_end_uses!W237*base_building_arch_areas!$N$26</f>
        <v>42752.368354539067</v>
      </c>
      <c r="X237" s="187">
        <f>model_eui_end_uses!X237*base_building_arch_areas!$N$26</f>
        <v>6128.4462410061451</v>
      </c>
      <c r="Y237" s="187">
        <f>model_eui_end_uses!Y237*base_building_arch_areas!$N$26</f>
        <v>0</v>
      </c>
      <c r="Z237" s="187">
        <f>model_eui_end_uses!Z237*base_building_arch_areas!$N$26</f>
        <v>47218.528233144745</v>
      </c>
      <c r="AA237" s="187">
        <f>model_eui_end_uses!AA237*base_building_arch_areas!$N$26</f>
        <v>43304.111960395254</v>
      </c>
      <c r="AB237" s="187">
        <f>model_eui_end_uses!AB237*base_building_arch_areas!$N$26</f>
        <v>0</v>
      </c>
      <c r="AC237" s="187">
        <f>model_eui_end_uses!AC237*base_building_arch_areas!$N$26</f>
        <v>982529.77333185368</v>
      </c>
      <c r="AD237" s="187">
        <f>model_eui_end_uses!AD237*base_building_arch_areas!$N$26</f>
        <v>1577.6198244173465</v>
      </c>
      <c r="AE237" s="187">
        <f>model_eui_end_uses!AE237*base_building_arch_areas!$N$26</f>
        <v>-783.16547634318249</v>
      </c>
      <c r="AF237" s="187">
        <f t="shared" si="41"/>
        <v>794.45434807416405</v>
      </c>
      <c r="AG237" s="187">
        <f>model_eui_end_uses!AH237*base_building_arch_areas!$N$26</f>
        <v>25.557441155561012</v>
      </c>
      <c r="AH237" s="187">
        <f>model_eui_end_uses!AI237*base_building_arch_areas!$N$26</f>
        <v>-88.497698826779612</v>
      </c>
      <c r="AI237" s="187">
        <f t="shared" si="42"/>
        <v>-62.940257671218603</v>
      </c>
      <c r="AJ237" s="200">
        <f>sim_annual_output!F237/sim_annual_output!H237*base_building_arch_areas!$N$26</f>
        <v>2213.6355765446679</v>
      </c>
      <c r="AK237">
        <f t="shared" si="43"/>
        <v>-35.170424438171977</v>
      </c>
    </row>
    <row r="238" spans="1:37">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f>model_eui_end_uses!G238*base_scenario_arch_measures!$F238</f>
        <v>0</v>
      </c>
      <c r="H238">
        <f>model_eui_end_uses!H238*base_scenario_arch_measures!$F238</f>
        <v>9.5810554847209897</v>
      </c>
      <c r="I238">
        <f>model_eui_end_uses!I238*base_scenario_arch_measures!$F238</f>
        <v>5.5224920842729197E-3</v>
      </c>
      <c r="J238">
        <f>model_eui_end_uses!J238*base_scenario_arch_measures!$F238</f>
        <v>3.7365633576045422E-2</v>
      </c>
      <c r="K238">
        <f>model_eui_end_uses!K238*base_scenario_arch_measures!$F238</f>
        <v>0</v>
      </c>
      <c r="L238">
        <f>model_eui_end_uses!L238*base_scenario_arch_measures!$F238</f>
        <v>0.48922497858835273</v>
      </c>
      <c r="M238">
        <f>model_eui_end_uses!M238*base_scenario_arch_measures!$F238</f>
        <v>7.0129190415196746E-2</v>
      </c>
      <c r="N238">
        <f>model_eui_end_uses!N238*base_scenario_arch_measures!$F238</f>
        <v>0</v>
      </c>
      <c r="O238">
        <f>model_eui_end_uses!O238*base_scenario_arch_measures!$F238</f>
        <v>0.54141414354849915</v>
      </c>
      <c r="P238">
        <f>model_eui_end_uses!P238*base_scenario_arch_measures!$F238</f>
        <v>0.49913962811976675</v>
      </c>
      <c r="Q238">
        <f>model_eui_end_uses!Q238*base_scenario_arch_measures!$F238</f>
        <v>0</v>
      </c>
      <c r="R238" s="187">
        <f>model_eui_end_uses!R238*base_building_arch_areas!$N$26</f>
        <v>0</v>
      </c>
      <c r="S238" s="187">
        <f>model_eui_end_uses!S238*base_building_arch_areas!$N$26</f>
        <v>839286.69104523736</v>
      </c>
      <c r="T238" s="187">
        <f>model_eui_end_uses!T238*base_building_arch_areas!$N$26</f>
        <v>574.32134931832854</v>
      </c>
      <c r="U238" s="187">
        <f>model_eui_end_uses!U238*base_building_arch_areas!$N$26</f>
        <v>3265.3061482128064</v>
      </c>
      <c r="V238" s="187">
        <f>model_eui_end_uses!V238*base_building_arch_areas!$N$26</f>
        <v>0</v>
      </c>
      <c r="W238" s="187">
        <f>model_eui_end_uses!W238*base_building_arch_areas!$N$26</f>
        <v>42752.368354539067</v>
      </c>
      <c r="X238" s="187">
        <f>model_eui_end_uses!X238*base_building_arch_areas!$N$26</f>
        <v>6128.4462410061451</v>
      </c>
      <c r="Y238" s="187">
        <f>model_eui_end_uses!Y238*base_building_arch_areas!$N$26</f>
        <v>0</v>
      </c>
      <c r="Z238" s="187">
        <f>model_eui_end_uses!Z238*base_building_arch_areas!$N$26</f>
        <v>47218.528233144745</v>
      </c>
      <c r="AA238" s="187">
        <f>model_eui_end_uses!AA238*base_building_arch_areas!$N$26</f>
        <v>43304.111960395254</v>
      </c>
      <c r="AB238" s="187">
        <f>model_eui_end_uses!AB238*base_building_arch_areas!$N$26</f>
        <v>0</v>
      </c>
      <c r="AC238" s="187">
        <f>model_eui_end_uses!AC238*base_building_arch_areas!$N$26</f>
        <v>982529.77333185368</v>
      </c>
      <c r="AD238" s="187">
        <f>model_eui_end_uses!AD238*base_building_arch_areas!$N$26</f>
        <v>2017.8858219291324</v>
      </c>
      <c r="AE238" s="187">
        <f>model_eui_end_uses!AE238*base_building_arch_areas!$N$26</f>
        <v>-317.49951743643169</v>
      </c>
      <c r="AF238" s="187">
        <f t="shared" si="41"/>
        <v>1700.3863044927007</v>
      </c>
      <c r="AG238" s="187">
        <f>model_eui_end_uses!AH238*base_building_arch_areas!$N$26</f>
        <v>32.689750315251942</v>
      </c>
      <c r="AH238" s="187">
        <f>model_eui_end_uses!AI238*base_building_arch_areas!$N$26</f>
        <v>-35.877445470316779</v>
      </c>
      <c r="AI238" s="187">
        <f t="shared" si="42"/>
        <v>-3.1876951550648371</v>
      </c>
      <c r="AJ238" s="200">
        <f>sim_annual_output!F238/sim_annual_output!H238*base_building_arch_areas!$N$26</f>
        <v>738.49350649350652</v>
      </c>
      <c r="AK238">
        <f t="shared" si="43"/>
        <v>-231.67005330485742</v>
      </c>
    </row>
    <row r="239" spans="1:37">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f>model_eui_end_uses!G239*base_scenario_arch_measures!$F239</f>
        <v>0</v>
      </c>
      <c r="H239">
        <f>model_eui_end_uses!H239*base_scenario_arch_measures!$F239</f>
        <v>7.5357956970192115</v>
      </c>
      <c r="I239">
        <f>model_eui_end_uses!I239*base_scenario_arch_measures!$F239</f>
        <v>6.7658601851179924E-3</v>
      </c>
      <c r="J239">
        <f>model_eui_end_uses!J239*base_scenario_arch_measures!$F239</f>
        <v>3.7349485938372118E-2</v>
      </c>
      <c r="K239">
        <f>model_eui_end_uses!K239*base_scenario_arch_measures!$F239</f>
        <v>0</v>
      </c>
      <c r="L239">
        <f>model_eui_end_uses!L239*base_scenario_arch_measures!$F239</f>
        <v>0.34245909977561423</v>
      </c>
      <c r="M239">
        <f>model_eui_end_uses!M239*base_scenario_arch_measures!$F239</f>
        <v>7.0129190415196746E-2</v>
      </c>
      <c r="N239">
        <f>model_eui_end_uses!N239*base_scenario_arch_measures!$F239</f>
        <v>0</v>
      </c>
      <c r="O239">
        <f>model_eui_end_uses!O239*base_scenario_arch_measures!$F239</f>
        <v>0.51643374806788445</v>
      </c>
      <c r="P239">
        <f>model_eui_end_uses!P239*base_scenario_arch_measures!$F239</f>
        <v>0.38914192028916106</v>
      </c>
      <c r="Q239">
        <f>model_eui_end_uses!Q239*base_scenario_arch_measures!$F239</f>
        <v>0</v>
      </c>
      <c r="R239" s="187">
        <f>model_eui_end_uses!R239*base_building_arch_areas!$N$26</f>
        <v>0</v>
      </c>
      <c r="S239" s="187">
        <f>model_eui_end_uses!S239*base_building_arch_areas!$N$26</f>
        <v>839286.69104523736</v>
      </c>
      <c r="T239" s="187">
        <f>model_eui_end_uses!T239*base_building_arch_areas!$N$26</f>
        <v>574.32134931832854</v>
      </c>
      <c r="U239" s="187">
        <f>model_eui_end_uses!U239*base_building_arch_areas!$N$26</f>
        <v>3265.3061482128064</v>
      </c>
      <c r="V239" s="187">
        <f>model_eui_end_uses!V239*base_building_arch_areas!$N$26</f>
        <v>0</v>
      </c>
      <c r="W239" s="187">
        <f>model_eui_end_uses!W239*base_building_arch_areas!$N$26</f>
        <v>42752.368354539067</v>
      </c>
      <c r="X239" s="187">
        <f>model_eui_end_uses!X239*base_building_arch_areas!$N$26</f>
        <v>6128.4462410061451</v>
      </c>
      <c r="Y239" s="187">
        <f>model_eui_end_uses!Y239*base_building_arch_areas!$N$26</f>
        <v>0</v>
      </c>
      <c r="Z239" s="187">
        <f>model_eui_end_uses!Z239*base_building_arch_areas!$N$26</f>
        <v>47218.528233144745</v>
      </c>
      <c r="AA239" s="187">
        <f>model_eui_end_uses!AA239*base_building_arch_areas!$N$26</f>
        <v>43304.111960395254</v>
      </c>
      <c r="AB239" s="187">
        <f>model_eui_end_uses!AB239*base_building_arch_areas!$N$26</f>
        <v>0</v>
      </c>
      <c r="AC239" s="187">
        <f>model_eui_end_uses!AC239*base_building_arch_areas!$N$26</f>
        <v>982529.77333185368</v>
      </c>
      <c r="AD239" s="187">
        <f>model_eui_end_uses!AD239*base_building_arch_areas!$N$26</f>
        <v>180748.9475041393</v>
      </c>
      <c r="AE239" s="187">
        <f>model_eui_end_uses!AE239*base_building_arch_areas!$N$26</f>
        <v>24196.285446588143</v>
      </c>
      <c r="AF239" s="187">
        <f t="shared" si="41"/>
        <v>204945.23295072746</v>
      </c>
      <c r="AG239" s="187">
        <f>model_eui_end_uses!AH239*base_building_arch_areas!$N$26</f>
        <v>2928.1329495670566</v>
      </c>
      <c r="AH239" s="187">
        <f>model_eui_end_uses!AI239*base_building_arch_areas!$N$26</f>
        <v>2734.1802554644601</v>
      </c>
      <c r="AI239" s="187">
        <f t="shared" si="42"/>
        <v>5662.3132050315162</v>
      </c>
      <c r="AJ239" s="200">
        <f>sim_annual_output!F239/sim_annual_output!H239*base_building_arch_areas!$N$26</f>
        <v>40137.703266430544</v>
      </c>
      <c r="AK239">
        <f t="shared" si="43"/>
        <v>7.0885699559615123</v>
      </c>
    </row>
    <row r="240" spans="1:37">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f>model_eui_end_uses!G240*base_scenario_arch_measures!$F240</f>
        <v>0</v>
      </c>
      <c r="H240">
        <f>model_eui_end_uses!H240*base_scenario_arch_measures!$F240</f>
        <v>9.0581788292214522</v>
      </c>
      <c r="I240">
        <f>model_eui_end_uses!I240*base_scenario_arch_measures!$F240</f>
        <v>7.2502893153173721E-3</v>
      </c>
      <c r="J240">
        <f>model_eui_end_uses!J240*base_scenario_arch_measures!$F240</f>
        <v>3.7365633576045422E-2</v>
      </c>
      <c r="K240">
        <f>model_eui_end_uses!K240*base_scenario_arch_measures!$F240</f>
        <v>0</v>
      </c>
      <c r="L240">
        <f>model_eui_end_uses!L240*base_scenario_arch_measures!$F240</f>
        <v>0.48922497858835273</v>
      </c>
      <c r="M240">
        <f>model_eui_end_uses!M240*base_scenario_arch_measures!$F240</f>
        <v>7.0129190415196746E-2</v>
      </c>
      <c r="N240">
        <f>model_eui_end_uses!N240*base_scenario_arch_measures!$F240</f>
        <v>0</v>
      </c>
      <c r="O240">
        <f>model_eui_end_uses!O240*base_scenario_arch_measures!$F240</f>
        <v>0.50895739182514077</v>
      </c>
      <c r="P240">
        <f>model_eui_end_uses!P240*base_scenario_arch_measures!$F240</f>
        <v>0.46823304961304635</v>
      </c>
      <c r="Q240">
        <f>model_eui_end_uses!Q240*base_scenario_arch_measures!$F240</f>
        <v>0</v>
      </c>
      <c r="R240" s="187">
        <f>model_eui_end_uses!R240*base_building_arch_areas!$N$26</f>
        <v>0</v>
      </c>
      <c r="S240" s="187">
        <f>model_eui_end_uses!S240*base_building_arch_areas!$N$26</f>
        <v>839286.69104523736</v>
      </c>
      <c r="T240" s="187">
        <f>model_eui_end_uses!T240*base_building_arch_areas!$N$26</f>
        <v>574.32134931832854</v>
      </c>
      <c r="U240" s="187">
        <f>model_eui_end_uses!U240*base_building_arch_areas!$N$26</f>
        <v>3265.3061482128064</v>
      </c>
      <c r="V240" s="187">
        <f>model_eui_end_uses!V240*base_building_arch_areas!$N$26</f>
        <v>0</v>
      </c>
      <c r="W240" s="187">
        <f>model_eui_end_uses!W240*base_building_arch_areas!$N$26</f>
        <v>42752.368354539067</v>
      </c>
      <c r="X240" s="187">
        <f>model_eui_end_uses!X240*base_building_arch_areas!$N$26</f>
        <v>6128.4462410061451</v>
      </c>
      <c r="Y240" s="187">
        <f>model_eui_end_uses!Y240*base_building_arch_areas!$N$26</f>
        <v>0</v>
      </c>
      <c r="Z240" s="187">
        <f>model_eui_end_uses!Z240*base_building_arch_areas!$N$26</f>
        <v>47218.528233144745</v>
      </c>
      <c r="AA240" s="187">
        <f>model_eui_end_uses!AA240*base_building_arch_areas!$N$26</f>
        <v>43304.111960395254</v>
      </c>
      <c r="AB240" s="187">
        <f>model_eui_end_uses!AB240*base_building_arch_areas!$N$26</f>
        <v>0</v>
      </c>
      <c r="AC240" s="187">
        <f>model_eui_end_uses!AC240*base_building_arch_areas!$N$26</f>
        <v>982529.77333185368</v>
      </c>
      <c r="AD240" s="187">
        <f>model_eui_end_uses!AD240*base_building_arch_areas!$N$26</f>
        <v>47711.005262412793</v>
      </c>
      <c r="AE240" s="187">
        <f>model_eui_end_uses!AE240*base_building_arch_areas!$N$26</f>
        <v>5068.7034072516908</v>
      </c>
      <c r="AF240" s="187">
        <f t="shared" si="41"/>
        <v>52779.708669664484</v>
      </c>
      <c r="AG240" s="187">
        <f>model_eui_end_uses!AH240*base_building_arch_areas!$N$26</f>
        <v>772.91828525108724</v>
      </c>
      <c r="AH240" s="187">
        <f>model_eui_end_uses!AI240*base_building_arch_areas!$N$26</f>
        <v>572.76348501944108</v>
      </c>
      <c r="AI240" s="187">
        <f t="shared" si="42"/>
        <v>1345.6817702705284</v>
      </c>
      <c r="AJ240" s="200">
        <f>sim_annual_output!F240/sim_annual_output!H240*base_building_arch_areas!$N$26</f>
        <v>162439.22235340416</v>
      </c>
      <c r="AK240">
        <f t="shared" si="43"/>
        <v>120.71146829963244</v>
      </c>
    </row>
    <row r="241" spans="1:37">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f>model_eui_end_uses!G241*base_scenario_arch_measures!$F241</f>
        <v>0</v>
      </c>
      <c r="H241">
        <f>model_eui_end_uses!H241*base_scenario_arch_measures!$F241</f>
        <v>8.5080772566047127</v>
      </c>
      <c r="I241">
        <f>model_eui_end_uses!I241*base_scenario_arch_measures!$F241</f>
        <v>7.379470416703871E-3</v>
      </c>
      <c r="J241">
        <f>model_eui_end_uses!J241*base_scenario_arch_measures!$F241</f>
        <v>3.7365633576045422E-2</v>
      </c>
      <c r="K241">
        <f>model_eui_end_uses!K241*base_scenario_arch_measures!$F241</f>
        <v>0</v>
      </c>
      <c r="L241">
        <f>model_eui_end_uses!L241*base_scenario_arch_measures!$F241</f>
        <v>0.48922497858835273</v>
      </c>
      <c r="M241">
        <f>model_eui_end_uses!M241*base_scenario_arch_measures!$F241</f>
        <v>7.0129190415196746E-2</v>
      </c>
      <c r="N241">
        <f>model_eui_end_uses!N241*base_scenario_arch_measures!$F241</f>
        <v>0</v>
      </c>
      <c r="O241">
        <f>model_eui_end_uses!O241*base_scenario_arch_measures!$F241</f>
        <v>0.48011771094060446</v>
      </c>
      <c r="P241">
        <f>model_eui_end_uses!P241*base_scenario_arch_measures!$F241</f>
        <v>0.43779475259885198</v>
      </c>
      <c r="Q241">
        <f>model_eui_end_uses!Q241*base_scenario_arch_measures!$F241</f>
        <v>0</v>
      </c>
      <c r="R241" s="187">
        <f>model_eui_end_uses!R241*base_building_arch_areas!$N$26</f>
        <v>0</v>
      </c>
      <c r="S241" s="187">
        <f>model_eui_end_uses!S241*base_building_arch_areas!$N$26</f>
        <v>839286.69104523736</v>
      </c>
      <c r="T241" s="187">
        <f>model_eui_end_uses!T241*base_building_arch_areas!$N$26</f>
        <v>574.32134931832854</v>
      </c>
      <c r="U241" s="187">
        <f>model_eui_end_uses!U241*base_building_arch_areas!$N$26</f>
        <v>3265.3061482128064</v>
      </c>
      <c r="V241" s="187">
        <f>model_eui_end_uses!V241*base_building_arch_areas!$N$26</f>
        <v>0</v>
      </c>
      <c r="W241" s="187">
        <f>model_eui_end_uses!W241*base_building_arch_areas!$N$26</f>
        <v>42752.368354539067</v>
      </c>
      <c r="X241" s="187">
        <f>model_eui_end_uses!X241*base_building_arch_areas!$N$26</f>
        <v>6128.4462410061451</v>
      </c>
      <c r="Y241" s="187">
        <f>model_eui_end_uses!Y241*base_building_arch_areas!$N$26</f>
        <v>0</v>
      </c>
      <c r="Z241" s="187">
        <f>model_eui_end_uses!Z241*base_building_arch_areas!$N$26</f>
        <v>47218.528233144745</v>
      </c>
      <c r="AA241" s="187">
        <f>model_eui_end_uses!AA241*base_building_arch_areas!$N$26</f>
        <v>43304.111960395254</v>
      </c>
      <c r="AB241" s="187">
        <f>model_eui_end_uses!AB241*base_building_arch_areas!$N$26</f>
        <v>0</v>
      </c>
      <c r="AC241" s="187">
        <f>model_eui_end_uses!AC241*base_building_arch_areas!$N$26</f>
        <v>982529.77333185368</v>
      </c>
      <c r="AD241" s="187">
        <f>model_eui_end_uses!AD241*base_building_arch_areas!$N$26</f>
        <v>95783.254420219819</v>
      </c>
      <c r="AE241" s="187">
        <f>model_eui_end_uses!AE241*base_building_arch_areas!$N$26</f>
        <v>10237.595551116621</v>
      </c>
      <c r="AF241" s="187">
        <f t="shared" si="41"/>
        <v>106020.84997133644</v>
      </c>
      <c r="AG241" s="187">
        <f>model_eui_end_uses!AH241*base_building_arch_areas!$N$26</f>
        <v>1551.6887216075609</v>
      </c>
      <c r="AH241" s="187">
        <f>model_eui_end_uses!AI241*base_building_arch_areas!$N$26</f>
        <v>1156.8482972761783</v>
      </c>
      <c r="AI241" s="187">
        <f t="shared" si="42"/>
        <v>2708.5370188837392</v>
      </c>
      <c r="AJ241" s="200">
        <f>sim_annual_output!F241/sim_annual_output!H241*base_building_arch_areas!$N$26</f>
        <v>315369.14915387641</v>
      </c>
      <c r="AK241">
        <f t="shared" si="43"/>
        <v>116.43523679209247</v>
      </c>
    </row>
    <row r="242" spans="1:37">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f>model_eui_end_uses!G242*base_scenario_arch_measures!$F242</f>
        <v>0</v>
      </c>
      <c r="H242">
        <f>model_eui_end_uses!H242*base_scenario_arch_measures!$F242</f>
        <v>9.5105387510016328</v>
      </c>
      <c r="I242">
        <f>model_eui_end_uses!I242*base_scenario_arch_measures!$F242</f>
        <v>7.7508660831900628E-3</v>
      </c>
      <c r="J242">
        <f>model_eui_end_uses!J242*base_scenario_arch_measures!$F242</f>
        <v>3.7365633576045422E-2</v>
      </c>
      <c r="K242">
        <f>model_eui_end_uses!K242*base_scenario_arch_measures!$F242</f>
        <v>0</v>
      </c>
      <c r="L242">
        <f>model_eui_end_uses!L242*base_scenario_arch_measures!$F242</f>
        <v>0.48922497858835273</v>
      </c>
      <c r="M242">
        <f>model_eui_end_uses!M242*base_scenario_arch_measures!$F242</f>
        <v>7.0129190415196746E-2</v>
      </c>
      <c r="N242">
        <f>model_eui_end_uses!N242*base_scenario_arch_measures!$F242</f>
        <v>0</v>
      </c>
      <c r="O242">
        <f>model_eui_end_uses!O242*base_scenario_arch_measures!$F242</f>
        <v>0.5401869230853269</v>
      </c>
      <c r="P242">
        <f>model_eui_end_uses!P242*base_scenario_arch_measures!$F242</f>
        <v>0.49708887813525604</v>
      </c>
      <c r="Q242">
        <f>model_eui_end_uses!Q242*base_scenario_arch_measures!$F242</f>
        <v>0</v>
      </c>
      <c r="R242" s="187">
        <f>model_eui_end_uses!R242*base_building_arch_areas!$N$26</f>
        <v>0</v>
      </c>
      <c r="S242" s="187">
        <f>model_eui_end_uses!S242*base_building_arch_areas!$N$26</f>
        <v>839286.69104523736</v>
      </c>
      <c r="T242" s="187">
        <f>model_eui_end_uses!T242*base_building_arch_areas!$N$26</f>
        <v>574.32134931832854</v>
      </c>
      <c r="U242" s="187">
        <f>model_eui_end_uses!U242*base_building_arch_areas!$N$26</f>
        <v>3265.3061482128064</v>
      </c>
      <c r="V242" s="187">
        <f>model_eui_end_uses!V242*base_building_arch_areas!$N$26</f>
        <v>0</v>
      </c>
      <c r="W242" s="187">
        <f>model_eui_end_uses!W242*base_building_arch_areas!$N$26</f>
        <v>42752.368354539067</v>
      </c>
      <c r="X242" s="187">
        <f>model_eui_end_uses!X242*base_building_arch_areas!$N$26</f>
        <v>6128.4462410061451</v>
      </c>
      <c r="Y242" s="187">
        <f>model_eui_end_uses!Y242*base_building_arch_areas!$N$26</f>
        <v>0</v>
      </c>
      <c r="Z242" s="187">
        <f>model_eui_end_uses!Z242*base_building_arch_areas!$N$26</f>
        <v>47218.528233144745</v>
      </c>
      <c r="AA242" s="187">
        <f>model_eui_end_uses!AA242*base_building_arch_areas!$N$26</f>
        <v>43304.111960395254</v>
      </c>
      <c r="AB242" s="187">
        <f>model_eui_end_uses!AB242*base_building_arch_areas!$N$26</f>
        <v>0</v>
      </c>
      <c r="AC242" s="187">
        <f>model_eui_end_uses!AC242*base_building_arch_areas!$N$26</f>
        <v>982529.77333185368</v>
      </c>
      <c r="AD242" s="187">
        <f>model_eui_end_uses!AD242*base_building_arch_areas!$N$26</f>
        <v>8180.1986781285414</v>
      </c>
      <c r="AE242" s="187">
        <f>model_eui_end_uses!AE242*base_building_arch_areas!$N$26</f>
        <v>-225.77743462140506</v>
      </c>
      <c r="AF242" s="187">
        <f t="shared" si="41"/>
        <v>7954.4212435071368</v>
      </c>
      <c r="AG242" s="187">
        <f>model_eui_end_uses!AH242*base_building_arch_areas!$N$26</f>
        <v>132.51921858568235</v>
      </c>
      <c r="AH242" s="187">
        <f>model_eui_end_uses!AI242*base_building_arch_areas!$N$26</f>
        <v>-25.512850112218771</v>
      </c>
      <c r="AI242" s="187">
        <f t="shared" si="42"/>
        <v>107.00636847346358</v>
      </c>
      <c r="AJ242" s="200">
        <f>sim_annual_output!F242/sim_annual_output!H242*base_building_arch_areas!$N$26</f>
        <v>45779.085399449039</v>
      </c>
      <c r="AK242">
        <f t="shared" si="43"/>
        <v>427.81645665137916</v>
      </c>
    </row>
    <row r="243" spans="1:37">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f>model_eui_end_uses!G243*base_scenario_arch_measures!$F243</f>
        <v>0</v>
      </c>
      <c r="H243">
        <f>model_eui_end_uses!H243*base_scenario_arch_measures!$F243</f>
        <v>9.5681212269446672</v>
      </c>
      <c r="I243">
        <f>model_eui_end_uses!I243*base_scenario_arch_measures!$F243</f>
        <v>7.3148798660106215E-3</v>
      </c>
      <c r="J243">
        <f>model_eui_end_uses!J243*base_scenario_arch_measures!$F243</f>
        <v>3.7365633576045422E-2</v>
      </c>
      <c r="K243">
        <f>model_eui_end_uses!K243*base_scenario_arch_measures!$F243</f>
        <v>0</v>
      </c>
      <c r="L243">
        <f>model_eui_end_uses!L243*base_scenario_arch_measures!$F243</f>
        <v>0.48922497858835273</v>
      </c>
      <c r="M243">
        <f>model_eui_end_uses!M243*base_scenario_arch_measures!$F243</f>
        <v>7.0129190415196746E-2</v>
      </c>
      <c r="N243">
        <f>model_eui_end_uses!N243*base_scenario_arch_measures!$F243</f>
        <v>0</v>
      </c>
      <c r="O243">
        <f>model_eui_end_uses!O243*base_scenario_arch_measures!$F243</f>
        <v>0.52649372633835834</v>
      </c>
      <c r="P243">
        <f>model_eui_end_uses!P243*base_scenario_arch_measures!$F243</f>
        <v>0.49913962811976675</v>
      </c>
      <c r="Q243">
        <f>model_eui_end_uses!Q243*base_scenario_arch_measures!$F243</f>
        <v>0</v>
      </c>
      <c r="R243" s="187">
        <f>model_eui_end_uses!R243*base_building_arch_areas!$N$26</f>
        <v>0</v>
      </c>
      <c r="S243" s="187">
        <f>model_eui_end_uses!S243*base_building_arch_areas!$N$26</f>
        <v>839286.69104523736</v>
      </c>
      <c r="T243" s="187">
        <f>model_eui_end_uses!T243*base_building_arch_areas!$N$26</f>
        <v>574.32134931832854</v>
      </c>
      <c r="U243" s="187">
        <f>model_eui_end_uses!U243*base_building_arch_areas!$N$26</f>
        <v>3265.3061482128064</v>
      </c>
      <c r="V243" s="187">
        <f>model_eui_end_uses!V243*base_building_arch_areas!$N$26</f>
        <v>0</v>
      </c>
      <c r="W243" s="187">
        <f>model_eui_end_uses!W243*base_building_arch_areas!$N$26</f>
        <v>42752.368354539067</v>
      </c>
      <c r="X243" s="187">
        <f>model_eui_end_uses!X243*base_building_arch_areas!$N$26</f>
        <v>6128.4462410061451</v>
      </c>
      <c r="Y243" s="187">
        <f>model_eui_end_uses!Y243*base_building_arch_areas!$N$26</f>
        <v>0</v>
      </c>
      <c r="Z243" s="187">
        <f>model_eui_end_uses!Z243*base_building_arch_areas!$N$26</f>
        <v>47218.528233144745</v>
      </c>
      <c r="AA243" s="187">
        <f>model_eui_end_uses!AA243*base_building_arch_areas!$N$26</f>
        <v>43304.111960395254</v>
      </c>
      <c r="AB243" s="187">
        <f>model_eui_end_uses!AB243*base_building_arch_areas!$N$26</f>
        <v>0</v>
      </c>
      <c r="AC243" s="187">
        <f>model_eui_end_uses!AC243*base_building_arch_areas!$N$26</f>
        <v>982529.77333185368</v>
      </c>
      <c r="AD243" s="187">
        <f>model_eui_end_uses!AD243*base_building_arch_areas!$N$26</f>
        <v>3148.1841040027975</v>
      </c>
      <c r="AE243" s="187">
        <f>model_eui_end_uses!AE243*base_building_arch_areas!$N$26</f>
        <v>829.73207223383406</v>
      </c>
      <c r="AF243" s="187">
        <f t="shared" si="41"/>
        <v>3977.9161762366316</v>
      </c>
      <c r="AG243" s="187">
        <f>model_eui_end_uses!AH243*base_building_arch_areas!$N$26</f>
        <v>51.000582484845317</v>
      </c>
      <c r="AH243" s="187">
        <f>model_eui_end_uses!AI243*base_building_arch_areas!$N$26</f>
        <v>93.759724162423254</v>
      </c>
      <c r="AI243" s="187">
        <f t="shared" si="42"/>
        <v>144.76030664726858</v>
      </c>
      <c r="AJ243" s="200">
        <f>sim_annual_output!F243/sim_annual_output!H243*base_building_arch_areas!$N$26</f>
        <v>1382.227469500197</v>
      </c>
      <c r="AK243">
        <f t="shared" si="43"/>
        <v>9.5483872721284939</v>
      </c>
    </row>
    <row r="244" spans="1:37">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f>model_eui_end_uses!G244*base_scenario_arch_measures!$F244</f>
        <v>0</v>
      </c>
      <c r="H244">
        <f>model_eui_end_uses!H244*base_scenario_arch_measures!$F244</f>
        <v>9.5863519098778358</v>
      </c>
      <c r="I244">
        <f>model_eui_end_uses!I244*base_scenario_arch_measures!$F244</f>
        <v>7.2987322283373087E-3</v>
      </c>
      <c r="J244">
        <f>model_eui_end_uses!J244*base_scenario_arch_measures!$F244</f>
        <v>3.7365633576045422E-2</v>
      </c>
      <c r="K244">
        <f>model_eui_end_uses!K244*base_scenario_arch_measures!$F244</f>
        <v>0</v>
      </c>
      <c r="L244">
        <f>model_eui_end_uses!L244*base_scenario_arch_measures!$F244</f>
        <v>0.48922497858835273</v>
      </c>
      <c r="M244">
        <f>model_eui_end_uses!M244*base_scenario_arch_measures!$F244</f>
        <v>7.0129190415196746E-2</v>
      </c>
      <c r="N244">
        <f>model_eui_end_uses!N244*base_scenario_arch_measures!$F244</f>
        <v>0</v>
      </c>
      <c r="O244">
        <f>model_eui_end_uses!O244*base_scenario_arch_measures!$F244</f>
        <v>0.53718346247809123</v>
      </c>
      <c r="P244">
        <f>model_eui_end_uses!P244*base_scenario_arch_measures!$F244</f>
        <v>0.49913962811976675</v>
      </c>
      <c r="Q244">
        <f>model_eui_end_uses!Q244*base_scenario_arch_measures!$F244</f>
        <v>0</v>
      </c>
      <c r="R244" s="187">
        <f>model_eui_end_uses!R244*base_building_arch_areas!$N$26</f>
        <v>0</v>
      </c>
      <c r="S244" s="187">
        <f>model_eui_end_uses!S244*base_building_arch_areas!$N$26</f>
        <v>839286.69104523736</v>
      </c>
      <c r="T244" s="187">
        <f>model_eui_end_uses!T244*base_building_arch_areas!$N$26</f>
        <v>574.32134931832854</v>
      </c>
      <c r="U244" s="187">
        <f>model_eui_end_uses!U244*base_building_arch_areas!$N$26</f>
        <v>3265.3061482128064</v>
      </c>
      <c r="V244" s="187">
        <f>model_eui_end_uses!V244*base_building_arch_areas!$N$26</f>
        <v>0</v>
      </c>
      <c r="W244" s="187">
        <f>model_eui_end_uses!W244*base_building_arch_areas!$N$26</f>
        <v>42752.368354539067</v>
      </c>
      <c r="X244" s="187">
        <f>model_eui_end_uses!X244*base_building_arch_areas!$N$26</f>
        <v>6128.4462410061451</v>
      </c>
      <c r="Y244" s="187">
        <f>model_eui_end_uses!Y244*base_building_arch_areas!$N$26</f>
        <v>0</v>
      </c>
      <c r="Z244" s="187">
        <f>model_eui_end_uses!Z244*base_building_arch_areas!$N$26</f>
        <v>47218.528233144745</v>
      </c>
      <c r="AA244" s="187">
        <f>model_eui_end_uses!AA244*base_building_arch_areas!$N$26</f>
        <v>43304.111960395254</v>
      </c>
      <c r="AB244" s="187">
        <f>model_eui_end_uses!AB244*base_building_arch_areas!$N$26</f>
        <v>0</v>
      </c>
      <c r="AC244" s="187">
        <f>model_eui_end_uses!AC244*base_building_arch_areas!$N$26</f>
        <v>982529.77333185368</v>
      </c>
      <c r="AD244" s="187">
        <f>model_eui_end_uses!AD244*base_building_arch_areas!$N$26</f>
        <v>1555.0420809552124</v>
      </c>
      <c r="AE244" s="187">
        <f>model_eui_end_uses!AE244*base_building_arch_areas!$N$26</f>
        <v>-103.01095454605093</v>
      </c>
      <c r="AF244" s="187">
        <f t="shared" si="41"/>
        <v>1452.0311264091615</v>
      </c>
      <c r="AG244" s="187">
        <f>model_eui_end_uses!AH244*base_building_arch_areas!$N$26</f>
        <v>25.191681711474441</v>
      </c>
      <c r="AH244" s="187">
        <f>model_eui_end_uses!AI244*base_building_arch_areas!$N$26</f>
        <v>-11.640237863703755</v>
      </c>
      <c r="AI244" s="187">
        <f t="shared" si="42"/>
        <v>13.551443847770686</v>
      </c>
      <c r="AJ244" s="200">
        <f>sim_annual_output!F244/sim_annual_output!H244*base_building_arch_areas!$N$26</f>
        <v>742.76898858717038</v>
      </c>
      <c r="AK244">
        <f t="shared" si="43"/>
        <v>54.811059023010408</v>
      </c>
    </row>
    <row r="245" spans="1:37">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f>model_eui_end_uses!G245*base_scenario_arch_measures!$F245</f>
        <v>0</v>
      </c>
      <c r="H245">
        <f>model_eui_end_uses!H245*base_scenario_arch_measures!$F245</f>
        <v>8.2811060614686305</v>
      </c>
      <c r="I245">
        <f>model_eui_end_uses!I245*base_scenario_arch_measures!$F245</f>
        <v>8.8650530826486339E-3</v>
      </c>
      <c r="J245">
        <f>model_eui_end_uses!J245*base_scenario_arch_measures!$F245</f>
        <v>3.7365633576045422E-2</v>
      </c>
      <c r="K245">
        <f>model_eui_end_uses!K245*base_scenario_arch_measures!$F245</f>
        <v>0</v>
      </c>
      <c r="L245">
        <f>model_eui_end_uses!L245*base_scenario_arch_measures!$F245</f>
        <v>0.48922497858835273</v>
      </c>
      <c r="M245">
        <f>model_eui_end_uses!M245*base_scenario_arch_measures!$F245</f>
        <v>7.0129190415196746E-2</v>
      </c>
      <c r="N245">
        <f>model_eui_end_uses!N245*base_scenario_arch_measures!$F245</f>
        <v>0</v>
      </c>
      <c r="O245">
        <f>model_eui_end_uses!O245*base_scenario_arch_measures!$F245</f>
        <v>0.53794240144873695</v>
      </c>
      <c r="P245">
        <f>model_eui_end_uses!P245*base_scenario_arch_measures!$F245</f>
        <v>0.49913962811976675</v>
      </c>
      <c r="Q245">
        <f>model_eui_end_uses!Q245*base_scenario_arch_measures!$F245</f>
        <v>0.1527728000272108</v>
      </c>
      <c r="R245" s="187">
        <f>model_eui_end_uses!R245*base_building_arch_areas!$N$26</f>
        <v>0</v>
      </c>
      <c r="S245" s="187">
        <f>model_eui_end_uses!S245*base_building_arch_areas!$N$26</f>
        <v>839286.69104523736</v>
      </c>
      <c r="T245" s="187">
        <f>model_eui_end_uses!T245*base_building_arch_areas!$N$26</f>
        <v>574.32134931832854</v>
      </c>
      <c r="U245" s="187">
        <f>model_eui_end_uses!U245*base_building_arch_areas!$N$26</f>
        <v>3265.3061482128064</v>
      </c>
      <c r="V245" s="187">
        <f>model_eui_end_uses!V245*base_building_arch_areas!$N$26</f>
        <v>0</v>
      </c>
      <c r="W245" s="187">
        <f>model_eui_end_uses!W245*base_building_arch_areas!$N$26</f>
        <v>42752.368354539067</v>
      </c>
      <c r="X245" s="187">
        <f>model_eui_end_uses!X245*base_building_arch_areas!$N$26</f>
        <v>6128.4462410061451</v>
      </c>
      <c r="Y245" s="187">
        <f>model_eui_end_uses!Y245*base_building_arch_areas!$N$26</f>
        <v>0</v>
      </c>
      <c r="Z245" s="187">
        <f>model_eui_end_uses!Z245*base_building_arch_areas!$N$26</f>
        <v>47218.528233144745</v>
      </c>
      <c r="AA245" s="187">
        <f>model_eui_end_uses!AA245*base_building_arch_areas!$N$26</f>
        <v>43304.111960395254</v>
      </c>
      <c r="AB245" s="187">
        <f>model_eui_end_uses!AB245*base_building_arch_areas!$N$26</f>
        <v>0</v>
      </c>
      <c r="AC245" s="187">
        <f>model_eui_end_uses!AC245*base_building_arch_areas!$N$26</f>
        <v>982529.77333185368</v>
      </c>
      <c r="AD245" s="187">
        <f>model_eui_end_uses!AD245*base_building_arch_areas!$N$26</f>
        <v>115617.80205171471</v>
      </c>
      <c r="AE245" s="187">
        <f>model_eui_end_uses!AE245*base_building_arch_areas!$N$26</f>
        <v>-13656.712576665328</v>
      </c>
      <c r="AF245" s="187">
        <f t="shared" si="41"/>
        <v>101961.08947504938</v>
      </c>
      <c r="AG245" s="187">
        <f>model_eui_end_uses!AH245*base_building_arch_areas!$N$26</f>
        <v>1873.0083932377781</v>
      </c>
      <c r="AH245" s="187">
        <f>model_eui_end_uses!AI245*base_building_arch_areas!$N$26</f>
        <v>-1543.2085211631822</v>
      </c>
      <c r="AI245" s="187">
        <f t="shared" si="42"/>
        <v>329.7998720745959</v>
      </c>
      <c r="AJ245" s="200">
        <f>sim_annual_output!F245/sim_annual_output!H245*base_building_arch_areas!$N$26</f>
        <v>84491.774891774898</v>
      </c>
      <c r="AK245">
        <f t="shared" si="43"/>
        <v>256.19104810527062</v>
      </c>
    </row>
    <row r="246" spans="1:37">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f>model_eui_end_uses!G246*base_scenario_arch_measures!$F246</f>
        <v>0</v>
      </c>
      <c r="H246">
        <f>model_eui_end_uses!H246*base_scenario_arch_measures!$F246</f>
        <v>6.1537355361980577</v>
      </c>
      <c r="I246">
        <f>model_eui_end_uses!I246*base_scenario_arch_measures!$F246</f>
        <v>8.3321810394293167E-3</v>
      </c>
      <c r="J246">
        <f>model_eui_end_uses!J246*base_scenario_arch_measures!$F246</f>
        <v>3.7349485938372118E-2</v>
      </c>
      <c r="K246">
        <f>model_eui_end_uses!K246*base_scenario_arch_measures!$F246</f>
        <v>0</v>
      </c>
      <c r="L246">
        <f>model_eui_end_uses!L246*base_scenario_arch_measures!$F246</f>
        <v>0.48922497858835273</v>
      </c>
      <c r="M246">
        <f>model_eui_end_uses!M246*base_scenario_arch_measures!$F246</f>
        <v>7.0129190415196746E-2</v>
      </c>
      <c r="N246">
        <f>model_eui_end_uses!N246*base_scenario_arch_measures!$F246</f>
        <v>0</v>
      </c>
      <c r="O246">
        <f>model_eui_end_uses!O246*base_scenario_arch_measures!$F246</f>
        <v>0.34996775129370467</v>
      </c>
      <c r="P246">
        <f>model_eui_end_uses!P246*base_scenario_arch_measures!$F246</f>
        <v>0.31877051530886463</v>
      </c>
      <c r="Q246">
        <f>model_eui_end_uses!Q246*base_scenario_arch_measures!$F246</f>
        <v>0</v>
      </c>
      <c r="R246" s="187">
        <f>model_eui_end_uses!R246*base_building_arch_areas!$N$26</f>
        <v>0</v>
      </c>
      <c r="S246" s="187">
        <f>model_eui_end_uses!S246*base_building_arch_areas!$N$26</f>
        <v>839286.69104523736</v>
      </c>
      <c r="T246" s="187">
        <f>model_eui_end_uses!T246*base_building_arch_areas!$N$26</f>
        <v>574.32134931832854</v>
      </c>
      <c r="U246" s="187">
        <f>model_eui_end_uses!U246*base_building_arch_areas!$N$26</f>
        <v>3265.3061482128064</v>
      </c>
      <c r="V246" s="187">
        <f>model_eui_end_uses!V246*base_building_arch_areas!$N$26</f>
        <v>0</v>
      </c>
      <c r="W246" s="187">
        <f>model_eui_end_uses!W246*base_building_arch_areas!$N$26</f>
        <v>42752.368354539067</v>
      </c>
      <c r="X246" s="187">
        <f>model_eui_end_uses!X246*base_building_arch_areas!$N$26</f>
        <v>6128.4462410061451</v>
      </c>
      <c r="Y246" s="187">
        <f>model_eui_end_uses!Y246*base_building_arch_areas!$N$26</f>
        <v>0</v>
      </c>
      <c r="Z246" s="187">
        <f>model_eui_end_uses!Z246*base_building_arch_areas!$N$26</f>
        <v>47218.528233144745</v>
      </c>
      <c r="AA246" s="187">
        <f>model_eui_end_uses!AA246*base_building_arch_areas!$N$26</f>
        <v>43304.111960395254</v>
      </c>
      <c r="AB246" s="187">
        <f>model_eui_end_uses!AB246*base_building_arch_areas!$N$26</f>
        <v>0</v>
      </c>
      <c r="AC246" s="187">
        <f>model_eui_end_uses!AC246*base_building_arch_areas!$N$26</f>
        <v>982529.77333185368</v>
      </c>
      <c r="AD246" s="187">
        <f>model_eui_end_uses!AD246*base_building_arch_areas!$N$26</f>
        <v>301524.35282798792</v>
      </c>
      <c r="AE246" s="187">
        <f>model_eui_end_uses!AE246*base_building_arch_areas!$N$26</f>
        <v>31930.573691339407</v>
      </c>
      <c r="AF246" s="187">
        <f t="shared" si="41"/>
        <v>333454.92651932733</v>
      </c>
      <c r="AG246" s="187">
        <f>model_eui_end_uses!AH246*base_building_arch_areas!$N$26</f>
        <v>4884.694515813404</v>
      </c>
      <c r="AH246" s="187">
        <f>model_eui_end_uses!AI246*base_building_arch_areas!$N$26</f>
        <v>3608.1548271213533</v>
      </c>
      <c r="AI246" s="187">
        <f t="shared" si="42"/>
        <v>8492.8493429347582</v>
      </c>
      <c r="AJ246" s="200">
        <f>sim_annual_output!F246/sim_annual_output!H246*base_building_arch_areas!$N$26</f>
        <v>45250.28571428571</v>
      </c>
      <c r="AK246">
        <f t="shared" si="43"/>
        <v>5.3280452633873265</v>
      </c>
    </row>
    <row r="247" spans="1:37">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f>model_eui_end_uses!G247*base_scenario_arch_measures!$F247</f>
        <v>0</v>
      </c>
      <c r="H247">
        <f>model_eui_end_uses!H247*base_scenario_arch_measures!$F247</f>
        <v>5.3773409692275127</v>
      </c>
      <c r="I247">
        <f>model_eui_end_uses!I247*base_scenario_arch_measures!$F247</f>
        <v>4.7958483889738506E-3</v>
      </c>
      <c r="J247">
        <f>model_eui_end_uses!J247*base_scenario_arch_measures!$F247</f>
        <v>3.7349485938372118E-2</v>
      </c>
      <c r="K247">
        <f>model_eui_end_uses!K247*base_scenario_arch_measures!$F247</f>
        <v>0</v>
      </c>
      <c r="L247">
        <f>model_eui_end_uses!L247*base_scenario_arch_measures!$F247</f>
        <v>0.48922497858835273</v>
      </c>
      <c r="M247">
        <f>model_eui_end_uses!M247*base_scenario_arch_measures!$F247</f>
        <v>7.0129190415196746E-2</v>
      </c>
      <c r="N247">
        <f>model_eui_end_uses!N247*base_scenario_arch_measures!$F247</f>
        <v>0</v>
      </c>
      <c r="O247">
        <f>model_eui_end_uses!O247*base_scenario_arch_measures!$F247</f>
        <v>0.38988471162213345</v>
      </c>
      <c r="P247">
        <f>model_eui_end_uses!P247*base_scenario_arch_measures!$F247</f>
        <v>0.35560327684169069</v>
      </c>
      <c r="Q247">
        <f>model_eui_end_uses!Q247*base_scenario_arch_measures!$F247</f>
        <v>0</v>
      </c>
      <c r="R247" s="187">
        <f>model_eui_end_uses!R247*base_building_arch_areas!$N$26</f>
        <v>0</v>
      </c>
      <c r="S247" s="187">
        <f>model_eui_end_uses!S247*base_building_arch_areas!$N$26</f>
        <v>839286.69104523736</v>
      </c>
      <c r="T247" s="187">
        <f>model_eui_end_uses!T247*base_building_arch_areas!$N$26</f>
        <v>574.32134931832854</v>
      </c>
      <c r="U247" s="187">
        <f>model_eui_end_uses!U247*base_building_arch_areas!$N$26</f>
        <v>3265.3061482128064</v>
      </c>
      <c r="V247" s="187">
        <f>model_eui_end_uses!V247*base_building_arch_areas!$N$26</f>
        <v>0</v>
      </c>
      <c r="W247" s="187">
        <f>model_eui_end_uses!W247*base_building_arch_areas!$N$26</f>
        <v>42752.368354539067</v>
      </c>
      <c r="X247" s="187">
        <f>model_eui_end_uses!X247*base_building_arch_areas!$N$26</f>
        <v>6128.4462410061451</v>
      </c>
      <c r="Y247" s="187">
        <f>model_eui_end_uses!Y247*base_building_arch_areas!$N$26</f>
        <v>0</v>
      </c>
      <c r="Z247" s="187">
        <f>model_eui_end_uses!Z247*base_building_arch_areas!$N$26</f>
        <v>47218.528233144745</v>
      </c>
      <c r="AA247" s="187">
        <f>model_eui_end_uses!AA247*base_building_arch_areas!$N$26</f>
        <v>43304.111960395254</v>
      </c>
      <c r="AB247" s="187">
        <f>model_eui_end_uses!AB247*base_building_arch_areas!$N$26</f>
        <v>0</v>
      </c>
      <c r="AC247" s="187">
        <f>model_eui_end_uses!AC247*base_building_arch_areas!$N$26</f>
        <v>982529.77333185368</v>
      </c>
      <c r="AD247" s="187">
        <f>model_eui_end_uses!AD247*base_building_arch_areas!$N$26</f>
        <v>369371.88304070185</v>
      </c>
      <c r="AE247" s="187">
        <f>model_eui_end_uses!AE247*base_building_arch_areas!$N$26</f>
        <v>25532.60563775391</v>
      </c>
      <c r="AF247" s="187">
        <f t="shared" si="41"/>
        <v>394904.48867845576</v>
      </c>
      <c r="AG247" s="187">
        <f>model_eui_end_uses!AH247*base_building_arch_areas!$N$26</f>
        <v>5983.8245052593693</v>
      </c>
      <c r="AH247" s="187">
        <f>model_eui_end_uses!AI247*base_building_arch_areas!$N$26</f>
        <v>2885.184437066192</v>
      </c>
      <c r="AI247" s="187">
        <f t="shared" si="42"/>
        <v>8869.0089423255613</v>
      </c>
      <c r="AJ247" s="200">
        <f>sim_annual_output!F247/sim_annual_output!H247*base_building_arch_areas!$N$26</f>
        <v>48550.258953168042</v>
      </c>
      <c r="AK247">
        <f t="shared" si="43"/>
        <v>5.4741470291535839</v>
      </c>
    </row>
    <row r="248" spans="1:37">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f>model_eui_end_uses!G248*base_scenario_arch_measures!$F248</f>
        <v>0</v>
      </c>
      <c r="H248">
        <f>model_eui_end_uses!H248*base_scenario_arch_measures!$F248</f>
        <v>9.7780243690600575</v>
      </c>
      <c r="I248">
        <f>model_eui_end_uses!I248*base_scenario_arch_measures!$F248</f>
        <v>6.2814310549186127E-3</v>
      </c>
      <c r="J248">
        <f>model_eui_end_uses!J248*base_scenario_arch_measures!$F248</f>
        <v>3.7365633576045422E-2</v>
      </c>
      <c r="K248">
        <f>model_eui_end_uses!K248*base_scenario_arch_measures!$F248</f>
        <v>0</v>
      </c>
      <c r="L248">
        <f>model_eui_end_uses!L248*base_scenario_arch_measures!$F248</f>
        <v>0.34245909977561423</v>
      </c>
      <c r="M248">
        <f>model_eui_end_uses!M248*base_scenario_arch_measures!$F248</f>
        <v>7.0129190415196746E-2</v>
      </c>
      <c r="N248">
        <f>model_eui_end_uses!N248*base_scenario_arch_measures!$F248</f>
        <v>0</v>
      </c>
      <c r="O248">
        <f>model_eui_end_uses!O248*base_scenario_arch_measures!$F248</f>
        <v>0.537635596332944</v>
      </c>
      <c r="P248">
        <f>model_eui_end_uses!P248*base_scenario_arch_measures!$F248</f>
        <v>0.49754101199010875</v>
      </c>
      <c r="Q248">
        <f>model_eui_end_uses!Q248*base_scenario_arch_measures!$F248</f>
        <v>0</v>
      </c>
      <c r="R248" s="187">
        <f>model_eui_end_uses!R248*base_building_arch_areas!$N$26</f>
        <v>0</v>
      </c>
      <c r="S248" s="187">
        <f>model_eui_end_uses!S248*base_building_arch_areas!$N$26</f>
        <v>839286.69104523736</v>
      </c>
      <c r="T248" s="187">
        <f>model_eui_end_uses!T248*base_building_arch_areas!$N$26</f>
        <v>574.32134931832854</v>
      </c>
      <c r="U248" s="187">
        <f>model_eui_end_uses!U248*base_building_arch_areas!$N$26</f>
        <v>3265.3061482128064</v>
      </c>
      <c r="V248" s="187">
        <f>model_eui_end_uses!V248*base_building_arch_areas!$N$26</f>
        <v>0</v>
      </c>
      <c r="W248" s="187">
        <f>model_eui_end_uses!W248*base_building_arch_areas!$N$26</f>
        <v>42752.368354539067</v>
      </c>
      <c r="X248" s="187">
        <f>model_eui_end_uses!X248*base_building_arch_areas!$N$26</f>
        <v>6128.4462410061451</v>
      </c>
      <c r="Y248" s="187">
        <f>model_eui_end_uses!Y248*base_building_arch_areas!$N$26</f>
        <v>0</v>
      </c>
      <c r="Z248" s="187">
        <f>model_eui_end_uses!Z248*base_building_arch_areas!$N$26</f>
        <v>47218.528233144745</v>
      </c>
      <c r="AA248" s="187">
        <f>model_eui_end_uses!AA248*base_building_arch_areas!$N$26</f>
        <v>43304.111960395254</v>
      </c>
      <c r="AB248" s="187">
        <f>model_eui_end_uses!AB248*base_building_arch_areas!$N$26</f>
        <v>0</v>
      </c>
      <c r="AC248" s="187">
        <f>model_eui_end_uses!AC248*base_building_arch_areas!$N$26</f>
        <v>982529.77333185368</v>
      </c>
      <c r="AD248" s="187">
        <f>model_eui_end_uses!AD248*base_building_arch_areas!$N$26</f>
        <v>-15194.821350024111</v>
      </c>
      <c r="AE248" s="187">
        <f>model_eui_end_uses!AE248*base_building_arch_areas!$N$26</f>
        <v>12911.647042414519</v>
      </c>
      <c r="AF248" s="187">
        <f t="shared" si="41"/>
        <v>-2283.1743076095918</v>
      </c>
      <c r="AG248" s="187">
        <f>model_eui_end_uses!AH248*base_building_arch_areas!$N$26</f>
        <v>-246.1561058703906</v>
      </c>
      <c r="AH248" s="187">
        <f>model_eui_end_uses!AI248*base_building_arch_areas!$N$26</f>
        <v>1459.0161157928405</v>
      </c>
      <c r="AI248" s="187">
        <f t="shared" si="42"/>
        <v>1212.86000992245</v>
      </c>
      <c r="AJ248" s="200">
        <f>sim_annual_output!F248/sim_annual_output!H248*base_building_arch_areas!$N$26</f>
        <v>27865.186934277845</v>
      </c>
      <c r="AK248">
        <f t="shared" si="43"/>
        <v>22.974775906792029</v>
      </c>
    </row>
    <row r="249" spans="1:37">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f>model_eui_end_uses!G249*base_scenario_arch_measures!$F249</f>
        <v>0</v>
      </c>
      <c r="H249">
        <f>model_eui_end_uses!H249*base_scenario_arch_measures!$F249</f>
        <v>3.3646025237997863</v>
      </c>
      <c r="I249">
        <f>model_eui_end_uses!I249*base_scenario_arch_measures!$F249</f>
        <v>4.7958483889738506E-3</v>
      </c>
      <c r="J249">
        <f>model_eui_end_uses!J249*base_scenario_arch_measures!$F249</f>
        <v>3.7349485938372118E-2</v>
      </c>
      <c r="K249">
        <f>model_eui_end_uses!K249*base_scenario_arch_measures!$F249</f>
        <v>0</v>
      </c>
      <c r="L249">
        <f>model_eui_end_uses!L249*base_scenario_arch_measures!$F249</f>
        <v>0.48922497858835273</v>
      </c>
      <c r="M249">
        <f>model_eui_end_uses!M249*base_scenario_arch_measures!$F249</f>
        <v>7.0129190415196746E-2</v>
      </c>
      <c r="N249">
        <f>model_eui_end_uses!N249*base_scenario_arch_measures!$F249</f>
        <v>0</v>
      </c>
      <c r="O249">
        <f>model_eui_end_uses!O249*base_scenario_arch_measures!$F249</f>
        <v>0.38988471162213345</v>
      </c>
      <c r="P249">
        <f>model_eui_end_uses!P249*base_scenario_arch_measures!$F249</f>
        <v>0.35560327684169069</v>
      </c>
      <c r="Q249">
        <f>model_eui_end_uses!Q249*base_scenario_arch_measures!$F249</f>
        <v>0</v>
      </c>
      <c r="R249" s="187">
        <f>model_eui_end_uses!R249*base_building_arch_areas!$N$26</f>
        <v>0</v>
      </c>
      <c r="S249" s="187">
        <f>model_eui_end_uses!S249*base_building_arch_areas!$N$26</f>
        <v>839286.69104523736</v>
      </c>
      <c r="T249" s="187">
        <f>model_eui_end_uses!T249*base_building_arch_areas!$N$26</f>
        <v>574.32134931832854</v>
      </c>
      <c r="U249" s="187">
        <f>model_eui_end_uses!U249*base_building_arch_areas!$N$26</f>
        <v>3265.3061482128064</v>
      </c>
      <c r="V249" s="187">
        <f>model_eui_end_uses!V249*base_building_arch_areas!$N$26</f>
        <v>0</v>
      </c>
      <c r="W249" s="187">
        <f>model_eui_end_uses!W249*base_building_arch_areas!$N$26</f>
        <v>42752.368354539067</v>
      </c>
      <c r="X249" s="187">
        <f>model_eui_end_uses!X249*base_building_arch_areas!$N$26</f>
        <v>6128.4462410061451</v>
      </c>
      <c r="Y249" s="187">
        <f>model_eui_end_uses!Y249*base_building_arch_areas!$N$26</f>
        <v>0</v>
      </c>
      <c r="Z249" s="187">
        <f>model_eui_end_uses!Z249*base_building_arch_areas!$N$26</f>
        <v>47218.528233144745</v>
      </c>
      <c r="AA249" s="187">
        <f>model_eui_end_uses!AA249*base_building_arch_areas!$N$26</f>
        <v>43304.111960395254</v>
      </c>
      <c r="AB249" s="187">
        <f>model_eui_end_uses!AB249*base_building_arch_areas!$N$26</f>
        <v>0</v>
      </c>
      <c r="AC249" s="187">
        <f>model_eui_end_uses!AC249*base_building_arch_areas!$N$26</f>
        <v>982529.77333185368</v>
      </c>
      <c r="AD249" s="187">
        <f>model_eui_end_uses!AD249*base_building_arch_areas!$N$26</f>
        <v>545260.97126461437</v>
      </c>
      <c r="AE249" s="187">
        <f>model_eui_end_uses!AE249*base_building_arch_areas!$N$26</f>
        <v>25532.60563775391</v>
      </c>
      <c r="AF249" s="187">
        <f t="shared" si="41"/>
        <v>570793.57690236834</v>
      </c>
      <c r="AG249" s="187">
        <f>model_eui_end_uses!AH249*base_building_arch_areas!$N$26</f>
        <v>8833.2277344867525</v>
      </c>
      <c r="AH249" s="187">
        <f>model_eui_end_uses!AI249*base_building_arch_areas!$N$26</f>
        <v>2885.184437066192</v>
      </c>
      <c r="AI249" s="187">
        <f t="shared" si="42"/>
        <v>11718.412171552944</v>
      </c>
      <c r="AJ249" s="200">
        <f>sim_annual_output!F249/sim_annual_output!H249*base_building_arch_areas!$N$26</f>
        <v>49135.30735930735</v>
      </c>
      <c r="AK249">
        <f t="shared" si="43"/>
        <v>4.1930004372593981</v>
      </c>
    </row>
    <row r="250" spans="1:37">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f>model_eui_end_uses!G250*base_scenario_arch_measures!$F250</f>
        <v>0</v>
      </c>
      <c r="H250">
        <f>model_eui_end_uses!H250*base_scenario_arch_measures!$F250</f>
        <v>8.390360977966262</v>
      </c>
      <c r="I250">
        <f>model_eui_end_uses!I250*base_scenario_arch_measures!$F250</f>
        <v>4.1337952443680328E-3</v>
      </c>
      <c r="J250">
        <f>model_eui_end_uses!J250*base_scenario_arch_measures!$F250</f>
        <v>3.7365633576045422E-2</v>
      </c>
      <c r="K250">
        <f>model_eui_end_uses!K250*base_scenario_arch_measures!$F250</f>
        <v>0</v>
      </c>
      <c r="L250">
        <f>model_eui_end_uses!L250*base_scenario_arch_measures!$F250</f>
        <v>0.48922497858835273</v>
      </c>
      <c r="M250">
        <f>model_eui_end_uses!M250*base_scenario_arch_measures!$F250</f>
        <v>7.0129190415196746E-2</v>
      </c>
      <c r="N250">
        <f>model_eui_end_uses!N250*base_scenario_arch_measures!$F250</f>
        <v>0</v>
      </c>
      <c r="O250">
        <f>model_eui_end_uses!O250*base_scenario_arch_measures!$F250</f>
        <v>0.61304506426731398</v>
      </c>
      <c r="P250">
        <f>model_eui_end_uses!P250*base_scenario_arch_measures!$F250</f>
        <v>0.55843375365617065</v>
      </c>
      <c r="Q250">
        <f>model_eui_end_uses!Q250*base_scenario_arch_measures!$F250</f>
        <v>0</v>
      </c>
      <c r="R250" s="187">
        <f>model_eui_end_uses!R250*base_building_arch_areas!$N$26</f>
        <v>0</v>
      </c>
      <c r="S250" s="187">
        <f>model_eui_end_uses!S250*base_building_arch_areas!$N$26</f>
        <v>839286.69104523736</v>
      </c>
      <c r="T250" s="187">
        <f>model_eui_end_uses!T250*base_building_arch_areas!$N$26</f>
        <v>574.32134931832854</v>
      </c>
      <c r="U250" s="187">
        <f>model_eui_end_uses!U250*base_building_arch_areas!$N$26</f>
        <v>3265.3061482128064</v>
      </c>
      <c r="V250" s="187">
        <f>model_eui_end_uses!V250*base_building_arch_areas!$N$26</f>
        <v>0</v>
      </c>
      <c r="W250" s="187">
        <f>model_eui_end_uses!W250*base_building_arch_areas!$N$26</f>
        <v>42752.368354539067</v>
      </c>
      <c r="X250" s="187">
        <f>model_eui_end_uses!X250*base_building_arch_areas!$N$26</f>
        <v>6128.4462410061451</v>
      </c>
      <c r="Y250" s="187">
        <f>model_eui_end_uses!Y250*base_building_arch_areas!$N$26</f>
        <v>0</v>
      </c>
      <c r="Z250" s="187">
        <f>model_eui_end_uses!Z250*base_building_arch_areas!$N$26</f>
        <v>47218.528233144745</v>
      </c>
      <c r="AA250" s="187">
        <f>model_eui_end_uses!AA250*base_building_arch_areas!$N$26</f>
        <v>43304.111960395254</v>
      </c>
      <c r="AB250" s="187">
        <f>model_eui_end_uses!AB250*base_building_arch_areas!$N$26</f>
        <v>0</v>
      </c>
      <c r="AC250" s="187">
        <f>model_eui_end_uses!AC250*base_building_arch_areas!$N$26</f>
        <v>982529.77333185368</v>
      </c>
      <c r="AD250" s="187">
        <f>model_eui_end_uses!AD250*base_building_arch_areas!$N$26</f>
        <v>106070.23878515992</v>
      </c>
      <c r="AE250" s="187">
        <f>model_eui_end_uses!AE250*base_building_arch_areas!$N$26</f>
        <v>-11637.415645769684</v>
      </c>
      <c r="AF250" s="187">
        <f t="shared" si="41"/>
        <v>94432.823139390239</v>
      </c>
      <c r="AG250" s="187">
        <f>model_eui_end_uses!AH250*base_building_arch_areas!$N$26</f>
        <v>1718.3378683195908</v>
      </c>
      <c r="AH250" s="187">
        <f>model_eui_end_uses!AI250*base_building_arch_areas!$N$26</f>
        <v>-1315.0279679719745</v>
      </c>
      <c r="AI250" s="187">
        <f t="shared" si="42"/>
        <v>403.30990034761635</v>
      </c>
      <c r="AJ250" s="200">
        <f>sim_annual_output!F250/sim_annual_output!H250*base_building_arch_areas!$N$26</f>
        <v>3299.9795356158988</v>
      </c>
      <c r="AK250">
        <f t="shared" si="43"/>
        <v>8.1822428181693958</v>
      </c>
    </row>
    <row r="251" spans="1:37">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f>model_eui_end_uses!G251*base_scenario_arch_measures!$F251</f>
        <v>0</v>
      </c>
      <c r="H251">
        <f>model_eui_end_uses!H251*base_scenario_arch_measures!$F251</f>
        <v>2.3441525610347944</v>
      </c>
      <c r="I251">
        <f>model_eui_end_uses!I251*base_scenario_arch_measures!$F251</f>
        <v>1.2288352269390913E-2</v>
      </c>
      <c r="J251">
        <f>model_eui_end_uses!J251*base_scenario_arch_measures!$F251</f>
        <v>3.7349485938372118E-2</v>
      </c>
      <c r="K251">
        <f>model_eui_end_uses!K251*base_scenario_arch_measures!$F251</f>
        <v>0</v>
      </c>
      <c r="L251">
        <f>model_eui_end_uses!L251*base_scenario_arch_measures!$F251</f>
        <v>0.34245909977561423</v>
      </c>
      <c r="M251">
        <f>model_eui_end_uses!M251*base_scenario_arch_measures!$F251</f>
        <v>7.0129190415196746E-2</v>
      </c>
      <c r="N251">
        <f>model_eui_end_uses!N251*base_scenario_arch_measures!$F251</f>
        <v>0</v>
      </c>
      <c r="O251">
        <f>model_eui_end_uses!O251*base_scenario_arch_measures!$F251</f>
        <v>0.36102888309992376</v>
      </c>
      <c r="P251">
        <f>model_eui_end_uses!P251*base_scenario_arch_measures!$F251</f>
        <v>0.26955251568060773</v>
      </c>
      <c r="Q251">
        <f>model_eui_end_uses!Q251*base_scenario_arch_measures!$F251</f>
        <v>0</v>
      </c>
      <c r="R251" s="187">
        <f>model_eui_end_uses!R251*base_building_arch_areas!$N$26</f>
        <v>0</v>
      </c>
      <c r="S251" s="187">
        <f>model_eui_end_uses!S251*base_building_arch_areas!$N$26</f>
        <v>839286.69104523736</v>
      </c>
      <c r="T251" s="187">
        <f>model_eui_end_uses!T251*base_building_arch_areas!$N$26</f>
        <v>574.32134931832854</v>
      </c>
      <c r="U251" s="187">
        <f>model_eui_end_uses!U251*base_building_arch_areas!$N$26</f>
        <v>3265.3061482128064</v>
      </c>
      <c r="V251" s="187">
        <f>model_eui_end_uses!V251*base_building_arch_areas!$N$26</f>
        <v>0</v>
      </c>
      <c r="W251" s="187">
        <f>model_eui_end_uses!W251*base_building_arch_areas!$N$26</f>
        <v>42752.368354539067</v>
      </c>
      <c r="X251" s="187">
        <f>model_eui_end_uses!X251*base_building_arch_areas!$N$26</f>
        <v>6128.4462410061451</v>
      </c>
      <c r="Y251" s="187">
        <f>model_eui_end_uses!Y251*base_building_arch_areas!$N$26</f>
        <v>0</v>
      </c>
      <c r="Z251" s="187">
        <f>model_eui_end_uses!Z251*base_building_arch_areas!$N$26</f>
        <v>47218.528233144745</v>
      </c>
      <c r="AA251" s="187">
        <f>model_eui_end_uses!AA251*base_building_arch_areas!$N$26</f>
        <v>43304.111960395254</v>
      </c>
      <c r="AB251" s="187">
        <f>model_eui_end_uses!AB251*base_building_arch_areas!$N$26</f>
        <v>0</v>
      </c>
      <c r="AC251" s="187">
        <f>model_eui_end_uses!AC251*base_building_arch_areas!$N$26</f>
        <v>982529.77333185368</v>
      </c>
      <c r="AD251" s="187">
        <f>model_eui_end_uses!AD251*base_building_arch_areas!$N$26</f>
        <v>634436.00239525759</v>
      </c>
      <c r="AE251" s="187">
        <f>model_eui_end_uses!AE251*base_building_arch_areas!$N$26</f>
        <v>47744.871877606005</v>
      </c>
      <c r="AF251" s="187">
        <f t="shared" si="41"/>
        <v>682180.87427286361</v>
      </c>
      <c r="AG251" s="187">
        <f>model_eui_end_uses!AH251*base_building_arch_areas!$N$26</f>
        <v>10277.863238803173</v>
      </c>
      <c r="AH251" s="187">
        <f>model_eui_end_uses!AI251*base_building_arch_areas!$N$26</f>
        <v>5395.1705221694783</v>
      </c>
      <c r="AI251" s="187">
        <f t="shared" si="42"/>
        <v>15673.033760972652</v>
      </c>
      <c r="AJ251" s="200">
        <f>sim_annual_output!F251/sim_annual_output!H251*base_building_arch_areas!$N$26</f>
        <v>97972.281778827237</v>
      </c>
      <c r="AK251">
        <f t="shared" si="43"/>
        <v>6.2510094263171663</v>
      </c>
    </row>
    <row r="252" spans="1:37">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f>model_eui_end_uses!G252*base_scenario_arch_measures!$F252</f>
        <v>0</v>
      </c>
      <c r="H252">
        <f>model_eui_end_uses!H252*base_scenario_arch_measures!$F252</f>
        <v>9.5861904335011037</v>
      </c>
      <c r="I252">
        <f>model_eui_end_uses!I252*base_scenario_arch_measures!$F252</f>
        <v>7.2018464022974328E-3</v>
      </c>
      <c r="J252">
        <f>model_eui_end_uses!J252*base_scenario_arch_measures!$F252</f>
        <v>3.7365633576045422E-2</v>
      </c>
      <c r="K252">
        <f>model_eui_end_uses!K252*base_scenario_arch_measures!$F252</f>
        <v>0</v>
      </c>
      <c r="L252">
        <f>model_eui_end_uses!L252*base_scenario_arch_measures!$F252</f>
        <v>0.48922497858835273</v>
      </c>
      <c r="M252">
        <f>model_eui_end_uses!M252*base_scenario_arch_measures!$F252</f>
        <v>7.0129190415196746E-2</v>
      </c>
      <c r="N252">
        <f>model_eui_end_uses!N252*base_scenario_arch_measures!$F252</f>
        <v>0</v>
      </c>
      <c r="O252">
        <f>model_eui_end_uses!O252*base_scenario_arch_measures!$F252</f>
        <v>0.54088127150527987</v>
      </c>
      <c r="P252">
        <f>model_eui_end_uses!P252*base_scenario_arch_measures!$F252</f>
        <v>0.49918807103278662</v>
      </c>
      <c r="Q252">
        <f>model_eui_end_uses!Q252*base_scenario_arch_measures!$F252</f>
        <v>0</v>
      </c>
      <c r="R252" s="187">
        <f>model_eui_end_uses!R252*base_building_arch_areas!$N$26</f>
        <v>0</v>
      </c>
      <c r="S252" s="187">
        <f>model_eui_end_uses!S252*base_building_arch_areas!$N$26</f>
        <v>839286.69104523736</v>
      </c>
      <c r="T252" s="187">
        <f>model_eui_end_uses!T252*base_building_arch_areas!$N$26</f>
        <v>574.32134931832854</v>
      </c>
      <c r="U252" s="187">
        <f>model_eui_end_uses!U252*base_building_arch_areas!$N$26</f>
        <v>3265.3061482128064</v>
      </c>
      <c r="V252" s="187">
        <f>model_eui_end_uses!V252*base_building_arch_areas!$N$26</f>
        <v>0</v>
      </c>
      <c r="W252" s="187">
        <f>model_eui_end_uses!W252*base_building_arch_areas!$N$26</f>
        <v>42752.368354539067</v>
      </c>
      <c r="X252" s="187">
        <f>model_eui_end_uses!X252*base_building_arch_areas!$N$26</f>
        <v>6128.4462410061451</v>
      </c>
      <c r="Y252" s="187">
        <f>model_eui_end_uses!Y252*base_building_arch_areas!$N$26</f>
        <v>0</v>
      </c>
      <c r="Z252" s="187">
        <f>model_eui_end_uses!Z252*base_building_arch_areas!$N$26</f>
        <v>47218.528233144745</v>
      </c>
      <c r="AA252" s="187">
        <f>model_eui_end_uses!AA252*base_building_arch_areas!$N$26</f>
        <v>43304.111960395254</v>
      </c>
      <c r="AB252" s="187">
        <f>model_eui_end_uses!AB252*base_building_arch_areas!$N$26</f>
        <v>0</v>
      </c>
      <c r="AC252" s="187">
        <f>model_eui_end_uses!AC252*base_building_arch_areas!$N$26</f>
        <v>982529.77333185368</v>
      </c>
      <c r="AD252" s="187">
        <f>model_eui_end_uses!AD252*base_building_arch_areas!$N$26</f>
        <v>1569.1531706190035</v>
      </c>
      <c r="AE252" s="187">
        <f>model_eui_end_uses!AE252*base_building_arch_areas!$N$26</f>
        <v>-421.92158094886599</v>
      </c>
      <c r="AF252" s="187">
        <f t="shared" si="41"/>
        <v>1147.2315896701375</v>
      </c>
      <c r="AG252" s="187">
        <f>model_eui_end_uses!AH252*base_building_arch_areas!$N$26</f>
        <v>25.420281364027854</v>
      </c>
      <c r="AH252" s="187">
        <f>model_eui_end_uses!AI252*base_building_arch_areas!$N$26</f>
        <v>-47.677138647221852</v>
      </c>
      <c r="AI252" s="187">
        <f t="shared" si="42"/>
        <v>-22.256857283193998</v>
      </c>
      <c r="AJ252" s="200">
        <f>sim_annual_output!F252/sim_annual_output!H252*base_building_arch_areas!$N$26</f>
        <v>1907.9732388823297</v>
      </c>
      <c r="AK252">
        <f t="shared" si="43"/>
        <v>-85.725186382132549</v>
      </c>
    </row>
    <row r="253" spans="1:37">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f>model_eui_end_uses!G253*base_scenario_arch_measures!$F253</f>
        <v>0</v>
      </c>
      <c r="H253">
        <f>model_eui_end_uses!H253*base_scenario_arch_measures!$F253</f>
        <v>9.579392278040638</v>
      </c>
      <c r="I253">
        <f>model_eui_end_uses!I253*base_scenario_arch_measures!$F253</f>
        <v>7.3148798660106215E-3</v>
      </c>
      <c r="J253">
        <f>model_eui_end_uses!J253*base_scenario_arch_measures!$F253</f>
        <v>3.7365633576045422E-2</v>
      </c>
      <c r="K253">
        <f>model_eui_end_uses!K253*base_scenario_arch_measures!$F253</f>
        <v>0</v>
      </c>
      <c r="L253">
        <f>model_eui_end_uses!L253*base_scenario_arch_measures!$F253</f>
        <v>0.48922497858835273</v>
      </c>
      <c r="M253">
        <f>model_eui_end_uses!M253*base_scenario_arch_measures!$F253</f>
        <v>7.0129190415196746E-2</v>
      </c>
      <c r="N253">
        <f>model_eui_end_uses!N253*base_scenario_arch_measures!$F253</f>
        <v>0</v>
      </c>
      <c r="O253">
        <f>model_eui_end_uses!O253*base_scenario_arch_measures!$F253</f>
        <v>0.5413818482731525</v>
      </c>
      <c r="P253">
        <f>model_eui_end_uses!P253*base_scenario_arch_measures!$F253</f>
        <v>0.39038528839000619</v>
      </c>
      <c r="Q253">
        <f>model_eui_end_uses!Q253*base_scenario_arch_measures!$F253</f>
        <v>0</v>
      </c>
      <c r="R253" s="187">
        <f>model_eui_end_uses!R253*base_building_arch_areas!$N$26</f>
        <v>0</v>
      </c>
      <c r="S253" s="187">
        <f>model_eui_end_uses!S253*base_building_arch_areas!$N$26</f>
        <v>839286.69104523736</v>
      </c>
      <c r="T253" s="187">
        <f>model_eui_end_uses!T253*base_building_arch_areas!$N$26</f>
        <v>574.32134931832854</v>
      </c>
      <c r="U253" s="187">
        <f>model_eui_end_uses!U253*base_building_arch_areas!$N$26</f>
        <v>3265.3061482128064</v>
      </c>
      <c r="V253" s="187">
        <f>model_eui_end_uses!V253*base_building_arch_areas!$N$26</f>
        <v>0</v>
      </c>
      <c r="W253" s="187">
        <f>model_eui_end_uses!W253*base_building_arch_areas!$N$26</f>
        <v>42752.368354539067</v>
      </c>
      <c r="X253" s="187">
        <f>model_eui_end_uses!X253*base_building_arch_areas!$N$26</f>
        <v>6128.4462410061451</v>
      </c>
      <c r="Y253" s="187">
        <f>model_eui_end_uses!Y253*base_building_arch_areas!$N$26</f>
        <v>0</v>
      </c>
      <c r="Z253" s="187">
        <f>model_eui_end_uses!Z253*base_building_arch_areas!$N$26</f>
        <v>47218.528233144745</v>
      </c>
      <c r="AA253" s="187">
        <f>model_eui_end_uses!AA253*base_building_arch_areas!$N$26</f>
        <v>43304.111960395254</v>
      </c>
      <c r="AB253" s="187">
        <f>model_eui_end_uses!AB253*base_building_arch_areas!$N$26</f>
        <v>0</v>
      </c>
      <c r="AC253" s="187">
        <f>model_eui_end_uses!AC253*base_building_arch_areas!$N$26</f>
        <v>982529.77333185368</v>
      </c>
      <c r="AD253" s="187">
        <f>model_eui_end_uses!AD253*base_building_arch_areas!$N$26</f>
        <v>2163.2300454667275</v>
      </c>
      <c r="AE253" s="187">
        <f>model_eui_end_uses!AE253*base_building_arch_areas!$N$26</f>
        <v>9032.5084938246164</v>
      </c>
      <c r="AF253" s="187">
        <f t="shared" si="41"/>
        <v>11195.738539291344</v>
      </c>
      <c r="AG253" s="187">
        <f>model_eui_end_uses!AH253*base_building_arch_areas!$N$26</f>
        <v>35.044326736560983</v>
      </c>
      <c r="AH253" s="187">
        <f>model_eui_end_uses!AI253*base_building_arch_areas!$N$26</f>
        <v>1020.6734598021817</v>
      </c>
      <c r="AI253" s="187">
        <f t="shared" si="42"/>
        <v>1055.7177865387428</v>
      </c>
      <c r="AJ253" s="200">
        <f>sim_annual_output!F253/sim_annual_output!H253*base_building_arch_areas!$N$26</f>
        <v>3219.2805981896895</v>
      </c>
      <c r="AK253">
        <f t="shared" si="43"/>
        <v>3.0493761109627266</v>
      </c>
    </row>
    <row r="254" spans="1:37">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f>model_eui_end_uses!G254*base_scenario_arch_measures!$F254</f>
        <v>0</v>
      </c>
      <c r="H254">
        <f>model_eui_end_uses!H254*base_scenario_arch_measures!$F254</f>
        <v>15.834782192146214</v>
      </c>
      <c r="I254">
        <f>model_eui_end_uses!I254*base_scenario_arch_measures!$F254</f>
        <v>2.9930057922645349E-2</v>
      </c>
      <c r="J254">
        <f>model_eui_end_uses!J254*base_scenario_arch_measures!$F254</f>
        <v>0.10301819043910521</v>
      </c>
      <c r="K254">
        <f>model_eui_end_uses!K254*base_scenario_arch_measures!$F254</f>
        <v>0</v>
      </c>
      <c r="L254">
        <f>model_eui_end_uses!L254*base_scenario_arch_measures!$F254</f>
        <v>1.349391316789265</v>
      </c>
      <c r="M254">
        <f>model_eui_end_uses!M254*base_scenario_arch_measures!$F254</f>
        <v>0.19343190708042968</v>
      </c>
      <c r="N254">
        <f>model_eui_end_uses!N254*base_scenario_arch_measures!$F254</f>
        <v>0</v>
      </c>
      <c r="O254">
        <f>model_eui_end_uses!O254*base_scenario_arch_measures!$F254</f>
        <v>0.88320394137806146</v>
      </c>
      <c r="P254">
        <f>model_eui_end_uses!P254*base_scenario_arch_measures!$F254</f>
        <v>0.7741730160884247</v>
      </c>
      <c r="Q254">
        <f>model_eui_end_uses!Q254*base_scenario_arch_measures!$F254</f>
        <v>0</v>
      </c>
      <c r="R254" s="187">
        <f>model_eui_end_uses!R254*base_building_arch_areas!$N$27</f>
        <v>0</v>
      </c>
      <c r="S254" s="187">
        <f>model_eui_end_uses!S254*base_building_arch_areas!$N$27</f>
        <v>3562242.9069791436</v>
      </c>
      <c r="T254" s="187">
        <f>model_eui_end_uses!T254*base_building_arch_areas!$N$27</f>
        <v>3875.6107761739299</v>
      </c>
      <c r="U254" s="187">
        <f>model_eui_end_uses!U254*base_building_arch_areas!$N$27</f>
        <v>23841.190758750799</v>
      </c>
      <c r="V254" s="187">
        <f>model_eui_end_uses!V254*base_building_arch_areas!$N$27</f>
        <v>0</v>
      </c>
      <c r="W254" s="187">
        <f>model_eui_end_uses!W254*base_building_arch_areas!$N$27</f>
        <v>312285.58427058923</v>
      </c>
      <c r="X254" s="187">
        <f>model_eui_end_uses!X254*base_building_arch_areas!$N$27</f>
        <v>44765.3659599026</v>
      </c>
      <c r="Y254" s="187">
        <f>model_eui_end_uses!Y254*base_building_arch_areas!$N$27</f>
        <v>0</v>
      </c>
      <c r="Z254" s="187">
        <f>model_eui_end_uses!Z254*base_building_arch_areas!$N$27</f>
        <v>196161.565641931</v>
      </c>
      <c r="AA254" s="187">
        <f>model_eui_end_uses!AA254*base_building_arch_areas!$N$27</f>
        <v>176773.20428559286</v>
      </c>
      <c r="AB254" s="187">
        <f>model_eui_end_uses!AB254*base_building_arch_areas!$N$27</f>
        <v>0</v>
      </c>
      <c r="AC254" s="187">
        <f>model_eui_end_uses!AC254*base_building_arch_areas!$N$27</f>
        <v>4319945.4286720846</v>
      </c>
      <c r="AD254" s="187">
        <f>model_eui_end_uses!AD254*base_building_arch_areas!$N$27</f>
        <v>-102353.23140267853</v>
      </c>
      <c r="AE254" s="187">
        <f>model_eui_end_uses!AE254*base_building_arch_areas!$N$27</f>
        <v>-13678.019946762837</v>
      </c>
      <c r="AF254" s="187">
        <f t="shared" si="35"/>
        <v>-116031.25134944137</v>
      </c>
      <c r="AG254" s="187">
        <f>model_eui_end_uses!AH254*base_building_arch_areas!$N$27</f>
        <v>-1658.1223487233922</v>
      </c>
      <c r="AH254" s="187">
        <f>model_eui_end_uses!AI254*base_building_arch_areas!$N$27</f>
        <v>-1545.6162539842005</v>
      </c>
      <c r="AI254" s="187">
        <f t="shared" si="36"/>
        <v>-3203.7386027075927</v>
      </c>
      <c r="AJ254" s="200">
        <f>sim_annual_output!F254/sim_annual_output!H254*base_building_arch_areas!$N$27</f>
        <v>16169.548167499814</v>
      </c>
      <c r="AK254">
        <f t="shared" si="37"/>
        <v>-5.0470872229820367</v>
      </c>
    </row>
    <row r="255" spans="1:37">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f>model_eui_end_uses!G255*base_scenario_arch_measures!$F255</f>
        <v>0</v>
      </c>
      <c r="H255">
        <f>model_eui_end_uses!H255*base_scenario_arch_measures!$F255</f>
        <v>15.392512139807126</v>
      </c>
      <c r="I255">
        <f>model_eui_end_uses!I255*base_scenario_arch_measures!$F255</f>
        <v>1.6746580028146801E-2</v>
      </c>
      <c r="J255">
        <f>model_eui_end_uses!J255*base_scenario_arch_measures!$F255</f>
        <v>0.10301819043910521</v>
      </c>
      <c r="K255">
        <f>model_eui_end_uses!K255*base_scenario_arch_measures!$F255</f>
        <v>0</v>
      </c>
      <c r="L255">
        <f>model_eui_end_uses!L255*base_scenario_arch_measures!$F255</f>
        <v>1.349391316789265</v>
      </c>
      <c r="M255">
        <f>model_eui_end_uses!M255*base_scenario_arch_measures!$F255</f>
        <v>0.19343190708042968</v>
      </c>
      <c r="N255">
        <f>model_eui_end_uses!N255*base_scenario_arch_measures!$F255</f>
        <v>0</v>
      </c>
      <c r="O255">
        <f>model_eui_end_uses!O255*base_scenario_arch_measures!$F255</f>
        <v>0.84761745881824935</v>
      </c>
      <c r="P255">
        <f>model_eui_end_uses!P255*base_scenario_arch_measures!$F255</f>
        <v>0.76384001990084494</v>
      </c>
      <c r="Q255">
        <f>model_eui_end_uses!Q255*base_scenario_arch_measures!$F255</f>
        <v>0</v>
      </c>
      <c r="R255" s="187">
        <f>model_eui_end_uses!R255*base_building_arch_areas!$N$27</f>
        <v>0</v>
      </c>
      <c r="S255" s="187">
        <f>model_eui_end_uses!S255*base_building_arch_areas!$N$27</f>
        <v>3562242.9069791436</v>
      </c>
      <c r="T255" s="187">
        <f>model_eui_end_uses!T255*base_building_arch_areas!$N$27</f>
        <v>3875.6107761739299</v>
      </c>
      <c r="U255" s="187">
        <f>model_eui_end_uses!U255*base_building_arch_areas!$N$27</f>
        <v>23841.190758750799</v>
      </c>
      <c r="V255" s="187">
        <f>model_eui_end_uses!V255*base_building_arch_areas!$N$27</f>
        <v>0</v>
      </c>
      <c r="W255" s="187">
        <f>model_eui_end_uses!W255*base_building_arch_areas!$N$27</f>
        <v>312285.58427058923</v>
      </c>
      <c r="X255" s="187">
        <f>model_eui_end_uses!X255*base_building_arch_areas!$N$27</f>
        <v>44765.3659599026</v>
      </c>
      <c r="Y255" s="187">
        <f>model_eui_end_uses!Y255*base_building_arch_areas!$N$27</f>
        <v>0</v>
      </c>
      <c r="Z255" s="187">
        <f>model_eui_end_uses!Z255*base_building_arch_areas!$N$27</f>
        <v>196161.565641931</v>
      </c>
      <c r="AA255" s="187">
        <f>model_eui_end_uses!AA255*base_building_arch_areas!$N$27</f>
        <v>176773.20428559286</v>
      </c>
      <c r="AB255" s="187">
        <f>model_eui_end_uses!AB255*base_building_arch_areas!$N$27</f>
        <v>0</v>
      </c>
      <c r="AC255" s="187">
        <f>model_eui_end_uses!AC255*base_building_arch_areas!$N$27</f>
        <v>4319945.4286720846</v>
      </c>
      <c r="AD255" s="187">
        <f>model_eui_end_uses!AD255*base_building_arch_areas!$N$27</f>
        <v>0</v>
      </c>
      <c r="AE255" s="187">
        <f>model_eui_end_uses!AE255*base_building_arch_areas!$N$27</f>
        <v>0</v>
      </c>
      <c r="AF255" s="187">
        <f t="shared" ref="AF255:AF276" si="44">SUM(AD255:AE255)</f>
        <v>0</v>
      </c>
      <c r="AG255" s="187">
        <f>model_eui_end_uses!AH255*base_building_arch_areas!$N$27</f>
        <v>0</v>
      </c>
      <c r="AH255" s="187">
        <f>model_eui_end_uses!AI255*base_building_arch_areas!$N$27</f>
        <v>0</v>
      </c>
      <c r="AI255" s="187">
        <f t="shared" ref="AI255:AI276" si="45">SUM(AG255:AH255)</f>
        <v>0</v>
      </c>
      <c r="AJ255" s="200">
        <f>sim_annual_output!F255/sim_annual_output!H255*base_building_arch_areas!$N$27</f>
        <v>0</v>
      </c>
      <c r="AK255">
        <f t="shared" ref="AK255:AK276" si="46">IF(AI255=0,0,AJ255/AI255)</f>
        <v>0</v>
      </c>
    </row>
    <row r="256" spans="1:37">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f>model_eui_end_uses!G256*base_scenario_arch_measures!$F256</f>
        <v>0</v>
      </c>
      <c r="H256">
        <f>model_eui_end_uses!H256*base_scenario_arch_measures!$F256</f>
        <v>15.378616041485897</v>
      </c>
      <c r="I256">
        <f>model_eui_end_uses!I256*base_scenario_arch_measures!$F256</f>
        <v>1.8706286201653342E-2</v>
      </c>
      <c r="J256">
        <f>model_eui_end_uses!J256*base_scenario_arch_measures!$F256</f>
        <v>0.10301819043910521</v>
      </c>
      <c r="K256">
        <f>model_eui_end_uses!K256*base_scenario_arch_measures!$F256</f>
        <v>0</v>
      </c>
      <c r="L256">
        <f>model_eui_end_uses!L256*base_scenario_arch_measures!$F256</f>
        <v>1.349391316789265</v>
      </c>
      <c r="M256">
        <f>model_eui_end_uses!M256*base_scenario_arch_measures!$F256</f>
        <v>0.19343190708042968</v>
      </c>
      <c r="N256">
        <f>model_eui_end_uses!N256*base_scenario_arch_measures!$F256</f>
        <v>0</v>
      </c>
      <c r="O256">
        <f>model_eui_end_uses!O256*base_scenario_arch_measures!$F256</f>
        <v>0.85826222644252348</v>
      </c>
      <c r="P256">
        <f>model_eui_end_uses!P256*base_scenario_arch_measures!$F256</f>
        <v>0.7741730160884247</v>
      </c>
      <c r="Q256">
        <f>model_eui_end_uses!Q256*base_scenario_arch_measures!$F256</f>
        <v>0</v>
      </c>
      <c r="R256" s="187">
        <f>model_eui_end_uses!R256*base_building_arch_areas!$N$27</f>
        <v>0</v>
      </c>
      <c r="S256" s="187">
        <f>model_eui_end_uses!S256*base_building_arch_areas!$N$27</f>
        <v>3562242.9069791436</v>
      </c>
      <c r="T256" s="187">
        <f>model_eui_end_uses!T256*base_building_arch_areas!$N$27</f>
        <v>3875.6107761739299</v>
      </c>
      <c r="U256" s="187">
        <f>model_eui_end_uses!U256*base_building_arch_areas!$N$27</f>
        <v>23841.190758750799</v>
      </c>
      <c r="V256" s="187">
        <f>model_eui_end_uses!V256*base_building_arch_areas!$N$27</f>
        <v>0</v>
      </c>
      <c r="W256" s="187">
        <f>model_eui_end_uses!W256*base_building_arch_areas!$N$27</f>
        <v>312285.58427058923</v>
      </c>
      <c r="X256" s="187">
        <f>model_eui_end_uses!X256*base_building_arch_areas!$N$27</f>
        <v>44765.3659599026</v>
      </c>
      <c r="Y256" s="187">
        <f>model_eui_end_uses!Y256*base_building_arch_areas!$N$27</f>
        <v>0</v>
      </c>
      <c r="Z256" s="187">
        <f>model_eui_end_uses!Z256*base_building_arch_areas!$N$27</f>
        <v>196161.565641931</v>
      </c>
      <c r="AA256" s="187">
        <f>model_eui_end_uses!AA256*base_building_arch_areas!$N$27</f>
        <v>176773.20428559286</v>
      </c>
      <c r="AB256" s="187">
        <f>model_eui_end_uses!AB256*base_building_arch_areas!$N$27</f>
        <v>0</v>
      </c>
      <c r="AC256" s="187">
        <f>model_eui_end_uses!AC256*base_building_arch_areas!$N$27</f>
        <v>4319945.4286720846</v>
      </c>
      <c r="AD256" s="187">
        <f>model_eui_end_uses!AD256*base_building_arch_areas!$N$27</f>
        <v>3215.9323461871131</v>
      </c>
      <c r="AE256" s="187">
        <f>model_eui_end_uses!AE256*base_building_arch_areas!$N$27</f>
        <v>-5308.3498663020082</v>
      </c>
      <c r="AF256" s="187">
        <f t="shared" si="44"/>
        <v>-2092.4175201148951</v>
      </c>
      <c r="AG256" s="187">
        <f>model_eui_end_uses!AH256*base_building_arch_areas!$N$27</f>
        <v>52.098104008231232</v>
      </c>
      <c r="AH256" s="187">
        <f>model_eui_end_uses!AI256*base_building_arch_areas!$N$27</f>
        <v>-599.84353489212697</v>
      </c>
      <c r="AI256" s="187">
        <f t="shared" si="45"/>
        <v>-547.74543088389578</v>
      </c>
      <c r="AJ256" s="200">
        <f>sim_annual_output!F256/sim_annual_output!H256*base_building_arch_areas!$N$27</f>
        <v>151429.48152427844</v>
      </c>
      <c r="AK256">
        <f t="shared" si="46"/>
        <v>-276.45959780972879</v>
      </c>
    </row>
    <row r="257" spans="1:37">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f>model_eui_end_uses!G257*base_scenario_arch_measures!$F257</f>
        <v>0</v>
      </c>
      <c r="H257">
        <f>model_eui_end_uses!H257*base_scenario_arch_measures!$F257</f>
        <v>9.809754639253697</v>
      </c>
      <c r="I257">
        <f>model_eui_end_uses!I257*base_scenario_arch_measures!$F257</f>
        <v>1.8706286201653342E-2</v>
      </c>
      <c r="J257">
        <f>model_eui_end_uses!J257*base_scenario_arch_measures!$F257</f>
        <v>0.10301819043910521</v>
      </c>
      <c r="K257">
        <f>model_eui_end_uses!K257*base_scenario_arch_measures!$F257</f>
        <v>0</v>
      </c>
      <c r="L257">
        <f>model_eui_end_uses!L257*base_scenario_arch_measures!$F257</f>
        <v>1.349391316789265</v>
      </c>
      <c r="M257">
        <f>model_eui_end_uses!M257*base_scenario_arch_measures!$F257</f>
        <v>0.19343190708042968</v>
      </c>
      <c r="N257">
        <f>model_eui_end_uses!N257*base_scenario_arch_measures!$F257</f>
        <v>0</v>
      </c>
      <c r="O257">
        <f>model_eui_end_uses!O257*base_scenario_arch_measures!$F257</f>
        <v>0.85826222644252348</v>
      </c>
      <c r="P257">
        <f>model_eui_end_uses!P257*base_scenario_arch_measures!$F257</f>
        <v>0.7741730160884247</v>
      </c>
      <c r="Q257">
        <f>model_eui_end_uses!Q257*base_scenario_arch_measures!$F257</f>
        <v>0</v>
      </c>
      <c r="R257" s="187">
        <f>model_eui_end_uses!R257*base_building_arch_areas!$N$27</f>
        <v>0</v>
      </c>
      <c r="S257" s="187">
        <f>model_eui_end_uses!S257*base_building_arch_areas!$N$27</f>
        <v>3562242.9069791436</v>
      </c>
      <c r="T257" s="187">
        <f>model_eui_end_uses!T257*base_building_arch_areas!$N$27</f>
        <v>3875.6107761739299</v>
      </c>
      <c r="U257" s="187">
        <f>model_eui_end_uses!U257*base_building_arch_areas!$N$27</f>
        <v>23841.190758750799</v>
      </c>
      <c r="V257" s="187">
        <f>model_eui_end_uses!V257*base_building_arch_areas!$N$27</f>
        <v>0</v>
      </c>
      <c r="W257" s="187">
        <f>model_eui_end_uses!W257*base_building_arch_areas!$N$27</f>
        <v>312285.58427058923</v>
      </c>
      <c r="X257" s="187">
        <f>model_eui_end_uses!X257*base_building_arch_areas!$N$27</f>
        <v>44765.3659599026</v>
      </c>
      <c r="Y257" s="187">
        <f>model_eui_end_uses!Y257*base_building_arch_areas!$N$27</f>
        <v>0</v>
      </c>
      <c r="Z257" s="187">
        <f>model_eui_end_uses!Z257*base_building_arch_areas!$N$27</f>
        <v>196161.565641931</v>
      </c>
      <c r="AA257" s="187">
        <f>model_eui_end_uses!AA257*base_building_arch_areas!$N$27</f>
        <v>176773.20428559286</v>
      </c>
      <c r="AB257" s="187">
        <f>model_eui_end_uses!AB257*base_building_arch_areas!$N$27</f>
        <v>0</v>
      </c>
      <c r="AC257" s="187">
        <f>model_eui_end_uses!AC257*base_building_arch_areas!$N$27</f>
        <v>4319945.4286720846</v>
      </c>
      <c r="AD257" s="187">
        <f>model_eui_end_uses!AD257*base_building_arch_areas!$N$27</f>
        <v>1292000.8200805783</v>
      </c>
      <c r="AE257" s="187">
        <f>model_eui_end_uses!AE257*base_building_arch_areas!$N$27</f>
        <v>-5308.3498663020082</v>
      </c>
      <c r="AF257" s="187">
        <f t="shared" si="44"/>
        <v>1286692.4702142763</v>
      </c>
      <c r="AG257" s="187">
        <f>model_eui_end_uses!AH257*base_building_arch_areas!$N$27</f>
        <v>20930.413285305367</v>
      </c>
      <c r="AH257" s="187">
        <f>model_eui_end_uses!AI257*base_building_arch_areas!$N$27</f>
        <v>-599.84353489212697</v>
      </c>
      <c r="AI257" s="187">
        <f t="shared" si="45"/>
        <v>20330.56975041324</v>
      </c>
      <c r="AJ257" s="200">
        <f>sim_annual_output!F257/sim_annual_output!H257*base_building_arch_areas!$N$27</f>
        <v>4273.498530483057</v>
      </c>
      <c r="AK257">
        <f t="shared" si="46"/>
        <v>0.21020062806632331</v>
      </c>
    </row>
    <row r="258" spans="1:37">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f>model_eui_end_uses!G258*base_scenario_arch_measures!$F258</f>
        <v>0</v>
      </c>
      <c r="H258">
        <f>model_eui_end_uses!H258*base_scenario_arch_measures!$F258</f>
        <v>15.378616041485897</v>
      </c>
      <c r="I258">
        <f>model_eui_end_uses!I258*base_scenario_arch_measures!$F258</f>
        <v>1.6033959601417153E-2</v>
      </c>
      <c r="J258">
        <f>model_eui_end_uses!J258*base_scenario_arch_measures!$F258</f>
        <v>0.10301819043910521</v>
      </c>
      <c r="K258">
        <f>model_eui_end_uses!K258*base_scenario_arch_measures!$F258</f>
        <v>0</v>
      </c>
      <c r="L258">
        <f>model_eui_end_uses!L258*base_scenario_arch_measures!$F258</f>
        <v>1.349391316789265</v>
      </c>
      <c r="M258">
        <f>model_eui_end_uses!M258*base_scenario_arch_measures!$F258</f>
        <v>0.19343190708042968</v>
      </c>
      <c r="N258">
        <f>model_eui_end_uses!N258*base_scenario_arch_measures!$F258</f>
        <v>0</v>
      </c>
      <c r="O258">
        <f>model_eui_end_uses!O258*base_scenario_arch_measures!$F258</f>
        <v>0.85826222644252348</v>
      </c>
      <c r="P258">
        <f>model_eui_end_uses!P258*base_scenario_arch_measures!$F258</f>
        <v>0.7741730160884247</v>
      </c>
      <c r="Q258">
        <f>model_eui_end_uses!Q258*base_scenario_arch_measures!$F258</f>
        <v>0</v>
      </c>
      <c r="R258" s="187">
        <f>model_eui_end_uses!R258*base_building_arch_areas!$N$27</f>
        <v>0</v>
      </c>
      <c r="S258" s="187">
        <f>model_eui_end_uses!S258*base_building_arch_areas!$N$27</f>
        <v>3562242.9069791436</v>
      </c>
      <c r="T258" s="187">
        <f>model_eui_end_uses!T258*base_building_arch_areas!$N$27</f>
        <v>3875.6107761739299</v>
      </c>
      <c r="U258" s="187">
        <f>model_eui_end_uses!U258*base_building_arch_areas!$N$27</f>
        <v>23841.190758750799</v>
      </c>
      <c r="V258" s="187">
        <f>model_eui_end_uses!V258*base_building_arch_areas!$N$27</f>
        <v>0</v>
      </c>
      <c r="W258" s="187">
        <f>model_eui_end_uses!W258*base_building_arch_areas!$N$27</f>
        <v>312285.58427058923</v>
      </c>
      <c r="X258" s="187">
        <f>model_eui_end_uses!X258*base_building_arch_areas!$N$27</f>
        <v>44765.3659599026</v>
      </c>
      <c r="Y258" s="187">
        <f>model_eui_end_uses!Y258*base_building_arch_areas!$N$27</f>
        <v>0</v>
      </c>
      <c r="Z258" s="187">
        <f>model_eui_end_uses!Z258*base_building_arch_areas!$N$27</f>
        <v>196161.565641931</v>
      </c>
      <c r="AA258" s="187">
        <f>model_eui_end_uses!AA258*base_building_arch_areas!$N$27</f>
        <v>176773.20428559286</v>
      </c>
      <c r="AB258" s="187">
        <f>model_eui_end_uses!AB258*base_building_arch_areas!$N$27</f>
        <v>0</v>
      </c>
      <c r="AC258" s="187">
        <f>model_eui_end_uses!AC258*base_building_arch_areas!$N$27</f>
        <v>4319945.4286720846</v>
      </c>
      <c r="AD258" s="187">
        <f>model_eui_end_uses!AD258*base_building_arch_areas!$N$27</f>
        <v>3215.9323461871131</v>
      </c>
      <c r="AE258" s="187">
        <f>model_eui_end_uses!AE258*base_building_arch_areas!$N$27</f>
        <v>-4689.90133818915</v>
      </c>
      <c r="AF258" s="187">
        <f t="shared" si="44"/>
        <v>-1473.9689920020369</v>
      </c>
      <c r="AG258" s="187">
        <f>model_eui_end_uses!AH258*base_building_arch_areas!$N$27</f>
        <v>52.098104008231232</v>
      </c>
      <c r="AH258" s="187">
        <f>model_eui_end_uses!AI258*base_building_arch_areas!$N$27</f>
        <v>-529.95885121537401</v>
      </c>
      <c r="AI258" s="187">
        <f t="shared" si="45"/>
        <v>-477.86074720714277</v>
      </c>
      <c r="AJ258" s="200">
        <f>sim_annual_output!F258/sim_annual_output!H258*base_building_arch_areas!$N$27</f>
        <v>22720.470521741317</v>
      </c>
      <c r="AK258">
        <f t="shared" si="46"/>
        <v>-47.546216454335521</v>
      </c>
    </row>
    <row r="259" spans="1:37">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f>model_eui_end_uses!G259*base_scenario_arch_measures!$F259</f>
        <v>0</v>
      </c>
      <c r="H259">
        <f>model_eui_end_uses!H259*base_scenario_arch_measures!$F259</f>
        <v>10.319322783142066</v>
      </c>
      <c r="I259">
        <f>model_eui_end_uses!I259*base_scenario_arch_measures!$F259</f>
        <v>2.1066841365195314E-2</v>
      </c>
      <c r="J259">
        <f>model_eui_end_uses!J259*base_scenario_arch_measures!$F259</f>
        <v>0.10301819043910521</v>
      </c>
      <c r="K259">
        <f>model_eui_end_uses!K259*base_scenario_arch_measures!$F259</f>
        <v>0</v>
      </c>
      <c r="L259">
        <f>model_eui_end_uses!L259*base_scenario_arch_measures!$F259</f>
        <v>1.349391316789265</v>
      </c>
      <c r="M259">
        <f>model_eui_end_uses!M259*base_scenario_arch_measures!$F259</f>
        <v>0.19343190708042968</v>
      </c>
      <c r="N259">
        <f>model_eui_end_uses!N259*base_scenario_arch_measures!$F259</f>
        <v>0</v>
      </c>
      <c r="O259">
        <f>model_eui_end_uses!O259*base_scenario_arch_measures!$F259</f>
        <v>0.84347535258788342</v>
      </c>
      <c r="P259">
        <f>model_eui_end_uses!P259*base_scenario_arch_measures!$F259</f>
        <v>0.77412847731175416</v>
      </c>
      <c r="Q259">
        <f>model_eui_end_uses!Q259*base_scenario_arch_measures!$F259</f>
        <v>0</v>
      </c>
      <c r="R259" s="187">
        <f>model_eui_end_uses!R259*base_building_arch_areas!$N$27</f>
        <v>0</v>
      </c>
      <c r="S259" s="187">
        <f>model_eui_end_uses!S259*base_building_arch_areas!$N$27</f>
        <v>3562242.9069791436</v>
      </c>
      <c r="T259" s="187">
        <f>model_eui_end_uses!T259*base_building_arch_areas!$N$27</f>
        <v>3875.6107761739299</v>
      </c>
      <c r="U259" s="187">
        <f>model_eui_end_uses!U259*base_building_arch_areas!$N$27</f>
        <v>23841.190758750799</v>
      </c>
      <c r="V259" s="187">
        <f>model_eui_end_uses!V259*base_building_arch_areas!$N$27</f>
        <v>0</v>
      </c>
      <c r="W259" s="187">
        <f>model_eui_end_uses!W259*base_building_arch_areas!$N$27</f>
        <v>312285.58427058923</v>
      </c>
      <c r="X259" s="187">
        <f>model_eui_end_uses!X259*base_building_arch_areas!$N$27</f>
        <v>44765.3659599026</v>
      </c>
      <c r="Y259" s="187">
        <f>model_eui_end_uses!Y259*base_building_arch_areas!$N$27</f>
        <v>0</v>
      </c>
      <c r="Z259" s="187">
        <f>model_eui_end_uses!Z259*base_building_arch_areas!$N$27</f>
        <v>196161.565641931</v>
      </c>
      <c r="AA259" s="187">
        <f>model_eui_end_uses!AA259*base_building_arch_areas!$N$27</f>
        <v>176773.20428559286</v>
      </c>
      <c r="AB259" s="187">
        <f>model_eui_end_uses!AB259*base_building_arch_areas!$N$27</f>
        <v>0</v>
      </c>
      <c r="AC259" s="187">
        <f>model_eui_end_uses!AC259*base_building_arch_areas!$N$27</f>
        <v>4319945.4286720846</v>
      </c>
      <c r="AD259" s="187">
        <f>model_eui_end_uses!AD259*base_building_arch_areas!$N$27</f>
        <v>1174072.9932449246</v>
      </c>
      <c r="AE259" s="187">
        <f>model_eui_end_uses!AE259*base_building_arch_areas!$N$27</f>
        <v>-2422.2567351088774</v>
      </c>
      <c r="AF259" s="187">
        <f t="shared" si="44"/>
        <v>1171650.7365098158</v>
      </c>
      <c r="AG259" s="187">
        <f>model_eui_end_uses!AH259*base_building_arch_areas!$N$27</f>
        <v>19019.982490567778</v>
      </c>
      <c r="AH259" s="187">
        <f>model_eui_end_uses!AI259*base_building_arch_areas!$N$27</f>
        <v>-273.71501106730318</v>
      </c>
      <c r="AI259" s="187">
        <f t="shared" si="45"/>
        <v>18746.267479500475</v>
      </c>
      <c r="AJ259" s="200">
        <f>sim_annual_output!F259/sim_annual_output!H259*base_building_arch_areas!$N$27</f>
        <v>42096.257956743451</v>
      </c>
      <c r="AK259">
        <f t="shared" si="46"/>
        <v>2.2455807804287864</v>
      </c>
    </row>
    <row r="260" spans="1:37">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f>model_eui_end_uses!G260*base_scenario_arch_measures!$F260</f>
        <v>0</v>
      </c>
      <c r="H260">
        <f>model_eui_end_uses!H260*base_scenario_arch_measures!$F260</f>
        <v>15.400395503277821</v>
      </c>
      <c r="I260">
        <f>model_eui_end_uses!I260*base_scenario_arch_measures!$F260</f>
        <v>2.7346808875750361E-2</v>
      </c>
      <c r="J260">
        <f>model_eui_end_uses!J260*base_scenario_arch_measures!$F260</f>
        <v>0.10301819043910521</v>
      </c>
      <c r="K260">
        <f>model_eui_end_uses!K260*base_scenario_arch_measures!$F260</f>
        <v>0</v>
      </c>
      <c r="L260">
        <f>model_eui_end_uses!L260*base_scenario_arch_measures!$F260</f>
        <v>1.349391316789265</v>
      </c>
      <c r="M260">
        <f>model_eui_end_uses!M260*base_scenario_arch_measures!$F260</f>
        <v>0.19343190708042968</v>
      </c>
      <c r="N260">
        <f>model_eui_end_uses!N260*base_scenario_arch_measures!$F260</f>
        <v>0</v>
      </c>
      <c r="O260">
        <f>model_eui_end_uses!O260*base_scenario_arch_measures!$F260</f>
        <v>0.85848492032587664</v>
      </c>
      <c r="P260">
        <f>model_eui_end_uses!P260*base_scenario_arch_measures!$F260</f>
        <v>0.7741730160884247</v>
      </c>
      <c r="Q260">
        <f>model_eui_end_uses!Q260*base_scenario_arch_measures!$F260</f>
        <v>0</v>
      </c>
      <c r="R260" s="187">
        <f>model_eui_end_uses!R260*base_building_arch_areas!$N$27</f>
        <v>0</v>
      </c>
      <c r="S260" s="187">
        <f>model_eui_end_uses!S260*base_building_arch_areas!$N$27</f>
        <v>3562242.9069791436</v>
      </c>
      <c r="T260" s="187">
        <f>model_eui_end_uses!T260*base_building_arch_areas!$N$27</f>
        <v>3875.6107761739299</v>
      </c>
      <c r="U260" s="187">
        <f>model_eui_end_uses!U260*base_building_arch_areas!$N$27</f>
        <v>23841.190758750799</v>
      </c>
      <c r="V260" s="187">
        <f>model_eui_end_uses!V260*base_building_arch_areas!$N$27</f>
        <v>0</v>
      </c>
      <c r="W260" s="187">
        <f>model_eui_end_uses!W260*base_building_arch_areas!$N$27</f>
        <v>312285.58427058923</v>
      </c>
      <c r="X260" s="187">
        <f>model_eui_end_uses!X260*base_building_arch_areas!$N$27</f>
        <v>44765.3659599026</v>
      </c>
      <c r="Y260" s="187">
        <f>model_eui_end_uses!Y260*base_building_arch_areas!$N$27</f>
        <v>0</v>
      </c>
      <c r="Z260" s="187">
        <f>model_eui_end_uses!Z260*base_building_arch_areas!$N$27</f>
        <v>196161.565641931</v>
      </c>
      <c r="AA260" s="187">
        <f>model_eui_end_uses!AA260*base_building_arch_areas!$N$27</f>
        <v>176773.20428559286</v>
      </c>
      <c r="AB260" s="187">
        <f>model_eui_end_uses!AB260*base_building_arch_areas!$N$27</f>
        <v>0</v>
      </c>
      <c r="AC260" s="187">
        <f>model_eui_end_uses!AC260*base_building_arch_areas!$N$27</f>
        <v>4319945.4286720846</v>
      </c>
      <c r="AD260" s="187">
        <f>model_eui_end_uses!AD260*base_building_arch_areas!$N$27</f>
        <v>-1824.4231579324794</v>
      </c>
      <c r="AE260" s="187">
        <f>model_eui_end_uses!AE260*base_building_arch_areas!$N$27</f>
        <v>-7359.537484543046</v>
      </c>
      <c r="AF260" s="187">
        <f t="shared" si="44"/>
        <v>-9183.9606424755257</v>
      </c>
      <c r="AG260" s="187">
        <f>model_eui_end_uses!AH260*base_building_arch_areas!$N$27</f>
        <v>-29.555655158506166</v>
      </c>
      <c r="AH260" s="187">
        <f>model_eui_end_uses!AI260*base_building_arch_areas!$N$27</f>
        <v>-831.62773575336416</v>
      </c>
      <c r="AI260" s="187">
        <f t="shared" si="45"/>
        <v>-861.18339091187033</v>
      </c>
      <c r="AJ260" s="200">
        <f>sim_annual_output!F260/sim_annual_output!H260*base_building_arch_areas!$N$27</f>
        <v>16169.548167499814</v>
      </c>
      <c r="AK260">
        <f t="shared" si="46"/>
        <v>-18.775963793703184</v>
      </c>
    </row>
    <row r="261" spans="1:37">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f>model_eui_end_uses!G261*base_scenario_arch_measures!$F261</f>
        <v>0</v>
      </c>
      <c r="H261">
        <f>model_eui_end_uses!H261*base_scenario_arch_measures!$F261</f>
        <v>15.388770882566794</v>
      </c>
      <c r="I261">
        <f>model_eui_end_uses!I261*base_scenario_arch_measures!$F261</f>
        <v>1.3317094224510358E-2</v>
      </c>
      <c r="J261">
        <f>model_eui_end_uses!J261*base_scenario_arch_measures!$F261</f>
        <v>0.10301819043910521</v>
      </c>
      <c r="K261">
        <f>model_eui_end_uses!K261*base_scenario_arch_measures!$F261</f>
        <v>0</v>
      </c>
      <c r="L261">
        <f>model_eui_end_uses!L261*base_scenario_arch_measures!$F261</f>
        <v>1.349391316789265</v>
      </c>
      <c r="M261">
        <f>model_eui_end_uses!M261*base_scenario_arch_measures!$F261</f>
        <v>0.19343190708042968</v>
      </c>
      <c r="N261">
        <f>model_eui_end_uses!N261*base_scenario_arch_measures!$F261</f>
        <v>0</v>
      </c>
      <c r="O261">
        <f>model_eui_end_uses!O261*base_scenario_arch_measures!$F261</f>
        <v>0.85844038154920599</v>
      </c>
      <c r="P261">
        <f>model_eui_end_uses!P261*base_scenario_arch_measures!$F261</f>
        <v>0.7741730160884247</v>
      </c>
      <c r="Q261">
        <f>model_eui_end_uses!Q261*base_scenario_arch_measures!$F261</f>
        <v>0</v>
      </c>
      <c r="R261" s="187">
        <f>model_eui_end_uses!R261*base_building_arch_areas!$N$27</f>
        <v>0</v>
      </c>
      <c r="S261" s="187">
        <f>model_eui_end_uses!S261*base_building_arch_areas!$N$27</f>
        <v>3562242.9069791436</v>
      </c>
      <c r="T261" s="187">
        <f>model_eui_end_uses!T261*base_building_arch_areas!$N$27</f>
        <v>3875.6107761739299</v>
      </c>
      <c r="U261" s="187">
        <f>model_eui_end_uses!U261*base_building_arch_areas!$N$27</f>
        <v>23841.190758750799</v>
      </c>
      <c r="V261" s="187">
        <f>model_eui_end_uses!V261*base_building_arch_areas!$N$27</f>
        <v>0</v>
      </c>
      <c r="W261" s="187">
        <f>model_eui_end_uses!W261*base_building_arch_areas!$N$27</f>
        <v>312285.58427058923</v>
      </c>
      <c r="X261" s="187">
        <f>model_eui_end_uses!X261*base_building_arch_areas!$N$27</f>
        <v>44765.3659599026</v>
      </c>
      <c r="Y261" s="187">
        <f>model_eui_end_uses!Y261*base_building_arch_areas!$N$27</f>
        <v>0</v>
      </c>
      <c r="Z261" s="187">
        <f>model_eui_end_uses!Z261*base_building_arch_areas!$N$27</f>
        <v>196161.565641931</v>
      </c>
      <c r="AA261" s="187">
        <f>model_eui_end_uses!AA261*base_building_arch_areas!$N$27</f>
        <v>176773.20428559286</v>
      </c>
      <c r="AB261" s="187">
        <f>model_eui_end_uses!AB261*base_building_arch_areas!$N$27</f>
        <v>0</v>
      </c>
      <c r="AC261" s="187">
        <f>model_eui_end_uses!AC261*base_building_arch_areas!$N$27</f>
        <v>4319945.4286720846</v>
      </c>
      <c r="AD261" s="187">
        <f>model_eui_end_uses!AD261*base_building_arch_areas!$N$27</f>
        <v>865.82793935818904</v>
      </c>
      <c r="AE261" s="187">
        <f>model_eui_end_uses!AE261*base_building_arch_areas!$N$27</f>
        <v>-4102.3752364820748</v>
      </c>
      <c r="AF261" s="187">
        <f t="shared" si="44"/>
        <v>-3236.547297123886</v>
      </c>
      <c r="AG261" s="187">
        <f>model_eui_end_uses!AH261*base_building_arch_areas!$N$27</f>
        <v>14.026412617602661</v>
      </c>
      <c r="AH261" s="187">
        <f>model_eui_end_uses!AI261*base_building_arch_areas!$N$27</f>
        <v>-463.56840172247445</v>
      </c>
      <c r="AI261" s="187">
        <f t="shared" si="45"/>
        <v>-449.54198910487179</v>
      </c>
      <c r="AJ261" s="200">
        <f>sim_annual_output!F261/sim_annual_output!H261*base_building_arch_areas!$N$27</f>
        <v>5394.3415308096155</v>
      </c>
      <c r="AK261">
        <f t="shared" si="46"/>
        <v>-11.999638880343149</v>
      </c>
    </row>
    <row r="262" spans="1:37">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f>model_eui_end_uses!G262*base_scenario_arch_measures!$F262</f>
        <v>0</v>
      </c>
      <c r="H262">
        <f>model_eui_end_uses!H262*base_scenario_arch_measures!$F262</f>
        <v>10.787514403503447</v>
      </c>
      <c r="I262">
        <f>model_eui_end_uses!I262*base_scenario_arch_measures!$F262</f>
        <v>1.7503739231547053E-2</v>
      </c>
      <c r="J262">
        <f>model_eui_end_uses!J262*base_scenario_arch_measures!$F262</f>
        <v>0.10301819043910521</v>
      </c>
      <c r="K262">
        <f>model_eui_end_uses!K262*base_scenario_arch_measures!$F262</f>
        <v>0</v>
      </c>
      <c r="L262">
        <f>model_eui_end_uses!L262*base_scenario_arch_measures!$F262</f>
        <v>0.94457837563015257</v>
      </c>
      <c r="M262">
        <f>model_eui_end_uses!M262*base_scenario_arch_measures!$F262</f>
        <v>0.19343190708042968</v>
      </c>
      <c r="N262">
        <f>model_eui_end_uses!N262*base_scenario_arch_measures!$F262</f>
        <v>0</v>
      </c>
      <c r="O262">
        <f>model_eui_end_uses!O262*base_scenario_arch_measures!$F262</f>
        <v>0.78321438775255725</v>
      </c>
      <c r="P262">
        <f>model_eui_end_uses!P262*base_scenario_arch_measures!$F262</f>
        <v>0.60216426058655526</v>
      </c>
      <c r="Q262">
        <f>model_eui_end_uses!Q262*base_scenario_arch_measures!$F262</f>
        <v>0</v>
      </c>
      <c r="R262" s="187">
        <f>model_eui_end_uses!R262*base_building_arch_areas!$N$27</f>
        <v>0</v>
      </c>
      <c r="S262" s="187">
        <f>model_eui_end_uses!S262*base_building_arch_areas!$N$27</f>
        <v>3562242.9069791436</v>
      </c>
      <c r="T262" s="187">
        <f>model_eui_end_uses!T262*base_building_arch_areas!$N$27</f>
        <v>3875.6107761739299</v>
      </c>
      <c r="U262" s="187">
        <f>model_eui_end_uses!U262*base_building_arch_areas!$N$27</f>
        <v>23841.190758750799</v>
      </c>
      <c r="V262" s="187">
        <f>model_eui_end_uses!V262*base_building_arch_areas!$N$27</f>
        <v>0</v>
      </c>
      <c r="W262" s="187">
        <f>model_eui_end_uses!W262*base_building_arch_areas!$N$27</f>
        <v>312285.58427058923</v>
      </c>
      <c r="X262" s="187">
        <f>model_eui_end_uses!X262*base_building_arch_areas!$N$27</f>
        <v>44765.3659599026</v>
      </c>
      <c r="Y262" s="187">
        <f>model_eui_end_uses!Y262*base_building_arch_areas!$N$27</f>
        <v>0</v>
      </c>
      <c r="Z262" s="187">
        <f>model_eui_end_uses!Z262*base_building_arch_areas!$N$27</f>
        <v>196161.565641931</v>
      </c>
      <c r="AA262" s="187">
        <f>model_eui_end_uses!AA262*base_building_arch_areas!$N$27</f>
        <v>176773.20428559286</v>
      </c>
      <c r="AB262" s="187">
        <f>model_eui_end_uses!AB262*base_building_arch_areas!$N$27</f>
        <v>0</v>
      </c>
      <c r="AC262" s="187">
        <f>model_eui_end_uses!AC262*base_building_arch_areas!$N$27</f>
        <v>4319945.4286720846</v>
      </c>
      <c r="AD262" s="187">
        <f>model_eui_end_uses!AD262*base_building_arch_areas!$N$27</f>
        <v>1065720.8111195511</v>
      </c>
      <c r="AE262" s="187">
        <f>model_eui_end_uses!AE262*base_building_arch_areas!$N$27</f>
        <v>145830.16292901253</v>
      </c>
      <c r="AF262" s="187">
        <f t="shared" si="44"/>
        <v>1211550.9740485635</v>
      </c>
      <c r="AG262" s="187">
        <f>model_eui_end_uses!AH262*base_building_arch_areas!$N$27</f>
        <v>17264.67714013673</v>
      </c>
      <c r="AH262" s="187">
        <f>model_eui_end_uses!AI262*base_building_arch_areas!$N$27</f>
        <v>16478.808410978418</v>
      </c>
      <c r="AI262" s="187">
        <f t="shared" si="45"/>
        <v>33743.485551115147</v>
      </c>
      <c r="AJ262" s="200">
        <f>sim_annual_output!F262/sim_annual_output!H262*base_building_arch_areas!$N$27</f>
        <v>293186.70750332839</v>
      </c>
      <c r="AK262">
        <f t="shared" si="46"/>
        <v>8.6886906528729728</v>
      </c>
    </row>
    <row r="263" spans="1:37">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f>model_eui_end_uses!G263*base_scenario_arch_measures!$F263</f>
        <v>0</v>
      </c>
      <c r="H263">
        <f>model_eui_end_uses!H263*base_scenario_arch_measures!$F263</f>
        <v>14.852657627782742</v>
      </c>
      <c r="I263">
        <f>model_eui_end_uses!I263*base_scenario_arch_measures!$F263</f>
        <v>1.8617208648312136E-2</v>
      </c>
      <c r="J263">
        <f>model_eui_end_uses!J263*base_scenario_arch_measures!$F263</f>
        <v>0.10301819043910521</v>
      </c>
      <c r="K263">
        <f>model_eui_end_uses!K263*base_scenario_arch_measures!$F263</f>
        <v>0</v>
      </c>
      <c r="L263">
        <f>model_eui_end_uses!L263*base_scenario_arch_measures!$F263</f>
        <v>1.349391316789265</v>
      </c>
      <c r="M263">
        <f>model_eui_end_uses!M263*base_scenario_arch_measures!$F263</f>
        <v>0.19343190708042968</v>
      </c>
      <c r="N263">
        <f>model_eui_end_uses!N263*base_scenario_arch_measures!$F263</f>
        <v>0</v>
      </c>
      <c r="O263">
        <f>model_eui_end_uses!O263*base_scenario_arch_measures!$F263</f>
        <v>0.82445729494953568</v>
      </c>
      <c r="P263">
        <f>model_eui_end_uses!P263*base_scenario_arch_measures!$F263</f>
        <v>0.74326310507902627</v>
      </c>
      <c r="Q263">
        <f>model_eui_end_uses!Q263*base_scenario_arch_measures!$F263</f>
        <v>0</v>
      </c>
      <c r="R263" s="187">
        <f>model_eui_end_uses!R263*base_building_arch_areas!$N$27</f>
        <v>0</v>
      </c>
      <c r="S263" s="187">
        <f>model_eui_end_uses!S263*base_building_arch_areas!$N$27</f>
        <v>3562242.9069791436</v>
      </c>
      <c r="T263" s="187">
        <f>model_eui_end_uses!T263*base_building_arch_areas!$N$27</f>
        <v>3875.6107761739299</v>
      </c>
      <c r="U263" s="187">
        <f>model_eui_end_uses!U263*base_building_arch_areas!$N$27</f>
        <v>23841.190758750799</v>
      </c>
      <c r="V263" s="187">
        <f>model_eui_end_uses!V263*base_building_arch_areas!$N$27</f>
        <v>0</v>
      </c>
      <c r="W263" s="187">
        <f>model_eui_end_uses!W263*base_building_arch_areas!$N$27</f>
        <v>312285.58427058923</v>
      </c>
      <c r="X263" s="187">
        <f>model_eui_end_uses!X263*base_building_arch_areas!$N$27</f>
        <v>44765.3659599026</v>
      </c>
      <c r="Y263" s="187">
        <f>model_eui_end_uses!Y263*base_building_arch_areas!$N$27</f>
        <v>0</v>
      </c>
      <c r="Z263" s="187">
        <f>model_eui_end_uses!Z263*base_building_arch_areas!$N$27</f>
        <v>196161.565641931</v>
      </c>
      <c r="AA263" s="187">
        <f>model_eui_end_uses!AA263*base_building_arch_areas!$N$27</f>
        <v>176773.20428559286</v>
      </c>
      <c r="AB263" s="187">
        <f>model_eui_end_uses!AB263*base_building_arch_areas!$N$27</f>
        <v>0</v>
      </c>
      <c r="AC263" s="187">
        <f>model_eui_end_uses!AC263*base_building_arch_areas!$N$27</f>
        <v>4319945.4286720846</v>
      </c>
      <c r="AD263" s="187">
        <f>model_eui_end_uses!AD263*base_building_arch_areas!$N$27</f>
        <v>124936.91015426703</v>
      </c>
      <c r="AE263" s="187">
        <f>model_eui_end_uses!AE263*base_building_arch_areas!$N$27</f>
        <v>9689.0269404347291</v>
      </c>
      <c r="AF263" s="187">
        <f t="shared" si="44"/>
        <v>134625.93709470175</v>
      </c>
      <c r="AG263" s="187">
        <f>model_eui_end_uses!AH263*base_building_arch_areas!$N$27</f>
        <v>2023.9779444991257</v>
      </c>
      <c r="AH263" s="187">
        <f>model_eui_end_uses!AI263*base_building_arch_areas!$N$27</f>
        <v>1094.8600442691243</v>
      </c>
      <c r="AI263" s="187">
        <f t="shared" si="45"/>
        <v>3118.8379887682499</v>
      </c>
      <c r="AJ263" s="200">
        <f>sim_annual_output!F263/sim_annual_output!H263*base_building_arch_areas!$N$27</f>
        <v>1186540.7558341078</v>
      </c>
      <c r="AK263">
        <f t="shared" si="46"/>
        <v>380.44321638608704</v>
      </c>
    </row>
    <row r="264" spans="1:37">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f>model_eui_end_uses!G264*base_scenario_arch_measures!$F264</f>
        <v>0</v>
      </c>
      <c r="H264">
        <f>model_eui_end_uses!H264*base_scenario_arch_measures!$F264</f>
        <v>14.811860108352471</v>
      </c>
      <c r="I264">
        <f>model_eui_end_uses!I264*base_scenario_arch_measures!$F264</f>
        <v>1.8839902531665152E-2</v>
      </c>
      <c r="J264">
        <f>model_eui_end_uses!J264*base_scenario_arch_measures!$F264</f>
        <v>0.10301819043910521</v>
      </c>
      <c r="K264">
        <f>model_eui_end_uses!K264*base_scenario_arch_measures!$F264</f>
        <v>0</v>
      </c>
      <c r="L264">
        <f>model_eui_end_uses!L264*base_scenario_arch_measures!$F264</f>
        <v>1.349391316789265</v>
      </c>
      <c r="M264">
        <f>model_eui_end_uses!M264*base_scenario_arch_measures!$F264</f>
        <v>0.19343190708042968</v>
      </c>
      <c r="N264">
        <f>model_eui_end_uses!N264*base_scenario_arch_measures!$F264</f>
        <v>0</v>
      </c>
      <c r="O264">
        <f>model_eui_end_uses!O264*base_scenario_arch_measures!$F264</f>
        <v>0.8225866663293705</v>
      </c>
      <c r="P264">
        <f>model_eui_end_uses!P264*base_scenario_arch_measures!$F264</f>
        <v>0.7411697825755077</v>
      </c>
      <c r="Q264">
        <f>model_eui_end_uses!Q264*base_scenario_arch_measures!$F264</f>
        <v>0</v>
      </c>
      <c r="R264" s="187">
        <f>model_eui_end_uses!R264*base_building_arch_areas!$N$27</f>
        <v>0</v>
      </c>
      <c r="S264" s="187">
        <f>model_eui_end_uses!S264*base_building_arch_areas!$N$27</f>
        <v>3562242.9069791436</v>
      </c>
      <c r="T264" s="187">
        <f>model_eui_end_uses!T264*base_building_arch_areas!$N$27</f>
        <v>3875.6107761739299</v>
      </c>
      <c r="U264" s="187">
        <f>model_eui_end_uses!U264*base_building_arch_areas!$N$27</f>
        <v>23841.190758750799</v>
      </c>
      <c r="V264" s="187">
        <f>model_eui_end_uses!V264*base_building_arch_areas!$N$27</f>
        <v>0</v>
      </c>
      <c r="W264" s="187">
        <f>model_eui_end_uses!W264*base_building_arch_areas!$N$27</f>
        <v>312285.58427058923</v>
      </c>
      <c r="X264" s="187">
        <f>model_eui_end_uses!X264*base_building_arch_areas!$N$27</f>
        <v>44765.3659599026</v>
      </c>
      <c r="Y264" s="187">
        <f>model_eui_end_uses!Y264*base_building_arch_areas!$N$27</f>
        <v>0</v>
      </c>
      <c r="Z264" s="187">
        <f>model_eui_end_uses!Z264*base_building_arch_areas!$N$27</f>
        <v>196161.565641931</v>
      </c>
      <c r="AA264" s="187">
        <f>model_eui_end_uses!AA264*base_building_arch_areas!$N$27</f>
        <v>176773.20428559286</v>
      </c>
      <c r="AB264" s="187">
        <f>model_eui_end_uses!AB264*base_building_arch_areas!$N$27</f>
        <v>0</v>
      </c>
      <c r="AC264" s="187">
        <f>model_eui_end_uses!AC264*base_building_arch_areas!$N$27</f>
        <v>4319945.4286720846</v>
      </c>
      <c r="AD264" s="187">
        <f>model_eui_end_uses!AD264*base_building_arch_areas!$N$27</f>
        <v>134378.55768345625</v>
      </c>
      <c r="AE264" s="187">
        <f>model_eui_end_uses!AE264*base_building_arch_areas!$N$27</f>
        <v>10554.854879792761</v>
      </c>
      <c r="AF264" s="187">
        <f t="shared" si="44"/>
        <v>144933.412563249</v>
      </c>
      <c r="AG264" s="187">
        <f>model_eui_end_uses!AH264*base_building_arch_areas!$N$27</f>
        <v>2176.9326344719916</v>
      </c>
      <c r="AH264" s="187">
        <f>model_eui_end_uses!AI264*base_building_arch_areas!$N$27</f>
        <v>1192.6986014165821</v>
      </c>
      <c r="AI264" s="187">
        <f t="shared" si="45"/>
        <v>3369.6312358885734</v>
      </c>
      <c r="AJ264" s="200">
        <f>sim_annual_output!F264/sim_annual_output!H264*base_building_arch_areas!$N$27</f>
        <v>2303620.6599763874</v>
      </c>
      <c r="AK264">
        <f t="shared" si="46"/>
        <v>683.64176929554174</v>
      </c>
    </row>
    <row r="265" spans="1:37">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f>model_eui_end_uses!G265*base_scenario_arch_measures!$F265</f>
        <v>0</v>
      </c>
      <c r="H265">
        <f>model_eui_end_uses!H265*base_scenario_arch_measures!$F265</f>
        <v>15.242238307320507</v>
      </c>
      <c r="I265">
        <f>model_eui_end_uses!I265*base_scenario_arch_measures!$F265</f>
        <v>2.0265143385124453E-2</v>
      </c>
      <c r="J265">
        <f>model_eui_end_uses!J265*base_scenario_arch_measures!$F265</f>
        <v>0.10301819043910521</v>
      </c>
      <c r="K265">
        <f>model_eui_end_uses!K265*base_scenario_arch_measures!$F265</f>
        <v>0</v>
      </c>
      <c r="L265">
        <f>model_eui_end_uses!L265*base_scenario_arch_measures!$F265</f>
        <v>1.349391316789265</v>
      </c>
      <c r="M265">
        <f>model_eui_end_uses!M265*base_scenario_arch_measures!$F265</f>
        <v>0.19343190708042968</v>
      </c>
      <c r="N265">
        <f>model_eui_end_uses!N265*base_scenario_arch_measures!$F265</f>
        <v>0</v>
      </c>
      <c r="O265">
        <f>model_eui_end_uses!O265*base_scenario_arch_measures!$F265</f>
        <v>0.85532266718226369</v>
      </c>
      <c r="P265">
        <f>model_eui_end_uses!P265*base_scenario_arch_measures!$F265</f>
        <v>0.77034268129475292</v>
      </c>
      <c r="Q265">
        <f>model_eui_end_uses!Q265*base_scenario_arch_measures!$F265</f>
        <v>0</v>
      </c>
      <c r="R265" s="187">
        <f>model_eui_end_uses!R265*base_building_arch_areas!$N$27</f>
        <v>0</v>
      </c>
      <c r="S265" s="187">
        <f>model_eui_end_uses!S265*base_building_arch_areas!$N$27</f>
        <v>3562242.9069791436</v>
      </c>
      <c r="T265" s="187">
        <f>model_eui_end_uses!T265*base_building_arch_areas!$N$27</f>
        <v>3875.6107761739299</v>
      </c>
      <c r="U265" s="187">
        <f>model_eui_end_uses!U265*base_building_arch_areas!$N$27</f>
        <v>23841.190758750799</v>
      </c>
      <c r="V265" s="187">
        <f>model_eui_end_uses!V265*base_building_arch_areas!$N$27</f>
        <v>0</v>
      </c>
      <c r="W265" s="187">
        <f>model_eui_end_uses!W265*base_building_arch_areas!$N$27</f>
        <v>312285.58427058923</v>
      </c>
      <c r="X265" s="187">
        <f>model_eui_end_uses!X265*base_building_arch_areas!$N$27</f>
        <v>44765.3659599026</v>
      </c>
      <c r="Y265" s="187">
        <f>model_eui_end_uses!Y265*base_building_arch_areas!$N$27</f>
        <v>0</v>
      </c>
      <c r="Z265" s="187">
        <f>model_eui_end_uses!Z265*base_building_arch_areas!$N$27</f>
        <v>196161.565641931</v>
      </c>
      <c r="AA265" s="187">
        <f>model_eui_end_uses!AA265*base_building_arch_areas!$N$27</f>
        <v>176773.20428559286</v>
      </c>
      <c r="AB265" s="187">
        <f>model_eui_end_uses!AB265*base_building_arch_areas!$N$27</f>
        <v>0</v>
      </c>
      <c r="AC265" s="187">
        <f>model_eui_end_uses!AC265*base_building_arch_areas!$N$27</f>
        <v>4319945.4286720846</v>
      </c>
      <c r="AD265" s="187">
        <f>model_eui_end_uses!AD265*base_building_arch_areas!$N$27</f>
        <v>34777.422230880598</v>
      </c>
      <c r="AE265" s="187">
        <f>model_eui_end_uses!AE265*base_building_arch_areas!$N$27</f>
        <v>-4102.3752364820748</v>
      </c>
      <c r="AF265" s="187">
        <f t="shared" si="44"/>
        <v>30675.046994398523</v>
      </c>
      <c r="AG265" s="187">
        <f>model_eui_end_uses!AH265*base_building_arch_areas!$N$27</f>
        <v>563.39424014026565</v>
      </c>
      <c r="AH265" s="187">
        <f>model_eui_end_uses!AI265*base_building_arch_areas!$N$27</f>
        <v>-463.56840172247445</v>
      </c>
      <c r="AI265" s="187">
        <f t="shared" si="45"/>
        <v>99.825838417791203</v>
      </c>
      <c r="AJ265" s="200">
        <f>sim_annual_output!F265/sim_annual_output!H265*base_building_arch_areas!$N$27</f>
        <v>334394.30332336907</v>
      </c>
      <c r="AK265">
        <f t="shared" si="46"/>
        <v>3349.777057958298</v>
      </c>
    </row>
    <row r="266" spans="1:37">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f>model_eui_end_uses!G266*base_scenario_arch_measures!$F266</f>
        <v>0</v>
      </c>
      <c r="H266">
        <f>model_eui_end_uses!H266*base_scenario_arch_measures!$F266</f>
        <v>15.369351975938409</v>
      </c>
      <c r="I266">
        <f>model_eui_end_uses!I266*base_scenario_arch_measures!$F266</f>
        <v>1.8706286201653342E-2</v>
      </c>
      <c r="J266">
        <f>model_eui_end_uses!J266*base_scenario_arch_measures!$F266</f>
        <v>0.10301819043910521</v>
      </c>
      <c r="K266">
        <f>model_eui_end_uses!K266*base_scenario_arch_measures!$F266</f>
        <v>0</v>
      </c>
      <c r="L266">
        <f>model_eui_end_uses!L266*base_scenario_arch_measures!$F266</f>
        <v>1.349391316789265</v>
      </c>
      <c r="M266">
        <f>model_eui_end_uses!M266*base_scenario_arch_measures!$F266</f>
        <v>0.19343190708042968</v>
      </c>
      <c r="N266">
        <f>model_eui_end_uses!N266*base_scenario_arch_measures!$F266</f>
        <v>0</v>
      </c>
      <c r="O266">
        <f>model_eui_end_uses!O266*base_scenario_arch_measures!$F266</f>
        <v>0.80508292709782336</v>
      </c>
      <c r="P266">
        <f>model_eui_end_uses!P266*base_scenario_arch_measures!$F266</f>
        <v>0.7741730160884247</v>
      </c>
      <c r="Q266">
        <f>model_eui_end_uses!Q266*base_scenario_arch_measures!$F266</f>
        <v>0</v>
      </c>
      <c r="R266" s="187">
        <f>model_eui_end_uses!R266*base_building_arch_areas!$N$27</f>
        <v>0</v>
      </c>
      <c r="S266" s="187">
        <f>model_eui_end_uses!S266*base_building_arch_areas!$N$27</f>
        <v>3562242.9069791436</v>
      </c>
      <c r="T266" s="187">
        <f>model_eui_end_uses!T266*base_building_arch_areas!$N$27</f>
        <v>3875.6107761739299</v>
      </c>
      <c r="U266" s="187">
        <f>model_eui_end_uses!U266*base_building_arch_areas!$N$27</f>
        <v>23841.190758750799</v>
      </c>
      <c r="V266" s="187">
        <f>model_eui_end_uses!V266*base_building_arch_areas!$N$27</f>
        <v>0</v>
      </c>
      <c r="W266" s="187">
        <f>model_eui_end_uses!W266*base_building_arch_areas!$N$27</f>
        <v>312285.58427058923</v>
      </c>
      <c r="X266" s="187">
        <f>model_eui_end_uses!X266*base_building_arch_areas!$N$27</f>
        <v>44765.3659599026</v>
      </c>
      <c r="Y266" s="187">
        <f>model_eui_end_uses!Y266*base_building_arch_areas!$N$27</f>
        <v>0</v>
      </c>
      <c r="Z266" s="187">
        <f>model_eui_end_uses!Z266*base_building_arch_areas!$N$27</f>
        <v>196161.565641931</v>
      </c>
      <c r="AA266" s="187">
        <f>model_eui_end_uses!AA266*base_building_arch_areas!$N$27</f>
        <v>176773.20428559286</v>
      </c>
      <c r="AB266" s="187">
        <f>model_eui_end_uses!AB266*base_building_arch_areas!$N$27</f>
        <v>0</v>
      </c>
      <c r="AC266" s="187">
        <f>model_eui_end_uses!AC266*base_building_arch_areas!$N$27</f>
        <v>4319945.4286720846</v>
      </c>
      <c r="AD266" s="187">
        <f>model_eui_end_uses!AD266*base_building_arch_areas!$N$27</f>
        <v>5359.8872436451884</v>
      </c>
      <c r="AE266" s="187">
        <f>model_eui_end_uses!AE266*base_building_arch_areas!$N$27</f>
        <v>6998.7758431439042</v>
      </c>
      <c r="AF266" s="187">
        <f t="shared" si="44"/>
        <v>12358.663086789093</v>
      </c>
      <c r="AG266" s="187">
        <f>model_eui_end_uses!AH266*base_building_arch_areas!$N$27</f>
        <v>86.830173347052039</v>
      </c>
      <c r="AH266" s="187">
        <f>model_eui_end_uses!AI266*base_building_arch_areas!$N$27</f>
        <v>790.86167027526119</v>
      </c>
      <c r="AI266" s="187">
        <f t="shared" si="45"/>
        <v>877.69184362231317</v>
      </c>
      <c r="AJ266" s="200">
        <f>sim_annual_output!F266/sim_annual_output!H266*base_building_arch_areas!$N$27</f>
        <v>10096.509960059284</v>
      </c>
      <c r="AK266">
        <f t="shared" si="46"/>
        <v>11.50347930589178</v>
      </c>
    </row>
    <row r="267" spans="1:37">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f>model_eui_end_uses!G267*base_scenario_arch_measures!$F267</f>
        <v>0</v>
      </c>
      <c r="H267">
        <f>model_eui_end_uses!H267*base_scenario_arch_measures!$F267</f>
        <v>15.388904498896803</v>
      </c>
      <c r="I267">
        <f>model_eui_end_uses!I267*base_scenario_arch_measures!$F267</f>
        <v>1.8661747424982739E-2</v>
      </c>
      <c r="J267">
        <f>model_eui_end_uses!J267*base_scenario_arch_measures!$F267</f>
        <v>0.10301819043910521</v>
      </c>
      <c r="K267">
        <f>model_eui_end_uses!K267*base_scenario_arch_measures!$F267</f>
        <v>0</v>
      </c>
      <c r="L267">
        <f>model_eui_end_uses!L267*base_scenario_arch_measures!$F267</f>
        <v>1.349391316789265</v>
      </c>
      <c r="M267">
        <f>model_eui_end_uses!M267*base_scenario_arch_measures!$F267</f>
        <v>0.19343190708042968</v>
      </c>
      <c r="N267">
        <f>model_eui_end_uses!N267*base_scenario_arch_measures!$F267</f>
        <v>0</v>
      </c>
      <c r="O267">
        <f>model_eui_end_uses!O267*base_scenario_arch_measures!$F267</f>
        <v>0.8519377201552979</v>
      </c>
      <c r="P267">
        <f>model_eui_end_uses!P267*base_scenario_arch_measures!$F267</f>
        <v>0.7741730160884247</v>
      </c>
      <c r="Q267">
        <f>model_eui_end_uses!Q267*base_scenario_arch_measures!$F267</f>
        <v>0</v>
      </c>
      <c r="R267" s="187">
        <f>model_eui_end_uses!R267*base_building_arch_areas!$N$27</f>
        <v>0</v>
      </c>
      <c r="S267" s="187">
        <f>model_eui_end_uses!S267*base_building_arch_areas!$N$27</f>
        <v>3562242.9069791436</v>
      </c>
      <c r="T267" s="187">
        <f>model_eui_end_uses!T267*base_building_arch_areas!$N$27</f>
        <v>3875.6107761739299</v>
      </c>
      <c r="U267" s="187">
        <f>model_eui_end_uses!U267*base_building_arch_areas!$N$27</f>
        <v>23841.190758750799</v>
      </c>
      <c r="V267" s="187">
        <f>model_eui_end_uses!V267*base_building_arch_areas!$N$27</f>
        <v>0</v>
      </c>
      <c r="W267" s="187">
        <f>model_eui_end_uses!W267*base_building_arch_areas!$N$27</f>
        <v>312285.58427058923</v>
      </c>
      <c r="X267" s="187">
        <f>model_eui_end_uses!X267*base_building_arch_areas!$N$27</f>
        <v>44765.3659599026</v>
      </c>
      <c r="Y267" s="187">
        <f>model_eui_end_uses!Y267*base_building_arch_areas!$N$27</f>
        <v>0</v>
      </c>
      <c r="Z267" s="187">
        <f>model_eui_end_uses!Z267*base_building_arch_areas!$N$27</f>
        <v>196161.565641931</v>
      </c>
      <c r="AA267" s="187">
        <f>model_eui_end_uses!AA267*base_building_arch_areas!$N$27</f>
        <v>176773.20428559286</v>
      </c>
      <c r="AB267" s="187">
        <f>model_eui_end_uses!AB267*base_building_arch_areas!$N$27</f>
        <v>0</v>
      </c>
      <c r="AC267" s="187">
        <f>model_eui_end_uses!AC267*base_building_arch_areas!$N$27</f>
        <v>4319945.4286720846</v>
      </c>
      <c r="AD267" s="187">
        <f>model_eui_end_uses!AD267*base_building_arch_areas!$N$27</f>
        <v>834.9055129530301</v>
      </c>
      <c r="AE267" s="187">
        <f>model_eui_end_uses!AE267*base_building_arch_areas!$N$27</f>
        <v>-3834.3808742996594</v>
      </c>
      <c r="AF267" s="187">
        <f t="shared" si="44"/>
        <v>-2999.4753613466291</v>
      </c>
      <c r="AG267" s="187">
        <f>model_eui_end_uses!AH267*base_building_arch_areas!$N$27</f>
        <v>13.525469309839085</v>
      </c>
      <c r="AH267" s="187">
        <f>model_eui_end_uses!AI267*base_building_arch_areas!$N$27</f>
        <v>-433.28503879586151</v>
      </c>
      <c r="AI267" s="187">
        <f t="shared" si="45"/>
        <v>-419.75956948602243</v>
      </c>
      <c r="AJ267" s="200">
        <f>sim_annual_output!F267/sim_annual_output!H267*base_building_arch_areas!$N$27</f>
        <v>5425.5718807304875</v>
      </c>
      <c r="AK267">
        <f t="shared" si="46"/>
        <v>-12.925427495015462</v>
      </c>
    </row>
    <row r="268" spans="1:37">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f>model_eui_end_uses!G268*base_scenario_arch_measures!$F268</f>
        <v>0</v>
      </c>
      <c r="H268">
        <f>model_eui_end_uses!H268*base_scenario_arch_measures!$F268</f>
        <v>11.636468025621815</v>
      </c>
      <c r="I268">
        <f>model_eui_end_uses!I268*base_scenario_arch_measures!$F268</f>
        <v>2.5208947595561412E-2</v>
      </c>
      <c r="J268">
        <f>model_eui_end_uses!J268*base_scenario_arch_measures!$F268</f>
        <v>0.10301819043910521</v>
      </c>
      <c r="K268">
        <f>model_eui_end_uses!K268*base_scenario_arch_measures!$F268</f>
        <v>0</v>
      </c>
      <c r="L268">
        <f>model_eui_end_uses!L268*base_scenario_arch_measures!$F268</f>
        <v>1.349391316789265</v>
      </c>
      <c r="M268">
        <f>model_eui_end_uses!M268*base_scenario_arch_measures!$F268</f>
        <v>0.19343190708042968</v>
      </c>
      <c r="N268">
        <f>model_eui_end_uses!N268*base_scenario_arch_measures!$F268</f>
        <v>0</v>
      </c>
      <c r="O268">
        <f>model_eui_end_uses!O268*base_scenario_arch_measures!$F268</f>
        <v>0.84490059344134261</v>
      </c>
      <c r="P268">
        <f>model_eui_end_uses!P268*base_scenario_arch_measures!$F268</f>
        <v>0.77412847731175416</v>
      </c>
      <c r="Q268">
        <f>model_eui_end_uses!Q268*base_scenario_arch_measures!$F268</f>
        <v>0.42138136608057686</v>
      </c>
      <c r="R268" s="187">
        <f>model_eui_end_uses!R268*base_building_arch_areas!$N$27</f>
        <v>0</v>
      </c>
      <c r="S268" s="187">
        <f>model_eui_end_uses!S268*base_building_arch_areas!$N$27</f>
        <v>3562242.9069791436</v>
      </c>
      <c r="T268" s="187">
        <f>model_eui_end_uses!T268*base_building_arch_areas!$N$27</f>
        <v>3875.6107761739299</v>
      </c>
      <c r="U268" s="187">
        <f>model_eui_end_uses!U268*base_building_arch_areas!$N$27</f>
        <v>23841.190758750799</v>
      </c>
      <c r="V268" s="187">
        <f>model_eui_end_uses!V268*base_building_arch_areas!$N$27</f>
        <v>0</v>
      </c>
      <c r="W268" s="187">
        <f>model_eui_end_uses!W268*base_building_arch_areas!$N$27</f>
        <v>312285.58427058923</v>
      </c>
      <c r="X268" s="187">
        <f>model_eui_end_uses!X268*base_building_arch_areas!$N$27</f>
        <v>44765.3659599026</v>
      </c>
      <c r="Y268" s="187">
        <f>model_eui_end_uses!Y268*base_building_arch_areas!$N$27</f>
        <v>0</v>
      </c>
      <c r="Z268" s="187">
        <f>model_eui_end_uses!Z268*base_building_arch_areas!$N$27</f>
        <v>196161.565641931</v>
      </c>
      <c r="AA268" s="187">
        <f>model_eui_end_uses!AA268*base_building_arch_areas!$N$27</f>
        <v>176773.20428559286</v>
      </c>
      <c r="AB268" s="187">
        <f>model_eui_end_uses!AB268*base_building_arch_areas!$N$27</f>
        <v>0</v>
      </c>
      <c r="AC268" s="187">
        <f>model_eui_end_uses!AC268*base_building_arch_areas!$N$27</f>
        <v>4319945.4286720846</v>
      </c>
      <c r="AD268" s="187">
        <f>model_eui_end_uses!AD268*base_building_arch_areas!$N$27</f>
        <v>869250.02121356397</v>
      </c>
      <c r="AE268" s="187">
        <f>model_eui_end_uses!AE268*base_building_arch_areas!$N$27</f>
        <v>-101229.71657660678</v>
      </c>
      <c r="AF268" s="187">
        <f t="shared" si="44"/>
        <v>768020.30463695724</v>
      </c>
      <c r="AG268" s="187">
        <f>model_eui_end_uses!AH268*base_building_arch_areas!$N$27</f>
        <v>14081.850343659737</v>
      </c>
      <c r="AH268" s="187">
        <f>model_eui_end_uses!AI268*base_building_arch_areas!$N$27</f>
        <v>-11438.957973156566</v>
      </c>
      <c r="AI268" s="187">
        <f t="shared" si="45"/>
        <v>2642.8923705031702</v>
      </c>
      <c r="AJ268" s="200">
        <f>sim_annual_output!F268/sim_annual_output!H268*base_building_arch_areas!$N$27</f>
        <v>617171.96739430784</v>
      </c>
      <c r="AK268">
        <f t="shared" si="46"/>
        <v>233.52141550766473</v>
      </c>
    </row>
    <row r="269" spans="1:37">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f>model_eui_end_uses!G269*base_scenario_arch_measures!$F269</f>
        <v>0</v>
      </c>
      <c r="H269">
        <f>model_eui_end_uses!H269*base_scenario_arch_measures!$F269</f>
        <v>12.56808561724082</v>
      </c>
      <c r="I269">
        <f>model_eui_end_uses!I269*base_scenario_arch_measures!$F269</f>
        <v>1.964160051173601E-2</v>
      </c>
      <c r="J269">
        <f>model_eui_end_uses!J269*base_scenario_arch_measures!$F269</f>
        <v>0.10301819043910521</v>
      </c>
      <c r="K269">
        <f>model_eui_end_uses!K269*base_scenario_arch_measures!$F269</f>
        <v>0</v>
      </c>
      <c r="L269">
        <f>model_eui_end_uses!L269*base_scenario_arch_measures!$F269</f>
        <v>1.349391316789265</v>
      </c>
      <c r="M269">
        <f>model_eui_end_uses!M269*base_scenario_arch_measures!$F269</f>
        <v>0.19343190708042968</v>
      </c>
      <c r="N269">
        <f>model_eui_end_uses!N269*base_scenario_arch_measures!$F269</f>
        <v>0</v>
      </c>
      <c r="O269">
        <f>model_eui_end_uses!O269*base_scenario_arch_measures!$F269</f>
        <v>0.69284520988790332</v>
      </c>
      <c r="P269">
        <f>model_eui_end_uses!P269*base_scenario_arch_measures!$F269</f>
        <v>0.62554711833862198</v>
      </c>
      <c r="Q269">
        <f>model_eui_end_uses!Q269*base_scenario_arch_measures!$F269</f>
        <v>0</v>
      </c>
      <c r="R269" s="187">
        <f>model_eui_end_uses!R269*base_building_arch_areas!$N$27</f>
        <v>0</v>
      </c>
      <c r="S269" s="187">
        <f>model_eui_end_uses!S269*base_building_arch_areas!$N$27</f>
        <v>3562242.9069791436</v>
      </c>
      <c r="T269" s="187">
        <f>model_eui_end_uses!T269*base_building_arch_areas!$N$27</f>
        <v>3875.6107761739299</v>
      </c>
      <c r="U269" s="187">
        <f>model_eui_end_uses!U269*base_building_arch_areas!$N$27</f>
        <v>23841.190758750799</v>
      </c>
      <c r="V269" s="187">
        <f>model_eui_end_uses!V269*base_building_arch_areas!$N$27</f>
        <v>0</v>
      </c>
      <c r="W269" s="187">
        <f>model_eui_end_uses!W269*base_building_arch_areas!$N$27</f>
        <v>312285.58427058923</v>
      </c>
      <c r="X269" s="187">
        <f>model_eui_end_uses!X269*base_building_arch_areas!$N$27</f>
        <v>44765.3659599026</v>
      </c>
      <c r="Y269" s="187">
        <f>model_eui_end_uses!Y269*base_building_arch_areas!$N$27</f>
        <v>0</v>
      </c>
      <c r="Z269" s="187">
        <f>model_eui_end_uses!Z269*base_building_arch_areas!$N$27</f>
        <v>196161.565641931</v>
      </c>
      <c r="AA269" s="187">
        <f>model_eui_end_uses!AA269*base_building_arch_areas!$N$27</f>
        <v>176773.20428559286</v>
      </c>
      <c r="AB269" s="187">
        <f>model_eui_end_uses!AB269*base_building_arch_areas!$N$27</f>
        <v>0</v>
      </c>
      <c r="AC269" s="187">
        <f>model_eui_end_uses!AC269*base_building_arch_areas!$N$27</f>
        <v>4319945.4286720846</v>
      </c>
      <c r="AD269" s="187">
        <f>model_eui_end_uses!AD269*base_building_arch_areas!$N$27</f>
        <v>653648.55683795211</v>
      </c>
      <c r="AE269" s="187">
        <f>model_eui_end_uses!AE269*base_building_arch_areas!$N$27</f>
        <v>67153.20267758808</v>
      </c>
      <c r="AF269" s="187">
        <f t="shared" si="44"/>
        <v>720801.75951554021</v>
      </c>
      <c r="AG269" s="187">
        <f>model_eui_end_uses!AH269*base_building_arch_areas!$N$27</f>
        <v>10589.106620774824</v>
      </c>
      <c r="AH269" s="187">
        <f>model_eui_end_uses!AI269*base_building_arch_areas!$N$27</f>
        <v>7588.3119025674532</v>
      </c>
      <c r="AI269" s="187">
        <f t="shared" si="45"/>
        <v>18177.418523342276</v>
      </c>
      <c r="AJ269" s="200">
        <f>sim_annual_output!F269/sim_annual_output!H269*base_building_arch_areas!$N$27</f>
        <v>299813.52098771633</v>
      </c>
      <c r="AK269">
        <f t="shared" si="46"/>
        <v>16.493734828337423</v>
      </c>
    </row>
    <row r="270" spans="1:37">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f>model_eui_end_uses!G270*base_scenario_arch_measures!$F270</f>
        <v>0</v>
      </c>
      <c r="H270">
        <f>model_eui_end_uses!H270*base_scenario_arch_measures!$F270</f>
        <v>10.871870846517568</v>
      </c>
      <c r="I270">
        <f>model_eui_end_uses!I270*base_scenario_arch_measures!$F270</f>
        <v>1.1535543157686227E-2</v>
      </c>
      <c r="J270">
        <f>model_eui_end_uses!J270*base_scenario_arch_measures!$F270</f>
        <v>0.10301819043910521</v>
      </c>
      <c r="K270">
        <f>model_eui_end_uses!K270*base_scenario_arch_measures!$F270</f>
        <v>0</v>
      </c>
      <c r="L270">
        <f>model_eui_end_uses!L270*base_scenario_arch_measures!$F270</f>
        <v>1.349391316789265</v>
      </c>
      <c r="M270">
        <f>model_eui_end_uses!M270*base_scenario_arch_measures!$F270</f>
        <v>0.19343190708042968</v>
      </c>
      <c r="N270">
        <f>model_eui_end_uses!N270*base_scenario_arch_measures!$F270</f>
        <v>0</v>
      </c>
      <c r="O270">
        <f>model_eui_end_uses!O270*base_scenario_arch_measures!$F270</f>
        <v>0.76361732601749166</v>
      </c>
      <c r="P270">
        <f>model_eui_end_uses!P270*base_scenario_arch_measures!$F270</f>
        <v>0.69587384670150443</v>
      </c>
      <c r="Q270">
        <f>model_eui_end_uses!Q270*base_scenario_arch_measures!$F270</f>
        <v>0</v>
      </c>
      <c r="R270" s="187">
        <f>model_eui_end_uses!R270*base_building_arch_areas!$N$27</f>
        <v>0</v>
      </c>
      <c r="S270" s="187">
        <f>model_eui_end_uses!S270*base_building_arch_areas!$N$27</f>
        <v>3562242.9069791436</v>
      </c>
      <c r="T270" s="187">
        <f>model_eui_end_uses!T270*base_building_arch_areas!$N$27</f>
        <v>3875.6107761739299</v>
      </c>
      <c r="U270" s="187">
        <f>model_eui_end_uses!U270*base_building_arch_areas!$N$27</f>
        <v>23841.190758750799</v>
      </c>
      <c r="V270" s="187">
        <f>model_eui_end_uses!V270*base_building_arch_areas!$N$27</f>
        <v>0</v>
      </c>
      <c r="W270" s="187">
        <f>model_eui_end_uses!W270*base_building_arch_areas!$N$27</f>
        <v>312285.58427058923</v>
      </c>
      <c r="X270" s="187">
        <f>model_eui_end_uses!X270*base_building_arch_areas!$N$27</f>
        <v>44765.3659599026</v>
      </c>
      <c r="Y270" s="187">
        <f>model_eui_end_uses!Y270*base_building_arch_areas!$N$27</f>
        <v>0</v>
      </c>
      <c r="Z270" s="187">
        <f>model_eui_end_uses!Z270*base_building_arch_areas!$N$27</f>
        <v>196161.565641931</v>
      </c>
      <c r="AA270" s="187">
        <f>model_eui_end_uses!AA270*base_building_arch_areas!$N$27</f>
        <v>176773.20428559286</v>
      </c>
      <c r="AB270" s="187">
        <f>model_eui_end_uses!AB270*base_building_arch_areas!$N$27</f>
        <v>0</v>
      </c>
      <c r="AC270" s="187">
        <f>model_eui_end_uses!AC270*base_building_arch_areas!$N$27</f>
        <v>4319945.4286720846</v>
      </c>
      <c r="AD270" s="187">
        <f>model_eui_end_uses!AD270*base_building_arch_areas!$N$27</f>
        <v>1046198.4525821221</v>
      </c>
      <c r="AE270" s="187">
        <f>model_eui_end_uses!AE270*base_building_arch_areas!$N$27</f>
        <v>36375.080928504678</v>
      </c>
      <c r="AF270" s="187">
        <f t="shared" si="44"/>
        <v>1082573.5335106268</v>
      </c>
      <c r="AG270" s="187">
        <f>model_eui_end_uses!AH270*base_building_arch_areas!$N$27</f>
        <v>16948.414931830379</v>
      </c>
      <c r="AH270" s="187">
        <f>model_eui_end_uses!AI270*base_building_arch_areas!$N$27</f>
        <v>4110.3841449210286</v>
      </c>
      <c r="AI270" s="187">
        <f t="shared" si="45"/>
        <v>21058.799076751406</v>
      </c>
      <c r="AJ270" s="200">
        <f>sim_annual_output!F270/sim_annual_output!H270*base_building_arch_areas!$N$27</f>
        <v>323918.24572332896</v>
      </c>
      <c r="AK270">
        <f t="shared" si="46"/>
        <v>15.3816105345214</v>
      </c>
    </row>
    <row r="271" spans="1:37">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f>model_eui_end_uses!G271*base_scenario_arch_measures!$F271</f>
        <v>0</v>
      </c>
      <c r="H271">
        <f>model_eui_end_uses!H271*base_scenario_arch_measures!$F271</f>
        <v>15.890678356867822</v>
      </c>
      <c r="I271">
        <f>model_eui_end_uses!I271*base_scenario_arch_measures!$F271</f>
        <v>1.5722188164722928E-2</v>
      </c>
      <c r="J271">
        <f>model_eui_end_uses!J271*base_scenario_arch_measures!$F271</f>
        <v>0.10301819043910521</v>
      </c>
      <c r="K271">
        <f>model_eui_end_uses!K271*base_scenario_arch_measures!$F271</f>
        <v>0</v>
      </c>
      <c r="L271">
        <f>model_eui_end_uses!L271*base_scenario_arch_measures!$F271</f>
        <v>0.94457837563015257</v>
      </c>
      <c r="M271">
        <f>model_eui_end_uses!M271*base_scenario_arch_measures!$F271</f>
        <v>0.19343190708042968</v>
      </c>
      <c r="N271">
        <f>model_eui_end_uses!N271*base_scenario_arch_measures!$F271</f>
        <v>0</v>
      </c>
      <c r="O271">
        <f>model_eui_end_uses!O271*base_scenario_arch_measures!$F271</f>
        <v>0.85434281409551038</v>
      </c>
      <c r="P271">
        <f>model_eui_end_uses!P271*base_scenario_arch_measures!$F271</f>
        <v>0.76985275475137638</v>
      </c>
      <c r="Q271">
        <f>model_eui_end_uses!Q271*base_scenario_arch_measures!$F271</f>
        <v>0</v>
      </c>
      <c r="R271" s="187">
        <f>model_eui_end_uses!R271*base_building_arch_areas!$N$27</f>
        <v>0</v>
      </c>
      <c r="S271" s="187">
        <f>model_eui_end_uses!S271*base_building_arch_areas!$N$27</f>
        <v>3562242.9069791436</v>
      </c>
      <c r="T271" s="187">
        <f>model_eui_end_uses!T271*base_building_arch_areas!$N$27</f>
        <v>3875.6107761739299</v>
      </c>
      <c r="U271" s="187">
        <f>model_eui_end_uses!U271*base_building_arch_areas!$N$27</f>
        <v>23841.190758750799</v>
      </c>
      <c r="V271" s="187">
        <f>model_eui_end_uses!V271*base_building_arch_areas!$N$27</f>
        <v>0</v>
      </c>
      <c r="W271" s="187">
        <f>model_eui_end_uses!W271*base_building_arch_areas!$N$27</f>
        <v>312285.58427058923</v>
      </c>
      <c r="X271" s="187">
        <f>model_eui_end_uses!X271*base_building_arch_areas!$N$27</f>
        <v>44765.3659599026</v>
      </c>
      <c r="Y271" s="187">
        <f>model_eui_end_uses!Y271*base_building_arch_areas!$N$27</f>
        <v>0</v>
      </c>
      <c r="Z271" s="187">
        <f>model_eui_end_uses!Z271*base_building_arch_areas!$N$27</f>
        <v>196161.565641931</v>
      </c>
      <c r="AA271" s="187">
        <f>model_eui_end_uses!AA271*base_building_arch_areas!$N$27</f>
        <v>176773.20428559286</v>
      </c>
      <c r="AB271" s="187">
        <f>model_eui_end_uses!AB271*base_building_arch_areas!$N$27</f>
        <v>0</v>
      </c>
      <c r="AC271" s="187">
        <f>model_eui_end_uses!AC271*base_building_arch_areas!$N$27</f>
        <v>4319945.4286720846</v>
      </c>
      <c r="AD271" s="187">
        <f>model_eui_end_uses!AD271*base_building_arch_areas!$N$27</f>
        <v>-115289.11311570568</v>
      </c>
      <c r="AE271" s="187">
        <f>model_eui_end_uses!AE271*base_building_arch_areas!$N$27</f>
        <v>90973.778485401825</v>
      </c>
      <c r="AF271" s="187">
        <f t="shared" si="44"/>
        <v>-24315.334630303856</v>
      </c>
      <c r="AG271" s="187">
        <f>model_eui_end_uses!AH271*base_building_arch_areas!$N$27</f>
        <v>-1867.683632474432</v>
      </c>
      <c r="AH271" s="187">
        <f>model_eui_end_uses!AI271*base_building_arch_areas!$N$27</f>
        <v>10280.036968850407</v>
      </c>
      <c r="AI271" s="187">
        <f t="shared" si="45"/>
        <v>8412.3533363759743</v>
      </c>
      <c r="AJ271" s="200">
        <f>sim_annual_output!F271/sim_annual_output!H271*base_building_arch_areas!$N$27</f>
        <v>203541.85083775027</v>
      </c>
      <c r="AK271">
        <f t="shared" si="46"/>
        <v>24.195589830685321</v>
      </c>
    </row>
    <row r="272" spans="1:37">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f>model_eui_end_uses!G272*base_scenario_arch_measures!$F272</f>
        <v>0</v>
      </c>
      <c r="H272">
        <f>model_eui_end_uses!H272*base_scenario_arch_measures!$F272</f>
        <v>6.8497966192787478</v>
      </c>
      <c r="I272">
        <f>model_eui_end_uses!I272*base_scenario_arch_measures!$F272</f>
        <v>1.1535543157686227E-2</v>
      </c>
      <c r="J272">
        <f>model_eui_end_uses!J272*base_scenario_arch_measures!$F272</f>
        <v>0.10301819043910521</v>
      </c>
      <c r="K272">
        <f>model_eui_end_uses!K272*base_scenario_arch_measures!$F272</f>
        <v>0</v>
      </c>
      <c r="L272">
        <f>model_eui_end_uses!L272*base_scenario_arch_measures!$F272</f>
        <v>1.349391316789265</v>
      </c>
      <c r="M272">
        <f>model_eui_end_uses!M272*base_scenario_arch_measures!$F272</f>
        <v>0.19343190708042968</v>
      </c>
      <c r="N272">
        <f>model_eui_end_uses!N272*base_scenario_arch_measures!$F272</f>
        <v>0</v>
      </c>
      <c r="O272">
        <f>model_eui_end_uses!O272*base_scenario_arch_measures!$F272</f>
        <v>0.76361732601749166</v>
      </c>
      <c r="P272">
        <f>model_eui_end_uses!P272*base_scenario_arch_measures!$F272</f>
        <v>0.69587384670150443</v>
      </c>
      <c r="Q272">
        <f>model_eui_end_uses!Q272*base_scenario_arch_measures!$F272</f>
        <v>0</v>
      </c>
      <c r="R272" s="187">
        <f>model_eui_end_uses!R272*base_building_arch_areas!$N$27</f>
        <v>0</v>
      </c>
      <c r="S272" s="187">
        <f>model_eui_end_uses!S272*base_building_arch_areas!$N$27</f>
        <v>3562242.9069791436</v>
      </c>
      <c r="T272" s="187">
        <f>model_eui_end_uses!T272*base_building_arch_areas!$N$27</f>
        <v>3875.6107761739299</v>
      </c>
      <c r="U272" s="187">
        <f>model_eui_end_uses!U272*base_building_arch_areas!$N$27</f>
        <v>23841.190758750799</v>
      </c>
      <c r="V272" s="187">
        <f>model_eui_end_uses!V272*base_building_arch_areas!$N$27</f>
        <v>0</v>
      </c>
      <c r="W272" s="187">
        <f>model_eui_end_uses!W272*base_building_arch_areas!$N$27</f>
        <v>312285.58427058923</v>
      </c>
      <c r="X272" s="187">
        <f>model_eui_end_uses!X272*base_building_arch_areas!$N$27</f>
        <v>44765.3659599026</v>
      </c>
      <c r="Y272" s="187">
        <f>model_eui_end_uses!Y272*base_building_arch_areas!$N$27</f>
        <v>0</v>
      </c>
      <c r="Z272" s="187">
        <f>model_eui_end_uses!Z272*base_building_arch_areas!$N$27</f>
        <v>196161.565641931</v>
      </c>
      <c r="AA272" s="187">
        <f>model_eui_end_uses!AA272*base_building_arch_areas!$N$27</f>
        <v>176773.20428559286</v>
      </c>
      <c r="AB272" s="187">
        <f>model_eui_end_uses!AB272*base_building_arch_areas!$N$27</f>
        <v>0</v>
      </c>
      <c r="AC272" s="187">
        <f>model_eui_end_uses!AC272*base_building_arch_areas!$N$27</f>
        <v>4319945.4286720846</v>
      </c>
      <c r="AD272" s="187">
        <f>model_eui_end_uses!AD272*base_building_arch_areas!$N$27</f>
        <v>1977015.0247693209</v>
      </c>
      <c r="AE272" s="187">
        <f>model_eui_end_uses!AE272*base_building_arch_areas!$N$27</f>
        <v>36375.080928504678</v>
      </c>
      <c r="AF272" s="187">
        <f t="shared" si="44"/>
        <v>2013390.1056978256</v>
      </c>
      <c r="AG272" s="187">
        <f>model_eui_end_uses!AH272*base_building_arch_areas!$N$27</f>
        <v>32027.643401262998</v>
      </c>
      <c r="AH272" s="187">
        <f>model_eui_end_uses!AI272*base_building_arch_areas!$N$27</f>
        <v>4110.3841449210286</v>
      </c>
      <c r="AI272" s="187">
        <f t="shared" si="45"/>
        <v>36138.027546184028</v>
      </c>
      <c r="AJ272" s="200">
        <f>sim_annual_output!F272/sim_annual_output!H272*base_building_arch_areas!$N$27</f>
        <v>328191.74425381195</v>
      </c>
      <c r="AK272">
        <f t="shared" si="46"/>
        <v>9.0816175242100936</v>
      </c>
    </row>
    <row r="273" spans="1:37">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f>model_eui_end_uses!G273*base_scenario_arch_measures!$F273</f>
        <v>0</v>
      </c>
      <c r="H273">
        <f>model_eui_end_uses!H273*base_scenario_arch_measures!$F273</f>
        <v>13.352680707070169</v>
      </c>
      <c r="I273">
        <f>model_eui_end_uses!I273*base_scenario_arch_measures!$F273</f>
        <v>1.0689306400944768E-2</v>
      </c>
      <c r="J273">
        <f>model_eui_end_uses!J273*base_scenario_arch_measures!$F273</f>
        <v>0.10301819043910521</v>
      </c>
      <c r="K273">
        <f>model_eui_end_uses!K273*base_scenario_arch_measures!$F273</f>
        <v>0</v>
      </c>
      <c r="L273">
        <f>model_eui_end_uses!L273*base_scenario_arch_measures!$F273</f>
        <v>1.349391316789265</v>
      </c>
      <c r="M273">
        <f>model_eui_end_uses!M273*base_scenario_arch_measures!$F273</f>
        <v>0.19343190708042968</v>
      </c>
      <c r="N273">
        <f>model_eui_end_uses!N273*base_scenario_arch_measures!$F273</f>
        <v>0</v>
      </c>
      <c r="O273">
        <f>model_eui_end_uses!O273*base_scenario_arch_measures!$F273</f>
        <v>0.94947764106391896</v>
      </c>
      <c r="P273">
        <f>model_eui_end_uses!P273*base_scenario_arch_measures!$F273</f>
        <v>0.86298333676960759</v>
      </c>
      <c r="Q273">
        <f>model_eui_end_uses!Q273*base_scenario_arch_measures!$F273</f>
        <v>0</v>
      </c>
      <c r="R273" s="187">
        <f>model_eui_end_uses!R273*base_building_arch_areas!$N$27</f>
        <v>0</v>
      </c>
      <c r="S273" s="187">
        <f>model_eui_end_uses!S273*base_building_arch_areas!$N$27</f>
        <v>3562242.9069791436</v>
      </c>
      <c r="T273" s="187">
        <f>model_eui_end_uses!T273*base_building_arch_areas!$N$27</f>
        <v>3875.6107761739299</v>
      </c>
      <c r="U273" s="187">
        <f>model_eui_end_uses!U273*base_building_arch_areas!$N$27</f>
        <v>23841.190758750799</v>
      </c>
      <c r="V273" s="187">
        <f>model_eui_end_uses!V273*base_building_arch_areas!$N$27</f>
        <v>0</v>
      </c>
      <c r="W273" s="187">
        <f>model_eui_end_uses!W273*base_building_arch_areas!$N$27</f>
        <v>312285.58427058923</v>
      </c>
      <c r="X273" s="187">
        <f>model_eui_end_uses!X273*base_building_arch_areas!$N$27</f>
        <v>44765.3659599026</v>
      </c>
      <c r="Y273" s="187">
        <f>model_eui_end_uses!Y273*base_building_arch_areas!$N$27</f>
        <v>0</v>
      </c>
      <c r="Z273" s="187">
        <f>model_eui_end_uses!Z273*base_building_arch_areas!$N$27</f>
        <v>196161.565641931</v>
      </c>
      <c r="AA273" s="187">
        <f>model_eui_end_uses!AA273*base_building_arch_areas!$N$27</f>
        <v>176773.20428559286</v>
      </c>
      <c r="AB273" s="187">
        <f>model_eui_end_uses!AB273*base_building_arch_areas!$N$27</f>
        <v>0</v>
      </c>
      <c r="AC273" s="187">
        <f>model_eui_end_uses!AC273*base_building_arch_areas!$N$27</f>
        <v>4319945.4286720846</v>
      </c>
      <c r="AD273" s="187">
        <f>model_eui_end_uses!AD273*base_building_arch_areas!$N$27</f>
        <v>472072.06898401555</v>
      </c>
      <c r="AE273" s="187">
        <f>model_eui_end_uses!AE273*base_building_arch_areas!$N$27</f>
        <v>-45115.820125833343</v>
      </c>
      <c r="AF273" s="187">
        <f t="shared" si="44"/>
        <v>426956.24885818223</v>
      </c>
      <c r="AG273" s="187">
        <f>model_eui_end_uses!AH273*base_building_arch_areas!$N$27</f>
        <v>7647.5675175410524</v>
      </c>
      <c r="AH273" s="187">
        <f>model_eui_end_uses!AI273*base_building_arch_areas!$N$27</f>
        <v>-5098.0876742191685</v>
      </c>
      <c r="AI273" s="187">
        <f t="shared" si="45"/>
        <v>2549.4798433218839</v>
      </c>
      <c r="AJ273" s="200">
        <f>sim_annual_output!F273/sim_annual_output!H273*base_building_arch_areas!$N$27</f>
        <v>24104.77073023688</v>
      </c>
      <c r="AK273">
        <f t="shared" si="46"/>
        <v>9.4547798812283208</v>
      </c>
    </row>
    <row r="274" spans="1:37">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f>model_eui_end_uses!G274*base_scenario_arch_measures!$F274</f>
        <v>0</v>
      </c>
      <c r="H274">
        <f>model_eui_end_uses!H274*base_scenario_arch_measures!$F274</f>
        <v>4.4002529799489132</v>
      </c>
      <c r="I274">
        <f>model_eui_end_uses!I274*base_scenario_arch_measures!$F274</f>
        <v>2.8460278292515444E-2</v>
      </c>
      <c r="J274">
        <f>model_eui_end_uses!J274*base_scenario_arch_measures!$F274</f>
        <v>0.10301819043910521</v>
      </c>
      <c r="K274">
        <f>model_eui_end_uses!K274*base_scenario_arch_measures!$F274</f>
        <v>0</v>
      </c>
      <c r="L274">
        <f>model_eui_end_uses!L274*base_scenario_arch_measures!$F274</f>
        <v>0.94457837563015257</v>
      </c>
      <c r="M274">
        <f>model_eui_end_uses!M274*base_scenario_arch_measures!$F274</f>
        <v>0.19343190708042968</v>
      </c>
      <c r="N274">
        <f>model_eui_end_uses!N274*base_scenario_arch_measures!$F274</f>
        <v>0</v>
      </c>
      <c r="O274">
        <f>model_eui_end_uses!O274*base_scenario_arch_measures!$F274</f>
        <v>0.68522907907723019</v>
      </c>
      <c r="P274">
        <f>model_eui_end_uses!P274*base_scenario_arch_measures!$F274</f>
        <v>0.5263147239165179</v>
      </c>
      <c r="Q274">
        <f>model_eui_end_uses!Q274*base_scenario_arch_measures!$F274</f>
        <v>0</v>
      </c>
      <c r="R274" s="187">
        <f>model_eui_end_uses!R274*base_building_arch_areas!$N$27</f>
        <v>0</v>
      </c>
      <c r="S274" s="187">
        <f>model_eui_end_uses!S274*base_building_arch_areas!$N$27</f>
        <v>3562242.9069791436</v>
      </c>
      <c r="T274" s="187">
        <f>model_eui_end_uses!T274*base_building_arch_areas!$N$27</f>
        <v>3875.6107761739299</v>
      </c>
      <c r="U274" s="187">
        <f>model_eui_end_uses!U274*base_building_arch_areas!$N$27</f>
        <v>23841.190758750799</v>
      </c>
      <c r="V274" s="187">
        <f>model_eui_end_uses!V274*base_building_arch_areas!$N$27</f>
        <v>0</v>
      </c>
      <c r="W274" s="187">
        <f>model_eui_end_uses!W274*base_building_arch_areas!$N$27</f>
        <v>312285.58427058923</v>
      </c>
      <c r="X274" s="187">
        <f>model_eui_end_uses!X274*base_building_arch_areas!$N$27</f>
        <v>44765.3659599026</v>
      </c>
      <c r="Y274" s="187">
        <f>model_eui_end_uses!Y274*base_building_arch_areas!$N$27</f>
        <v>0</v>
      </c>
      <c r="Z274" s="187">
        <f>model_eui_end_uses!Z274*base_building_arch_areas!$N$27</f>
        <v>196161.565641931</v>
      </c>
      <c r="AA274" s="187">
        <f>model_eui_end_uses!AA274*base_building_arch_areas!$N$27</f>
        <v>176773.20428559286</v>
      </c>
      <c r="AB274" s="187">
        <f>model_eui_end_uses!AB274*base_building_arch_areas!$N$27</f>
        <v>0</v>
      </c>
      <c r="AC274" s="187">
        <f>model_eui_end_uses!AC274*base_building_arch_areas!$N$27</f>
        <v>4319945.4286720846</v>
      </c>
      <c r="AD274" s="187">
        <f>model_eui_end_uses!AD274*base_building_arch_areas!$N$27</f>
        <v>2543905.5605885065</v>
      </c>
      <c r="AE274" s="187">
        <f>model_eui_end_uses!AE274*base_building_arch_areas!$N$27</f>
        <v>183524.6007174915</v>
      </c>
      <c r="AF274" s="187">
        <f t="shared" si="44"/>
        <v>2727430.161305998</v>
      </c>
      <c r="AG274" s="187">
        <f>model_eui_end_uses!AH274*base_building_arch_areas!$N$27</f>
        <v>41211.270081533803</v>
      </c>
      <c r="AH274" s="187">
        <f>model_eui_end_uses!AI274*base_building_arch_areas!$N$27</f>
        <v>20738.279881076538</v>
      </c>
      <c r="AI274" s="187">
        <f t="shared" si="45"/>
        <v>61949.549962610341</v>
      </c>
      <c r="AJ274" s="200">
        <f>sim_annual_output!F274/sim_annual_output!H274*base_building_arch_areas!$N$27</f>
        <v>684922.46298575704</v>
      </c>
      <c r="AK274">
        <f t="shared" si="46"/>
        <v>11.056132988845635</v>
      </c>
    </row>
    <row r="275" spans="1:37">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f>model_eui_end_uses!G275*base_scenario_arch_measures!$F275</f>
        <v>0</v>
      </c>
      <c r="H275">
        <f>model_eui_end_uses!H275*base_scenario_arch_measures!$F275</f>
        <v>15.387746490703369</v>
      </c>
      <c r="I275">
        <f>model_eui_end_uses!I275*base_scenario_arch_measures!$F275</f>
        <v>1.8439053541629721E-2</v>
      </c>
      <c r="J275">
        <f>model_eui_end_uses!J275*base_scenario_arch_measures!$F275</f>
        <v>0.10301819043910521</v>
      </c>
      <c r="K275">
        <f>model_eui_end_uses!K275*base_scenario_arch_measures!$F275</f>
        <v>0</v>
      </c>
      <c r="L275">
        <f>model_eui_end_uses!L275*base_scenario_arch_measures!$F275</f>
        <v>1.349391316789265</v>
      </c>
      <c r="M275">
        <f>model_eui_end_uses!M275*base_scenario_arch_measures!$F275</f>
        <v>0.19343190708042968</v>
      </c>
      <c r="N275">
        <f>model_eui_end_uses!N275*base_scenario_arch_measures!$F275</f>
        <v>0</v>
      </c>
      <c r="O275">
        <f>model_eui_end_uses!O275*base_scenario_arch_measures!$F275</f>
        <v>0.8583513039958649</v>
      </c>
      <c r="P275">
        <f>model_eui_end_uses!P275*base_scenario_arch_measures!$F275</f>
        <v>0.77426209364176601</v>
      </c>
      <c r="Q275">
        <f>model_eui_end_uses!Q275*base_scenario_arch_measures!$F275</f>
        <v>0</v>
      </c>
      <c r="R275" s="187">
        <f>model_eui_end_uses!R275*base_building_arch_areas!$N$27</f>
        <v>0</v>
      </c>
      <c r="S275" s="187">
        <f>model_eui_end_uses!S275*base_building_arch_areas!$N$27</f>
        <v>3562242.9069791436</v>
      </c>
      <c r="T275" s="187">
        <f>model_eui_end_uses!T275*base_building_arch_areas!$N$27</f>
        <v>3875.6107761739299</v>
      </c>
      <c r="U275" s="187">
        <f>model_eui_end_uses!U275*base_building_arch_areas!$N$27</f>
        <v>23841.190758750799</v>
      </c>
      <c r="V275" s="187">
        <f>model_eui_end_uses!V275*base_building_arch_areas!$N$27</f>
        <v>0</v>
      </c>
      <c r="W275" s="187">
        <f>model_eui_end_uses!W275*base_building_arch_areas!$N$27</f>
        <v>312285.58427058923</v>
      </c>
      <c r="X275" s="187">
        <f>model_eui_end_uses!X275*base_building_arch_areas!$N$27</f>
        <v>44765.3659599026</v>
      </c>
      <c r="Y275" s="187">
        <f>model_eui_end_uses!Y275*base_building_arch_areas!$N$27</f>
        <v>0</v>
      </c>
      <c r="Z275" s="187">
        <f>model_eui_end_uses!Z275*base_building_arch_areas!$N$27</f>
        <v>196161.565641931</v>
      </c>
      <c r="AA275" s="187">
        <f>model_eui_end_uses!AA275*base_building_arch_areas!$N$27</f>
        <v>176773.20428559286</v>
      </c>
      <c r="AB275" s="187">
        <f>model_eui_end_uses!AB275*base_building_arch_areas!$N$27</f>
        <v>0</v>
      </c>
      <c r="AC275" s="187">
        <f>model_eui_end_uses!AC275*base_building_arch_areas!$N$27</f>
        <v>4319945.4286720846</v>
      </c>
      <c r="AD275" s="187">
        <f>model_eui_end_uses!AD275*base_building_arch_areas!$N$27</f>
        <v>1102.8998751348213</v>
      </c>
      <c r="AE275" s="187">
        <f>model_eui_end_uses!AE275*base_building_arch_areas!$N$27</f>
        <v>-5287.7349153650794</v>
      </c>
      <c r="AF275" s="187">
        <f t="shared" si="44"/>
        <v>-4184.8350402302585</v>
      </c>
      <c r="AG275" s="187">
        <f>model_eui_end_uses!AH275*base_building_arch_areas!$N$27</f>
        <v>17.866977977184103</v>
      </c>
      <c r="AH275" s="187">
        <f>model_eui_end_uses!AI275*base_building_arch_areas!$N$27</f>
        <v>-597.51404543625404</v>
      </c>
      <c r="AI275" s="187">
        <f t="shared" si="45"/>
        <v>-579.64706745906994</v>
      </c>
      <c r="AJ275" s="200">
        <f>sim_annual_output!F275/sim_annual_output!H275*base_building_arch_areas!$N$27</f>
        <v>13936.831118591273</v>
      </c>
      <c r="AK275">
        <f t="shared" si="46"/>
        <v>-24.043649836243468</v>
      </c>
    </row>
    <row r="276" spans="1:37">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f>model_eui_end_uses!G276*base_scenario_arch_measures!$F276</f>
        <v>0</v>
      </c>
      <c r="H276">
        <f>model_eui_end_uses!H276*base_scenario_arch_measures!$F276</f>
        <v>15.378616041485897</v>
      </c>
      <c r="I276">
        <f>model_eui_end_uses!I276*base_scenario_arch_measures!$F276</f>
        <v>1.8706286201653342E-2</v>
      </c>
      <c r="J276">
        <f>model_eui_end_uses!J276*base_scenario_arch_measures!$F276</f>
        <v>0.10301819043910521</v>
      </c>
      <c r="K276">
        <f>model_eui_end_uses!K276*base_scenario_arch_measures!$F276</f>
        <v>0</v>
      </c>
      <c r="L276">
        <f>model_eui_end_uses!L276*base_scenario_arch_measures!$F276</f>
        <v>1.349391316789265</v>
      </c>
      <c r="M276">
        <f>model_eui_end_uses!M276*base_scenario_arch_measures!$F276</f>
        <v>0.19343190708042968</v>
      </c>
      <c r="N276">
        <f>model_eui_end_uses!N276*base_scenario_arch_measures!$F276</f>
        <v>0</v>
      </c>
      <c r="O276">
        <f>model_eui_end_uses!O276*base_scenario_arch_measures!$F276</f>
        <v>0.85826222644252348</v>
      </c>
      <c r="P276">
        <f>model_eui_end_uses!P276*base_scenario_arch_measures!$F276</f>
        <v>0.6055046688368505</v>
      </c>
      <c r="Q276">
        <f>model_eui_end_uses!Q276*base_scenario_arch_measures!$F276</f>
        <v>0</v>
      </c>
      <c r="R276" s="187">
        <f>model_eui_end_uses!R276*base_building_arch_areas!$N$27</f>
        <v>0</v>
      </c>
      <c r="S276" s="187">
        <f>model_eui_end_uses!S276*base_building_arch_areas!$N$27</f>
        <v>3562242.9069791436</v>
      </c>
      <c r="T276" s="187">
        <f>model_eui_end_uses!T276*base_building_arch_areas!$N$27</f>
        <v>3875.6107761739299</v>
      </c>
      <c r="U276" s="187">
        <f>model_eui_end_uses!U276*base_building_arch_areas!$N$27</f>
        <v>23841.190758750799</v>
      </c>
      <c r="V276" s="187">
        <f>model_eui_end_uses!V276*base_building_arch_areas!$N$27</f>
        <v>0</v>
      </c>
      <c r="W276" s="187">
        <f>model_eui_end_uses!W276*base_building_arch_areas!$N$27</f>
        <v>312285.58427058923</v>
      </c>
      <c r="X276" s="187">
        <f>model_eui_end_uses!X276*base_building_arch_areas!$N$27</f>
        <v>44765.3659599026</v>
      </c>
      <c r="Y276" s="187">
        <f>model_eui_end_uses!Y276*base_building_arch_areas!$N$27</f>
        <v>0</v>
      </c>
      <c r="Z276" s="187">
        <f>model_eui_end_uses!Z276*base_building_arch_areas!$N$27</f>
        <v>196161.565641931</v>
      </c>
      <c r="AA276" s="187">
        <f>model_eui_end_uses!AA276*base_building_arch_areas!$N$27</f>
        <v>176773.20428559286</v>
      </c>
      <c r="AB276" s="187">
        <f>model_eui_end_uses!AB276*base_building_arch_areas!$N$27</f>
        <v>0</v>
      </c>
      <c r="AC276" s="187">
        <f>model_eui_end_uses!AC276*base_building_arch_areas!$N$27</f>
        <v>4319945.4286720846</v>
      </c>
      <c r="AD276" s="187">
        <f>model_eui_end_uses!AD276*base_building_arch_areas!$N$27</f>
        <v>3215.9323461871131</v>
      </c>
      <c r="AE276" s="187">
        <f>model_eui_end_uses!AE276*base_building_arch_areas!$N$27</f>
        <v>33726.059733088019</v>
      </c>
      <c r="AF276" s="187">
        <f t="shared" si="44"/>
        <v>36941.992079275129</v>
      </c>
      <c r="AG276" s="187">
        <f>model_eui_end_uses!AH276*base_building_arch_areas!$N$27</f>
        <v>52.098104008231232</v>
      </c>
      <c r="AH276" s="187">
        <f>model_eui_end_uses!AI276*base_building_arch_areas!$N$27</f>
        <v>3811.0447498389462</v>
      </c>
      <c r="AI276" s="187">
        <f t="shared" si="45"/>
        <v>3863.1428538471773</v>
      </c>
      <c r="AJ276" s="200">
        <f>sim_annual_output!F276/sim_annual_output!H276*base_building_arch_areas!$N$27</f>
        <v>23515.303624808461</v>
      </c>
      <c r="AK276">
        <f t="shared" si="46"/>
        <v>6.087091395388172</v>
      </c>
    </row>
    <row r="277" spans="1:37">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f>model_eui_end_uses!G277*base_scenario_arch_measures!$F277</f>
        <v>2.2836724649379768E-2</v>
      </c>
      <c r="H277">
        <f>model_eui_end_uses!H277*base_scenario_arch_measures!$F277</f>
        <v>0.26545978965179384</v>
      </c>
      <c r="I277">
        <f>model_eui_end_uses!I277*base_scenario_arch_measures!$F277</f>
        <v>1.8576428118150936E-2</v>
      </c>
      <c r="J277">
        <f>model_eui_end_uses!J277*base_scenario_arch_measures!$F277</f>
        <v>1.4200988437429434E-2</v>
      </c>
      <c r="K277">
        <f>model_eui_end_uses!K277*base_scenario_arch_measures!$F277</f>
        <v>0</v>
      </c>
      <c r="L277">
        <f>model_eui_end_uses!L277*base_scenario_arch_measures!$F277</f>
        <v>6.3882515939957654E-2</v>
      </c>
      <c r="M277">
        <f>model_eui_end_uses!M277*base_scenario_arch_measures!$F277</f>
        <v>1.5297589861169159E-2</v>
      </c>
      <c r="N277">
        <f>model_eui_end_uses!N277*base_scenario_arch_measures!$F277</f>
        <v>0</v>
      </c>
      <c r="O277">
        <f>model_eui_end_uses!O277*base_scenario_arch_measures!$F277</f>
        <v>4.5147080615364467E-2</v>
      </c>
      <c r="P277">
        <f>model_eui_end_uses!P277*base_scenario_arch_measures!$F277</f>
        <v>3.2898042712191737E-5</v>
      </c>
      <c r="Q277">
        <f>model_eui_end_uses!Q277*base_scenario_arch_measures!$F277</f>
        <v>0</v>
      </c>
      <c r="R277" s="187">
        <f>model_eui_end_uses!R277*base_building_arch_areas!$N$19</f>
        <v>235.11972405363264</v>
      </c>
      <c r="S277" s="187">
        <f>model_eui_end_uses!S277*base_building_arch_areas!$N$19</f>
        <v>52511.873389020519</v>
      </c>
      <c r="T277" s="187">
        <f>model_eui_end_uses!T277*base_building_arch_areas!$N$19</f>
        <v>854.89892002642682</v>
      </c>
      <c r="U277" s="187">
        <f>model_eui_end_uses!U277*base_building_arch_areas!$N$19</f>
        <v>2323.2711430433665</v>
      </c>
      <c r="V277" s="187">
        <f>model_eui_end_uses!V277*base_building_arch_areas!$N$19</f>
        <v>0</v>
      </c>
      <c r="W277" s="187">
        <f>model_eui_end_uses!W277*base_building_arch_areas!$N$19</f>
        <v>10495.708448079977</v>
      </c>
      <c r="X277" s="187">
        <f>model_eui_end_uses!X277*base_building_arch_areas!$N$19</f>
        <v>2513.3487743664177</v>
      </c>
      <c r="Y277" s="187">
        <f>model_eui_end_uses!Y277*base_building_arch_areas!$N$19</f>
        <v>0</v>
      </c>
      <c r="Z277" s="187">
        <f>model_eui_end_uses!Z277*base_building_arch_areas!$N$19</f>
        <v>7424.7385657089662</v>
      </c>
      <c r="AA277" s="187">
        <f>model_eui_end_uses!AA277*base_building_arch_areas!$N$19</f>
        <v>5.405051127669716</v>
      </c>
      <c r="AB277" s="187">
        <f>model_eui_end_uses!AB277*base_building_arch_areas!$N$19</f>
        <v>0</v>
      </c>
      <c r="AC277" s="187">
        <f>model_eui_end_uses!AC277*base_building_arch_areas!$N$19</f>
        <v>76364.364015426967</v>
      </c>
      <c r="AD277" s="187">
        <f>model_eui_end_uses!AD277*base_building_arch_areas!$N$19</f>
        <v>8897.6149979989659</v>
      </c>
      <c r="AE277" s="187">
        <f>model_eui_end_uses!AE277*base_building_arch_areas!$N$19</f>
        <v>-5716.7424093653335</v>
      </c>
      <c r="AF277" s="187">
        <f t="shared" ref="AF277:AF321" si="47">SUM(AD277:AE277)</f>
        <v>3180.8725886336324</v>
      </c>
      <c r="AG277" s="187">
        <f>model_eui_end_uses!AH277*base_building_arch_areas!$N$19</f>
        <v>144.14136296758323</v>
      </c>
      <c r="AH277" s="187">
        <f>model_eui_end_uses!AI277*base_building_arch_areas!$N$19</f>
        <v>-645.99189225828275</v>
      </c>
      <c r="AI277" s="187">
        <f t="shared" ref="AI277:AI321" si="48">SUM(AG277:AH277)</f>
        <v>-501.85052929069951</v>
      </c>
      <c r="AJ277" s="200">
        <f>sim_annual_output!F277/sim_annual_output!H277*base_building_arch_areas!$N$19</f>
        <v>19401.49750317393</v>
      </c>
      <c r="AK277">
        <f t="shared" ref="AK277:AK321" si="49">IF(AI277=0,0,AJ277/AI277)</f>
        <v>-38.659912405782308</v>
      </c>
    </row>
    <row r="278" spans="1:37">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f>model_eui_end_uses!G278*base_scenario_arch_measures!$F278</f>
        <v>1.4310648579803405E-3</v>
      </c>
      <c r="H278">
        <f>model_eui_end_uses!H278*base_scenario_arch_measures!$F278</f>
        <v>0.31961545096318017</v>
      </c>
      <c r="I278">
        <f>model_eui_end_uses!I278*base_scenario_arch_measures!$F278</f>
        <v>5.2033737556449943E-3</v>
      </c>
      <c r="J278">
        <f>model_eui_end_uses!J278*base_scenario_arch_measures!$F278</f>
        <v>1.414067535912375E-2</v>
      </c>
      <c r="K278">
        <f>model_eui_end_uses!K278*base_scenario_arch_measures!$F278</f>
        <v>0</v>
      </c>
      <c r="L278">
        <f>model_eui_end_uses!L278*base_scenario_arch_measures!$F278</f>
        <v>6.3882515939957654E-2</v>
      </c>
      <c r="M278">
        <f>model_eui_end_uses!M278*base_scenario_arch_measures!$F278</f>
        <v>1.5297589861169159E-2</v>
      </c>
      <c r="N278">
        <f>model_eui_end_uses!N278*base_scenario_arch_measures!$F278</f>
        <v>0</v>
      </c>
      <c r="O278">
        <f>model_eui_end_uses!O278*base_scenario_arch_measures!$F278</f>
        <v>4.5190944672314048E-2</v>
      </c>
      <c r="P278">
        <f>model_eui_end_uses!P278*base_scenario_arch_measures!$F278</f>
        <v>3.2898042712191737E-5</v>
      </c>
      <c r="Q278">
        <f>model_eui_end_uses!Q278*base_scenario_arch_measures!$F278</f>
        <v>0</v>
      </c>
      <c r="R278" s="187">
        <f>model_eui_end_uses!R278*base_building_arch_areas!$N$19</f>
        <v>235.11972405363264</v>
      </c>
      <c r="S278" s="187">
        <f>model_eui_end_uses!S278*base_building_arch_areas!$N$19</f>
        <v>52511.873389020519</v>
      </c>
      <c r="T278" s="187">
        <f>model_eui_end_uses!T278*base_building_arch_areas!$N$19</f>
        <v>854.89892002642682</v>
      </c>
      <c r="U278" s="187">
        <f>model_eui_end_uses!U278*base_building_arch_areas!$N$19</f>
        <v>2323.2711430433665</v>
      </c>
      <c r="V278" s="187">
        <f>model_eui_end_uses!V278*base_building_arch_areas!$N$19</f>
        <v>0</v>
      </c>
      <c r="W278" s="187">
        <f>model_eui_end_uses!W278*base_building_arch_areas!$N$19</f>
        <v>10495.708448079977</v>
      </c>
      <c r="X278" s="187">
        <f>model_eui_end_uses!X278*base_building_arch_areas!$N$19</f>
        <v>2513.3487743664177</v>
      </c>
      <c r="Y278" s="187">
        <f>model_eui_end_uses!Y278*base_building_arch_areas!$N$19</f>
        <v>0</v>
      </c>
      <c r="Z278" s="187">
        <f>model_eui_end_uses!Z278*base_building_arch_areas!$N$19</f>
        <v>7424.7385657089662</v>
      </c>
      <c r="AA278" s="187">
        <f>model_eui_end_uses!AA278*base_building_arch_areas!$N$19</f>
        <v>5.405051127669716</v>
      </c>
      <c r="AB278" s="187">
        <f>model_eui_end_uses!AB278*base_building_arch_areas!$N$19</f>
        <v>0</v>
      </c>
      <c r="AC278" s="187">
        <f>model_eui_end_uses!AC278*base_building_arch_areas!$N$19</f>
        <v>76364.364015426967</v>
      </c>
      <c r="AD278" s="187">
        <f>model_eui_end_uses!AD278*base_building_arch_areas!$N$19</f>
        <v>0</v>
      </c>
      <c r="AE278" s="187">
        <f>model_eui_end_uses!AE278*base_building_arch_areas!$N$19</f>
        <v>0</v>
      </c>
      <c r="AF278" s="187">
        <f t="shared" ref="AF278:AF298" si="50">SUM(AD278:AE278)</f>
        <v>0</v>
      </c>
      <c r="AG278" s="187">
        <f>model_eui_end_uses!AH278*base_building_arch_areas!$N$19</f>
        <v>0</v>
      </c>
      <c r="AH278" s="187">
        <f>model_eui_end_uses!AI278*base_building_arch_areas!$N$19</f>
        <v>0</v>
      </c>
      <c r="AI278" s="187">
        <f t="shared" ref="AI278:AI298" si="51">SUM(AG278:AH278)</f>
        <v>0</v>
      </c>
      <c r="AJ278" s="200">
        <f>sim_annual_output!F278/sim_annual_output!H278*base_building_arch_areas!$N$19</f>
        <v>0</v>
      </c>
      <c r="AK278">
        <f t="shared" ref="AK278:AK298" si="52">IF(AI278=0,0,AJ278/AI278)</f>
        <v>0</v>
      </c>
    </row>
    <row r="279" spans="1:37">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f>model_eui_end_uses!G279*base_scenario_arch_measures!$F279</f>
        <v>3.2678722427443799E-3</v>
      </c>
      <c r="H279">
        <f>model_eui_end_uses!H279*base_scenario_arch_measures!$F279</f>
        <v>0.31054655718885266</v>
      </c>
      <c r="I279">
        <f>model_eui_end_uses!I279*base_scenario_arch_measures!$F279</f>
        <v>6.9908340763407441E-3</v>
      </c>
      <c r="J279">
        <f>model_eui_end_uses!J279*base_scenario_arch_measures!$F279</f>
        <v>1.414067535912375E-2</v>
      </c>
      <c r="K279">
        <f>model_eui_end_uses!K279*base_scenario_arch_measures!$F279</f>
        <v>0</v>
      </c>
      <c r="L279">
        <f>model_eui_end_uses!L279*base_scenario_arch_measures!$F279</f>
        <v>6.3882515939957654E-2</v>
      </c>
      <c r="M279">
        <f>model_eui_end_uses!M279*base_scenario_arch_measures!$F279</f>
        <v>1.5297589861169159E-2</v>
      </c>
      <c r="N279">
        <f>model_eui_end_uses!N279*base_scenario_arch_measures!$F279</f>
        <v>0</v>
      </c>
      <c r="O279">
        <f>model_eui_end_uses!O279*base_scenario_arch_measures!$F279</f>
        <v>4.505935250146529E-2</v>
      </c>
      <c r="P279">
        <f>model_eui_end_uses!P279*base_scenario_arch_measures!$F279</f>
        <v>3.2898042712191737E-5</v>
      </c>
      <c r="Q279">
        <f>model_eui_end_uses!Q279*base_scenario_arch_measures!$F279</f>
        <v>0</v>
      </c>
      <c r="R279" s="187">
        <f>model_eui_end_uses!R279*base_building_arch_areas!$N$19</f>
        <v>235.11972405363264</v>
      </c>
      <c r="S279" s="187">
        <f>model_eui_end_uses!S279*base_building_arch_areas!$N$19</f>
        <v>52511.873389020519</v>
      </c>
      <c r="T279" s="187">
        <f>model_eui_end_uses!T279*base_building_arch_areas!$N$19</f>
        <v>854.89892002642682</v>
      </c>
      <c r="U279" s="187">
        <f>model_eui_end_uses!U279*base_building_arch_areas!$N$19</f>
        <v>2323.2711430433665</v>
      </c>
      <c r="V279" s="187">
        <f>model_eui_end_uses!V279*base_building_arch_areas!$N$19</f>
        <v>0</v>
      </c>
      <c r="W279" s="187">
        <f>model_eui_end_uses!W279*base_building_arch_areas!$N$19</f>
        <v>10495.708448079977</v>
      </c>
      <c r="X279" s="187">
        <f>model_eui_end_uses!X279*base_building_arch_areas!$N$19</f>
        <v>2513.3487743664177</v>
      </c>
      <c r="Y279" s="187">
        <f>model_eui_end_uses!Y279*base_building_arch_areas!$N$19</f>
        <v>0</v>
      </c>
      <c r="Z279" s="187">
        <f>model_eui_end_uses!Z279*base_building_arch_areas!$N$19</f>
        <v>7424.7385657089662</v>
      </c>
      <c r="AA279" s="187">
        <f>model_eui_end_uses!AA279*base_building_arch_areas!$N$19</f>
        <v>5.405051127669716</v>
      </c>
      <c r="AB279" s="187">
        <f>model_eui_end_uses!AB279*base_building_arch_areas!$N$19</f>
        <v>0</v>
      </c>
      <c r="AC279" s="187">
        <f>model_eui_end_uses!AC279*base_building_arch_areas!$N$19</f>
        <v>76364.364015426967</v>
      </c>
      <c r="AD279" s="187">
        <f>model_eui_end_uses!AD279*base_building_arch_areas!$N$19</f>
        <v>1489.9924275276189</v>
      </c>
      <c r="AE279" s="187">
        <f>model_eui_end_uses!AE279*base_building_arch_areas!$N$19</f>
        <v>-573.83626138760292</v>
      </c>
      <c r="AF279" s="187">
        <f t="shared" si="50"/>
        <v>916.15616614001601</v>
      </c>
      <c r="AG279" s="187">
        <f>model_eui_end_uses!AH279*base_building_arch_areas!$N$19</f>
        <v>24.137877325947425</v>
      </c>
      <c r="AH279" s="187">
        <f>model_eui_end_uses!AI279*base_building_arch_areas!$N$19</f>
        <v>-64.843497536799134</v>
      </c>
      <c r="AI279" s="187">
        <f t="shared" si="51"/>
        <v>-40.705620210851706</v>
      </c>
      <c r="AJ279" s="200">
        <f>sim_annual_output!F279/sim_annual_output!H279*base_building_arch_areas!$N$19</f>
        <v>1281.8297926364789</v>
      </c>
      <c r="AK279">
        <f t="shared" si="52"/>
        <v>-31.4902410526288</v>
      </c>
    </row>
    <row r="280" spans="1:37">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f>model_eui_end_uses!G280*base_scenario_arch_measures!$F280</f>
        <v>3.2678722427443799E-3</v>
      </c>
      <c r="H280">
        <f>model_eui_end_uses!H280*base_scenario_arch_measures!$F280</f>
        <v>0.31054655718885266</v>
      </c>
      <c r="I280">
        <f>model_eui_end_uses!I280*base_scenario_arch_measures!$F280</f>
        <v>4.9950194851344464E-3</v>
      </c>
      <c r="J280">
        <f>model_eui_end_uses!J280*base_scenario_arch_measures!$F280</f>
        <v>1.414067535912375E-2</v>
      </c>
      <c r="K280">
        <f>model_eui_end_uses!K280*base_scenario_arch_measures!$F280</f>
        <v>0</v>
      </c>
      <c r="L280">
        <f>model_eui_end_uses!L280*base_scenario_arch_measures!$F280</f>
        <v>6.3882515939957654E-2</v>
      </c>
      <c r="M280">
        <f>model_eui_end_uses!M280*base_scenario_arch_measures!$F280</f>
        <v>1.5297589861169159E-2</v>
      </c>
      <c r="N280">
        <f>model_eui_end_uses!N280*base_scenario_arch_measures!$F280</f>
        <v>0</v>
      </c>
      <c r="O280">
        <f>model_eui_end_uses!O280*base_scenario_arch_measures!$F280</f>
        <v>4.505935250146529E-2</v>
      </c>
      <c r="P280">
        <f>model_eui_end_uses!P280*base_scenario_arch_measures!$F280</f>
        <v>3.2898042712191737E-5</v>
      </c>
      <c r="Q280">
        <f>model_eui_end_uses!Q280*base_scenario_arch_measures!$F280</f>
        <v>0</v>
      </c>
      <c r="R280" s="187">
        <f>model_eui_end_uses!R280*base_building_arch_areas!$N$19</f>
        <v>235.11972405363264</v>
      </c>
      <c r="S280" s="187">
        <f>model_eui_end_uses!S280*base_building_arch_areas!$N$19</f>
        <v>52511.873389020519</v>
      </c>
      <c r="T280" s="187">
        <f>model_eui_end_uses!T280*base_building_arch_areas!$N$19</f>
        <v>854.89892002642682</v>
      </c>
      <c r="U280" s="187">
        <f>model_eui_end_uses!U280*base_building_arch_areas!$N$19</f>
        <v>2323.2711430433665</v>
      </c>
      <c r="V280" s="187">
        <f>model_eui_end_uses!V280*base_building_arch_areas!$N$19</f>
        <v>0</v>
      </c>
      <c r="W280" s="187">
        <f>model_eui_end_uses!W280*base_building_arch_areas!$N$19</f>
        <v>10495.708448079977</v>
      </c>
      <c r="X280" s="187">
        <f>model_eui_end_uses!X280*base_building_arch_areas!$N$19</f>
        <v>2513.3487743664177</v>
      </c>
      <c r="Y280" s="187">
        <f>model_eui_end_uses!Y280*base_building_arch_areas!$N$19</f>
        <v>0</v>
      </c>
      <c r="Z280" s="187">
        <f>model_eui_end_uses!Z280*base_building_arch_areas!$N$19</f>
        <v>7424.7385657089662</v>
      </c>
      <c r="AA280" s="187">
        <f>model_eui_end_uses!AA280*base_building_arch_areas!$N$19</f>
        <v>5.405051127669716</v>
      </c>
      <c r="AB280" s="187">
        <f>model_eui_end_uses!AB280*base_building_arch_areas!$N$19</f>
        <v>0</v>
      </c>
      <c r="AC280" s="187">
        <f>model_eui_end_uses!AC280*base_building_arch_areas!$N$19</f>
        <v>76364.364015426967</v>
      </c>
      <c r="AD280" s="187">
        <f>model_eui_end_uses!AD280*base_building_arch_areas!$N$19</f>
        <v>1489.9924275276189</v>
      </c>
      <c r="AE280" s="187">
        <f>model_eui_end_uses!AE280*base_building_arch_areas!$N$19</f>
        <v>-245.929826308971</v>
      </c>
      <c r="AF280" s="187">
        <f t="shared" si="50"/>
        <v>1244.0626012186478</v>
      </c>
      <c r="AG280" s="187">
        <f>model_eui_end_uses!AH280*base_building_arch_areas!$N$19</f>
        <v>24.137877325947425</v>
      </c>
      <c r="AH280" s="187">
        <f>model_eui_end_uses!AI280*base_building_arch_areas!$N$19</f>
        <v>-27.790070372913721</v>
      </c>
      <c r="AI280" s="187">
        <f t="shared" si="51"/>
        <v>-3.6521930469662962</v>
      </c>
      <c r="AJ280" s="200">
        <f>sim_annual_output!F280/sim_annual_output!H280*base_building_arch_areas!$N$19</f>
        <v>23104.984426576386</v>
      </c>
      <c r="AK280">
        <f t="shared" si="52"/>
        <v>-6326.3316394976991</v>
      </c>
    </row>
    <row r="281" spans="1:37">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f>model_eui_end_uses!G281*base_scenario_arch_measures!$F281</f>
        <v>3.2678722427443799E-3</v>
      </c>
      <c r="H281">
        <f>model_eui_end_uses!H281*base_scenario_arch_measures!$F281</f>
        <v>0.31054655718885266</v>
      </c>
      <c r="I281">
        <f>model_eui_end_uses!I281*base_scenario_arch_measures!$F281</f>
        <v>6.9908340763407441E-3</v>
      </c>
      <c r="J281">
        <f>model_eui_end_uses!J281*base_scenario_arch_measures!$F281</f>
        <v>1.414067535912375E-2</v>
      </c>
      <c r="K281">
        <f>model_eui_end_uses!K281*base_scenario_arch_measures!$F281</f>
        <v>0</v>
      </c>
      <c r="L281">
        <f>model_eui_end_uses!L281*base_scenario_arch_measures!$F281</f>
        <v>6.3882515939957654E-2</v>
      </c>
      <c r="M281">
        <f>model_eui_end_uses!M281*base_scenario_arch_measures!$F281</f>
        <v>1.5297589861169159E-2</v>
      </c>
      <c r="N281">
        <f>model_eui_end_uses!N281*base_scenario_arch_measures!$F281</f>
        <v>0</v>
      </c>
      <c r="O281">
        <f>model_eui_end_uses!O281*base_scenario_arch_measures!$F281</f>
        <v>4.505935250146529E-2</v>
      </c>
      <c r="P281">
        <f>model_eui_end_uses!P281*base_scenario_arch_measures!$F281</f>
        <v>3.2898042712191737E-5</v>
      </c>
      <c r="Q281">
        <f>model_eui_end_uses!Q281*base_scenario_arch_measures!$F281</f>
        <v>0</v>
      </c>
      <c r="R281" s="187">
        <f>model_eui_end_uses!R281*base_building_arch_areas!$N$19</f>
        <v>235.11972405363264</v>
      </c>
      <c r="S281" s="187">
        <f>model_eui_end_uses!S281*base_building_arch_areas!$N$19</f>
        <v>52511.873389020519</v>
      </c>
      <c r="T281" s="187">
        <f>model_eui_end_uses!T281*base_building_arch_areas!$N$19</f>
        <v>854.89892002642682</v>
      </c>
      <c r="U281" s="187">
        <f>model_eui_end_uses!U281*base_building_arch_areas!$N$19</f>
        <v>2323.2711430433665</v>
      </c>
      <c r="V281" s="187">
        <f>model_eui_end_uses!V281*base_building_arch_areas!$N$19</f>
        <v>0</v>
      </c>
      <c r="W281" s="187">
        <f>model_eui_end_uses!W281*base_building_arch_areas!$N$19</f>
        <v>10495.708448079977</v>
      </c>
      <c r="X281" s="187">
        <f>model_eui_end_uses!X281*base_building_arch_areas!$N$19</f>
        <v>2513.3487743664177</v>
      </c>
      <c r="Y281" s="187">
        <f>model_eui_end_uses!Y281*base_building_arch_areas!$N$19</f>
        <v>0</v>
      </c>
      <c r="Z281" s="187">
        <f>model_eui_end_uses!Z281*base_building_arch_areas!$N$19</f>
        <v>7424.7385657089662</v>
      </c>
      <c r="AA281" s="187">
        <f>model_eui_end_uses!AA281*base_building_arch_areas!$N$19</f>
        <v>5.405051127669716</v>
      </c>
      <c r="AB281" s="187">
        <f>model_eui_end_uses!AB281*base_building_arch_areas!$N$19</f>
        <v>0</v>
      </c>
      <c r="AC281" s="187">
        <f>model_eui_end_uses!AC281*base_building_arch_areas!$N$19</f>
        <v>76364.364015426967</v>
      </c>
      <c r="AD281" s="187">
        <f>model_eui_end_uses!AD281*base_building_arch_areas!$N$19</f>
        <v>1489.9924275276189</v>
      </c>
      <c r="AE281" s="187">
        <f>model_eui_end_uses!AE281*base_building_arch_areas!$N$19</f>
        <v>-573.83626138760292</v>
      </c>
      <c r="AF281" s="187">
        <f t="shared" si="50"/>
        <v>916.15616614001601</v>
      </c>
      <c r="AG281" s="187">
        <f>model_eui_end_uses!AH281*base_building_arch_areas!$N$19</f>
        <v>24.137877325947425</v>
      </c>
      <c r="AH281" s="187">
        <f>model_eui_end_uses!AI281*base_building_arch_areas!$N$19</f>
        <v>-64.843497536799134</v>
      </c>
      <c r="AI281" s="187">
        <f t="shared" si="51"/>
        <v>-40.705620210851706</v>
      </c>
      <c r="AJ281" s="200">
        <f>sim_annual_output!F281/sim_annual_output!H281*base_building_arch_areas!$N$19</f>
        <v>18366.119847651291</v>
      </c>
      <c r="AK281">
        <f t="shared" si="52"/>
        <v>-451.19371115134294</v>
      </c>
    </row>
    <row r="282" spans="1:37">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f>model_eui_end_uses!G282*base_scenario_arch_measures!$F282</f>
        <v>3.9680522518021941E-2</v>
      </c>
      <c r="H282">
        <f>model_eui_end_uses!H282*base_scenario_arch_measures!$F282</f>
        <v>0.17431576231766663</v>
      </c>
      <c r="I282">
        <f>model_eui_end_uses!I282*base_scenario_arch_measures!$F282</f>
        <v>1.3235979184538477E-2</v>
      </c>
      <c r="J282">
        <f>model_eui_end_uses!J282*base_scenario_arch_measures!$F282</f>
        <v>1.426130151573512E-2</v>
      </c>
      <c r="K282">
        <f>model_eui_end_uses!K282*base_scenario_arch_measures!$F282</f>
        <v>0</v>
      </c>
      <c r="L282">
        <f>model_eui_end_uses!L282*base_scenario_arch_measures!$F282</f>
        <v>6.3882515939957654E-2</v>
      </c>
      <c r="M282">
        <f>model_eui_end_uses!M282*base_scenario_arch_measures!$F282</f>
        <v>1.5297589861169159E-2</v>
      </c>
      <c r="N282">
        <f>model_eui_end_uses!N282*base_scenario_arch_measures!$F282</f>
        <v>0</v>
      </c>
      <c r="O282">
        <f>model_eui_end_uses!O282*base_scenario_arch_measures!$F282</f>
        <v>4.5459612021130288E-2</v>
      </c>
      <c r="P282">
        <f>model_eui_end_uses!P282*base_scenario_arch_measures!$F282</f>
        <v>3.2898042712191737E-5</v>
      </c>
      <c r="Q282">
        <f>model_eui_end_uses!Q282*base_scenario_arch_measures!$F282</f>
        <v>0</v>
      </c>
      <c r="R282" s="187">
        <f>model_eui_end_uses!R282*base_building_arch_areas!$N$19</f>
        <v>235.11972405363264</v>
      </c>
      <c r="S282" s="187">
        <f>model_eui_end_uses!S282*base_building_arch_areas!$N$19</f>
        <v>52511.873389020519</v>
      </c>
      <c r="T282" s="187">
        <f>model_eui_end_uses!T282*base_building_arch_areas!$N$19</f>
        <v>854.89892002642682</v>
      </c>
      <c r="U282" s="187">
        <f>model_eui_end_uses!U282*base_building_arch_areas!$N$19</f>
        <v>2323.2711430433665</v>
      </c>
      <c r="V282" s="187">
        <f>model_eui_end_uses!V282*base_building_arch_areas!$N$19</f>
        <v>0</v>
      </c>
      <c r="W282" s="187">
        <f>model_eui_end_uses!W282*base_building_arch_areas!$N$19</f>
        <v>10495.708448079977</v>
      </c>
      <c r="X282" s="187">
        <f>model_eui_end_uses!X282*base_building_arch_areas!$N$19</f>
        <v>2513.3487743664177</v>
      </c>
      <c r="Y282" s="187">
        <f>model_eui_end_uses!Y282*base_building_arch_areas!$N$19</f>
        <v>0</v>
      </c>
      <c r="Z282" s="187">
        <f>model_eui_end_uses!Z282*base_building_arch_areas!$N$19</f>
        <v>7424.7385657089662</v>
      </c>
      <c r="AA282" s="187">
        <f>model_eui_end_uses!AA282*base_building_arch_areas!$N$19</f>
        <v>5.405051127669716</v>
      </c>
      <c r="AB282" s="187">
        <f>model_eui_end_uses!AB282*base_building_arch_areas!$N$19</f>
        <v>0</v>
      </c>
      <c r="AC282" s="187">
        <f>model_eui_end_uses!AC282*base_building_arch_areas!$N$19</f>
        <v>76364.364015426967</v>
      </c>
      <c r="AD282" s="187">
        <f>model_eui_end_uses!AD282*base_building_arch_areas!$N$19</f>
        <v>23872.309147207914</v>
      </c>
      <c r="AE282" s="187">
        <f>model_eui_end_uses!AE282*base_building_arch_areas!$N$19</f>
        <v>-7667.9658664541048</v>
      </c>
      <c r="AF282" s="187">
        <f t="shared" si="50"/>
        <v>16204.343280753808</v>
      </c>
      <c r="AG282" s="187">
        <f>model_eui_end_uses!AH282*base_building_arch_areas!$N$19</f>
        <v>386.73140818476821</v>
      </c>
      <c r="AH282" s="187">
        <f>model_eui_end_uses!AI282*base_building_arch_areas!$N$19</f>
        <v>-866.48014290931394</v>
      </c>
      <c r="AI282" s="187">
        <f t="shared" si="51"/>
        <v>-479.74873472454573</v>
      </c>
      <c r="AJ282" s="200">
        <f>sim_annual_output!F282/sim_annual_output!H282*base_building_arch_areas!$N$19</f>
        <v>19401.49750317393</v>
      </c>
      <c r="AK282">
        <f t="shared" si="52"/>
        <v>-40.44095606487334</v>
      </c>
    </row>
    <row r="283" spans="1:37">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f>model_eui_end_uses!G283*base_scenario_arch_measures!$F283</f>
        <v>3.2678722427443799E-3</v>
      </c>
      <c r="H283">
        <f>model_eui_end_uses!H283*base_scenario_arch_measures!$F283</f>
        <v>0.31054655718885266</v>
      </c>
      <c r="I283">
        <f>model_eui_end_uses!I283*base_scenario_arch_measures!$F283</f>
        <v>6.9908340763407441E-3</v>
      </c>
      <c r="J283">
        <f>model_eui_end_uses!J283*base_scenario_arch_measures!$F283</f>
        <v>1.414067535912375E-2</v>
      </c>
      <c r="K283">
        <f>model_eui_end_uses!K283*base_scenario_arch_measures!$F283</f>
        <v>0</v>
      </c>
      <c r="L283">
        <f>model_eui_end_uses!L283*base_scenario_arch_measures!$F283</f>
        <v>6.3882515939957654E-2</v>
      </c>
      <c r="M283">
        <f>model_eui_end_uses!M283*base_scenario_arch_measures!$F283</f>
        <v>1.5297589861169159E-2</v>
      </c>
      <c r="N283">
        <f>model_eui_end_uses!N283*base_scenario_arch_measures!$F283</f>
        <v>0</v>
      </c>
      <c r="O283">
        <f>model_eui_end_uses!O283*base_scenario_arch_measures!$F283</f>
        <v>4.505935250146529E-2</v>
      </c>
      <c r="P283">
        <f>model_eui_end_uses!P283*base_scenario_arch_measures!$F283</f>
        <v>3.2898042712191737E-5</v>
      </c>
      <c r="Q283">
        <f>model_eui_end_uses!Q283*base_scenario_arch_measures!$F283</f>
        <v>0</v>
      </c>
      <c r="R283" s="187">
        <f>model_eui_end_uses!R283*base_building_arch_areas!$N$19</f>
        <v>235.11972405363264</v>
      </c>
      <c r="S283" s="187">
        <f>model_eui_end_uses!S283*base_building_arch_areas!$N$19</f>
        <v>52511.873389020519</v>
      </c>
      <c r="T283" s="187">
        <f>model_eui_end_uses!T283*base_building_arch_areas!$N$19</f>
        <v>854.89892002642682</v>
      </c>
      <c r="U283" s="187">
        <f>model_eui_end_uses!U283*base_building_arch_areas!$N$19</f>
        <v>2323.2711430433665</v>
      </c>
      <c r="V283" s="187">
        <f>model_eui_end_uses!V283*base_building_arch_areas!$N$19</f>
        <v>0</v>
      </c>
      <c r="W283" s="187">
        <f>model_eui_end_uses!W283*base_building_arch_areas!$N$19</f>
        <v>10495.708448079977</v>
      </c>
      <c r="X283" s="187">
        <f>model_eui_end_uses!X283*base_building_arch_areas!$N$19</f>
        <v>2513.3487743664177</v>
      </c>
      <c r="Y283" s="187">
        <f>model_eui_end_uses!Y283*base_building_arch_areas!$N$19</f>
        <v>0</v>
      </c>
      <c r="Z283" s="187">
        <f>model_eui_end_uses!Z283*base_building_arch_areas!$N$19</f>
        <v>7424.7385657089662</v>
      </c>
      <c r="AA283" s="187">
        <f>model_eui_end_uses!AA283*base_building_arch_areas!$N$19</f>
        <v>5.405051127669716</v>
      </c>
      <c r="AB283" s="187">
        <f>model_eui_end_uses!AB283*base_building_arch_areas!$N$19</f>
        <v>0</v>
      </c>
      <c r="AC283" s="187">
        <f>model_eui_end_uses!AC283*base_building_arch_areas!$N$19</f>
        <v>76364.364015426967</v>
      </c>
      <c r="AD283" s="187">
        <f>model_eui_end_uses!AD283*base_building_arch_areas!$N$19</f>
        <v>1489.9924275276189</v>
      </c>
      <c r="AE283" s="187">
        <f>model_eui_end_uses!AE283*base_building_arch_areas!$N$19</f>
        <v>-573.83626138760292</v>
      </c>
      <c r="AF283" s="187">
        <f t="shared" si="50"/>
        <v>916.15616614001601</v>
      </c>
      <c r="AG283" s="187">
        <f>model_eui_end_uses!AH283*base_building_arch_areas!$N$19</f>
        <v>24.137877325947425</v>
      </c>
      <c r="AH283" s="187">
        <f>model_eui_end_uses!AI283*base_building_arch_areas!$N$19</f>
        <v>-64.843497536799134</v>
      </c>
      <c r="AI283" s="187">
        <f t="shared" si="51"/>
        <v>-40.705620210851706</v>
      </c>
      <c r="AJ283" s="200">
        <f>sim_annual_output!F283/sim_annual_output!H283*base_building_arch_areas!$N$19</f>
        <v>7581.1210325856955</v>
      </c>
      <c r="AK283">
        <f t="shared" si="52"/>
        <v>-186.24261203529446</v>
      </c>
    </row>
    <row r="284" spans="1:37">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f>model_eui_end_uses!G284*base_scenario_arch_measures!$F284</f>
        <v>2.4838022247704763E-3</v>
      </c>
      <c r="H284">
        <f>model_eui_end_uses!H284*base_scenario_arch_measures!$F284</f>
        <v>0.32621150852697467</v>
      </c>
      <c r="I284">
        <f>model_eui_end_uses!I284*base_scenario_arch_measures!$F284</f>
        <v>4.9840534708970492E-3</v>
      </c>
      <c r="J284">
        <f>model_eui_end_uses!J284*base_scenario_arch_measures!$F284</f>
        <v>1.414615836624245E-2</v>
      </c>
      <c r="K284">
        <f>model_eui_end_uses!K284*base_scenario_arch_measures!$F284</f>
        <v>0</v>
      </c>
      <c r="L284">
        <f>model_eui_end_uses!L284*base_scenario_arch_measures!$F284</f>
        <v>4.4719406060105979E-2</v>
      </c>
      <c r="M284">
        <f>model_eui_end_uses!M284*base_scenario_arch_measures!$F284</f>
        <v>1.5297589861169159E-2</v>
      </c>
      <c r="N284">
        <f>model_eui_end_uses!N284*base_scenario_arch_measures!$F284</f>
        <v>0</v>
      </c>
      <c r="O284">
        <f>model_eui_end_uses!O284*base_scenario_arch_measures!$F284</f>
        <v>4.0206891201417003E-2</v>
      </c>
      <c r="P284">
        <f>model_eui_end_uses!P284*base_scenario_arch_measures!$F284</f>
        <v>2.1932028474794492E-5</v>
      </c>
      <c r="Q284">
        <f>model_eui_end_uses!Q284*base_scenario_arch_measures!$F284</f>
        <v>0</v>
      </c>
      <c r="R284" s="187">
        <f>model_eui_end_uses!R284*base_building_arch_areas!$N$19</f>
        <v>235.11972405363264</v>
      </c>
      <c r="S284" s="187">
        <f>model_eui_end_uses!S284*base_building_arch_areas!$N$19</f>
        <v>52511.873389020519</v>
      </c>
      <c r="T284" s="187">
        <f>model_eui_end_uses!T284*base_building_arch_areas!$N$19</f>
        <v>854.89892002642682</v>
      </c>
      <c r="U284" s="187">
        <f>model_eui_end_uses!U284*base_building_arch_areas!$N$19</f>
        <v>2323.2711430433665</v>
      </c>
      <c r="V284" s="187">
        <f>model_eui_end_uses!V284*base_building_arch_areas!$N$19</f>
        <v>0</v>
      </c>
      <c r="W284" s="187">
        <f>model_eui_end_uses!W284*base_building_arch_areas!$N$19</f>
        <v>10495.708448079977</v>
      </c>
      <c r="X284" s="187">
        <f>model_eui_end_uses!X284*base_building_arch_areas!$N$19</f>
        <v>2513.3487743664177</v>
      </c>
      <c r="Y284" s="187">
        <f>model_eui_end_uses!Y284*base_building_arch_areas!$N$19</f>
        <v>0</v>
      </c>
      <c r="Z284" s="187">
        <f>model_eui_end_uses!Z284*base_building_arch_areas!$N$19</f>
        <v>7424.7385657089662</v>
      </c>
      <c r="AA284" s="187">
        <f>model_eui_end_uses!AA284*base_building_arch_areas!$N$19</f>
        <v>5.405051127669716</v>
      </c>
      <c r="AB284" s="187">
        <f>model_eui_end_uses!AB284*base_building_arch_areas!$N$19</f>
        <v>0</v>
      </c>
      <c r="AC284" s="187">
        <f>model_eui_end_uses!AC284*base_building_arch_areas!$N$19</f>
        <v>76364.364015426967</v>
      </c>
      <c r="AD284" s="187">
        <f>model_eui_end_uses!AD284*base_building_arch_areas!$N$19</f>
        <v>-1083.7127510977859</v>
      </c>
      <c r="AE284" s="187">
        <f>model_eui_end_uses!AE284*base_building_arch_areas!$N$19</f>
        <v>3831.2804076632178</v>
      </c>
      <c r="AF284" s="187">
        <f t="shared" si="50"/>
        <v>2747.5676565654321</v>
      </c>
      <c r="AG284" s="187">
        <f>model_eui_end_uses!AH284*base_building_arch_areas!$N$19</f>
        <v>-17.556146567784133</v>
      </c>
      <c r="AH284" s="187">
        <f>model_eui_end_uses!AI284*base_building_arch_areas!$N$19</f>
        <v>432.93468606594365</v>
      </c>
      <c r="AI284" s="187">
        <f t="shared" si="51"/>
        <v>415.37853949815951</v>
      </c>
      <c r="AJ284" s="200">
        <f>sim_annual_output!F284/sim_annual_output!H284*base_building_arch_areas!$N$19</f>
        <v>55845.759035124844</v>
      </c>
      <c r="AK284">
        <f t="shared" si="52"/>
        <v>134.44546052522361</v>
      </c>
    </row>
    <row r="285" spans="1:37">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f>model_eui_end_uses!G285*base_scenario_arch_measures!$F285</f>
        <v>3.4104304278305434E-3</v>
      </c>
      <c r="H285">
        <f>model_eui_end_uses!H285*base_scenario_arch_measures!$F285</f>
        <v>0.25162067968419854</v>
      </c>
      <c r="I285">
        <f>model_eui_end_uses!I285*base_scenario_arch_measures!$F285</f>
        <v>6.1190359444676639E-3</v>
      </c>
      <c r="J285">
        <f>model_eui_end_uses!J285*base_scenario_arch_measures!$F285</f>
        <v>1.4063913259461968E-2</v>
      </c>
      <c r="K285">
        <f>model_eui_end_uses!K285*base_scenario_arch_measures!$F285</f>
        <v>0</v>
      </c>
      <c r="L285">
        <f>model_eui_end_uses!L285*base_scenario_arch_measures!$F285</f>
        <v>6.3882515939957654E-2</v>
      </c>
      <c r="M285">
        <f>model_eui_end_uses!M285*base_scenario_arch_measures!$F285</f>
        <v>1.5297589861169159E-2</v>
      </c>
      <c r="N285">
        <f>model_eui_end_uses!N285*base_scenario_arch_measures!$F285</f>
        <v>0</v>
      </c>
      <c r="O285">
        <f>model_eui_end_uses!O285*base_scenario_arch_measures!$F285</f>
        <v>3.9039010685134198E-2</v>
      </c>
      <c r="P285">
        <f>model_eui_end_uses!P285*base_scenario_arch_measures!$F285</f>
        <v>3.2898042712191737E-5</v>
      </c>
      <c r="Q285">
        <f>model_eui_end_uses!Q285*base_scenario_arch_measures!$F285</f>
        <v>0</v>
      </c>
      <c r="R285" s="187">
        <f>model_eui_end_uses!R285*base_building_arch_areas!$N$19</f>
        <v>235.11972405363264</v>
      </c>
      <c r="S285" s="187">
        <f>model_eui_end_uses!S285*base_building_arch_areas!$N$19</f>
        <v>52511.873389020519</v>
      </c>
      <c r="T285" s="187">
        <f>model_eui_end_uses!T285*base_building_arch_areas!$N$19</f>
        <v>854.89892002642682</v>
      </c>
      <c r="U285" s="187">
        <f>model_eui_end_uses!U285*base_building_arch_areas!$N$19</f>
        <v>2323.2711430433665</v>
      </c>
      <c r="V285" s="187">
        <f>model_eui_end_uses!V285*base_building_arch_areas!$N$19</f>
        <v>0</v>
      </c>
      <c r="W285" s="187">
        <f>model_eui_end_uses!W285*base_building_arch_areas!$N$19</f>
        <v>10495.708448079977</v>
      </c>
      <c r="X285" s="187">
        <f>model_eui_end_uses!X285*base_building_arch_areas!$N$19</f>
        <v>2513.3487743664177</v>
      </c>
      <c r="Y285" s="187">
        <f>model_eui_end_uses!Y285*base_building_arch_areas!$N$19</f>
        <v>0</v>
      </c>
      <c r="Z285" s="187">
        <f>model_eui_end_uses!Z285*base_building_arch_areas!$N$19</f>
        <v>7424.7385657089662</v>
      </c>
      <c r="AA285" s="187">
        <f>model_eui_end_uses!AA285*base_building_arch_areas!$N$19</f>
        <v>5.405051127669716</v>
      </c>
      <c r="AB285" s="187">
        <f>model_eui_end_uses!AB285*base_building_arch_areas!$N$19</f>
        <v>0</v>
      </c>
      <c r="AC285" s="187">
        <f>model_eui_end_uses!AC285*base_building_arch_areas!$N$19</f>
        <v>76364.364015426967</v>
      </c>
      <c r="AD285" s="187">
        <f>model_eui_end_uses!AD285*base_building_arch_areas!$N$19</f>
        <v>11171.339839038688</v>
      </c>
      <c r="AE285" s="187">
        <f>model_eui_end_uses!AE285*base_building_arch_areas!$N$19</f>
        <v>547.71184760386632</v>
      </c>
      <c r="AF285" s="187">
        <f t="shared" si="50"/>
        <v>11719.051686642555</v>
      </c>
      <c r="AG285" s="187">
        <f>model_eui_end_uses!AH285*base_building_arch_areas!$N$19</f>
        <v>180.97570539242673</v>
      </c>
      <c r="AH285" s="187">
        <f>model_eui_end_uses!AI285*base_building_arch_areas!$N$19</f>
        <v>61.891438779236893</v>
      </c>
      <c r="AI285" s="187">
        <f t="shared" si="51"/>
        <v>242.86714417166363</v>
      </c>
      <c r="AJ285" s="200">
        <f>sim_annual_output!F285/sim_annual_output!H285*base_building_arch_areas!$N$19</f>
        <v>209550.85476089717</v>
      </c>
      <c r="AK285">
        <f t="shared" si="52"/>
        <v>862.82092818937338</v>
      </c>
    </row>
    <row r="286" spans="1:37">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f>model_eui_end_uses!G286*base_scenario_arch_measures!$F286</f>
        <v>3.1856271359639002E-3</v>
      </c>
      <c r="H286">
        <f>model_eui_end_uses!H286*base_scenario_arch_measures!$F286</f>
        <v>0.28807171100930695</v>
      </c>
      <c r="I286">
        <f>model_eui_end_uses!I286*base_scenario_arch_measures!$F286</f>
        <v>7.0895282044773199E-3</v>
      </c>
      <c r="J286">
        <f>model_eui_end_uses!J286*base_scenario_arch_measures!$F286</f>
        <v>1.4041981230987174E-2</v>
      </c>
      <c r="K286">
        <f>model_eui_end_uses!K286*base_scenario_arch_measures!$F286</f>
        <v>0</v>
      </c>
      <c r="L286">
        <f>model_eui_end_uses!L286*base_scenario_arch_measures!$F286</f>
        <v>6.3882515939957654E-2</v>
      </c>
      <c r="M286">
        <f>model_eui_end_uses!M286*base_scenario_arch_measures!$F286</f>
        <v>1.5297589861169159E-2</v>
      </c>
      <c r="N286">
        <f>model_eui_end_uses!N286*base_scenario_arch_measures!$F286</f>
        <v>0</v>
      </c>
      <c r="O286">
        <f>model_eui_end_uses!O286*base_scenario_arch_measures!$F286</f>
        <v>4.257555027669481E-2</v>
      </c>
      <c r="P286">
        <f>model_eui_end_uses!P286*base_scenario_arch_measures!$F286</f>
        <v>3.2898042712191737E-5</v>
      </c>
      <c r="Q286">
        <f>model_eui_end_uses!Q286*base_scenario_arch_measures!$F286</f>
        <v>0</v>
      </c>
      <c r="R286" s="187">
        <f>model_eui_end_uses!R286*base_building_arch_areas!$N$19</f>
        <v>235.11972405363264</v>
      </c>
      <c r="S286" s="187">
        <f>model_eui_end_uses!S286*base_building_arch_areas!$N$19</f>
        <v>52511.873389020519</v>
      </c>
      <c r="T286" s="187">
        <f>model_eui_end_uses!T286*base_building_arch_areas!$N$19</f>
        <v>854.89892002642682</v>
      </c>
      <c r="U286" s="187">
        <f>model_eui_end_uses!U286*base_building_arch_areas!$N$19</f>
        <v>2323.2711430433665</v>
      </c>
      <c r="V286" s="187">
        <f>model_eui_end_uses!V286*base_building_arch_areas!$N$19</f>
        <v>0</v>
      </c>
      <c r="W286" s="187">
        <f>model_eui_end_uses!W286*base_building_arch_areas!$N$19</f>
        <v>10495.708448079977</v>
      </c>
      <c r="X286" s="187">
        <f>model_eui_end_uses!X286*base_building_arch_areas!$N$19</f>
        <v>2513.3487743664177</v>
      </c>
      <c r="Y286" s="187">
        <f>model_eui_end_uses!Y286*base_building_arch_areas!$N$19</f>
        <v>0</v>
      </c>
      <c r="Z286" s="187">
        <f>model_eui_end_uses!Z286*base_building_arch_areas!$N$19</f>
        <v>7424.7385657089662</v>
      </c>
      <c r="AA286" s="187">
        <f>model_eui_end_uses!AA286*base_building_arch_areas!$N$19</f>
        <v>5.405051127669716</v>
      </c>
      <c r="AB286" s="187">
        <f>model_eui_end_uses!AB286*base_building_arch_areas!$N$19</f>
        <v>0</v>
      </c>
      <c r="AC286" s="187">
        <f>model_eui_end_uses!AC286*base_building_arch_areas!$N$19</f>
        <v>76364.364015426967</v>
      </c>
      <c r="AD286" s="187">
        <f>model_eui_end_uses!AD286*base_building_arch_areas!$N$19</f>
        <v>5182.5431895806496</v>
      </c>
      <c r="AE286" s="187">
        <f>model_eui_end_uses!AE286*base_building_arch_areas!$N$19</f>
        <v>-152.24227342936356</v>
      </c>
      <c r="AF286" s="187">
        <f t="shared" si="50"/>
        <v>5030.3009161512864</v>
      </c>
      <c r="AG286" s="187">
        <f>model_eui_end_uses!AH286*base_building_arch_areas!$N$19</f>
        <v>83.957199671206524</v>
      </c>
      <c r="AH286" s="187">
        <f>model_eui_end_uses!AI286*base_building_arch_areas!$N$19</f>
        <v>-17.20337689751808</v>
      </c>
      <c r="AI286" s="187">
        <f t="shared" si="51"/>
        <v>66.753822773688441</v>
      </c>
      <c r="AJ286" s="200">
        <f>sim_annual_output!F286/sim_annual_output!H286*base_building_arch_areas!$N$19</f>
        <v>174504.94422344479</v>
      </c>
      <c r="AK286">
        <f t="shared" si="52"/>
        <v>2614.1565677078697</v>
      </c>
    </row>
    <row r="287" spans="1:37">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f>model_eui_end_uses!G287*base_scenario_arch_measures!$F287</f>
        <v>3.2623892356256805E-3</v>
      </c>
      <c r="H287">
        <f>model_eui_end_uses!H287*base_scenario_arch_measures!$F287</f>
        <v>0.30147766341452509</v>
      </c>
      <c r="I287">
        <f>model_eui_end_uses!I287*base_scenario_arch_measures!$F287</f>
        <v>7.05114715464643E-3</v>
      </c>
      <c r="J287">
        <f>model_eui_end_uses!J287*base_scenario_arch_measures!$F287</f>
        <v>1.413519235200505E-2</v>
      </c>
      <c r="K287">
        <f>model_eui_end_uses!K287*base_scenario_arch_measures!$F287</f>
        <v>0</v>
      </c>
      <c r="L287">
        <f>model_eui_end_uses!L287*base_scenario_arch_measures!$F287</f>
        <v>6.3882515939957654E-2</v>
      </c>
      <c r="M287">
        <f>model_eui_end_uses!M287*base_scenario_arch_measures!$F287</f>
        <v>1.5297589861169159E-2</v>
      </c>
      <c r="N287">
        <f>model_eui_end_uses!N287*base_scenario_arch_measures!$F287</f>
        <v>0</v>
      </c>
      <c r="O287">
        <f>model_eui_end_uses!O287*base_scenario_arch_measures!$F287</f>
        <v>4.4363010597390562E-2</v>
      </c>
      <c r="P287">
        <f>model_eui_end_uses!P287*base_scenario_arch_measures!$F287</f>
        <v>3.2898042712191737E-5</v>
      </c>
      <c r="Q287">
        <f>model_eui_end_uses!Q287*base_scenario_arch_measures!$F287</f>
        <v>0</v>
      </c>
      <c r="R287" s="187">
        <f>model_eui_end_uses!R287*base_building_arch_areas!$N$19</f>
        <v>235.11972405363264</v>
      </c>
      <c r="S287" s="187">
        <f>model_eui_end_uses!S287*base_building_arch_areas!$N$19</f>
        <v>52511.873389020519</v>
      </c>
      <c r="T287" s="187">
        <f>model_eui_end_uses!T287*base_building_arch_areas!$N$19</f>
        <v>854.89892002642682</v>
      </c>
      <c r="U287" s="187">
        <f>model_eui_end_uses!U287*base_building_arch_areas!$N$19</f>
        <v>2323.2711430433665</v>
      </c>
      <c r="V287" s="187">
        <f>model_eui_end_uses!V287*base_building_arch_areas!$N$19</f>
        <v>0</v>
      </c>
      <c r="W287" s="187">
        <f>model_eui_end_uses!W287*base_building_arch_areas!$N$19</f>
        <v>10495.708448079977</v>
      </c>
      <c r="X287" s="187">
        <f>model_eui_end_uses!X287*base_building_arch_areas!$N$19</f>
        <v>2513.3487743664177</v>
      </c>
      <c r="Y287" s="187">
        <f>model_eui_end_uses!Y287*base_building_arch_areas!$N$19</f>
        <v>0</v>
      </c>
      <c r="Z287" s="187">
        <f>model_eui_end_uses!Z287*base_building_arch_areas!$N$19</f>
        <v>7424.7385657089662</v>
      </c>
      <c r="AA287" s="187">
        <f>model_eui_end_uses!AA287*base_building_arch_areas!$N$19</f>
        <v>5.405051127669716</v>
      </c>
      <c r="AB287" s="187">
        <f>model_eui_end_uses!AB287*base_building_arch_areas!$N$19</f>
        <v>0</v>
      </c>
      <c r="AC287" s="187">
        <f>model_eui_end_uses!AC287*base_building_arch_areas!$N$19</f>
        <v>76364.364015426967</v>
      </c>
      <c r="AD287" s="187">
        <f>model_eui_end_uses!AD287*base_building_arch_areas!$N$19</f>
        <v>2979.9848550552438</v>
      </c>
      <c r="AE287" s="187">
        <f>model_eui_end_uses!AE287*base_building_arch_areas!$N$19</f>
        <v>-467.53692254342957</v>
      </c>
      <c r="AF287" s="187">
        <f t="shared" si="50"/>
        <v>2512.4479325118141</v>
      </c>
      <c r="AG287" s="187">
        <f>model_eui_end_uses!AH287*base_building_arch_areas!$N$19</f>
        <v>48.275754651894943</v>
      </c>
      <c r="AH287" s="187">
        <f>model_eui_end_uses!AI287*base_building_arch_areas!$N$19</f>
        <v>-52.831672247407546</v>
      </c>
      <c r="AI287" s="187">
        <f t="shared" si="51"/>
        <v>-4.5559175955126037</v>
      </c>
      <c r="AJ287" s="200">
        <f>sim_annual_output!F287/sim_annual_output!H287*base_building_arch_areas!$N$19</f>
        <v>65296.710114261528</v>
      </c>
      <c r="AK287">
        <f t="shared" si="52"/>
        <v>-14332.28515339614</v>
      </c>
    </row>
    <row r="288" spans="1:37">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f>model_eui_end_uses!G288*base_scenario_arch_measures!$F288</f>
        <v>3.2678722427443799E-3</v>
      </c>
      <c r="H288">
        <f>model_eui_end_uses!H288*base_scenario_arch_measures!$F288</f>
        <v>0.31054655718885266</v>
      </c>
      <c r="I288">
        <f>model_eui_end_uses!I288*base_scenario_arch_measures!$F288</f>
        <v>7.0346981332903335E-3</v>
      </c>
      <c r="J288">
        <f>model_eui_end_uses!J288*base_scenario_arch_measures!$F288</f>
        <v>1.414067535912375E-2</v>
      </c>
      <c r="K288">
        <f>model_eui_end_uses!K288*base_scenario_arch_measures!$F288</f>
        <v>0</v>
      </c>
      <c r="L288">
        <f>model_eui_end_uses!L288*base_scenario_arch_measures!$F288</f>
        <v>6.3882515939957654E-2</v>
      </c>
      <c r="M288">
        <f>model_eui_end_uses!M288*base_scenario_arch_measures!$F288</f>
        <v>1.5297589861169159E-2</v>
      </c>
      <c r="N288">
        <f>model_eui_end_uses!N288*base_scenario_arch_measures!$F288</f>
        <v>0</v>
      </c>
      <c r="O288">
        <f>model_eui_end_uses!O288*base_scenario_arch_measures!$F288</f>
        <v>4.0047883994974741E-2</v>
      </c>
      <c r="P288">
        <f>model_eui_end_uses!P288*base_scenario_arch_measures!$F288</f>
        <v>3.2898042712191737E-5</v>
      </c>
      <c r="Q288">
        <f>model_eui_end_uses!Q288*base_scenario_arch_measures!$F288</f>
        <v>0</v>
      </c>
      <c r="R288" s="187">
        <f>model_eui_end_uses!R288*base_building_arch_areas!$N$19</f>
        <v>235.11972405363264</v>
      </c>
      <c r="S288" s="187">
        <f>model_eui_end_uses!S288*base_building_arch_areas!$N$19</f>
        <v>52511.873389020519</v>
      </c>
      <c r="T288" s="187">
        <f>model_eui_end_uses!T288*base_building_arch_areas!$N$19</f>
        <v>854.89892002642682</v>
      </c>
      <c r="U288" s="187">
        <f>model_eui_end_uses!U288*base_building_arch_areas!$N$19</f>
        <v>2323.2711430433665</v>
      </c>
      <c r="V288" s="187">
        <f>model_eui_end_uses!V288*base_building_arch_areas!$N$19</f>
        <v>0</v>
      </c>
      <c r="W288" s="187">
        <f>model_eui_end_uses!W288*base_building_arch_areas!$N$19</f>
        <v>10495.708448079977</v>
      </c>
      <c r="X288" s="187">
        <f>model_eui_end_uses!X288*base_building_arch_areas!$N$19</f>
        <v>2513.3487743664177</v>
      </c>
      <c r="Y288" s="187">
        <f>model_eui_end_uses!Y288*base_building_arch_areas!$N$19</f>
        <v>0</v>
      </c>
      <c r="Z288" s="187">
        <f>model_eui_end_uses!Z288*base_building_arch_areas!$N$19</f>
        <v>7424.7385657089662</v>
      </c>
      <c r="AA288" s="187">
        <f>model_eui_end_uses!AA288*base_building_arch_areas!$N$19</f>
        <v>5.405051127669716</v>
      </c>
      <c r="AB288" s="187">
        <f>model_eui_end_uses!AB288*base_building_arch_areas!$N$19</f>
        <v>0</v>
      </c>
      <c r="AC288" s="187">
        <f>model_eui_end_uses!AC288*base_building_arch_areas!$N$19</f>
        <v>76364.364015426967</v>
      </c>
      <c r="AD288" s="187">
        <f>model_eui_end_uses!AD288*base_building_arch_areas!$N$19</f>
        <v>1489.9924275276189</v>
      </c>
      <c r="AE288" s="187">
        <f>model_eui_end_uses!AE288*base_building_arch_areas!$N$19</f>
        <v>242.32645889052858</v>
      </c>
      <c r="AF288" s="187">
        <f t="shared" si="50"/>
        <v>1732.3188864181475</v>
      </c>
      <c r="AG288" s="187">
        <f>model_eui_end_uses!AH288*base_building_arch_areas!$N$19</f>
        <v>24.137877325947425</v>
      </c>
      <c r="AH288" s="187">
        <f>model_eui_end_uses!AI288*base_building_arch_areas!$N$19</f>
        <v>27.382889854629731</v>
      </c>
      <c r="AI288" s="187">
        <f t="shared" si="51"/>
        <v>51.520767180577153</v>
      </c>
      <c r="AJ288" s="200">
        <f>sim_annual_output!F288/sim_annual_output!H288*base_building_arch_areas!$N$19</f>
        <v>2019.8479898434193</v>
      </c>
      <c r="AK288">
        <f t="shared" si="52"/>
        <v>39.204540234503398</v>
      </c>
    </row>
    <row r="289" spans="1:37">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f>model_eui_end_uses!G289*base_scenario_arch_measures!$F289</f>
        <v>3.2733552498630781E-3</v>
      </c>
      <c r="H289">
        <f>model_eui_end_uses!H289*base_scenario_arch_measures!$F289</f>
        <v>0.31089198663733064</v>
      </c>
      <c r="I289">
        <f>model_eui_end_uses!I289*base_scenario_arch_measures!$F289</f>
        <v>6.9689020478659498E-3</v>
      </c>
      <c r="J289">
        <f>model_eui_end_uses!J289*base_scenario_arch_measures!$F289</f>
        <v>1.414067535912375E-2</v>
      </c>
      <c r="K289">
        <f>model_eui_end_uses!K289*base_scenario_arch_measures!$F289</f>
        <v>0</v>
      </c>
      <c r="L289">
        <f>model_eui_end_uses!L289*base_scenario_arch_measures!$F289</f>
        <v>6.3882515939957654E-2</v>
      </c>
      <c r="M289">
        <f>model_eui_end_uses!M289*base_scenario_arch_measures!$F289</f>
        <v>1.5297589861169159E-2</v>
      </c>
      <c r="N289">
        <f>model_eui_end_uses!N289*base_scenario_arch_measures!$F289</f>
        <v>0</v>
      </c>
      <c r="O289">
        <f>model_eui_end_uses!O289*base_scenario_arch_measures!$F289</f>
        <v>4.4686508017393781E-2</v>
      </c>
      <c r="P289">
        <f>model_eui_end_uses!P289*base_scenario_arch_measures!$F289</f>
        <v>3.2898042712191737E-5</v>
      </c>
      <c r="Q289">
        <f>model_eui_end_uses!Q289*base_scenario_arch_measures!$F289</f>
        <v>0</v>
      </c>
      <c r="R289" s="187">
        <f>model_eui_end_uses!R289*base_building_arch_areas!$N$19</f>
        <v>235.11972405363264</v>
      </c>
      <c r="S289" s="187">
        <f>model_eui_end_uses!S289*base_building_arch_areas!$N$19</f>
        <v>52511.873389020519</v>
      </c>
      <c r="T289" s="187">
        <f>model_eui_end_uses!T289*base_building_arch_areas!$N$19</f>
        <v>854.89892002642682</v>
      </c>
      <c r="U289" s="187">
        <f>model_eui_end_uses!U289*base_building_arch_areas!$N$19</f>
        <v>2323.2711430433665</v>
      </c>
      <c r="V289" s="187">
        <f>model_eui_end_uses!V289*base_building_arch_areas!$N$19</f>
        <v>0</v>
      </c>
      <c r="W289" s="187">
        <f>model_eui_end_uses!W289*base_building_arch_areas!$N$19</f>
        <v>10495.708448079977</v>
      </c>
      <c r="X289" s="187">
        <f>model_eui_end_uses!X289*base_building_arch_areas!$N$19</f>
        <v>2513.3487743664177</v>
      </c>
      <c r="Y289" s="187">
        <f>model_eui_end_uses!Y289*base_building_arch_areas!$N$19</f>
        <v>0</v>
      </c>
      <c r="Z289" s="187">
        <f>model_eui_end_uses!Z289*base_building_arch_areas!$N$19</f>
        <v>7424.7385657089662</v>
      </c>
      <c r="AA289" s="187">
        <f>model_eui_end_uses!AA289*base_building_arch_areas!$N$19</f>
        <v>5.405051127669716</v>
      </c>
      <c r="AB289" s="187">
        <f>model_eui_end_uses!AB289*base_building_arch_areas!$N$19</f>
        <v>0</v>
      </c>
      <c r="AC289" s="187">
        <f>model_eui_end_uses!AC289*base_building_arch_areas!$N$19</f>
        <v>76364.364015426967</v>
      </c>
      <c r="AD289" s="187">
        <f>model_eui_end_uses!AD289*base_building_arch_areas!$N$19</f>
        <v>1433.2393906870898</v>
      </c>
      <c r="AE289" s="187">
        <f>model_eui_end_uses!AE289*base_building_arch_areas!$N$19</f>
        <v>-509.87648971017734</v>
      </c>
      <c r="AF289" s="187">
        <f t="shared" si="50"/>
        <v>923.36290097691244</v>
      </c>
      <c r="AG289" s="187">
        <f>model_eui_end_uses!AH289*base_building_arch_areas!$N$19</f>
        <v>23.218478129130855</v>
      </c>
      <c r="AH289" s="187">
        <f>model_eui_end_uses!AI289*base_building_arch_areas!$N$19</f>
        <v>-57.616043337250041</v>
      </c>
      <c r="AI289" s="187">
        <f t="shared" si="51"/>
        <v>-34.39756520811919</v>
      </c>
      <c r="AJ289" s="200">
        <f>sim_annual_output!F289/sim_annual_output!H289*base_building_arch_areas!$N$19</f>
        <v>5571.9787558188737</v>
      </c>
      <c r="AK289">
        <f t="shared" si="52"/>
        <v>-161.98759191547853</v>
      </c>
    </row>
    <row r="290" spans="1:37">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f>model_eui_end_uses!G290*base_scenario_arch_measures!$F290</f>
        <v>3.2678722427443799E-3</v>
      </c>
      <c r="H290">
        <f>model_eui_end_uses!H290*base_scenario_arch_measures!$F290</f>
        <v>0.31054655718885266</v>
      </c>
      <c r="I290">
        <f>model_eui_end_uses!I290*base_scenario_arch_measures!$F290</f>
        <v>6.9908340763407441E-3</v>
      </c>
      <c r="J290">
        <f>model_eui_end_uses!J290*base_scenario_arch_measures!$F290</f>
        <v>1.414067535912375E-2</v>
      </c>
      <c r="K290">
        <f>model_eui_end_uses!K290*base_scenario_arch_measures!$F290</f>
        <v>0</v>
      </c>
      <c r="L290">
        <f>model_eui_end_uses!L290*base_scenario_arch_measures!$F290</f>
        <v>6.3882515939957654E-2</v>
      </c>
      <c r="M290">
        <f>model_eui_end_uses!M290*base_scenario_arch_measures!$F290</f>
        <v>1.5297589861169159E-2</v>
      </c>
      <c r="N290">
        <f>model_eui_end_uses!N290*base_scenario_arch_measures!$F290</f>
        <v>0</v>
      </c>
      <c r="O290">
        <f>model_eui_end_uses!O290*base_scenario_arch_measures!$F290</f>
        <v>4.505935250146529E-2</v>
      </c>
      <c r="P290">
        <f>model_eui_end_uses!P290*base_scenario_arch_measures!$F290</f>
        <v>3.2898042712191737E-5</v>
      </c>
      <c r="Q290">
        <f>model_eui_end_uses!Q290*base_scenario_arch_measures!$F290</f>
        <v>0</v>
      </c>
      <c r="R290" s="187">
        <f>model_eui_end_uses!R290*base_building_arch_areas!$N$19</f>
        <v>235.11972405363264</v>
      </c>
      <c r="S290" s="187">
        <f>model_eui_end_uses!S290*base_building_arch_areas!$N$19</f>
        <v>52511.873389020519</v>
      </c>
      <c r="T290" s="187">
        <f>model_eui_end_uses!T290*base_building_arch_areas!$N$19</f>
        <v>854.89892002642682</v>
      </c>
      <c r="U290" s="187">
        <f>model_eui_end_uses!U290*base_building_arch_areas!$N$19</f>
        <v>2323.2711430433665</v>
      </c>
      <c r="V290" s="187">
        <f>model_eui_end_uses!V290*base_building_arch_areas!$N$19</f>
        <v>0</v>
      </c>
      <c r="W290" s="187">
        <f>model_eui_end_uses!W290*base_building_arch_areas!$N$19</f>
        <v>10495.708448079977</v>
      </c>
      <c r="X290" s="187">
        <f>model_eui_end_uses!X290*base_building_arch_areas!$N$19</f>
        <v>2513.3487743664177</v>
      </c>
      <c r="Y290" s="187">
        <f>model_eui_end_uses!Y290*base_building_arch_areas!$N$19</f>
        <v>0</v>
      </c>
      <c r="Z290" s="187">
        <f>model_eui_end_uses!Z290*base_building_arch_areas!$N$19</f>
        <v>7424.7385657089662</v>
      </c>
      <c r="AA290" s="187">
        <f>model_eui_end_uses!AA290*base_building_arch_areas!$N$19</f>
        <v>5.405051127669716</v>
      </c>
      <c r="AB290" s="187">
        <f>model_eui_end_uses!AB290*base_building_arch_areas!$N$19</f>
        <v>0</v>
      </c>
      <c r="AC290" s="187">
        <f>model_eui_end_uses!AC290*base_building_arch_areas!$N$19</f>
        <v>76364.364015426967</v>
      </c>
      <c r="AD290" s="187">
        <f>model_eui_end_uses!AD290*base_building_arch_areas!$N$19</f>
        <v>1489.9924275276189</v>
      </c>
      <c r="AE290" s="187">
        <f>model_eui_end_uses!AE290*base_building_arch_areas!$N$19</f>
        <v>-573.83626138760292</v>
      </c>
      <c r="AF290" s="187">
        <f t="shared" si="50"/>
        <v>916.15616614001601</v>
      </c>
      <c r="AG290" s="187">
        <f>model_eui_end_uses!AH290*base_building_arch_areas!$N$19</f>
        <v>24.137877325947425</v>
      </c>
      <c r="AH290" s="187">
        <f>model_eui_end_uses!AI290*base_building_arch_areas!$N$19</f>
        <v>-64.843497536799134</v>
      </c>
      <c r="AI290" s="187">
        <f t="shared" si="51"/>
        <v>-40.705620210851706</v>
      </c>
      <c r="AJ290" s="200">
        <f>sim_annual_output!F290/sim_annual_output!H290*base_building_arch_areas!$N$19</f>
        <v>223716.55497249259</v>
      </c>
      <c r="AK290">
        <f t="shared" si="52"/>
        <v>-5495.9623220002441</v>
      </c>
    </row>
    <row r="291" spans="1:37">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f>model_eui_end_uses!G291*base_scenario_arch_measures!$F291</f>
        <v>3.0704839864712291E-3</v>
      </c>
      <c r="H291">
        <f>model_eui_end_uses!H291*base_scenario_arch_measures!$F291</f>
        <v>0.18625775182219226</v>
      </c>
      <c r="I291">
        <f>model_eui_end_uses!I291*base_scenario_arch_measures!$F291</f>
        <v>8.5151100553389637E-3</v>
      </c>
      <c r="J291">
        <f>model_eui_end_uses!J291*base_scenario_arch_measures!$F291</f>
        <v>1.3789762903527037E-2</v>
      </c>
      <c r="K291">
        <f>model_eui_end_uses!K291*base_scenario_arch_measures!$F291</f>
        <v>0</v>
      </c>
      <c r="L291">
        <f>model_eui_end_uses!L291*base_scenario_arch_measures!$F291</f>
        <v>6.3882515939957654E-2</v>
      </c>
      <c r="M291">
        <f>model_eui_end_uses!M291*base_scenario_arch_measures!$F291</f>
        <v>1.5297589861169159E-2</v>
      </c>
      <c r="N291">
        <f>model_eui_end_uses!N291*base_scenario_arch_measures!$F291</f>
        <v>0</v>
      </c>
      <c r="O291">
        <f>model_eui_end_uses!O291*base_scenario_arch_measures!$F291</f>
        <v>3.2848695648123455E-2</v>
      </c>
      <c r="P291">
        <f>model_eui_end_uses!P291*base_scenario_arch_measures!$F291</f>
        <v>3.2898042712191737E-5</v>
      </c>
      <c r="Q291">
        <f>model_eui_end_uses!Q291*base_scenario_arch_measures!$F291</f>
        <v>0</v>
      </c>
      <c r="R291" s="187">
        <f>model_eui_end_uses!R291*base_building_arch_areas!$N$19</f>
        <v>235.11972405363264</v>
      </c>
      <c r="S291" s="187">
        <f>model_eui_end_uses!S291*base_building_arch_areas!$N$19</f>
        <v>52511.873389020519</v>
      </c>
      <c r="T291" s="187">
        <f>model_eui_end_uses!T291*base_building_arch_areas!$N$19</f>
        <v>854.89892002642682</v>
      </c>
      <c r="U291" s="187">
        <f>model_eui_end_uses!U291*base_building_arch_areas!$N$19</f>
        <v>2323.2711430433665</v>
      </c>
      <c r="V291" s="187">
        <f>model_eui_end_uses!V291*base_building_arch_areas!$N$19</f>
        <v>0</v>
      </c>
      <c r="W291" s="187">
        <f>model_eui_end_uses!W291*base_building_arch_areas!$N$19</f>
        <v>10495.708448079977</v>
      </c>
      <c r="X291" s="187">
        <f>model_eui_end_uses!X291*base_building_arch_areas!$N$19</f>
        <v>2513.3487743664177</v>
      </c>
      <c r="Y291" s="187">
        <f>model_eui_end_uses!Y291*base_building_arch_areas!$N$19</f>
        <v>0</v>
      </c>
      <c r="Z291" s="187">
        <f>model_eui_end_uses!Z291*base_building_arch_areas!$N$19</f>
        <v>7424.7385657089662</v>
      </c>
      <c r="AA291" s="187">
        <f>model_eui_end_uses!AA291*base_building_arch_areas!$N$19</f>
        <v>5.405051127669716</v>
      </c>
      <c r="AB291" s="187">
        <f>model_eui_end_uses!AB291*base_building_arch_areas!$N$19</f>
        <v>0</v>
      </c>
      <c r="AC291" s="187">
        <f>model_eui_end_uses!AC291*base_building_arch_areas!$N$19</f>
        <v>76364.364015426967</v>
      </c>
      <c r="AD291" s="187">
        <f>model_eui_end_uses!AD291*base_building_arch_areas!$N$19</f>
        <v>21910.275587863805</v>
      </c>
      <c r="AE291" s="187">
        <f>model_eui_end_uses!AE291*base_building_arch_areas!$N$19</f>
        <v>1271.9886987116058</v>
      </c>
      <c r="AF291" s="187">
        <f t="shared" si="50"/>
        <v>23182.26428657541</v>
      </c>
      <c r="AG291" s="187">
        <f>model_eui_end_uses!AH291*base_building_arch_areas!$N$19</f>
        <v>354.94646452339362</v>
      </c>
      <c r="AH291" s="187">
        <f>model_eui_end_uses!AI291*base_building_arch_areas!$N$19</f>
        <v>143.73472295441147</v>
      </c>
      <c r="AI291" s="187">
        <f t="shared" si="51"/>
        <v>498.68118747780511</v>
      </c>
      <c r="AJ291" s="200">
        <f>sim_annual_output!F291/sim_annual_output!H291*base_building_arch_areas!$N$19</f>
        <v>49499.588912399493</v>
      </c>
      <c r="AK291">
        <f t="shared" si="52"/>
        <v>99.260991100857552</v>
      </c>
    </row>
    <row r="292" spans="1:37">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f>model_eui_end_uses!G292*base_scenario_arch_measures!$F292</f>
        <v>2.7524695735867085E-3</v>
      </c>
      <c r="H292">
        <f>model_eui_end_uses!H292*base_scenario_arch_measures!$F292</f>
        <v>0.15713201800766513</v>
      </c>
      <c r="I292">
        <f>model_eui_end_uses!I292*base_scenario_arch_measures!$F292</f>
        <v>6.7495817631180056E-3</v>
      </c>
      <c r="J292">
        <f>model_eui_end_uses!J292*base_scenario_arch_measures!$F292</f>
        <v>1.3828143953357928E-2</v>
      </c>
      <c r="K292">
        <f>model_eui_end_uses!K292*base_scenario_arch_measures!$F292</f>
        <v>0</v>
      </c>
      <c r="L292">
        <f>model_eui_end_uses!L292*base_scenario_arch_measures!$F292</f>
        <v>6.3882515939957654E-2</v>
      </c>
      <c r="M292">
        <f>model_eui_end_uses!M292*base_scenario_arch_measures!$F292</f>
        <v>1.5297589861169159E-2</v>
      </c>
      <c r="N292">
        <f>model_eui_end_uses!N292*base_scenario_arch_measures!$F292</f>
        <v>0</v>
      </c>
      <c r="O292">
        <f>model_eui_end_uses!O292*base_scenario_arch_measures!$F292</f>
        <v>3.7125441200708376E-2</v>
      </c>
      <c r="P292">
        <f>model_eui_end_uses!P292*base_scenario_arch_measures!$F292</f>
        <v>3.2898042712191737E-5</v>
      </c>
      <c r="Q292">
        <f>model_eui_end_uses!Q292*base_scenario_arch_measures!$F292</f>
        <v>0</v>
      </c>
      <c r="R292" s="187">
        <f>model_eui_end_uses!R292*base_building_arch_areas!$N$19</f>
        <v>235.11972405363264</v>
      </c>
      <c r="S292" s="187">
        <f>model_eui_end_uses!S292*base_building_arch_areas!$N$19</f>
        <v>52511.873389020519</v>
      </c>
      <c r="T292" s="187">
        <f>model_eui_end_uses!T292*base_building_arch_areas!$N$19</f>
        <v>854.89892002642682</v>
      </c>
      <c r="U292" s="187">
        <f>model_eui_end_uses!U292*base_building_arch_areas!$N$19</f>
        <v>2323.2711430433665</v>
      </c>
      <c r="V292" s="187">
        <f>model_eui_end_uses!V292*base_building_arch_areas!$N$19</f>
        <v>0</v>
      </c>
      <c r="W292" s="187">
        <f>model_eui_end_uses!W292*base_building_arch_areas!$N$19</f>
        <v>10495.708448079977</v>
      </c>
      <c r="X292" s="187">
        <f>model_eui_end_uses!X292*base_building_arch_areas!$N$19</f>
        <v>2513.3487743664177</v>
      </c>
      <c r="Y292" s="187">
        <f>model_eui_end_uses!Y292*base_building_arch_areas!$N$19</f>
        <v>0</v>
      </c>
      <c r="Z292" s="187">
        <f>model_eui_end_uses!Z292*base_building_arch_areas!$N$19</f>
        <v>7424.7385657089662</v>
      </c>
      <c r="AA292" s="187">
        <f>model_eui_end_uses!AA292*base_building_arch_areas!$N$19</f>
        <v>5.405051127669716</v>
      </c>
      <c r="AB292" s="187">
        <f>model_eui_end_uses!AB292*base_building_arch_areas!$N$19</f>
        <v>0</v>
      </c>
      <c r="AC292" s="187">
        <f>model_eui_end_uses!AC292*base_building_arch_areas!$N$19</f>
        <v>76364.364015426967</v>
      </c>
      <c r="AD292" s="187">
        <f>model_eui_end_uses!AD292*base_building_arch_areas!$N$19</f>
        <v>26695.547519560732</v>
      </c>
      <c r="AE292" s="187">
        <f>model_eui_end_uses!AE292*base_building_arch_areas!$N$19</f>
        <v>905.34606388468012</v>
      </c>
      <c r="AF292" s="187">
        <f t="shared" si="50"/>
        <v>27600.893583445413</v>
      </c>
      <c r="AG292" s="187">
        <f>model_eui_end_uses!AH292*base_building_arch_areas!$N$19</f>
        <v>432.46786981688382</v>
      </c>
      <c r="AH292" s="187">
        <f>model_eui_end_uses!AI292*base_building_arch_areas!$N$19</f>
        <v>102.30410521896884</v>
      </c>
      <c r="AI292" s="187">
        <f t="shared" si="51"/>
        <v>534.77197503585262</v>
      </c>
      <c r="AJ292" s="200">
        <f>sim_annual_output!F292/sim_annual_output!H292*base_building_arch_areas!$N$19</f>
        <v>60016.710368176056</v>
      </c>
      <c r="AK292">
        <f t="shared" si="52"/>
        <v>112.22860054353515</v>
      </c>
    </row>
    <row r="293" spans="1:37">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f>model_eui_end_uses!G293*base_scenario_arch_measures!$F293</f>
        <v>2.5441153030761614E-3</v>
      </c>
      <c r="H293">
        <f>model_eui_end_uses!H293*base_scenario_arch_measures!$F293</f>
        <v>0.32566869082222338</v>
      </c>
      <c r="I293">
        <f>model_eui_end_uses!I293*base_scenario_arch_measures!$F293</f>
        <v>5.0991966203897199E-3</v>
      </c>
      <c r="J293">
        <f>model_eui_end_uses!J293*base_scenario_arch_measures!$F293</f>
        <v>1.414615836624245E-2</v>
      </c>
      <c r="K293">
        <f>model_eui_end_uses!K293*base_scenario_arch_measures!$F293</f>
        <v>0</v>
      </c>
      <c r="L293">
        <f>model_eui_end_uses!L293*base_scenario_arch_measures!$F293</f>
        <v>4.4719406060105979E-2</v>
      </c>
      <c r="M293">
        <f>model_eui_end_uses!M293*base_scenario_arch_measures!$F293</f>
        <v>1.5297589861169159E-2</v>
      </c>
      <c r="N293">
        <f>model_eui_end_uses!N293*base_scenario_arch_measures!$F293</f>
        <v>0</v>
      </c>
      <c r="O293">
        <f>model_eui_end_uses!O293*base_scenario_arch_measures!$F293</f>
        <v>4.5163529636720559E-2</v>
      </c>
      <c r="P293">
        <f>model_eui_end_uses!P293*base_scenario_arch_measures!$F293</f>
        <v>3.2898042712191737E-5</v>
      </c>
      <c r="Q293">
        <f>model_eui_end_uses!Q293*base_scenario_arch_measures!$F293</f>
        <v>0</v>
      </c>
      <c r="R293" s="187">
        <f>model_eui_end_uses!R293*base_building_arch_areas!$N$19</f>
        <v>235.11972405363264</v>
      </c>
      <c r="S293" s="187">
        <f>model_eui_end_uses!S293*base_building_arch_areas!$N$19</f>
        <v>52511.873389020519</v>
      </c>
      <c r="T293" s="187">
        <f>model_eui_end_uses!T293*base_building_arch_areas!$N$19</f>
        <v>854.89892002642682</v>
      </c>
      <c r="U293" s="187">
        <f>model_eui_end_uses!U293*base_building_arch_areas!$N$19</f>
        <v>2323.2711430433665</v>
      </c>
      <c r="V293" s="187">
        <f>model_eui_end_uses!V293*base_building_arch_areas!$N$19</f>
        <v>0</v>
      </c>
      <c r="W293" s="187">
        <f>model_eui_end_uses!W293*base_building_arch_areas!$N$19</f>
        <v>10495.708448079977</v>
      </c>
      <c r="X293" s="187">
        <f>model_eui_end_uses!X293*base_building_arch_areas!$N$19</f>
        <v>2513.3487743664177</v>
      </c>
      <c r="Y293" s="187">
        <f>model_eui_end_uses!Y293*base_building_arch_areas!$N$19</f>
        <v>0</v>
      </c>
      <c r="Z293" s="187">
        <f>model_eui_end_uses!Z293*base_building_arch_areas!$N$19</f>
        <v>7424.7385657089662</v>
      </c>
      <c r="AA293" s="187">
        <f>model_eui_end_uses!AA293*base_building_arch_areas!$N$19</f>
        <v>5.405051127669716</v>
      </c>
      <c r="AB293" s="187">
        <f>model_eui_end_uses!AB293*base_building_arch_areas!$N$19</f>
        <v>0</v>
      </c>
      <c r="AC293" s="187">
        <f>model_eui_end_uses!AC293*base_building_arch_areas!$N$19</f>
        <v>76364.364015426967</v>
      </c>
      <c r="AD293" s="187">
        <f>model_eui_end_uses!AD293*base_building_arch_areas!$N$19</f>
        <v>-994.52940749122286</v>
      </c>
      <c r="AE293" s="187">
        <f>model_eui_end_uses!AE293*base_building_arch_areas!$N$19</f>
        <v>2986.2907480375152</v>
      </c>
      <c r="AF293" s="187">
        <f t="shared" si="50"/>
        <v>1991.7613405462923</v>
      </c>
      <c r="AG293" s="187">
        <f>model_eui_end_uses!AH293*base_building_arch_areas!$N$19</f>
        <v>-16.111376401357813</v>
      </c>
      <c r="AH293" s="187">
        <f>model_eui_end_uses!AI293*base_building_arch_areas!$N$19</f>
        <v>337.45085452823923</v>
      </c>
      <c r="AI293" s="187">
        <f t="shared" si="51"/>
        <v>321.33947812688143</v>
      </c>
      <c r="AJ293" s="200">
        <f>sim_annual_output!F293/sim_annual_output!H293*base_building_arch_areas!$N$19</f>
        <v>27041.541345746937</v>
      </c>
      <c r="AK293">
        <f t="shared" si="52"/>
        <v>84.152565079692877</v>
      </c>
    </row>
    <row r="294" spans="1:37">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f>model_eui_end_uses!G294*base_scenario_arch_measures!$F294</f>
        <v>2.7524695735867085E-3</v>
      </c>
      <c r="H294">
        <f>model_eui_end_uses!H294*base_scenario_arch_measures!$F294</f>
        <v>0.15713201800766513</v>
      </c>
      <c r="I294">
        <f>model_eui_end_uses!I294*base_scenario_arch_measures!$F294</f>
        <v>6.7495817631180056E-3</v>
      </c>
      <c r="J294">
        <f>model_eui_end_uses!J294*base_scenario_arch_measures!$F294</f>
        <v>1.3828143953357928E-2</v>
      </c>
      <c r="K294">
        <f>model_eui_end_uses!K294*base_scenario_arch_measures!$F294</f>
        <v>0</v>
      </c>
      <c r="L294">
        <f>model_eui_end_uses!L294*base_scenario_arch_measures!$F294</f>
        <v>6.3882515939957654E-2</v>
      </c>
      <c r="M294">
        <f>model_eui_end_uses!M294*base_scenario_arch_measures!$F294</f>
        <v>1.5297589861169159E-2</v>
      </c>
      <c r="N294">
        <f>model_eui_end_uses!N294*base_scenario_arch_measures!$F294</f>
        <v>0</v>
      </c>
      <c r="O294">
        <f>model_eui_end_uses!O294*base_scenario_arch_measures!$F294</f>
        <v>3.7125441200708376E-2</v>
      </c>
      <c r="P294">
        <f>model_eui_end_uses!P294*base_scenario_arch_measures!$F294</f>
        <v>3.2898042712191737E-5</v>
      </c>
      <c r="Q294">
        <f>model_eui_end_uses!Q294*base_scenario_arch_measures!$F294</f>
        <v>0</v>
      </c>
      <c r="R294" s="187">
        <f>model_eui_end_uses!R294*base_building_arch_areas!$N$19</f>
        <v>235.11972405363264</v>
      </c>
      <c r="S294" s="187">
        <f>model_eui_end_uses!S294*base_building_arch_areas!$N$19</f>
        <v>52511.873389020519</v>
      </c>
      <c r="T294" s="187">
        <f>model_eui_end_uses!T294*base_building_arch_areas!$N$19</f>
        <v>854.89892002642682</v>
      </c>
      <c r="U294" s="187">
        <f>model_eui_end_uses!U294*base_building_arch_areas!$N$19</f>
        <v>2323.2711430433665</v>
      </c>
      <c r="V294" s="187">
        <f>model_eui_end_uses!V294*base_building_arch_areas!$N$19</f>
        <v>0</v>
      </c>
      <c r="W294" s="187">
        <f>model_eui_end_uses!W294*base_building_arch_areas!$N$19</f>
        <v>10495.708448079977</v>
      </c>
      <c r="X294" s="187">
        <f>model_eui_end_uses!X294*base_building_arch_areas!$N$19</f>
        <v>2513.3487743664177</v>
      </c>
      <c r="Y294" s="187">
        <f>model_eui_end_uses!Y294*base_building_arch_areas!$N$19</f>
        <v>0</v>
      </c>
      <c r="Z294" s="187">
        <f>model_eui_end_uses!Z294*base_building_arch_areas!$N$19</f>
        <v>7424.7385657089662</v>
      </c>
      <c r="AA294" s="187">
        <f>model_eui_end_uses!AA294*base_building_arch_areas!$N$19</f>
        <v>5.405051127669716</v>
      </c>
      <c r="AB294" s="187">
        <f>model_eui_end_uses!AB294*base_building_arch_areas!$N$19</f>
        <v>0</v>
      </c>
      <c r="AC294" s="187">
        <f>model_eui_end_uses!AC294*base_building_arch_areas!$N$19</f>
        <v>76364.364015426967</v>
      </c>
      <c r="AD294" s="187">
        <f>model_eui_end_uses!AD294*base_building_arch_areas!$N$19</f>
        <v>26695.547519560732</v>
      </c>
      <c r="AE294" s="187">
        <f>model_eui_end_uses!AE294*base_building_arch_areas!$N$19</f>
        <v>905.34606388468012</v>
      </c>
      <c r="AF294" s="187">
        <f t="shared" si="50"/>
        <v>27600.893583445413</v>
      </c>
      <c r="AG294" s="187">
        <f>model_eui_end_uses!AH294*base_building_arch_areas!$N$19</f>
        <v>432.46786981688382</v>
      </c>
      <c r="AH294" s="187">
        <f>model_eui_end_uses!AI294*base_building_arch_areas!$N$19</f>
        <v>102.30410521896884</v>
      </c>
      <c r="AI294" s="187">
        <f t="shared" si="51"/>
        <v>534.77197503585262</v>
      </c>
      <c r="AJ294" s="200">
        <f>sim_annual_output!F294/sim_annual_output!H294*base_building_arch_areas!$N$19</f>
        <v>61298.540160812532</v>
      </c>
      <c r="AK294">
        <f t="shared" si="52"/>
        <v>114.62556570340639</v>
      </c>
    </row>
    <row r="295" spans="1:37">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f>model_eui_end_uses!G295*base_scenario_arch_measures!$F295</f>
        <v>2.8621297159606811E-3</v>
      </c>
      <c r="H295">
        <f>model_eui_end_uses!H295*base_scenario_arch_measures!$F295</f>
        <v>0.26702244668062297</v>
      </c>
      <c r="I295">
        <f>model_eui_end_uses!I295*base_scenario_arch_measures!$F295</f>
        <v>5.45559208310513E-3</v>
      </c>
      <c r="J295">
        <f>model_eui_end_uses!J295*base_scenario_arch_measures!$F295</f>
        <v>1.417905640895464E-2</v>
      </c>
      <c r="K295">
        <f>model_eui_end_uses!K295*base_scenario_arch_measures!$F295</f>
        <v>0</v>
      </c>
      <c r="L295">
        <f>model_eui_end_uses!L295*base_scenario_arch_measures!$F295</f>
        <v>6.3882515939957654E-2</v>
      </c>
      <c r="M295">
        <f>model_eui_end_uses!M295*base_scenario_arch_measures!$F295</f>
        <v>1.5297589861169159E-2</v>
      </c>
      <c r="N295">
        <f>model_eui_end_uses!N295*base_scenario_arch_measures!$F295</f>
        <v>0</v>
      </c>
      <c r="O295">
        <f>model_eui_end_uses!O295*base_scenario_arch_measures!$F295</f>
        <v>5.1172905438814253E-2</v>
      </c>
      <c r="P295">
        <f>model_eui_end_uses!P295*base_scenario_arch_measures!$F295</f>
        <v>3.2898042712191737E-5</v>
      </c>
      <c r="Q295">
        <f>model_eui_end_uses!Q295*base_scenario_arch_measures!$F295</f>
        <v>0</v>
      </c>
      <c r="R295" s="187">
        <f>model_eui_end_uses!R295*base_building_arch_areas!$N$19</f>
        <v>235.11972405363264</v>
      </c>
      <c r="S295" s="187">
        <f>model_eui_end_uses!S295*base_building_arch_areas!$N$19</f>
        <v>52511.873389020519</v>
      </c>
      <c r="T295" s="187">
        <f>model_eui_end_uses!T295*base_building_arch_areas!$N$19</f>
        <v>854.89892002642682</v>
      </c>
      <c r="U295" s="187">
        <f>model_eui_end_uses!U295*base_building_arch_areas!$N$19</f>
        <v>2323.2711430433665</v>
      </c>
      <c r="V295" s="187">
        <f>model_eui_end_uses!V295*base_building_arch_areas!$N$19</f>
        <v>0</v>
      </c>
      <c r="W295" s="187">
        <f>model_eui_end_uses!W295*base_building_arch_areas!$N$19</f>
        <v>10495.708448079977</v>
      </c>
      <c r="X295" s="187">
        <f>model_eui_end_uses!X295*base_building_arch_areas!$N$19</f>
        <v>2513.3487743664177</v>
      </c>
      <c r="Y295" s="187">
        <f>model_eui_end_uses!Y295*base_building_arch_areas!$N$19</f>
        <v>0</v>
      </c>
      <c r="Z295" s="187">
        <f>model_eui_end_uses!Z295*base_building_arch_areas!$N$19</f>
        <v>7424.7385657089662</v>
      </c>
      <c r="AA295" s="187">
        <f>model_eui_end_uses!AA295*base_building_arch_areas!$N$19</f>
        <v>5.405051127669716</v>
      </c>
      <c r="AB295" s="187">
        <f>model_eui_end_uses!AB295*base_building_arch_areas!$N$19</f>
        <v>0</v>
      </c>
      <c r="AC295" s="187">
        <f>model_eui_end_uses!AC295*base_building_arch_areas!$N$19</f>
        <v>76364.364015426967</v>
      </c>
      <c r="AD295" s="187">
        <f>model_eui_end_uses!AD295*base_building_arch_areas!$N$19</f>
        <v>8640.8750694346563</v>
      </c>
      <c r="AE295" s="187">
        <f>model_eui_end_uses!AE295*base_building_arch_areas!$N$19</f>
        <v>-1265.6828057293258</v>
      </c>
      <c r="AF295" s="187">
        <f t="shared" si="50"/>
        <v>7375.1922637053303</v>
      </c>
      <c r="AG295" s="187">
        <f>model_eui_end_uses!AH295*base_building_arch_areas!$N$19</f>
        <v>139.9821761248414</v>
      </c>
      <c r="AH295" s="187">
        <f>model_eui_end_uses!AI295*base_building_arch_areas!$N$19</f>
        <v>-143.0221570474138</v>
      </c>
      <c r="AI295" s="187">
        <f t="shared" si="51"/>
        <v>-3.039980922572397</v>
      </c>
      <c r="AJ295" s="200">
        <f>sim_annual_output!F295/sim_annual_output!H295*base_building_arch_areas!$N$19</f>
        <v>10517.121455776556</v>
      </c>
      <c r="AK295">
        <f t="shared" si="52"/>
        <v>-3459.6011368640725</v>
      </c>
    </row>
    <row r="296" spans="1:37">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f>model_eui_end_uses!G296*base_scenario_arch_measures!$F296</f>
        <v>1.962916548494107E-2</v>
      </c>
      <c r="H296">
        <f>model_eui_end_uses!H296*base_scenario_arch_measures!$F296</f>
        <v>0.11355856043536719</v>
      </c>
      <c r="I296">
        <f>model_eui_end_uses!I296*base_scenario_arch_measures!$F296</f>
        <v>1.2435460145208476E-2</v>
      </c>
      <c r="J296">
        <f>model_eui_end_uses!J296*base_scenario_arch_measures!$F296</f>
        <v>1.3932321088613203E-2</v>
      </c>
      <c r="K296">
        <f>model_eui_end_uses!K296*base_scenario_arch_measures!$F296</f>
        <v>0</v>
      </c>
      <c r="L296">
        <f>model_eui_end_uses!L296*base_scenario_arch_measures!$F296</f>
        <v>4.4719406060105979E-2</v>
      </c>
      <c r="M296">
        <f>model_eui_end_uses!M296*base_scenario_arch_measures!$F296</f>
        <v>1.5297589861169159E-2</v>
      </c>
      <c r="N296">
        <f>model_eui_end_uses!N296*base_scenario_arch_measures!$F296</f>
        <v>0</v>
      </c>
      <c r="O296">
        <f>model_eui_end_uses!O296*base_scenario_arch_measures!$F296</f>
        <v>3.2442953121339754E-2</v>
      </c>
      <c r="P296">
        <f>model_eui_end_uses!P296*base_scenario_arch_measures!$F296</f>
        <v>2.1932028474794492E-5</v>
      </c>
      <c r="Q296">
        <f>model_eui_end_uses!Q296*base_scenario_arch_measures!$F296</f>
        <v>0</v>
      </c>
      <c r="R296" s="187">
        <f>model_eui_end_uses!R296*base_building_arch_areas!$N$19</f>
        <v>235.11972405363264</v>
      </c>
      <c r="S296" s="187">
        <f>model_eui_end_uses!S296*base_building_arch_areas!$N$19</f>
        <v>52511.873389020519</v>
      </c>
      <c r="T296" s="187">
        <f>model_eui_end_uses!T296*base_building_arch_areas!$N$19</f>
        <v>854.89892002642682</v>
      </c>
      <c r="U296" s="187">
        <f>model_eui_end_uses!U296*base_building_arch_areas!$N$19</f>
        <v>2323.2711430433665</v>
      </c>
      <c r="V296" s="187">
        <f>model_eui_end_uses!V296*base_building_arch_areas!$N$19</f>
        <v>0</v>
      </c>
      <c r="W296" s="187">
        <f>model_eui_end_uses!W296*base_building_arch_areas!$N$19</f>
        <v>10495.708448079977</v>
      </c>
      <c r="X296" s="187">
        <f>model_eui_end_uses!X296*base_building_arch_areas!$N$19</f>
        <v>2513.3487743664177</v>
      </c>
      <c r="Y296" s="187">
        <f>model_eui_end_uses!Y296*base_building_arch_areas!$N$19</f>
        <v>0</v>
      </c>
      <c r="Z296" s="187">
        <f>model_eui_end_uses!Z296*base_building_arch_areas!$N$19</f>
        <v>7424.7385657089662</v>
      </c>
      <c r="AA296" s="187">
        <f>model_eui_end_uses!AA296*base_building_arch_areas!$N$19</f>
        <v>5.405051127669716</v>
      </c>
      <c r="AB296" s="187">
        <f>model_eui_end_uses!AB296*base_building_arch_areas!$N$19</f>
        <v>0</v>
      </c>
      <c r="AC296" s="187">
        <f>model_eui_end_uses!AC296*base_building_arch_areas!$N$19</f>
        <v>76364.364015426967</v>
      </c>
      <c r="AD296" s="187">
        <f>model_eui_end_uses!AD296*base_building_arch_areas!$N$19</f>
        <v>33854.53773815927</v>
      </c>
      <c r="AE296" s="187">
        <f>model_eui_end_uses!AE296*base_building_arch_areas!$N$19</f>
        <v>1100.8287463353963</v>
      </c>
      <c r="AF296" s="187">
        <f t="shared" si="50"/>
        <v>34955.366484494669</v>
      </c>
      <c r="AG296" s="187">
        <f>model_eui_end_uses!AH296*base_building_arch_areas!$N$19</f>
        <v>548.4435113581801</v>
      </c>
      <c r="AH296" s="187">
        <f>model_eui_end_uses!AI296*base_building_arch_areas!$N$19</f>
        <v>124.39364833589977</v>
      </c>
      <c r="AI296" s="187">
        <f t="shared" si="51"/>
        <v>672.8371596940799</v>
      </c>
      <c r="AJ296" s="200">
        <f>sim_annual_output!F296/sim_annual_output!H296*base_building_arch_areas!$N$19</f>
        <v>152834.47016504445</v>
      </c>
      <c r="AK296">
        <f t="shared" si="52"/>
        <v>227.14927076045262</v>
      </c>
    </row>
    <row r="297" spans="1:37">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f>model_eui_end_uses!G297*base_scenario_arch_measures!$F297</f>
        <v>3.218525178676092E-3</v>
      </c>
      <c r="H297">
        <f>model_eui_end_uses!H297*base_scenario_arch_measures!$F297</f>
        <v>0.3109742317441111</v>
      </c>
      <c r="I297">
        <f>model_eui_end_uses!I297*base_scenario_arch_measures!$F297</f>
        <v>6.8044118343049912E-3</v>
      </c>
      <c r="J297">
        <f>model_eui_end_uses!J297*base_scenario_arch_measures!$F297</f>
        <v>1.413519235200505E-2</v>
      </c>
      <c r="K297">
        <f>model_eui_end_uses!K297*base_scenario_arch_measures!$F297</f>
        <v>0</v>
      </c>
      <c r="L297">
        <f>model_eui_end_uses!L297*base_scenario_arch_measures!$F297</f>
        <v>6.3882515939957654E-2</v>
      </c>
      <c r="M297">
        <f>model_eui_end_uses!M297*base_scenario_arch_measures!$F297</f>
        <v>1.5297589861169159E-2</v>
      </c>
      <c r="N297">
        <f>model_eui_end_uses!N297*base_scenario_arch_measures!$F297</f>
        <v>0</v>
      </c>
      <c r="O297">
        <f>model_eui_end_uses!O297*base_scenario_arch_measures!$F297</f>
        <v>4.5108699565533573E-2</v>
      </c>
      <c r="P297">
        <f>model_eui_end_uses!P297*base_scenario_arch_measures!$F297</f>
        <v>3.2898042712191737E-5</v>
      </c>
      <c r="Q297">
        <f>model_eui_end_uses!Q297*base_scenario_arch_measures!$F297</f>
        <v>0</v>
      </c>
      <c r="R297" s="187">
        <f>model_eui_end_uses!R297*base_building_arch_areas!$N$19</f>
        <v>235.11972405363264</v>
      </c>
      <c r="S297" s="187">
        <f>model_eui_end_uses!S297*base_building_arch_areas!$N$19</f>
        <v>52511.873389020519</v>
      </c>
      <c r="T297" s="187">
        <f>model_eui_end_uses!T297*base_building_arch_areas!$N$19</f>
        <v>854.89892002642682</v>
      </c>
      <c r="U297" s="187">
        <f>model_eui_end_uses!U297*base_building_arch_areas!$N$19</f>
        <v>2323.2711430433665</v>
      </c>
      <c r="V297" s="187">
        <f>model_eui_end_uses!V297*base_building_arch_areas!$N$19</f>
        <v>0</v>
      </c>
      <c r="W297" s="187">
        <f>model_eui_end_uses!W297*base_building_arch_areas!$N$19</f>
        <v>10495.708448079977</v>
      </c>
      <c r="X297" s="187">
        <f>model_eui_end_uses!X297*base_building_arch_areas!$N$19</f>
        <v>2513.3487743664177</v>
      </c>
      <c r="Y297" s="187">
        <f>model_eui_end_uses!Y297*base_building_arch_areas!$N$19</f>
        <v>0</v>
      </c>
      <c r="Z297" s="187">
        <f>model_eui_end_uses!Z297*base_building_arch_areas!$N$19</f>
        <v>7424.7385657089662</v>
      </c>
      <c r="AA297" s="187">
        <f>model_eui_end_uses!AA297*base_building_arch_areas!$N$19</f>
        <v>5.405051127669716</v>
      </c>
      <c r="AB297" s="187">
        <f>model_eui_end_uses!AB297*base_building_arch_areas!$N$19</f>
        <v>0</v>
      </c>
      <c r="AC297" s="187">
        <f>model_eui_end_uses!AC297*base_building_arch_areas!$N$19</f>
        <v>76364.364015426967</v>
      </c>
      <c r="AD297" s="187">
        <f>model_eui_end_uses!AD297*base_building_arch_areas!$N$19</f>
        <v>1419.7267628679162</v>
      </c>
      <c r="AE297" s="187">
        <f>model_eui_end_uses!AE297*base_building_arch_areas!$N$19</f>
        <v>-542.30679647619399</v>
      </c>
      <c r="AF297" s="187">
        <f t="shared" si="50"/>
        <v>877.41996639172226</v>
      </c>
      <c r="AG297" s="187">
        <f>model_eui_end_uses!AH297*base_building_arch_areas!$N$19</f>
        <v>22.999573558460241</v>
      </c>
      <c r="AH297" s="187">
        <f>model_eui_end_uses!AI297*base_building_arch_areas!$N$19</f>
        <v>-61.280668001809929</v>
      </c>
      <c r="AI297" s="187">
        <f t="shared" si="51"/>
        <v>-38.281094443349687</v>
      </c>
      <c r="AJ297" s="200">
        <f>sim_annual_output!F297/sim_annual_output!H297*base_building_arch_areas!$N$19</f>
        <v>6080.9691917054597</v>
      </c>
      <c r="AK297">
        <f t="shared" si="52"/>
        <v>-158.85045294889329</v>
      </c>
    </row>
    <row r="298" spans="1:37">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f>model_eui_end_uses!G298*base_scenario_arch_measures!$F298</f>
        <v>3.2678722427443799E-3</v>
      </c>
      <c r="H298">
        <f>model_eui_end_uses!H298*base_scenario_arch_measures!$F298</f>
        <v>0.31054655718885266</v>
      </c>
      <c r="I298">
        <f>model_eui_end_uses!I298*base_scenario_arch_measures!$F298</f>
        <v>6.9908340763407441E-3</v>
      </c>
      <c r="J298">
        <f>model_eui_end_uses!J298*base_scenario_arch_measures!$F298</f>
        <v>1.414067535912375E-2</v>
      </c>
      <c r="K298">
        <f>model_eui_end_uses!K298*base_scenario_arch_measures!$F298</f>
        <v>0</v>
      </c>
      <c r="L298">
        <f>model_eui_end_uses!L298*base_scenario_arch_measures!$F298</f>
        <v>6.3882515939957654E-2</v>
      </c>
      <c r="M298">
        <f>model_eui_end_uses!M298*base_scenario_arch_measures!$F298</f>
        <v>1.5297589861169159E-2</v>
      </c>
      <c r="N298">
        <f>model_eui_end_uses!N298*base_scenario_arch_measures!$F298</f>
        <v>0</v>
      </c>
      <c r="O298">
        <f>model_eui_end_uses!O298*base_scenario_arch_measures!$F298</f>
        <v>4.505935250146529E-2</v>
      </c>
      <c r="P298">
        <f>model_eui_end_uses!P298*base_scenario_arch_measures!$F298</f>
        <v>2.1932028474794492E-5</v>
      </c>
      <c r="Q298">
        <f>model_eui_end_uses!Q298*base_scenario_arch_measures!$F298</f>
        <v>0</v>
      </c>
      <c r="R298" s="187">
        <f>model_eui_end_uses!R298*base_building_arch_areas!$N$19</f>
        <v>235.11972405363264</v>
      </c>
      <c r="S298" s="187">
        <f>model_eui_end_uses!S298*base_building_arch_areas!$N$19</f>
        <v>52511.873389020519</v>
      </c>
      <c r="T298" s="187">
        <f>model_eui_end_uses!T298*base_building_arch_areas!$N$19</f>
        <v>854.89892002642682</v>
      </c>
      <c r="U298" s="187">
        <f>model_eui_end_uses!U298*base_building_arch_areas!$N$19</f>
        <v>2323.2711430433665</v>
      </c>
      <c r="V298" s="187">
        <f>model_eui_end_uses!V298*base_building_arch_areas!$N$19</f>
        <v>0</v>
      </c>
      <c r="W298" s="187">
        <f>model_eui_end_uses!W298*base_building_arch_areas!$N$19</f>
        <v>10495.708448079977</v>
      </c>
      <c r="X298" s="187">
        <f>model_eui_end_uses!X298*base_building_arch_areas!$N$19</f>
        <v>2513.3487743664177</v>
      </c>
      <c r="Y298" s="187">
        <f>model_eui_end_uses!Y298*base_building_arch_areas!$N$19</f>
        <v>0</v>
      </c>
      <c r="Z298" s="187">
        <f>model_eui_end_uses!Z298*base_building_arch_areas!$N$19</f>
        <v>7424.7385657089662</v>
      </c>
      <c r="AA298" s="187">
        <f>model_eui_end_uses!AA298*base_building_arch_areas!$N$19</f>
        <v>5.405051127669716</v>
      </c>
      <c r="AB298" s="187">
        <f>model_eui_end_uses!AB298*base_building_arch_areas!$N$19</f>
        <v>0</v>
      </c>
      <c r="AC298" s="187">
        <f>model_eui_end_uses!AC298*base_building_arch_areas!$N$19</f>
        <v>76364.364015426967</v>
      </c>
      <c r="AD298" s="187">
        <f>model_eui_end_uses!AD298*base_building_arch_areas!$N$19</f>
        <v>1489.9924275276189</v>
      </c>
      <c r="AE298" s="187">
        <f>model_eui_end_uses!AE298*base_building_arch_areas!$N$19</f>
        <v>-572.03457767837881</v>
      </c>
      <c r="AF298" s="187">
        <f t="shared" si="50"/>
        <v>917.95784984924012</v>
      </c>
      <c r="AG298" s="187">
        <f>model_eui_end_uses!AH298*base_building_arch_areas!$N$19</f>
        <v>24.137877325947425</v>
      </c>
      <c r="AH298" s="187">
        <f>model_eui_end_uses!AI298*base_building_arch_areas!$N$19</f>
        <v>-64.639907277656803</v>
      </c>
      <c r="AI298" s="187">
        <f t="shared" si="51"/>
        <v>-40.502029951709375</v>
      </c>
      <c r="AJ298" s="200">
        <f>sim_annual_output!F298/sim_annual_output!H298*base_building_arch_areas!$N$19</f>
        <v>2337.2806601777402</v>
      </c>
      <c r="AK298">
        <f t="shared" si="52"/>
        <v>-57.707741141974438</v>
      </c>
    </row>
    <row r="299" spans="1:37">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f>model_eui_end_uses!G299*base_scenario_arch_measures!$F299</f>
        <v>5.2927563239569902E-2</v>
      </c>
      <c r="H299">
        <f>model_eui_end_uses!H299*base_scenario_arch_measures!$F299</f>
        <v>0.57171754631422211</v>
      </c>
      <c r="I299">
        <f>model_eui_end_uses!I299*base_scenario_arch_measures!$F299</f>
        <v>4.5521033163592357E-2</v>
      </c>
      <c r="J299">
        <f>model_eui_end_uses!J299*base_scenario_arch_measures!$F299</f>
        <v>5.2490661184526291E-2</v>
      </c>
      <c r="K299">
        <f>model_eui_end_uses!K299*base_scenario_arch_measures!$F299</f>
        <v>0</v>
      </c>
      <c r="L299">
        <f>model_eui_end_uses!L299*base_scenario_arch_measures!$F299</f>
        <v>0.24239742111015292</v>
      </c>
      <c r="M299">
        <f>model_eui_end_uses!M299*base_scenario_arch_measures!$F299</f>
        <v>5.8045558741509448E-2</v>
      </c>
      <c r="N299">
        <f>model_eui_end_uses!N299*base_scenario_arch_measures!$F299</f>
        <v>0</v>
      </c>
      <c r="O299">
        <f>model_eui_end_uses!O299*base_scenario_arch_measures!$F299</f>
        <v>0.11833804233752894</v>
      </c>
      <c r="P299">
        <f>model_eui_end_uses!P299*base_scenario_arch_measures!$F299</f>
        <v>1.2482915858389129E-4</v>
      </c>
      <c r="Q299">
        <f>model_eui_end_uses!Q299*base_scenario_arch_measures!$F299</f>
        <v>0</v>
      </c>
      <c r="R299" s="187">
        <f>model_eui_end_uses!R299*base_building_arch_areas!$N$20</f>
        <v>1037.4514822130418</v>
      </c>
      <c r="S299" s="187">
        <f>model_eui_end_uses!S299*base_building_arch_areas!$N$20</f>
        <v>116850.17770842586</v>
      </c>
      <c r="T299" s="187">
        <f>model_eui_end_uses!T299*base_building_arch_areas!$N$20</f>
        <v>2925.0368179062143</v>
      </c>
      <c r="U299" s="187">
        <f>model_eui_end_uses!U299*base_building_arch_areas!$N$20</f>
        <v>9052.4846347269922</v>
      </c>
      <c r="V299" s="187">
        <f>model_eui_end_uses!V299*base_building_arch_areas!$N$20</f>
        <v>0</v>
      </c>
      <c r="W299" s="187">
        <f>model_eui_end_uses!W299*base_building_arch_areas!$N$20</f>
        <v>41969.955622444963</v>
      </c>
      <c r="X299" s="187">
        <f>model_eui_end_uses!X299*base_building_arch_areas!$N$20</f>
        <v>10050.311233938841</v>
      </c>
      <c r="Y299" s="187">
        <f>model_eui_end_uses!Y299*base_building_arch_areas!$N$20</f>
        <v>0</v>
      </c>
      <c r="Z299" s="187">
        <f>model_eui_end_uses!Z299*base_building_arch_areas!$N$20</f>
        <v>20504.075822071645</v>
      </c>
      <c r="AA299" s="187">
        <f>model_eui_end_uses!AA299*base_building_arch_areas!$N$20</f>
        <v>21.613572546105036</v>
      </c>
      <c r="AB299" s="187">
        <f>model_eui_end_uses!AB299*base_building_arch_areas!$N$20</f>
        <v>0</v>
      </c>
      <c r="AC299" s="187">
        <f>model_eui_end_uses!AC299*base_building_arch_areas!$N$20</f>
        <v>202411.10689427363</v>
      </c>
      <c r="AD299" s="187">
        <f>model_eui_end_uses!AD299*base_building_arch_areas!$N$20</f>
        <v>17860.015447264796</v>
      </c>
      <c r="AE299" s="187">
        <f>model_eui_end_uses!AE299*base_building_arch_areas!$N$20</f>
        <v>-13105.029487121677</v>
      </c>
      <c r="AF299" s="187">
        <f t="shared" si="47"/>
        <v>4754.9859601431181</v>
      </c>
      <c r="AG299" s="187">
        <f>model_eui_end_uses!AH299*base_building_arch_areas!$N$20</f>
        <v>289.33225024568964</v>
      </c>
      <c r="AH299" s="187">
        <f>model_eui_end_uses!AI299*base_building_arch_areas!$N$20</f>
        <v>-1480.8683320447494</v>
      </c>
      <c r="AI299" s="187">
        <f t="shared" si="48"/>
        <v>-1191.5360817990597</v>
      </c>
      <c r="AJ299" s="200">
        <f>sim_annual_output!F299/sim_annual_output!H299*base_building_arch_areas!$N$20</f>
        <v>77582.184494286921</v>
      </c>
      <c r="AK299">
        <f t="shared" si="49"/>
        <v>-65.111066025921957</v>
      </c>
    </row>
    <row r="300" spans="1:37">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f>model_eui_end_uses!G300*base_scenario_arch_measures!$F300</f>
        <v>5.9917996120267825E-3</v>
      </c>
      <c r="H300">
        <f>model_eui_end_uses!H300*base_scenario_arch_measures!$F300</f>
        <v>0.6748680410240443</v>
      </c>
      <c r="I300">
        <f>model_eui_end_uses!I300*base_scenario_arch_measures!$F300</f>
        <v>1.6893546128353285E-2</v>
      </c>
      <c r="J300">
        <f>model_eui_end_uses!J300*base_scenario_arch_measures!$F300</f>
        <v>5.2282612586886469E-2</v>
      </c>
      <c r="K300">
        <f>model_eui_end_uses!K300*base_scenario_arch_measures!$F300</f>
        <v>0</v>
      </c>
      <c r="L300">
        <f>model_eui_end_uses!L300*base_scenario_arch_measures!$F300</f>
        <v>0.24239742111015292</v>
      </c>
      <c r="M300">
        <f>model_eui_end_uses!M300*base_scenario_arch_measures!$F300</f>
        <v>5.8045558741509448E-2</v>
      </c>
      <c r="N300">
        <f>model_eui_end_uses!N300*base_scenario_arch_measures!$F300</f>
        <v>0</v>
      </c>
      <c r="O300">
        <f>model_eui_end_uses!O300*base_scenario_arch_measures!$F300</f>
        <v>0.11842126177658488</v>
      </c>
      <c r="P300">
        <f>model_eui_end_uses!P300*base_scenario_arch_measures!$F300</f>
        <v>1.2482915858389129E-4</v>
      </c>
      <c r="Q300">
        <f>model_eui_end_uses!Q300*base_scenario_arch_measures!$F300</f>
        <v>0</v>
      </c>
      <c r="R300" s="187">
        <f>model_eui_end_uses!R300*base_building_arch_areas!$N$20</f>
        <v>1037.4514822130418</v>
      </c>
      <c r="S300" s="187">
        <f>model_eui_end_uses!S300*base_building_arch_areas!$N$20</f>
        <v>116850.17770842586</v>
      </c>
      <c r="T300" s="187">
        <f>model_eui_end_uses!T300*base_building_arch_areas!$N$20</f>
        <v>2925.0368179062143</v>
      </c>
      <c r="U300" s="187">
        <f>model_eui_end_uses!U300*base_building_arch_areas!$N$20</f>
        <v>9052.4846347269922</v>
      </c>
      <c r="V300" s="187">
        <f>model_eui_end_uses!V300*base_building_arch_areas!$N$20</f>
        <v>0</v>
      </c>
      <c r="W300" s="187">
        <f>model_eui_end_uses!W300*base_building_arch_areas!$N$20</f>
        <v>41969.955622444963</v>
      </c>
      <c r="X300" s="187">
        <f>model_eui_end_uses!X300*base_building_arch_areas!$N$20</f>
        <v>10050.311233938841</v>
      </c>
      <c r="Y300" s="187">
        <f>model_eui_end_uses!Y300*base_building_arch_areas!$N$20</f>
        <v>0</v>
      </c>
      <c r="Z300" s="187">
        <f>model_eui_end_uses!Z300*base_building_arch_areas!$N$20</f>
        <v>20504.075822071645</v>
      </c>
      <c r="AA300" s="187">
        <f>model_eui_end_uses!AA300*base_building_arch_areas!$N$20</f>
        <v>21.613572546105036</v>
      </c>
      <c r="AB300" s="187">
        <f>model_eui_end_uses!AB300*base_building_arch_areas!$N$20</f>
        <v>0</v>
      </c>
      <c r="AC300" s="187">
        <f>model_eui_end_uses!AC300*base_building_arch_areas!$N$20</f>
        <v>202411.10689427363</v>
      </c>
      <c r="AD300" s="187">
        <f>model_eui_end_uses!AD300*base_building_arch_areas!$N$20</f>
        <v>0</v>
      </c>
      <c r="AE300" s="187">
        <f>model_eui_end_uses!AE300*base_building_arch_areas!$N$20</f>
        <v>0</v>
      </c>
      <c r="AF300" s="187">
        <f t="shared" ref="AF300:AF320" si="53">SUM(AD300:AE300)</f>
        <v>0</v>
      </c>
      <c r="AG300" s="187">
        <f>model_eui_end_uses!AH300*base_building_arch_areas!$N$20</f>
        <v>0</v>
      </c>
      <c r="AH300" s="187">
        <f>model_eui_end_uses!AI300*base_building_arch_areas!$N$20</f>
        <v>0</v>
      </c>
      <c r="AI300" s="187">
        <f t="shared" ref="AI300:AI320" si="54">SUM(AG300:AH300)</f>
        <v>0</v>
      </c>
      <c r="AJ300" s="200">
        <f>sim_annual_output!F300/sim_annual_output!H300*base_building_arch_areas!$N$20</f>
        <v>0</v>
      </c>
      <c r="AK300">
        <f t="shared" ref="AK300:AK320" si="55">IF(AI300=0,0,AJ300/AI300)</f>
        <v>0</v>
      </c>
    </row>
    <row r="301" spans="1:37">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f>model_eui_end_uses!G301*base_scenario_arch_measures!$F301</f>
        <v>1.1796355486177726E-2</v>
      </c>
      <c r="H301">
        <f>model_eui_end_uses!H301*base_scenario_arch_measures!$F301</f>
        <v>0.65196189042390029</v>
      </c>
      <c r="I301">
        <f>model_eui_end_uses!I301*base_scenario_arch_measures!$F301</f>
        <v>2.3988003307871108E-2</v>
      </c>
      <c r="J301">
        <f>model_eui_end_uses!J301*base_scenario_arch_measures!$F301</f>
        <v>5.2303417446650451E-2</v>
      </c>
      <c r="K301">
        <f>model_eui_end_uses!K301*base_scenario_arch_measures!$F301</f>
        <v>0</v>
      </c>
      <c r="L301">
        <f>model_eui_end_uses!L301*base_scenario_arch_measures!$F301</f>
        <v>0.24239742111015292</v>
      </c>
      <c r="M301">
        <f>model_eui_end_uses!M301*base_scenario_arch_measures!$F301</f>
        <v>5.8045558741509448E-2</v>
      </c>
      <c r="N301">
        <f>model_eui_end_uses!N301*base_scenario_arch_measures!$F301</f>
        <v>0</v>
      </c>
      <c r="O301">
        <f>model_eui_end_uses!O301*base_scenario_arch_measures!$F301</f>
        <v>0.11831723747776497</v>
      </c>
      <c r="P301">
        <f>model_eui_end_uses!P301*base_scenario_arch_measures!$F301</f>
        <v>1.2482915858389129E-4</v>
      </c>
      <c r="Q301">
        <f>model_eui_end_uses!Q301*base_scenario_arch_measures!$F301</f>
        <v>0</v>
      </c>
      <c r="R301" s="187">
        <f>model_eui_end_uses!R301*base_building_arch_areas!$N$20</f>
        <v>1037.4514822130418</v>
      </c>
      <c r="S301" s="187">
        <f>model_eui_end_uses!S301*base_building_arch_areas!$N$20</f>
        <v>116850.17770842586</v>
      </c>
      <c r="T301" s="187">
        <f>model_eui_end_uses!T301*base_building_arch_areas!$N$20</f>
        <v>2925.0368179062143</v>
      </c>
      <c r="U301" s="187">
        <f>model_eui_end_uses!U301*base_building_arch_areas!$N$20</f>
        <v>9052.4846347269922</v>
      </c>
      <c r="V301" s="187">
        <f>model_eui_end_uses!V301*base_building_arch_areas!$N$20</f>
        <v>0</v>
      </c>
      <c r="W301" s="187">
        <f>model_eui_end_uses!W301*base_building_arch_areas!$N$20</f>
        <v>41969.955622444963</v>
      </c>
      <c r="X301" s="187">
        <f>model_eui_end_uses!X301*base_building_arch_areas!$N$20</f>
        <v>10050.311233938841</v>
      </c>
      <c r="Y301" s="187">
        <f>model_eui_end_uses!Y301*base_building_arch_areas!$N$20</f>
        <v>0</v>
      </c>
      <c r="Z301" s="187">
        <f>model_eui_end_uses!Z301*base_building_arch_areas!$N$20</f>
        <v>20504.075822071645</v>
      </c>
      <c r="AA301" s="187">
        <f>model_eui_end_uses!AA301*base_building_arch_areas!$N$20</f>
        <v>21.613572546105036</v>
      </c>
      <c r="AB301" s="187">
        <f>model_eui_end_uses!AB301*base_building_arch_areas!$N$20</f>
        <v>0</v>
      </c>
      <c r="AC301" s="187">
        <f>model_eui_end_uses!AC301*base_building_arch_areas!$N$20</f>
        <v>202411.10689427363</v>
      </c>
      <c r="AD301" s="187">
        <f>model_eui_end_uses!AD301*base_building_arch_areas!$N$20</f>
        <v>3966.0905622102787</v>
      </c>
      <c r="AE301" s="187">
        <f>model_eui_end_uses!AE301*base_building_arch_areas!$N$20</f>
        <v>-2218.9934480667816</v>
      </c>
      <c r="AF301" s="187">
        <f t="shared" si="53"/>
        <v>1747.097114143497</v>
      </c>
      <c r="AG301" s="187">
        <f>model_eui_end_uses!AH301*base_building_arch_areas!$N$20</f>
        <v>64.250667107806507</v>
      </c>
      <c r="AH301" s="187">
        <f>model_eui_end_uses!AI301*base_building_arch_areas!$N$20</f>
        <v>-250.74625963154634</v>
      </c>
      <c r="AI301" s="187">
        <f t="shared" si="54"/>
        <v>-186.49559252373984</v>
      </c>
      <c r="AJ301" s="200">
        <f>sim_annual_output!F301/sim_annual_output!H301*base_building_arch_areas!$N$20</f>
        <v>5125.7463732543374</v>
      </c>
      <c r="AK301">
        <f t="shared" si="55"/>
        <v>-27.484544293462907</v>
      </c>
    </row>
    <row r="302" spans="1:37">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f>model_eui_end_uses!G302*base_scenario_arch_measures!$F302</f>
        <v>1.1796355486177726E-2</v>
      </c>
      <c r="H302">
        <f>model_eui_end_uses!H302*base_scenario_arch_measures!$F302</f>
        <v>0.65196189042390029</v>
      </c>
      <c r="I302">
        <f>model_eui_end_uses!I302*base_scenario_arch_measures!$F302</f>
        <v>2.0555201446814102E-2</v>
      </c>
      <c r="J302">
        <f>model_eui_end_uses!J302*base_scenario_arch_measures!$F302</f>
        <v>5.2303417446650451E-2</v>
      </c>
      <c r="K302">
        <f>model_eui_end_uses!K302*base_scenario_arch_measures!$F302</f>
        <v>0</v>
      </c>
      <c r="L302">
        <f>model_eui_end_uses!L302*base_scenario_arch_measures!$F302</f>
        <v>0.24239742111015292</v>
      </c>
      <c r="M302">
        <f>model_eui_end_uses!M302*base_scenario_arch_measures!$F302</f>
        <v>5.8045558741509448E-2</v>
      </c>
      <c r="N302">
        <f>model_eui_end_uses!N302*base_scenario_arch_measures!$F302</f>
        <v>0</v>
      </c>
      <c r="O302">
        <f>model_eui_end_uses!O302*base_scenario_arch_measures!$F302</f>
        <v>0.11831723747776497</v>
      </c>
      <c r="P302">
        <f>model_eui_end_uses!P302*base_scenario_arch_measures!$F302</f>
        <v>1.2482915858389129E-4</v>
      </c>
      <c r="Q302">
        <f>model_eui_end_uses!Q302*base_scenario_arch_measures!$F302</f>
        <v>0</v>
      </c>
      <c r="R302" s="187">
        <f>model_eui_end_uses!R302*base_building_arch_areas!$N$20</f>
        <v>1037.4514822130418</v>
      </c>
      <c r="S302" s="187">
        <f>model_eui_end_uses!S302*base_building_arch_areas!$N$20</f>
        <v>116850.17770842586</v>
      </c>
      <c r="T302" s="187">
        <f>model_eui_end_uses!T302*base_building_arch_areas!$N$20</f>
        <v>2925.0368179062143</v>
      </c>
      <c r="U302" s="187">
        <f>model_eui_end_uses!U302*base_building_arch_areas!$N$20</f>
        <v>9052.4846347269922</v>
      </c>
      <c r="V302" s="187">
        <f>model_eui_end_uses!V302*base_building_arch_areas!$N$20</f>
        <v>0</v>
      </c>
      <c r="W302" s="187">
        <f>model_eui_end_uses!W302*base_building_arch_areas!$N$20</f>
        <v>41969.955622444963</v>
      </c>
      <c r="X302" s="187">
        <f>model_eui_end_uses!X302*base_building_arch_areas!$N$20</f>
        <v>10050.311233938841</v>
      </c>
      <c r="Y302" s="187">
        <f>model_eui_end_uses!Y302*base_building_arch_areas!$N$20</f>
        <v>0</v>
      </c>
      <c r="Z302" s="187">
        <f>model_eui_end_uses!Z302*base_building_arch_areas!$N$20</f>
        <v>20504.075822071645</v>
      </c>
      <c r="AA302" s="187">
        <f>model_eui_end_uses!AA302*base_building_arch_areas!$N$20</f>
        <v>21.613572546105036</v>
      </c>
      <c r="AB302" s="187">
        <f>model_eui_end_uses!AB302*base_building_arch_areas!$N$20</f>
        <v>0</v>
      </c>
      <c r="AC302" s="187">
        <f>model_eui_end_uses!AC302*base_building_arch_areas!$N$20</f>
        <v>202411.10689427363</v>
      </c>
      <c r="AD302" s="187">
        <f>model_eui_end_uses!AD302*base_building_arch_areas!$N$20</f>
        <v>3966.0905622102787</v>
      </c>
      <c r="AE302" s="187">
        <f>model_eui_end_uses!AE302*base_building_arch_areas!$N$20</f>
        <v>-1624.6202030489005</v>
      </c>
      <c r="AF302" s="187">
        <f t="shared" si="53"/>
        <v>2341.4703591613779</v>
      </c>
      <c r="AG302" s="187">
        <f>model_eui_end_uses!AH302*base_building_arch_areas!$N$20</f>
        <v>64.250667107806507</v>
      </c>
      <c r="AH302" s="187">
        <f>model_eui_end_uses!AI302*base_building_arch_areas!$N$20</f>
        <v>-183.58208294452575</v>
      </c>
      <c r="AI302" s="187">
        <f t="shared" si="54"/>
        <v>-119.33141583671924</v>
      </c>
      <c r="AJ302" s="200">
        <f>sim_annual_output!F302/sim_annual_output!H302*base_building_arch_areas!$N$20</f>
        <v>92391.588032162501</v>
      </c>
      <c r="AK302">
        <f t="shared" si="55"/>
        <v>-774.24362548904628</v>
      </c>
    </row>
    <row r="303" spans="1:37">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f>model_eui_end_uses!G303*base_scenario_arch_measures!$F303</f>
        <v>1.1796355486177726E-2</v>
      </c>
      <c r="H303">
        <f>model_eui_end_uses!H303*base_scenario_arch_measures!$F303</f>
        <v>0.65196189042390029</v>
      </c>
      <c r="I303">
        <f>model_eui_end_uses!I303*base_scenario_arch_measures!$F303</f>
        <v>2.3988003307871108E-2</v>
      </c>
      <c r="J303">
        <f>model_eui_end_uses!J303*base_scenario_arch_measures!$F303</f>
        <v>5.2303417446650451E-2</v>
      </c>
      <c r="K303">
        <f>model_eui_end_uses!K303*base_scenario_arch_measures!$F303</f>
        <v>0</v>
      </c>
      <c r="L303">
        <f>model_eui_end_uses!L303*base_scenario_arch_measures!$F303</f>
        <v>0.24239742111015292</v>
      </c>
      <c r="M303">
        <f>model_eui_end_uses!M303*base_scenario_arch_measures!$F303</f>
        <v>5.8045558741509448E-2</v>
      </c>
      <c r="N303">
        <f>model_eui_end_uses!N303*base_scenario_arch_measures!$F303</f>
        <v>0</v>
      </c>
      <c r="O303">
        <f>model_eui_end_uses!O303*base_scenario_arch_measures!$F303</f>
        <v>0.11831723747776497</v>
      </c>
      <c r="P303">
        <f>model_eui_end_uses!P303*base_scenario_arch_measures!$F303</f>
        <v>1.2482915858389129E-4</v>
      </c>
      <c r="Q303">
        <f>model_eui_end_uses!Q303*base_scenario_arch_measures!$F303</f>
        <v>0</v>
      </c>
      <c r="R303" s="187">
        <f>model_eui_end_uses!R303*base_building_arch_areas!$N$20</f>
        <v>1037.4514822130418</v>
      </c>
      <c r="S303" s="187">
        <f>model_eui_end_uses!S303*base_building_arch_areas!$N$20</f>
        <v>116850.17770842586</v>
      </c>
      <c r="T303" s="187">
        <f>model_eui_end_uses!T303*base_building_arch_areas!$N$20</f>
        <v>2925.0368179062143</v>
      </c>
      <c r="U303" s="187">
        <f>model_eui_end_uses!U303*base_building_arch_areas!$N$20</f>
        <v>9052.4846347269922</v>
      </c>
      <c r="V303" s="187">
        <f>model_eui_end_uses!V303*base_building_arch_areas!$N$20</f>
        <v>0</v>
      </c>
      <c r="W303" s="187">
        <f>model_eui_end_uses!W303*base_building_arch_areas!$N$20</f>
        <v>41969.955622444963</v>
      </c>
      <c r="X303" s="187">
        <f>model_eui_end_uses!X303*base_building_arch_areas!$N$20</f>
        <v>10050.311233938841</v>
      </c>
      <c r="Y303" s="187">
        <f>model_eui_end_uses!Y303*base_building_arch_areas!$N$20</f>
        <v>0</v>
      </c>
      <c r="Z303" s="187">
        <f>model_eui_end_uses!Z303*base_building_arch_areas!$N$20</f>
        <v>20504.075822071645</v>
      </c>
      <c r="AA303" s="187">
        <f>model_eui_end_uses!AA303*base_building_arch_areas!$N$20</f>
        <v>21.613572546105036</v>
      </c>
      <c r="AB303" s="187">
        <f>model_eui_end_uses!AB303*base_building_arch_areas!$N$20</f>
        <v>0</v>
      </c>
      <c r="AC303" s="187">
        <f>model_eui_end_uses!AC303*base_building_arch_areas!$N$20</f>
        <v>202411.10689427363</v>
      </c>
      <c r="AD303" s="187">
        <f>model_eui_end_uses!AD303*base_building_arch_areas!$N$20</f>
        <v>3966.0905622102787</v>
      </c>
      <c r="AE303" s="187">
        <f>model_eui_end_uses!AE303*base_building_arch_areas!$N$20</f>
        <v>-2218.9934480667816</v>
      </c>
      <c r="AF303" s="187">
        <f t="shared" si="53"/>
        <v>1747.097114143497</v>
      </c>
      <c r="AG303" s="187">
        <f>model_eui_end_uses!AH303*base_building_arch_areas!$N$20</f>
        <v>64.250667107806507</v>
      </c>
      <c r="AH303" s="187">
        <f>model_eui_end_uses!AI303*base_building_arch_areas!$N$20</f>
        <v>-250.74625963154634</v>
      </c>
      <c r="AI303" s="187">
        <f t="shared" si="54"/>
        <v>-186.49559252373984</v>
      </c>
      <c r="AJ303" s="200">
        <f>sim_annual_output!F303/sim_annual_output!H303*base_building_arch_areas!$N$20</f>
        <v>73441.944274227673</v>
      </c>
      <c r="AK303">
        <f t="shared" si="55"/>
        <v>-393.79989242844397</v>
      </c>
    </row>
    <row r="304" spans="1:37">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f>model_eui_end_uses!G304*base_scenario_arch_measures!$F304</f>
        <v>9.8178133226230507E-2</v>
      </c>
      <c r="H304">
        <f>model_eui_end_uses!H304*base_scenario_arch_measures!$F304</f>
        <v>0.34839818160764058</v>
      </c>
      <c r="I304">
        <f>model_eui_end_uses!I304*base_scenario_arch_measures!$F304</f>
        <v>3.8405771124310553E-2</v>
      </c>
      <c r="J304">
        <f>model_eui_end_uses!J304*base_scenario_arch_measures!$F304</f>
        <v>5.280273408098602E-2</v>
      </c>
      <c r="K304">
        <f>model_eui_end_uses!K304*base_scenario_arch_measures!$F304</f>
        <v>0</v>
      </c>
      <c r="L304">
        <f>model_eui_end_uses!L304*base_scenario_arch_measures!$F304</f>
        <v>0.24239742111015292</v>
      </c>
      <c r="M304">
        <f>model_eui_end_uses!M304*base_scenario_arch_measures!$F304</f>
        <v>5.8045558741509448E-2</v>
      </c>
      <c r="N304">
        <f>model_eui_end_uses!N304*base_scenario_arch_measures!$F304</f>
        <v>0</v>
      </c>
      <c r="O304">
        <f>model_eui_end_uses!O304*base_scenario_arch_measures!$F304</f>
        <v>0.11937828532572804</v>
      </c>
      <c r="P304">
        <f>model_eui_end_uses!P304*base_scenario_arch_measures!$F304</f>
        <v>1.2482915858389129E-4</v>
      </c>
      <c r="Q304">
        <f>model_eui_end_uses!Q304*base_scenario_arch_measures!$F304</f>
        <v>0</v>
      </c>
      <c r="R304" s="187">
        <f>model_eui_end_uses!R304*base_building_arch_areas!$N$20</f>
        <v>1037.4514822130418</v>
      </c>
      <c r="S304" s="187">
        <f>model_eui_end_uses!S304*base_building_arch_areas!$N$20</f>
        <v>116850.17770842586</v>
      </c>
      <c r="T304" s="187">
        <f>model_eui_end_uses!T304*base_building_arch_areas!$N$20</f>
        <v>2925.0368179062143</v>
      </c>
      <c r="U304" s="187">
        <f>model_eui_end_uses!U304*base_building_arch_areas!$N$20</f>
        <v>9052.4846347269922</v>
      </c>
      <c r="V304" s="187">
        <f>model_eui_end_uses!V304*base_building_arch_areas!$N$20</f>
        <v>0</v>
      </c>
      <c r="W304" s="187">
        <f>model_eui_end_uses!W304*base_building_arch_areas!$N$20</f>
        <v>41969.955622444963</v>
      </c>
      <c r="X304" s="187">
        <f>model_eui_end_uses!X304*base_building_arch_areas!$N$20</f>
        <v>10050.311233938841</v>
      </c>
      <c r="Y304" s="187">
        <f>model_eui_end_uses!Y304*base_building_arch_areas!$N$20</f>
        <v>0</v>
      </c>
      <c r="Z304" s="187">
        <f>model_eui_end_uses!Z304*base_building_arch_areas!$N$20</f>
        <v>20504.075822071645</v>
      </c>
      <c r="AA304" s="187">
        <f>model_eui_end_uses!AA304*base_building_arch_areas!$N$20</f>
        <v>21.613572546105036</v>
      </c>
      <c r="AB304" s="187">
        <f>model_eui_end_uses!AB304*base_building_arch_areas!$N$20</f>
        <v>0</v>
      </c>
      <c r="AC304" s="187">
        <f>model_eui_end_uses!AC304*base_building_arch_areas!$N$20</f>
        <v>202411.10689427363</v>
      </c>
      <c r="AD304" s="187">
        <f>model_eui_end_uses!AD304*base_building_arch_areas!$N$20</f>
        <v>56526.69673224671</v>
      </c>
      <c r="AE304" s="187">
        <f>model_eui_end_uses!AE304*base_building_arch_areas!$N$20</f>
        <v>-19942.122935872914</v>
      </c>
      <c r="AF304" s="187">
        <f t="shared" si="53"/>
        <v>36584.573796373792</v>
      </c>
      <c r="AG304" s="187">
        <f>model_eui_end_uses!AH304*base_building_arch_areas!$N$20</f>
        <v>915.73248706239656</v>
      </c>
      <c r="AH304" s="187">
        <f>model_eui_end_uses!AI304*base_building_arch_areas!$N$20</f>
        <v>-2253.4598917536391</v>
      </c>
      <c r="AI304" s="187">
        <f t="shared" si="54"/>
        <v>-1337.7274046912426</v>
      </c>
      <c r="AJ304" s="200">
        <f>sim_annual_output!F304/sim_annual_output!H304*base_building_arch_areas!$N$20</f>
        <v>77582.184494286921</v>
      </c>
      <c r="AK304">
        <f t="shared" si="55"/>
        <v>-57.995511060187532</v>
      </c>
    </row>
    <row r="305" spans="1:37">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f>model_eui_end_uses!G305*base_scenario_arch_measures!$F305</f>
        <v>1.1796355486177726E-2</v>
      </c>
      <c r="H305">
        <f>model_eui_end_uses!H305*base_scenario_arch_measures!$F305</f>
        <v>0.65196189042390029</v>
      </c>
      <c r="I305">
        <f>model_eui_end_uses!I305*base_scenario_arch_measures!$F305</f>
        <v>2.3988003307871108E-2</v>
      </c>
      <c r="J305">
        <f>model_eui_end_uses!J305*base_scenario_arch_measures!$F305</f>
        <v>5.2303417446650451E-2</v>
      </c>
      <c r="K305">
        <f>model_eui_end_uses!K305*base_scenario_arch_measures!$F305</f>
        <v>0</v>
      </c>
      <c r="L305">
        <f>model_eui_end_uses!L305*base_scenario_arch_measures!$F305</f>
        <v>0.24239742111015292</v>
      </c>
      <c r="M305">
        <f>model_eui_end_uses!M305*base_scenario_arch_measures!$F305</f>
        <v>5.8045558741509448E-2</v>
      </c>
      <c r="N305">
        <f>model_eui_end_uses!N305*base_scenario_arch_measures!$F305</f>
        <v>0</v>
      </c>
      <c r="O305">
        <f>model_eui_end_uses!O305*base_scenario_arch_measures!$F305</f>
        <v>0.11831723747776497</v>
      </c>
      <c r="P305">
        <f>model_eui_end_uses!P305*base_scenario_arch_measures!$F305</f>
        <v>1.2482915858389129E-4</v>
      </c>
      <c r="Q305">
        <f>model_eui_end_uses!Q305*base_scenario_arch_measures!$F305</f>
        <v>0</v>
      </c>
      <c r="R305" s="187">
        <f>model_eui_end_uses!R305*base_building_arch_areas!$N$20</f>
        <v>1037.4514822130418</v>
      </c>
      <c r="S305" s="187">
        <f>model_eui_end_uses!S305*base_building_arch_areas!$N$20</f>
        <v>116850.17770842586</v>
      </c>
      <c r="T305" s="187">
        <f>model_eui_end_uses!T305*base_building_arch_areas!$N$20</f>
        <v>2925.0368179062143</v>
      </c>
      <c r="U305" s="187">
        <f>model_eui_end_uses!U305*base_building_arch_areas!$N$20</f>
        <v>9052.4846347269922</v>
      </c>
      <c r="V305" s="187">
        <f>model_eui_end_uses!V305*base_building_arch_areas!$N$20</f>
        <v>0</v>
      </c>
      <c r="W305" s="187">
        <f>model_eui_end_uses!W305*base_building_arch_areas!$N$20</f>
        <v>41969.955622444963</v>
      </c>
      <c r="X305" s="187">
        <f>model_eui_end_uses!X305*base_building_arch_areas!$N$20</f>
        <v>10050.311233938841</v>
      </c>
      <c r="Y305" s="187">
        <f>model_eui_end_uses!Y305*base_building_arch_areas!$N$20</f>
        <v>0</v>
      </c>
      <c r="Z305" s="187">
        <f>model_eui_end_uses!Z305*base_building_arch_areas!$N$20</f>
        <v>20504.075822071645</v>
      </c>
      <c r="AA305" s="187">
        <f>model_eui_end_uses!AA305*base_building_arch_areas!$N$20</f>
        <v>21.613572546105036</v>
      </c>
      <c r="AB305" s="187">
        <f>model_eui_end_uses!AB305*base_building_arch_areas!$N$20</f>
        <v>0</v>
      </c>
      <c r="AC305" s="187">
        <f>model_eui_end_uses!AC305*base_building_arch_areas!$N$20</f>
        <v>202411.10689427363</v>
      </c>
      <c r="AD305" s="187">
        <f>model_eui_end_uses!AD305*base_building_arch_areas!$N$20</f>
        <v>3966.0905622102787</v>
      </c>
      <c r="AE305" s="187">
        <f>model_eui_end_uses!AE305*base_building_arch_areas!$N$20</f>
        <v>-2218.9934480667816</v>
      </c>
      <c r="AF305" s="187">
        <f t="shared" si="53"/>
        <v>1747.097114143497</v>
      </c>
      <c r="AG305" s="187">
        <f>model_eui_end_uses!AH305*base_building_arch_areas!$N$20</f>
        <v>64.250667107806507</v>
      </c>
      <c r="AH305" s="187">
        <f>model_eui_end_uses!AI305*base_building_arch_areas!$N$20</f>
        <v>-250.74625963154634</v>
      </c>
      <c r="AI305" s="187">
        <f t="shared" si="54"/>
        <v>-186.49559252373984</v>
      </c>
      <c r="AJ305" s="200">
        <f>sim_annual_output!F305/sim_annual_output!H305*base_building_arch_areas!$N$20</f>
        <v>30315.182141345744</v>
      </c>
      <c r="AK305">
        <f t="shared" si="55"/>
        <v>-162.5517350362411</v>
      </c>
    </row>
    <row r="306" spans="1:37">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f>model_eui_end_uses!G306*base_scenario_arch_measures!$F306</f>
        <v>9.5494306316676845E-3</v>
      </c>
      <c r="H306">
        <f>model_eui_end_uses!H306*base_scenario_arch_measures!$F306</f>
        <v>0.70276735796754397</v>
      </c>
      <c r="I306">
        <f>model_eui_end_uses!I306*base_scenario_arch_measures!$F306</f>
        <v>1.5832498280390215E-2</v>
      </c>
      <c r="J306">
        <f>model_eui_end_uses!J306*base_scenario_arch_measures!$F306</f>
        <v>5.2345027166178414E-2</v>
      </c>
      <c r="K306">
        <f>model_eui_end_uses!K306*base_scenario_arch_measures!$F306</f>
        <v>0</v>
      </c>
      <c r="L306">
        <f>model_eui_end_uses!L306*base_scenario_arch_measures!$F306</f>
        <v>0.16968443623503626</v>
      </c>
      <c r="M306">
        <f>model_eui_end_uses!M306*base_scenario_arch_measures!$F306</f>
        <v>5.8045558741509448E-2</v>
      </c>
      <c r="N306">
        <f>model_eui_end_uses!N306*base_scenario_arch_measures!$F306</f>
        <v>0</v>
      </c>
      <c r="O306">
        <f>model_eui_end_uses!O306*base_scenario_arch_measures!$F306</f>
        <v>9.9738497708529147E-2</v>
      </c>
      <c r="P306">
        <f>model_eui_end_uses!P306*base_scenario_arch_measures!$F306</f>
        <v>8.3219439055927524E-5</v>
      </c>
      <c r="Q306">
        <f>model_eui_end_uses!Q306*base_scenario_arch_measures!$F306</f>
        <v>0</v>
      </c>
      <c r="R306" s="187">
        <f>model_eui_end_uses!R306*base_building_arch_areas!$N$20</f>
        <v>1037.4514822130418</v>
      </c>
      <c r="S306" s="187">
        <f>model_eui_end_uses!S306*base_building_arch_areas!$N$20</f>
        <v>116850.17770842586</v>
      </c>
      <c r="T306" s="187">
        <f>model_eui_end_uses!T306*base_building_arch_areas!$N$20</f>
        <v>2925.0368179062143</v>
      </c>
      <c r="U306" s="187">
        <f>model_eui_end_uses!U306*base_building_arch_areas!$N$20</f>
        <v>9052.4846347269922</v>
      </c>
      <c r="V306" s="187">
        <f>model_eui_end_uses!V306*base_building_arch_areas!$N$20</f>
        <v>0</v>
      </c>
      <c r="W306" s="187">
        <f>model_eui_end_uses!W306*base_building_arch_areas!$N$20</f>
        <v>41969.955622444963</v>
      </c>
      <c r="X306" s="187">
        <f>model_eui_end_uses!X306*base_building_arch_areas!$N$20</f>
        <v>10050.311233938841</v>
      </c>
      <c r="Y306" s="187">
        <f>model_eui_end_uses!Y306*base_building_arch_areas!$N$20</f>
        <v>0</v>
      </c>
      <c r="Z306" s="187">
        <f>model_eui_end_uses!Z306*base_building_arch_areas!$N$20</f>
        <v>20504.075822071645</v>
      </c>
      <c r="AA306" s="187">
        <f>model_eui_end_uses!AA306*base_building_arch_areas!$N$20</f>
        <v>21.613572546105036</v>
      </c>
      <c r="AB306" s="187">
        <f>model_eui_end_uses!AB306*base_building_arch_areas!$N$20</f>
        <v>0</v>
      </c>
      <c r="AC306" s="187">
        <f>model_eui_end_uses!AC306*base_building_arch_areas!$N$20</f>
        <v>202411.10689427363</v>
      </c>
      <c r="AD306" s="187">
        <f>model_eui_end_uses!AD306*base_building_arch_areas!$N$20</f>
        <v>-4830.6334640544583</v>
      </c>
      <c r="AE306" s="187">
        <f>model_eui_end_uses!AE306*base_building_arch_areas!$N$20</f>
        <v>15388.863652826793</v>
      </c>
      <c r="AF306" s="187">
        <f t="shared" si="53"/>
        <v>10558.230188772333</v>
      </c>
      <c r="AG306" s="187">
        <f>model_eui_end_uses!AH306*base_building_arch_areas!$N$20</f>
        <v>-78.256262117682226</v>
      </c>
      <c r="AH306" s="187">
        <f>model_eui_end_uses!AI306*base_building_arch_areas!$N$20</f>
        <v>1738.9415927694276</v>
      </c>
      <c r="AI306" s="187">
        <f t="shared" si="54"/>
        <v>1660.6853306517455</v>
      </c>
      <c r="AJ306" s="200">
        <f>sim_annual_output!F306/sim_annual_output!H306*base_building_arch_areas!$N$20</f>
        <v>223314.51373677532</v>
      </c>
      <c r="AK306">
        <f t="shared" si="55"/>
        <v>134.47129905647702</v>
      </c>
    </row>
    <row r="307" spans="1:37">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f>model_eui_end_uses!G307*base_scenario_arch_measures!$F307</f>
        <v>1.1879574925233654E-2</v>
      </c>
      <c r="H307">
        <f>model_eui_end_uses!H307*base_scenario_arch_measures!$F307</f>
        <v>0.57639863976111805</v>
      </c>
      <c r="I307">
        <f>model_eui_end_uses!I307*base_scenario_arch_measures!$F307</f>
        <v>2.3592710972355452E-2</v>
      </c>
      <c r="J307">
        <f>model_eui_end_uses!J307*base_scenario_arch_measures!$F307</f>
        <v>5.2157783428302587E-2</v>
      </c>
      <c r="K307">
        <f>model_eui_end_uses!K307*base_scenario_arch_measures!$F307</f>
        <v>0</v>
      </c>
      <c r="L307">
        <f>model_eui_end_uses!L307*base_scenario_arch_measures!$F307</f>
        <v>0.24239742111015292</v>
      </c>
      <c r="M307">
        <f>model_eui_end_uses!M307*base_scenario_arch_measures!$F307</f>
        <v>5.8045558741509448E-2</v>
      </c>
      <c r="N307">
        <f>model_eui_end_uses!N307*base_scenario_arch_measures!$F307</f>
        <v>0</v>
      </c>
      <c r="O307">
        <f>model_eui_end_uses!O307*base_scenario_arch_measures!$F307</f>
        <v>0.11028656160886798</v>
      </c>
      <c r="P307">
        <f>model_eui_end_uses!P307*base_scenario_arch_measures!$F307</f>
        <v>1.2482915858389129E-4</v>
      </c>
      <c r="Q307">
        <f>model_eui_end_uses!Q307*base_scenario_arch_measures!$F307</f>
        <v>0</v>
      </c>
      <c r="R307" s="187">
        <f>model_eui_end_uses!R307*base_building_arch_areas!$N$20</f>
        <v>1037.4514822130418</v>
      </c>
      <c r="S307" s="187">
        <f>model_eui_end_uses!S307*base_building_arch_areas!$N$20</f>
        <v>116850.17770842586</v>
      </c>
      <c r="T307" s="187">
        <f>model_eui_end_uses!T307*base_building_arch_areas!$N$20</f>
        <v>2925.0368179062143</v>
      </c>
      <c r="U307" s="187">
        <f>model_eui_end_uses!U307*base_building_arch_areas!$N$20</f>
        <v>9052.4846347269922</v>
      </c>
      <c r="V307" s="187">
        <f>model_eui_end_uses!V307*base_building_arch_areas!$N$20</f>
        <v>0</v>
      </c>
      <c r="W307" s="187">
        <f>model_eui_end_uses!W307*base_building_arch_areas!$N$20</f>
        <v>41969.955622444963</v>
      </c>
      <c r="X307" s="187">
        <f>model_eui_end_uses!X307*base_building_arch_areas!$N$20</f>
        <v>10050.311233938841</v>
      </c>
      <c r="Y307" s="187">
        <f>model_eui_end_uses!Y307*base_building_arch_areas!$N$20</f>
        <v>0</v>
      </c>
      <c r="Z307" s="187">
        <f>model_eui_end_uses!Z307*base_building_arch_areas!$N$20</f>
        <v>20504.075822071645</v>
      </c>
      <c r="AA307" s="187">
        <f>model_eui_end_uses!AA307*base_building_arch_areas!$N$20</f>
        <v>21.613572546105036</v>
      </c>
      <c r="AB307" s="187">
        <f>model_eui_end_uses!AB307*base_building_arch_areas!$N$20</f>
        <v>0</v>
      </c>
      <c r="AC307" s="187">
        <f>model_eui_end_uses!AC307*base_building_arch_areas!$N$20</f>
        <v>202411.10689427363</v>
      </c>
      <c r="AD307" s="187">
        <f>model_eui_end_uses!AD307*base_building_arch_areas!$N$20</f>
        <v>17049.506476785864</v>
      </c>
      <c r="AE307" s="187">
        <f>model_eui_end_uses!AE307*base_building_arch_areas!$N$20</f>
        <v>-749.27051493163356</v>
      </c>
      <c r="AF307" s="187">
        <f t="shared" si="53"/>
        <v>16300.23596185423</v>
      </c>
      <c r="AG307" s="187">
        <f>model_eui_end_uses!AH307*base_building_arch_areas!$N$20</f>
        <v>276.20200492393093</v>
      </c>
      <c r="AH307" s="187">
        <f>model_eui_end_uses!AI307*base_building_arch_areas!$N$20</f>
        <v>-84.667568187274597</v>
      </c>
      <c r="AI307" s="187">
        <f t="shared" si="54"/>
        <v>191.53443673665635</v>
      </c>
      <c r="AJ307" s="200">
        <f>sim_annual_output!F307/sim_annual_output!H307*base_building_arch_areas!$N$20</f>
        <v>837946.30143038509</v>
      </c>
      <c r="AK307">
        <f t="shared" si="55"/>
        <v>4374.9119777478472</v>
      </c>
    </row>
    <row r="308" spans="1:37">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f>model_eui_end_uses!G308*base_scenario_arch_measures!$F308</f>
        <v>1.1567502028773928E-2</v>
      </c>
      <c r="H308">
        <f>model_eui_end_uses!H308*base_scenario_arch_measures!$F308</f>
        <v>0.6204425278814677</v>
      </c>
      <c r="I308">
        <f>model_eui_end_uses!I308*base_scenario_arch_measures!$F308</f>
        <v>2.4528929661734641E-2</v>
      </c>
      <c r="J308">
        <f>model_eui_end_uses!J308*base_scenario_arch_measures!$F308</f>
        <v>5.211617370877461E-2</v>
      </c>
      <c r="K308">
        <f>model_eui_end_uses!K308*base_scenario_arch_measures!$F308</f>
        <v>0</v>
      </c>
      <c r="L308">
        <f>model_eui_end_uses!L308*base_scenario_arch_measures!$F308</f>
        <v>0.24239742111015292</v>
      </c>
      <c r="M308">
        <f>model_eui_end_uses!M308*base_scenario_arch_measures!$F308</f>
        <v>5.8045558741509448E-2</v>
      </c>
      <c r="N308">
        <f>model_eui_end_uses!N308*base_scenario_arch_measures!$F308</f>
        <v>0</v>
      </c>
      <c r="O308">
        <f>model_eui_end_uses!O308*base_scenario_arch_measures!$F308</f>
        <v>0.11467638701906813</v>
      </c>
      <c r="P308">
        <f>model_eui_end_uses!P308*base_scenario_arch_measures!$F308</f>
        <v>1.2482915858389129E-4</v>
      </c>
      <c r="Q308">
        <f>model_eui_end_uses!Q308*base_scenario_arch_measures!$F308</f>
        <v>0</v>
      </c>
      <c r="R308" s="187">
        <f>model_eui_end_uses!R308*base_building_arch_areas!$N$20</f>
        <v>1037.4514822130418</v>
      </c>
      <c r="S308" s="187">
        <f>model_eui_end_uses!S308*base_building_arch_areas!$N$20</f>
        <v>116850.17770842586</v>
      </c>
      <c r="T308" s="187">
        <f>model_eui_end_uses!T308*base_building_arch_areas!$N$20</f>
        <v>2925.0368179062143</v>
      </c>
      <c r="U308" s="187">
        <f>model_eui_end_uses!U308*base_building_arch_areas!$N$20</f>
        <v>9052.4846347269922</v>
      </c>
      <c r="V308" s="187">
        <f>model_eui_end_uses!V308*base_building_arch_areas!$N$20</f>
        <v>0</v>
      </c>
      <c r="W308" s="187">
        <f>model_eui_end_uses!W308*base_building_arch_areas!$N$20</f>
        <v>41969.955622444963</v>
      </c>
      <c r="X308" s="187">
        <f>model_eui_end_uses!X308*base_building_arch_areas!$N$20</f>
        <v>10050.311233938841</v>
      </c>
      <c r="Y308" s="187">
        <f>model_eui_end_uses!Y308*base_building_arch_areas!$N$20</f>
        <v>0</v>
      </c>
      <c r="Z308" s="187">
        <f>model_eui_end_uses!Z308*base_building_arch_areas!$N$20</f>
        <v>20504.075822071645</v>
      </c>
      <c r="AA308" s="187">
        <f>model_eui_end_uses!AA308*base_building_arch_areas!$N$20</f>
        <v>21.613572546105036</v>
      </c>
      <c r="AB308" s="187">
        <f>model_eui_end_uses!AB308*base_building_arch_areas!$N$20</f>
        <v>0</v>
      </c>
      <c r="AC308" s="187">
        <f>model_eui_end_uses!AC308*base_building_arch_areas!$N$20</f>
        <v>202411.10689427363</v>
      </c>
      <c r="AD308" s="187">
        <f>model_eui_end_uses!AD308*base_building_arch_areas!$N$20</f>
        <v>9423.5176301017964</v>
      </c>
      <c r="AE308" s="187">
        <f>model_eui_end_uses!AE308*base_building_arch_areas!$N$20</f>
        <v>-1610.2111546848118</v>
      </c>
      <c r="AF308" s="187">
        <f t="shared" si="53"/>
        <v>7813.3064754169845</v>
      </c>
      <c r="AG308" s="187">
        <f>model_eui_end_uses!AH308*base_building_arch_areas!$N$20</f>
        <v>152.66098560764911</v>
      </c>
      <c r="AH308" s="187">
        <f>model_eui_end_uses!AI308*base_building_arch_areas!$N$20</f>
        <v>-181.95386047938376</v>
      </c>
      <c r="AI308" s="187">
        <f t="shared" si="54"/>
        <v>-29.292874871734654</v>
      </c>
      <c r="AJ308" s="200">
        <f>sim_annual_output!F308/sim_annual_output!H308*base_building_arch_areas!$N$20</f>
        <v>697805.66039779945</v>
      </c>
      <c r="AK308">
        <f t="shared" si="55"/>
        <v>-23821.685766702525</v>
      </c>
    </row>
    <row r="309" spans="1:37">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f>model_eui_end_uses!G309*base_scenario_arch_measures!$F309</f>
        <v>1.1754745766649763E-2</v>
      </c>
      <c r="H309">
        <f>model_eui_end_uses!H309*base_scenario_arch_measures!$F309</f>
        <v>0.6266839858106622</v>
      </c>
      <c r="I309">
        <f>model_eui_end_uses!I309*base_scenario_arch_measures!$F309</f>
        <v>2.4528929661734641E-2</v>
      </c>
      <c r="J309">
        <f>model_eui_end_uses!J309*base_scenario_arch_measures!$F309</f>
        <v>5.2282612586886469E-2</v>
      </c>
      <c r="K309">
        <f>model_eui_end_uses!K309*base_scenario_arch_measures!$F309</f>
        <v>0</v>
      </c>
      <c r="L309">
        <f>model_eui_end_uses!L309*base_scenario_arch_measures!$F309</f>
        <v>0.24239742111015292</v>
      </c>
      <c r="M309">
        <f>model_eui_end_uses!M309*base_scenario_arch_measures!$F309</f>
        <v>5.8045558741509448E-2</v>
      </c>
      <c r="N309">
        <f>model_eui_end_uses!N309*base_scenario_arch_measures!$F309</f>
        <v>0</v>
      </c>
      <c r="O309">
        <f>model_eui_end_uses!O309*base_scenario_arch_measures!$F309</f>
        <v>0.11631997094042269</v>
      </c>
      <c r="P309">
        <f>model_eui_end_uses!P309*base_scenario_arch_measures!$F309</f>
        <v>1.2482915858389129E-4</v>
      </c>
      <c r="Q309">
        <f>model_eui_end_uses!Q309*base_scenario_arch_measures!$F309</f>
        <v>0</v>
      </c>
      <c r="R309" s="187">
        <f>model_eui_end_uses!R309*base_building_arch_areas!$N$20</f>
        <v>1037.4514822130418</v>
      </c>
      <c r="S309" s="187">
        <f>model_eui_end_uses!S309*base_building_arch_areas!$N$20</f>
        <v>116850.17770842586</v>
      </c>
      <c r="T309" s="187">
        <f>model_eui_end_uses!T309*base_building_arch_areas!$N$20</f>
        <v>2925.0368179062143</v>
      </c>
      <c r="U309" s="187">
        <f>model_eui_end_uses!U309*base_building_arch_areas!$N$20</f>
        <v>9052.4846347269922</v>
      </c>
      <c r="V309" s="187">
        <f>model_eui_end_uses!V309*base_building_arch_areas!$N$20</f>
        <v>0</v>
      </c>
      <c r="W309" s="187">
        <f>model_eui_end_uses!W309*base_building_arch_areas!$N$20</f>
        <v>41969.955622444963</v>
      </c>
      <c r="X309" s="187">
        <f>model_eui_end_uses!X309*base_building_arch_areas!$N$20</f>
        <v>10050.311233938841</v>
      </c>
      <c r="Y309" s="187">
        <f>model_eui_end_uses!Y309*base_building_arch_areas!$N$20</f>
        <v>0</v>
      </c>
      <c r="Z309" s="187">
        <f>model_eui_end_uses!Z309*base_building_arch_areas!$N$20</f>
        <v>20504.075822071645</v>
      </c>
      <c r="AA309" s="187">
        <f>model_eui_end_uses!AA309*base_building_arch_areas!$N$20</f>
        <v>21.613572546105036</v>
      </c>
      <c r="AB309" s="187">
        <f>model_eui_end_uses!AB309*base_building_arch_areas!$N$20</f>
        <v>0</v>
      </c>
      <c r="AC309" s="187">
        <f>model_eui_end_uses!AC309*base_building_arch_areas!$N$20</f>
        <v>202411.10689427363</v>
      </c>
      <c r="AD309" s="187">
        <f>model_eui_end_uses!AD309*base_building_arch_areas!$N$20</f>
        <v>8342.8390027965543</v>
      </c>
      <c r="AE309" s="187">
        <f>model_eui_end_uses!AE309*base_building_arch_areas!$N$20</f>
        <v>-1956.0283154224978</v>
      </c>
      <c r="AF309" s="187">
        <f t="shared" si="53"/>
        <v>6386.8106873740562</v>
      </c>
      <c r="AG309" s="187">
        <f>model_eui_end_uses!AH309*base_building_arch_areas!$N$20</f>
        <v>135.15399184530418</v>
      </c>
      <c r="AH309" s="187">
        <f>model_eui_end_uses!AI309*base_building_arch_areas!$N$20</f>
        <v>-221.03119964274225</v>
      </c>
      <c r="AI309" s="187">
        <f t="shared" si="54"/>
        <v>-85.877207797438075</v>
      </c>
      <c r="AJ309" s="200">
        <f>sim_annual_output!F309/sim_annual_output!H309*base_building_arch_areas!$N$20</f>
        <v>261106.72179432923</v>
      </c>
      <c r="AK309">
        <f t="shared" si="55"/>
        <v>-3040.4658988239562</v>
      </c>
    </row>
    <row r="310" spans="1:37">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f>model_eui_end_uses!G310*base_scenario_arch_measures!$F310</f>
        <v>1.1796355486177726E-2</v>
      </c>
      <c r="H310">
        <f>model_eui_end_uses!H310*base_scenario_arch_measures!$F310</f>
        <v>0.65196189042390029</v>
      </c>
      <c r="I310">
        <f>model_eui_end_uses!I310*base_scenario_arch_measures!$F310</f>
        <v>2.4112832466455E-2</v>
      </c>
      <c r="J310">
        <f>model_eui_end_uses!J310*base_scenario_arch_measures!$F310</f>
        <v>5.2303417446650451E-2</v>
      </c>
      <c r="K310">
        <f>model_eui_end_uses!K310*base_scenario_arch_measures!$F310</f>
        <v>0</v>
      </c>
      <c r="L310">
        <f>model_eui_end_uses!L310*base_scenario_arch_measures!$F310</f>
        <v>0.24239742111015292</v>
      </c>
      <c r="M310">
        <f>model_eui_end_uses!M310*base_scenario_arch_measures!$F310</f>
        <v>5.8045558741509448E-2</v>
      </c>
      <c r="N310">
        <f>model_eui_end_uses!N310*base_scenario_arch_measures!$F310</f>
        <v>0</v>
      </c>
      <c r="O310">
        <f>model_eui_end_uses!O310*base_scenario_arch_measures!$F310</f>
        <v>9.9322400513249504E-2</v>
      </c>
      <c r="P310">
        <f>model_eui_end_uses!P310*base_scenario_arch_measures!$F310</f>
        <v>1.2482915858389129E-4</v>
      </c>
      <c r="Q310">
        <f>model_eui_end_uses!Q310*base_scenario_arch_measures!$F310</f>
        <v>0</v>
      </c>
      <c r="R310" s="187">
        <f>model_eui_end_uses!R310*base_building_arch_areas!$N$20</f>
        <v>1037.4514822130418</v>
      </c>
      <c r="S310" s="187">
        <f>model_eui_end_uses!S310*base_building_arch_areas!$N$20</f>
        <v>116850.17770842586</v>
      </c>
      <c r="T310" s="187">
        <f>model_eui_end_uses!T310*base_building_arch_areas!$N$20</f>
        <v>2925.0368179062143</v>
      </c>
      <c r="U310" s="187">
        <f>model_eui_end_uses!U310*base_building_arch_areas!$N$20</f>
        <v>9052.4846347269922</v>
      </c>
      <c r="V310" s="187">
        <f>model_eui_end_uses!V310*base_building_arch_areas!$N$20</f>
        <v>0</v>
      </c>
      <c r="W310" s="187">
        <f>model_eui_end_uses!W310*base_building_arch_areas!$N$20</f>
        <v>41969.955622444963</v>
      </c>
      <c r="X310" s="187">
        <f>model_eui_end_uses!X310*base_building_arch_areas!$N$20</f>
        <v>10050.311233938841</v>
      </c>
      <c r="Y310" s="187">
        <f>model_eui_end_uses!Y310*base_building_arch_areas!$N$20</f>
        <v>0</v>
      </c>
      <c r="Z310" s="187">
        <f>model_eui_end_uses!Z310*base_building_arch_areas!$N$20</f>
        <v>20504.075822071645</v>
      </c>
      <c r="AA310" s="187">
        <f>model_eui_end_uses!AA310*base_building_arch_areas!$N$20</f>
        <v>21.613572546105036</v>
      </c>
      <c r="AB310" s="187">
        <f>model_eui_end_uses!AB310*base_building_arch_areas!$N$20</f>
        <v>0</v>
      </c>
      <c r="AC310" s="187">
        <f>model_eui_end_uses!AC310*base_building_arch_areas!$N$20</f>
        <v>202411.10689427363</v>
      </c>
      <c r="AD310" s="187">
        <f>model_eui_end_uses!AD310*base_building_arch_areas!$N$20</f>
        <v>3966.0905622102787</v>
      </c>
      <c r="AE310" s="187">
        <f>model_eui_end_uses!AE310*base_building_arch_areas!$N$20</f>
        <v>1048.2582684860981</v>
      </c>
      <c r="AF310" s="187">
        <f t="shared" si="53"/>
        <v>5014.3488306963773</v>
      </c>
      <c r="AG310" s="187">
        <f>model_eui_end_uses!AH310*base_building_arch_areas!$N$20</f>
        <v>64.250667107806507</v>
      </c>
      <c r="AH310" s="187">
        <f>model_eui_end_uses!AI310*base_building_arch_areas!$N$20</f>
        <v>118.45318433892911</v>
      </c>
      <c r="AI310" s="187">
        <f t="shared" si="54"/>
        <v>182.7038514467356</v>
      </c>
      <c r="AJ310" s="200">
        <f>sim_annual_output!F310/sim_annual_output!H310*base_building_arch_areas!$N$20</f>
        <v>8076.9136182818447</v>
      </c>
      <c r="AK310">
        <f t="shared" si="55"/>
        <v>44.207681197331191</v>
      </c>
    </row>
    <row r="311" spans="1:37">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f>model_eui_end_uses!G311*base_scenario_arch_measures!$F311</f>
        <v>1.1817160345941708E-2</v>
      </c>
      <c r="H311">
        <f>model_eui_end_uses!H311*base_scenario_arch_measures!$F311</f>
        <v>0.65271086537540357</v>
      </c>
      <c r="I311">
        <f>model_eui_end_uses!I311*base_scenario_arch_measures!$F311</f>
        <v>2.3925588728579167E-2</v>
      </c>
      <c r="J311">
        <f>model_eui_end_uses!J311*base_scenario_arch_measures!$F311</f>
        <v>5.2303417446650451E-2</v>
      </c>
      <c r="K311">
        <f>model_eui_end_uses!K311*base_scenario_arch_measures!$F311</f>
        <v>0</v>
      </c>
      <c r="L311">
        <f>model_eui_end_uses!L311*base_scenario_arch_measures!$F311</f>
        <v>0.24239742111015292</v>
      </c>
      <c r="M311">
        <f>model_eui_end_uses!M311*base_scenario_arch_measures!$F311</f>
        <v>5.8045558741509448E-2</v>
      </c>
      <c r="N311">
        <f>model_eui_end_uses!N311*base_scenario_arch_measures!$F311</f>
        <v>0</v>
      </c>
      <c r="O311">
        <f>model_eui_end_uses!O311*base_scenario_arch_measures!$F311</f>
        <v>0.11742262850791375</v>
      </c>
      <c r="P311">
        <f>model_eui_end_uses!P311*base_scenario_arch_measures!$F311</f>
        <v>1.2482915858389129E-4</v>
      </c>
      <c r="Q311">
        <f>model_eui_end_uses!Q311*base_scenario_arch_measures!$F311</f>
        <v>0</v>
      </c>
      <c r="R311" s="187">
        <f>model_eui_end_uses!R311*base_building_arch_areas!$N$20</f>
        <v>1037.4514822130418</v>
      </c>
      <c r="S311" s="187">
        <f>model_eui_end_uses!S311*base_building_arch_areas!$N$20</f>
        <v>116850.17770842586</v>
      </c>
      <c r="T311" s="187">
        <f>model_eui_end_uses!T311*base_building_arch_areas!$N$20</f>
        <v>2925.0368179062143</v>
      </c>
      <c r="U311" s="187">
        <f>model_eui_end_uses!U311*base_building_arch_areas!$N$20</f>
        <v>9052.4846347269922</v>
      </c>
      <c r="V311" s="187">
        <f>model_eui_end_uses!V311*base_building_arch_areas!$N$20</f>
        <v>0</v>
      </c>
      <c r="W311" s="187">
        <f>model_eui_end_uses!W311*base_building_arch_areas!$N$20</f>
        <v>41969.955622444963</v>
      </c>
      <c r="X311" s="187">
        <f>model_eui_end_uses!X311*base_building_arch_areas!$N$20</f>
        <v>10050.311233938841</v>
      </c>
      <c r="Y311" s="187">
        <f>model_eui_end_uses!Y311*base_building_arch_areas!$N$20</f>
        <v>0</v>
      </c>
      <c r="Z311" s="187">
        <f>model_eui_end_uses!Z311*base_building_arch_areas!$N$20</f>
        <v>20504.075822071645</v>
      </c>
      <c r="AA311" s="187">
        <f>model_eui_end_uses!AA311*base_building_arch_areas!$N$20</f>
        <v>21.613572546105036</v>
      </c>
      <c r="AB311" s="187">
        <f>model_eui_end_uses!AB311*base_building_arch_areas!$N$20</f>
        <v>0</v>
      </c>
      <c r="AC311" s="187">
        <f>model_eui_end_uses!AC311*base_building_arch_areas!$N$20</f>
        <v>202411.10689427363</v>
      </c>
      <c r="AD311" s="187">
        <f>model_eui_end_uses!AD311*base_building_arch_areas!$N$20</f>
        <v>3836.409126933655</v>
      </c>
      <c r="AE311" s="187">
        <f>model_eui_end_uses!AE311*base_building_arch_areas!$N$20</f>
        <v>-2056.8916539710021</v>
      </c>
      <c r="AF311" s="187">
        <f t="shared" si="53"/>
        <v>1779.5174729626528</v>
      </c>
      <c r="AG311" s="187">
        <f>model_eui_end_uses!AH311*base_building_arch_areas!$N$20</f>
        <v>62.14982785632521</v>
      </c>
      <c r="AH311" s="187">
        <f>model_eui_end_uses!AI311*base_building_arch_areas!$N$20</f>
        <v>-232.42875689872324</v>
      </c>
      <c r="AI311" s="187">
        <f t="shared" si="54"/>
        <v>-170.27892904239803</v>
      </c>
      <c r="AJ311" s="200">
        <f>sim_annual_output!F311/sim_annual_output!H311*base_building_arch_areas!$N$20</f>
        <v>22281.078239526025</v>
      </c>
      <c r="AK311">
        <f t="shared" si="55"/>
        <v>-130.85047201570208</v>
      </c>
    </row>
    <row r="312" spans="1:37">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f>model_eui_end_uses!G312*base_scenario_arch_measures!$F312</f>
        <v>1.1796355486177726E-2</v>
      </c>
      <c r="H312">
        <f>model_eui_end_uses!H312*base_scenario_arch_measures!$F312</f>
        <v>0.65196189042390029</v>
      </c>
      <c r="I312">
        <f>model_eui_end_uses!I312*base_scenario_arch_measures!$F312</f>
        <v>2.3988003307871108E-2</v>
      </c>
      <c r="J312">
        <f>model_eui_end_uses!J312*base_scenario_arch_measures!$F312</f>
        <v>5.2303417446650451E-2</v>
      </c>
      <c r="K312">
        <f>model_eui_end_uses!K312*base_scenario_arch_measures!$F312</f>
        <v>0</v>
      </c>
      <c r="L312">
        <f>model_eui_end_uses!L312*base_scenario_arch_measures!$F312</f>
        <v>0.24239742111015292</v>
      </c>
      <c r="M312">
        <f>model_eui_end_uses!M312*base_scenario_arch_measures!$F312</f>
        <v>5.8045558741509448E-2</v>
      </c>
      <c r="N312">
        <f>model_eui_end_uses!N312*base_scenario_arch_measures!$F312</f>
        <v>0</v>
      </c>
      <c r="O312">
        <f>model_eui_end_uses!O312*base_scenario_arch_measures!$F312</f>
        <v>0.11831723747776497</v>
      </c>
      <c r="P312">
        <f>model_eui_end_uses!P312*base_scenario_arch_measures!$F312</f>
        <v>1.2482915858389129E-4</v>
      </c>
      <c r="Q312">
        <f>model_eui_end_uses!Q312*base_scenario_arch_measures!$F312</f>
        <v>0</v>
      </c>
      <c r="R312" s="187">
        <f>model_eui_end_uses!R312*base_building_arch_areas!$N$20</f>
        <v>1037.4514822130418</v>
      </c>
      <c r="S312" s="187">
        <f>model_eui_end_uses!S312*base_building_arch_areas!$N$20</f>
        <v>116850.17770842586</v>
      </c>
      <c r="T312" s="187">
        <f>model_eui_end_uses!T312*base_building_arch_areas!$N$20</f>
        <v>2925.0368179062143</v>
      </c>
      <c r="U312" s="187">
        <f>model_eui_end_uses!U312*base_building_arch_areas!$N$20</f>
        <v>9052.4846347269922</v>
      </c>
      <c r="V312" s="187">
        <f>model_eui_end_uses!V312*base_building_arch_areas!$N$20</f>
        <v>0</v>
      </c>
      <c r="W312" s="187">
        <f>model_eui_end_uses!W312*base_building_arch_areas!$N$20</f>
        <v>41969.955622444963</v>
      </c>
      <c r="X312" s="187">
        <f>model_eui_end_uses!X312*base_building_arch_areas!$N$20</f>
        <v>10050.311233938841</v>
      </c>
      <c r="Y312" s="187">
        <f>model_eui_end_uses!Y312*base_building_arch_areas!$N$20</f>
        <v>0</v>
      </c>
      <c r="Z312" s="187">
        <f>model_eui_end_uses!Z312*base_building_arch_areas!$N$20</f>
        <v>20504.075822071645</v>
      </c>
      <c r="AA312" s="187">
        <f>model_eui_end_uses!AA312*base_building_arch_areas!$N$20</f>
        <v>21.613572546105036</v>
      </c>
      <c r="AB312" s="187">
        <f>model_eui_end_uses!AB312*base_building_arch_areas!$N$20</f>
        <v>0</v>
      </c>
      <c r="AC312" s="187">
        <f>model_eui_end_uses!AC312*base_building_arch_areas!$N$20</f>
        <v>202411.10689427363</v>
      </c>
      <c r="AD312" s="187">
        <f>model_eui_end_uses!AD312*base_building_arch_areas!$N$20</f>
        <v>3966.0905622102787</v>
      </c>
      <c r="AE312" s="187">
        <f>model_eui_end_uses!AE312*base_building_arch_areas!$N$20</f>
        <v>-2218.9934480667816</v>
      </c>
      <c r="AF312" s="187">
        <f t="shared" si="53"/>
        <v>1747.097114143497</v>
      </c>
      <c r="AG312" s="187">
        <f>model_eui_end_uses!AH312*base_building_arch_areas!$N$20</f>
        <v>64.250667107806507</v>
      </c>
      <c r="AH312" s="187">
        <f>model_eui_end_uses!AI312*base_building_arch_areas!$N$20</f>
        <v>-250.74625963154634</v>
      </c>
      <c r="AI312" s="187">
        <f t="shared" si="54"/>
        <v>-186.49559252373984</v>
      </c>
      <c r="AJ312" s="200">
        <f>sim_annual_output!F312/sim_annual_output!H312*base_building_arch_areas!$N$20</f>
        <v>894591.72104951332</v>
      </c>
      <c r="AK312">
        <f t="shared" si="55"/>
        <v>-4796.8518126541612</v>
      </c>
    </row>
    <row r="313" spans="1:37">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f>model_eui_end_uses!G313*base_scenario_arch_measures!$F313</f>
        <v>1.3460744267296279E-2</v>
      </c>
      <c r="H313">
        <f>model_eui_end_uses!H313*base_scenario_arch_measures!$F313</f>
        <v>0.42069506928747763</v>
      </c>
      <c r="I313">
        <f>model_eui_end_uses!I313*base_scenario_arch_measures!$F313</f>
        <v>2.8190584980195454E-2</v>
      </c>
      <c r="J313">
        <f>model_eui_end_uses!J313*base_scenario_arch_measures!$F313</f>
        <v>5.1492027915855158E-2</v>
      </c>
      <c r="K313">
        <f>model_eui_end_uses!K313*base_scenario_arch_measures!$F313</f>
        <v>0</v>
      </c>
      <c r="L313">
        <f>model_eui_end_uses!L313*base_scenario_arch_measures!$F313</f>
        <v>0.24239742111015292</v>
      </c>
      <c r="M313">
        <f>model_eui_end_uses!M313*base_scenario_arch_measures!$F313</f>
        <v>5.8045558741509448E-2</v>
      </c>
      <c r="N313">
        <f>model_eui_end_uses!N313*base_scenario_arch_measures!$F313</f>
        <v>0</v>
      </c>
      <c r="O313">
        <f>model_eui_end_uses!O313*base_scenario_arch_measures!$F313</f>
        <v>9.6596963884167886E-2</v>
      </c>
      <c r="P313">
        <f>model_eui_end_uses!P313*base_scenario_arch_measures!$F313</f>
        <v>1.2482915858389129E-4</v>
      </c>
      <c r="Q313">
        <f>model_eui_end_uses!Q313*base_scenario_arch_measures!$F313</f>
        <v>0</v>
      </c>
      <c r="R313" s="187">
        <f>model_eui_end_uses!R313*base_building_arch_areas!$N$20</f>
        <v>1037.4514822130418</v>
      </c>
      <c r="S313" s="187">
        <f>model_eui_end_uses!S313*base_building_arch_areas!$N$20</f>
        <v>116850.17770842586</v>
      </c>
      <c r="T313" s="187">
        <f>model_eui_end_uses!T313*base_building_arch_areas!$N$20</f>
        <v>2925.0368179062143</v>
      </c>
      <c r="U313" s="187">
        <f>model_eui_end_uses!U313*base_building_arch_areas!$N$20</f>
        <v>9052.4846347269922</v>
      </c>
      <c r="V313" s="187">
        <f>model_eui_end_uses!V313*base_building_arch_areas!$N$20</f>
        <v>0</v>
      </c>
      <c r="W313" s="187">
        <f>model_eui_end_uses!W313*base_building_arch_areas!$N$20</f>
        <v>41969.955622444963</v>
      </c>
      <c r="X313" s="187">
        <f>model_eui_end_uses!X313*base_building_arch_areas!$N$20</f>
        <v>10050.311233938841</v>
      </c>
      <c r="Y313" s="187">
        <f>model_eui_end_uses!Y313*base_building_arch_areas!$N$20</f>
        <v>0</v>
      </c>
      <c r="Z313" s="187">
        <f>model_eui_end_uses!Z313*base_building_arch_areas!$N$20</f>
        <v>20504.075822071645</v>
      </c>
      <c r="AA313" s="187">
        <f>model_eui_end_uses!AA313*base_building_arch_areas!$N$20</f>
        <v>21.613572546105036</v>
      </c>
      <c r="AB313" s="187">
        <f>model_eui_end_uses!AB313*base_building_arch_areas!$N$20</f>
        <v>0</v>
      </c>
      <c r="AC313" s="187">
        <f>model_eui_end_uses!AC313*base_building_arch_areas!$N$20</f>
        <v>202411.10689427363</v>
      </c>
      <c r="AD313" s="187">
        <f>model_eui_end_uses!AD313*base_building_arch_areas!$N$20</f>
        <v>44008.835965960876</v>
      </c>
      <c r="AE313" s="187">
        <f>model_eui_end_uses!AE313*base_building_arch_areas!$N$20</f>
        <v>666.41848683824287</v>
      </c>
      <c r="AF313" s="187">
        <f t="shared" si="53"/>
        <v>44675.254452799119</v>
      </c>
      <c r="AG313" s="187">
        <f>model_eui_end_uses!AH313*base_building_arch_areas!$N$20</f>
        <v>712.94314264856609</v>
      </c>
      <c r="AH313" s="187">
        <f>model_eui_end_uses!AI313*base_building_arch_areas!$N$20</f>
        <v>75.30528901272146</v>
      </c>
      <c r="AI313" s="187">
        <f t="shared" si="54"/>
        <v>788.24843166128755</v>
      </c>
      <c r="AJ313" s="200">
        <f>sim_annual_output!F313/sim_annual_output!H313*base_building_arch_areas!$N$20</f>
        <v>179705.70095641131</v>
      </c>
      <c r="AK313">
        <f t="shared" si="55"/>
        <v>227.98104472934915</v>
      </c>
    </row>
    <row r="314" spans="1:37">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f>model_eui_end_uses!G314*base_scenario_arch_measures!$F314</f>
        <v>1.0797722217506595E-2</v>
      </c>
      <c r="H314">
        <f>model_eui_end_uses!H314*base_scenario_arch_measures!$F314</f>
        <v>0.34608884217383862</v>
      </c>
      <c r="I314">
        <f>model_eui_end_uses!I314*base_scenario_arch_measures!$F314</f>
        <v>2.3883979009051197E-2</v>
      </c>
      <c r="J314">
        <f>model_eui_end_uses!J314*base_scenario_arch_measures!$F314</f>
        <v>5.1637661934203029E-2</v>
      </c>
      <c r="K314">
        <f>model_eui_end_uses!K314*base_scenario_arch_measures!$F314</f>
        <v>0</v>
      </c>
      <c r="L314">
        <f>model_eui_end_uses!L314*base_scenario_arch_measures!$F314</f>
        <v>0.24239742111015292</v>
      </c>
      <c r="M314">
        <f>model_eui_end_uses!M314*base_scenario_arch_measures!$F314</f>
        <v>5.8045558741509448E-2</v>
      </c>
      <c r="N314">
        <f>model_eui_end_uses!N314*base_scenario_arch_measures!$F314</f>
        <v>0</v>
      </c>
      <c r="O314">
        <f>model_eui_end_uses!O314*base_scenario_arch_measures!$F314</f>
        <v>0.10674973544899104</v>
      </c>
      <c r="P314">
        <f>model_eui_end_uses!P314*base_scenario_arch_measures!$F314</f>
        <v>1.2482915858389129E-4</v>
      </c>
      <c r="Q314">
        <f>model_eui_end_uses!Q314*base_scenario_arch_measures!$F314</f>
        <v>0</v>
      </c>
      <c r="R314" s="187">
        <f>model_eui_end_uses!R314*base_building_arch_areas!$N$20</f>
        <v>1037.4514822130418</v>
      </c>
      <c r="S314" s="187">
        <f>model_eui_end_uses!S314*base_building_arch_areas!$N$20</f>
        <v>116850.17770842586</v>
      </c>
      <c r="T314" s="187">
        <f>model_eui_end_uses!T314*base_building_arch_areas!$N$20</f>
        <v>2925.0368179062143</v>
      </c>
      <c r="U314" s="187">
        <f>model_eui_end_uses!U314*base_building_arch_areas!$N$20</f>
        <v>9052.4846347269922</v>
      </c>
      <c r="V314" s="187">
        <f>model_eui_end_uses!V314*base_building_arch_areas!$N$20</f>
        <v>0</v>
      </c>
      <c r="W314" s="187">
        <f>model_eui_end_uses!W314*base_building_arch_areas!$N$20</f>
        <v>41969.955622444963</v>
      </c>
      <c r="X314" s="187">
        <f>model_eui_end_uses!X314*base_building_arch_areas!$N$20</f>
        <v>10050.311233938841</v>
      </c>
      <c r="Y314" s="187">
        <f>model_eui_end_uses!Y314*base_building_arch_areas!$N$20</f>
        <v>0</v>
      </c>
      <c r="Z314" s="187">
        <f>model_eui_end_uses!Z314*base_building_arch_areas!$N$20</f>
        <v>20504.075822071645</v>
      </c>
      <c r="AA314" s="187">
        <f>model_eui_end_uses!AA314*base_building_arch_areas!$N$20</f>
        <v>21.613572546105036</v>
      </c>
      <c r="AB314" s="187">
        <f>model_eui_end_uses!AB314*base_building_arch_areas!$N$20</f>
        <v>0</v>
      </c>
      <c r="AC314" s="187">
        <f>model_eui_end_uses!AC314*base_building_arch_areas!$N$20</f>
        <v>202411.10689427363</v>
      </c>
      <c r="AD314" s="187">
        <f>model_eui_end_uses!AD314*base_building_arch_areas!$N$20</f>
        <v>56926.547824349655</v>
      </c>
      <c r="AE314" s="187">
        <f>model_eui_end_uses!AE314*base_building_arch_areas!$N$20</f>
        <v>90.056552275440737</v>
      </c>
      <c r="AF314" s="187">
        <f t="shared" si="53"/>
        <v>57016.604376625095</v>
      </c>
      <c r="AG314" s="187">
        <f>model_eui_end_uses!AH314*base_building_arch_areas!$N$20</f>
        <v>922.21007475446436</v>
      </c>
      <c r="AH314" s="187">
        <f>model_eui_end_uses!AI314*base_building_arch_areas!$N$20</f>
        <v>10.176390407124803</v>
      </c>
      <c r="AI314" s="187">
        <f t="shared" si="54"/>
        <v>932.38646516158917</v>
      </c>
      <c r="AJ314" s="200">
        <f>sim_annual_output!F314/sim_annual_output!H314*base_building_arch_areas!$N$20</f>
        <v>221761.28233601354</v>
      </c>
      <c r="AK314">
        <f t="shared" si="55"/>
        <v>237.8426656993361</v>
      </c>
    </row>
    <row r="315" spans="1:37">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f>model_eui_end_uses!G315*base_scenario_arch_measures!$F315</f>
        <v>9.6950646500155585E-3</v>
      </c>
      <c r="H315">
        <f>model_eui_end_uses!H315*base_scenario_arch_measures!$F315</f>
        <v>0.70205999273556863</v>
      </c>
      <c r="I315">
        <f>model_eui_end_uses!I315*base_scenario_arch_measures!$F315</f>
        <v>1.6331814914725778E-2</v>
      </c>
      <c r="J315">
        <f>model_eui_end_uses!J315*base_scenario_arch_measures!$F315</f>
        <v>5.2345027166178414E-2</v>
      </c>
      <c r="K315">
        <f>model_eui_end_uses!K315*base_scenario_arch_measures!$F315</f>
        <v>0</v>
      </c>
      <c r="L315">
        <f>model_eui_end_uses!L315*base_scenario_arch_measures!$F315</f>
        <v>0.16968443623503626</v>
      </c>
      <c r="M315">
        <f>model_eui_end_uses!M315*base_scenario_arch_measures!$F315</f>
        <v>5.8045558741509448E-2</v>
      </c>
      <c r="N315">
        <f>model_eui_end_uses!N315*base_scenario_arch_measures!$F315</f>
        <v>0</v>
      </c>
      <c r="O315">
        <f>model_eui_end_uses!O315*base_scenario_arch_measures!$F315</f>
        <v>0.11865011523398868</v>
      </c>
      <c r="P315">
        <f>model_eui_end_uses!P315*base_scenario_arch_measures!$F315</f>
        <v>1.2482915858389129E-4</v>
      </c>
      <c r="Q315">
        <f>model_eui_end_uses!Q315*base_scenario_arch_measures!$F315</f>
        <v>0</v>
      </c>
      <c r="R315" s="187">
        <f>model_eui_end_uses!R315*base_building_arch_areas!$N$20</f>
        <v>1037.4514822130418</v>
      </c>
      <c r="S315" s="187">
        <f>model_eui_end_uses!S315*base_building_arch_areas!$N$20</f>
        <v>116850.17770842586</v>
      </c>
      <c r="T315" s="187">
        <f>model_eui_end_uses!T315*base_building_arch_areas!$N$20</f>
        <v>2925.0368179062143</v>
      </c>
      <c r="U315" s="187">
        <f>model_eui_end_uses!U315*base_building_arch_areas!$N$20</f>
        <v>9052.4846347269922</v>
      </c>
      <c r="V315" s="187">
        <f>model_eui_end_uses!V315*base_building_arch_areas!$N$20</f>
        <v>0</v>
      </c>
      <c r="W315" s="187">
        <f>model_eui_end_uses!W315*base_building_arch_areas!$N$20</f>
        <v>41969.955622444963</v>
      </c>
      <c r="X315" s="187">
        <f>model_eui_end_uses!X315*base_building_arch_areas!$N$20</f>
        <v>10050.311233938841</v>
      </c>
      <c r="Y315" s="187">
        <f>model_eui_end_uses!Y315*base_building_arch_areas!$N$20</f>
        <v>0</v>
      </c>
      <c r="Z315" s="187">
        <f>model_eui_end_uses!Z315*base_building_arch_areas!$N$20</f>
        <v>20504.075822071645</v>
      </c>
      <c r="AA315" s="187">
        <f>model_eui_end_uses!AA315*base_building_arch_areas!$N$20</f>
        <v>21.613572546105036</v>
      </c>
      <c r="AB315" s="187">
        <f>model_eui_end_uses!AB315*base_building_arch_areas!$N$20</f>
        <v>0</v>
      </c>
      <c r="AC315" s="187">
        <f>model_eui_end_uses!AC315*base_building_arch_areas!$N$20</f>
        <v>202411.10689427363</v>
      </c>
      <c r="AD315" s="187">
        <f>model_eui_end_uses!AD315*base_building_arch_areas!$N$20</f>
        <v>-4708.1565529598856</v>
      </c>
      <c r="AE315" s="187">
        <f>model_eui_end_uses!AE315*base_building_arch_areas!$N$20</f>
        <v>11995.532763088304</v>
      </c>
      <c r="AF315" s="187">
        <f t="shared" si="53"/>
        <v>7287.3762101284183</v>
      </c>
      <c r="AG315" s="187">
        <f>model_eui_end_uses!AH315*base_building_arch_areas!$N$20</f>
        <v>-76.272136157950143</v>
      </c>
      <c r="AH315" s="187">
        <f>model_eui_end_uses!AI315*base_building_arch_areas!$N$20</f>
        <v>1355.4952022289783</v>
      </c>
      <c r="AI315" s="187">
        <f t="shared" si="54"/>
        <v>1279.2230660710281</v>
      </c>
      <c r="AJ315" s="200">
        <f>sim_annual_output!F315/sim_annual_output!H315*base_building_arch_areas!$N$20</f>
        <v>108132.98557765553</v>
      </c>
      <c r="AK315">
        <f t="shared" si="55"/>
        <v>84.530203094111116</v>
      </c>
    </row>
    <row r="316" spans="1:37">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f>model_eui_end_uses!G316*base_scenario_arch_measures!$F316</f>
        <v>1.0797722217506595E-2</v>
      </c>
      <c r="H316">
        <f>model_eui_end_uses!H316*base_scenario_arch_measures!$F316</f>
        <v>0.34608884217383862</v>
      </c>
      <c r="I316">
        <f>model_eui_end_uses!I316*base_scenario_arch_measures!$F316</f>
        <v>2.3883979009051197E-2</v>
      </c>
      <c r="J316">
        <f>model_eui_end_uses!J316*base_scenario_arch_measures!$F316</f>
        <v>5.1637661934203029E-2</v>
      </c>
      <c r="K316">
        <f>model_eui_end_uses!K316*base_scenario_arch_measures!$F316</f>
        <v>0</v>
      </c>
      <c r="L316">
        <f>model_eui_end_uses!L316*base_scenario_arch_measures!$F316</f>
        <v>0.24239742111015292</v>
      </c>
      <c r="M316">
        <f>model_eui_end_uses!M316*base_scenario_arch_measures!$F316</f>
        <v>5.8045558741509448E-2</v>
      </c>
      <c r="N316">
        <f>model_eui_end_uses!N316*base_scenario_arch_measures!$F316</f>
        <v>0</v>
      </c>
      <c r="O316">
        <f>model_eui_end_uses!O316*base_scenario_arch_measures!$F316</f>
        <v>0.10674973544899104</v>
      </c>
      <c r="P316">
        <f>model_eui_end_uses!P316*base_scenario_arch_measures!$F316</f>
        <v>1.2482915858389129E-4</v>
      </c>
      <c r="Q316">
        <f>model_eui_end_uses!Q316*base_scenario_arch_measures!$F316</f>
        <v>0</v>
      </c>
      <c r="R316" s="187">
        <f>model_eui_end_uses!R316*base_building_arch_areas!$N$20</f>
        <v>1037.4514822130418</v>
      </c>
      <c r="S316" s="187">
        <f>model_eui_end_uses!S316*base_building_arch_areas!$N$20</f>
        <v>116850.17770842586</v>
      </c>
      <c r="T316" s="187">
        <f>model_eui_end_uses!T316*base_building_arch_areas!$N$20</f>
        <v>2925.0368179062143</v>
      </c>
      <c r="U316" s="187">
        <f>model_eui_end_uses!U316*base_building_arch_areas!$N$20</f>
        <v>9052.4846347269922</v>
      </c>
      <c r="V316" s="187">
        <f>model_eui_end_uses!V316*base_building_arch_areas!$N$20</f>
        <v>0</v>
      </c>
      <c r="W316" s="187">
        <f>model_eui_end_uses!W316*base_building_arch_areas!$N$20</f>
        <v>41969.955622444963</v>
      </c>
      <c r="X316" s="187">
        <f>model_eui_end_uses!X316*base_building_arch_areas!$N$20</f>
        <v>10050.311233938841</v>
      </c>
      <c r="Y316" s="187">
        <f>model_eui_end_uses!Y316*base_building_arch_areas!$N$20</f>
        <v>0</v>
      </c>
      <c r="Z316" s="187">
        <f>model_eui_end_uses!Z316*base_building_arch_areas!$N$20</f>
        <v>20504.075822071645</v>
      </c>
      <c r="AA316" s="187">
        <f>model_eui_end_uses!AA316*base_building_arch_areas!$N$20</f>
        <v>21.613572546105036</v>
      </c>
      <c r="AB316" s="187">
        <f>model_eui_end_uses!AB316*base_building_arch_areas!$N$20</f>
        <v>0</v>
      </c>
      <c r="AC316" s="187">
        <f>model_eui_end_uses!AC316*base_building_arch_areas!$N$20</f>
        <v>202411.10689427363</v>
      </c>
      <c r="AD316" s="187">
        <f>model_eui_end_uses!AD316*base_building_arch_areas!$N$20</f>
        <v>56926.547824349655</v>
      </c>
      <c r="AE316" s="187">
        <f>model_eui_end_uses!AE316*base_building_arch_areas!$N$20</f>
        <v>90.056552275440737</v>
      </c>
      <c r="AF316" s="187">
        <f t="shared" si="53"/>
        <v>57016.604376625095</v>
      </c>
      <c r="AG316" s="187">
        <f>model_eui_end_uses!AH316*base_building_arch_areas!$N$20</f>
        <v>922.21007475446436</v>
      </c>
      <c r="AH316" s="187">
        <f>model_eui_end_uses!AI316*base_building_arch_areas!$N$20</f>
        <v>10.176390407124803</v>
      </c>
      <c r="AI316" s="187">
        <f t="shared" si="54"/>
        <v>932.38646516158917</v>
      </c>
      <c r="AJ316" s="200">
        <f>sim_annual_output!F316/sim_annual_output!H316*base_building_arch_areas!$N$20</f>
        <v>226886.97354210747</v>
      </c>
      <c r="AK316">
        <f t="shared" si="55"/>
        <v>243.34005481598916</v>
      </c>
    </row>
    <row r="317" spans="1:37">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f>model_eui_end_uses!G317*base_scenario_arch_measures!$F317</f>
        <v>1.0880941656562523E-2</v>
      </c>
      <c r="H317">
        <f>model_eui_end_uses!H317*base_scenario_arch_measures!$F317</f>
        <v>0.54529537441396525</v>
      </c>
      <c r="I317">
        <f>model_eui_end_uses!I317*base_scenario_arch_measures!$F317</f>
        <v>2.0243128550354369E-2</v>
      </c>
      <c r="J317">
        <f>model_eui_end_uses!J317*base_scenario_arch_measures!$F317</f>
        <v>5.2469856324762303E-2</v>
      </c>
      <c r="K317">
        <f>model_eui_end_uses!K317*base_scenario_arch_measures!$F317</f>
        <v>0</v>
      </c>
      <c r="L317">
        <f>model_eui_end_uses!L317*base_scenario_arch_measures!$F317</f>
        <v>0.24239742111015292</v>
      </c>
      <c r="M317">
        <f>model_eui_end_uses!M317*base_scenario_arch_measures!$F317</f>
        <v>5.8045558741509448E-2</v>
      </c>
      <c r="N317">
        <f>model_eui_end_uses!N317*base_scenario_arch_measures!$F317</f>
        <v>0</v>
      </c>
      <c r="O317">
        <f>model_eui_end_uses!O317*base_scenario_arch_measures!$F317</f>
        <v>0.13333834622735991</v>
      </c>
      <c r="P317">
        <f>model_eui_end_uses!P317*base_scenario_arch_measures!$F317</f>
        <v>1.2482915858389129E-4</v>
      </c>
      <c r="Q317">
        <f>model_eui_end_uses!Q317*base_scenario_arch_measures!$F317</f>
        <v>0</v>
      </c>
      <c r="R317" s="187">
        <f>model_eui_end_uses!R317*base_building_arch_areas!$N$20</f>
        <v>1037.4514822130418</v>
      </c>
      <c r="S317" s="187">
        <f>model_eui_end_uses!S317*base_building_arch_areas!$N$20</f>
        <v>116850.17770842586</v>
      </c>
      <c r="T317" s="187">
        <f>model_eui_end_uses!T317*base_building_arch_areas!$N$20</f>
        <v>2925.0368179062143</v>
      </c>
      <c r="U317" s="187">
        <f>model_eui_end_uses!U317*base_building_arch_areas!$N$20</f>
        <v>9052.4846347269922</v>
      </c>
      <c r="V317" s="187">
        <f>model_eui_end_uses!V317*base_building_arch_areas!$N$20</f>
        <v>0</v>
      </c>
      <c r="W317" s="187">
        <f>model_eui_end_uses!W317*base_building_arch_areas!$N$20</f>
        <v>41969.955622444963</v>
      </c>
      <c r="X317" s="187">
        <f>model_eui_end_uses!X317*base_building_arch_areas!$N$20</f>
        <v>10050.311233938841</v>
      </c>
      <c r="Y317" s="187">
        <f>model_eui_end_uses!Y317*base_building_arch_areas!$N$20</f>
        <v>0</v>
      </c>
      <c r="Z317" s="187">
        <f>model_eui_end_uses!Z317*base_building_arch_areas!$N$20</f>
        <v>20504.075822071645</v>
      </c>
      <c r="AA317" s="187">
        <f>model_eui_end_uses!AA317*base_building_arch_areas!$N$20</f>
        <v>21.613572546105036</v>
      </c>
      <c r="AB317" s="187">
        <f>model_eui_end_uses!AB317*base_building_arch_areas!$N$20</f>
        <v>0</v>
      </c>
      <c r="AC317" s="187">
        <f>model_eui_end_uses!AC317*base_building_arch_areas!$N$20</f>
        <v>202411.10689427363</v>
      </c>
      <c r="AD317" s="187">
        <f>model_eui_end_uses!AD317*base_building_arch_areas!$N$20</f>
        <v>22434.88830285702</v>
      </c>
      <c r="AE317" s="187">
        <f>model_eui_end_uses!AE317*base_building_arch_areas!$N$20</f>
        <v>-4041.7380661216307</v>
      </c>
      <c r="AF317" s="187">
        <f t="shared" si="53"/>
        <v>18393.15023673539</v>
      </c>
      <c r="AG317" s="187">
        <f>model_eui_end_uses!AH317*base_building_arch_areas!$N$20</f>
        <v>363.44519050628372</v>
      </c>
      <c r="AH317" s="187">
        <f>model_eui_end_uses!AI317*base_building_arch_areas!$N$20</f>
        <v>-456.71640147174423</v>
      </c>
      <c r="AI317" s="187">
        <f t="shared" si="54"/>
        <v>-93.271210965460511</v>
      </c>
      <c r="AJ317" s="200">
        <f>sim_annual_output!F317/sim_annual_output!H317*base_building_arch_areas!$N$20</f>
        <v>42055.581379602205</v>
      </c>
      <c r="AK317">
        <f t="shared" si="55"/>
        <v>-450.89562946894631</v>
      </c>
    </row>
    <row r="318" spans="1:37">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f>model_eui_end_uses!G318*base_scenario_arch_measures!$F318</f>
        <v>5.4134245105880857E-2</v>
      </c>
      <c r="H318">
        <f>model_eui_end_uses!H318*base_scenario_arch_measures!$F318</f>
        <v>0.25752255415856773</v>
      </c>
      <c r="I318">
        <f>model_eui_end_uses!I318*base_scenario_arch_measures!$F318</f>
        <v>3.5326651879241236E-2</v>
      </c>
      <c r="J318">
        <f>model_eui_end_uses!J318*base_scenario_arch_measures!$F318</f>
        <v>5.201214940995471E-2</v>
      </c>
      <c r="K318">
        <f>model_eui_end_uses!K318*base_scenario_arch_measures!$F318</f>
        <v>0</v>
      </c>
      <c r="L318">
        <f>model_eui_end_uses!L318*base_scenario_arch_measures!$F318</f>
        <v>0.16968443623503626</v>
      </c>
      <c r="M318">
        <f>model_eui_end_uses!M318*base_scenario_arch_measures!$F318</f>
        <v>5.8045558741509448E-2</v>
      </c>
      <c r="N318">
        <f>model_eui_end_uses!N318*base_scenario_arch_measures!$F318</f>
        <v>0</v>
      </c>
      <c r="O318">
        <f>model_eui_end_uses!O318*base_scenario_arch_measures!$F318</f>
        <v>8.8628702594562819E-2</v>
      </c>
      <c r="P318">
        <f>model_eui_end_uses!P318*base_scenario_arch_measures!$F318</f>
        <v>8.3219439055927524E-5</v>
      </c>
      <c r="Q318">
        <f>model_eui_end_uses!Q318*base_scenario_arch_measures!$F318</f>
        <v>0</v>
      </c>
      <c r="R318" s="187">
        <f>model_eui_end_uses!R318*base_building_arch_areas!$N$20</f>
        <v>1037.4514822130418</v>
      </c>
      <c r="S318" s="187">
        <f>model_eui_end_uses!S318*base_building_arch_areas!$N$20</f>
        <v>116850.17770842586</v>
      </c>
      <c r="T318" s="187">
        <f>model_eui_end_uses!T318*base_building_arch_areas!$N$20</f>
        <v>2925.0368179062143</v>
      </c>
      <c r="U318" s="187">
        <f>model_eui_end_uses!U318*base_building_arch_areas!$N$20</f>
        <v>9052.4846347269922</v>
      </c>
      <c r="V318" s="187">
        <f>model_eui_end_uses!V318*base_building_arch_areas!$N$20</f>
        <v>0</v>
      </c>
      <c r="W318" s="187">
        <f>model_eui_end_uses!W318*base_building_arch_areas!$N$20</f>
        <v>41969.955622444963</v>
      </c>
      <c r="X318" s="187">
        <f>model_eui_end_uses!X318*base_building_arch_areas!$N$20</f>
        <v>10050.311233938841</v>
      </c>
      <c r="Y318" s="187">
        <f>model_eui_end_uses!Y318*base_building_arch_areas!$N$20</f>
        <v>0</v>
      </c>
      <c r="Z318" s="187">
        <f>model_eui_end_uses!Z318*base_building_arch_areas!$N$20</f>
        <v>20504.075822071645</v>
      </c>
      <c r="AA318" s="187">
        <f>model_eui_end_uses!AA318*base_building_arch_areas!$N$20</f>
        <v>21.613572546105036</v>
      </c>
      <c r="AB318" s="187">
        <f>model_eui_end_uses!AB318*base_building_arch_areas!$N$20</f>
        <v>0</v>
      </c>
      <c r="AC318" s="187">
        <f>model_eui_end_uses!AC318*base_building_arch_areas!$N$20</f>
        <v>202411.10689427363</v>
      </c>
      <c r="AD318" s="187">
        <f>model_eui_end_uses!AD318*base_building_arch_areas!$N$20</f>
        <v>72261.377545811178</v>
      </c>
      <c r="AE318" s="187">
        <f>model_eui_end_uses!AE318*base_building_arch_areas!$N$20</f>
        <v>6275.1405625525003</v>
      </c>
      <c r="AF318" s="187">
        <f t="shared" si="53"/>
        <v>78536.518108363671</v>
      </c>
      <c r="AG318" s="187">
        <f>model_eui_end_uses!AH318*base_building_arch_areas!$N$20</f>
        <v>1170.634316242141</v>
      </c>
      <c r="AH318" s="187">
        <f>model_eui_end_uses!AI318*base_building_arch_areas!$N$20</f>
        <v>709.09088356843256</v>
      </c>
      <c r="AI318" s="187">
        <f t="shared" si="54"/>
        <v>1879.7251998105735</v>
      </c>
      <c r="AJ318" s="200">
        <f>sim_annual_output!F318/sim_annual_output!H318*base_building_arch_areas!$N$20</f>
        <v>592918.4347016504</v>
      </c>
      <c r="AK318">
        <f t="shared" si="55"/>
        <v>315.42825236444185</v>
      </c>
    </row>
    <row r="319" spans="1:37">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f>model_eui_end_uses!G319*base_scenario_arch_measures!$F319</f>
        <v>1.17131360471218E-2</v>
      </c>
      <c r="H319">
        <f>model_eui_end_uses!H319*base_scenario_arch_measures!$F319</f>
        <v>0.65204510986295616</v>
      </c>
      <c r="I319">
        <f>model_eui_end_uses!I319*base_scenario_arch_measures!$F319</f>
        <v>2.3259833216131745E-2</v>
      </c>
      <c r="J319">
        <f>model_eui_end_uses!J319*base_scenario_arch_measures!$F319</f>
        <v>5.2282612586886469E-2</v>
      </c>
      <c r="K319">
        <f>model_eui_end_uses!K319*base_scenario_arch_measures!$F319</f>
        <v>0</v>
      </c>
      <c r="L319">
        <f>model_eui_end_uses!L319*base_scenario_arch_measures!$F319</f>
        <v>0.24239742111015292</v>
      </c>
      <c r="M319">
        <f>model_eui_end_uses!M319*base_scenario_arch_measures!$F319</f>
        <v>5.8045558741509448E-2</v>
      </c>
      <c r="N319">
        <f>model_eui_end_uses!N319*base_scenario_arch_measures!$F319</f>
        <v>0</v>
      </c>
      <c r="O319">
        <f>model_eui_end_uses!O319*base_scenario_arch_measures!$F319</f>
        <v>0.11844206663634886</v>
      </c>
      <c r="P319">
        <f>model_eui_end_uses!P319*base_scenario_arch_measures!$F319</f>
        <v>1.2482915858389129E-4</v>
      </c>
      <c r="Q319">
        <f>model_eui_end_uses!Q319*base_scenario_arch_measures!$F319</f>
        <v>0</v>
      </c>
      <c r="R319" s="187">
        <f>model_eui_end_uses!R319*base_building_arch_areas!$N$20</f>
        <v>1037.4514822130418</v>
      </c>
      <c r="S319" s="187">
        <f>model_eui_end_uses!S319*base_building_arch_areas!$N$20</f>
        <v>116850.17770842586</v>
      </c>
      <c r="T319" s="187">
        <f>model_eui_end_uses!T319*base_building_arch_areas!$N$20</f>
        <v>2925.0368179062143</v>
      </c>
      <c r="U319" s="187">
        <f>model_eui_end_uses!U319*base_building_arch_areas!$N$20</f>
        <v>9052.4846347269922</v>
      </c>
      <c r="V319" s="187">
        <f>model_eui_end_uses!V319*base_building_arch_areas!$N$20</f>
        <v>0</v>
      </c>
      <c r="W319" s="187">
        <f>model_eui_end_uses!W319*base_building_arch_areas!$N$20</f>
        <v>41969.955622444963</v>
      </c>
      <c r="X319" s="187">
        <f>model_eui_end_uses!X319*base_building_arch_areas!$N$20</f>
        <v>10050.311233938841</v>
      </c>
      <c r="Y319" s="187">
        <f>model_eui_end_uses!Y319*base_building_arch_areas!$N$20</f>
        <v>0</v>
      </c>
      <c r="Z319" s="187">
        <f>model_eui_end_uses!Z319*base_building_arch_areas!$N$20</f>
        <v>20504.075822071645</v>
      </c>
      <c r="AA319" s="187">
        <f>model_eui_end_uses!AA319*base_building_arch_areas!$N$20</f>
        <v>21.613572546105036</v>
      </c>
      <c r="AB319" s="187">
        <f>model_eui_end_uses!AB319*base_building_arch_areas!$N$20</f>
        <v>0</v>
      </c>
      <c r="AC319" s="187">
        <f>model_eui_end_uses!AC319*base_building_arch_areas!$N$20</f>
        <v>202411.10689427363</v>
      </c>
      <c r="AD319" s="187">
        <f>model_eui_end_uses!AD319*base_building_arch_areas!$N$20</f>
        <v>3951.6815138462016</v>
      </c>
      <c r="AE319" s="187">
        <f>model_eui_end_uses!AE319*base_building_arch_areas!$N$20</f>
        <v>-2096.5165369721849</v>
      </c>
      <c r="AF319" s="187">
        <f t="shared" si="53"/>
        <v>1855.1649768740167</v>
      </c>
      <c r="AG319" s="187">
        <f>model_eui_end_uses!AH319*base_building_arch_areas!$N$20</f>
        <v>64.017240524308463</v>
      </c>
      <c r="AH319" s="187">
        <f>model_eui_end_uses!AI319*base_building_arch_areas!$N$20</f>
        <v>-236.9063686778569</v>
      </c>
      <c r="AI319" s="187">
        <f t="shared" si="54"/>
        <v>-172.88912815354843</v>
      </c>
      <c r="AJ319" s="200">
        <f>sim_annual_output!F319/sim_annual_output!H319*base_building_arch_areas!$N$20</f>
        <v>24316.415454930175</v>
      </c>
      <c r="AK319">
        <f t="shared" si="55"/>
        <v>-140.64745258784566</v>
      </c>
    </row>
    <row r="320" spans="1:37">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f>model_eui_end_uses!G320*base_scenario_arch_measures!$F320</f>
        <v>1.1796355486177726E-2</v>
      </c>
      <c r="H320">
        <f>model_eui_end_uses!H320*base_scenario_arch_measures!$F320</f>
        <v>0.65196189042390029</v>
      </c>
      <c r="I320">
        <f>model_eui_end_uses!I320*base_scenario_arch_measures!$F320</f>
        <v>2.3988003307871108E-2</v>
      </c>
      <c r="J320">
        <f>model_eui_end_uses!J320*base_scenario_arch_measures!$F320</f>
        <v>5.2303417446650451E-2</v>
      </c>
      <c r="K320">
        <f>model_eui_end_uses!K320*base_scenario_arch_measures!$F320</f>
        <v>0</v>
      </c>
      <c r="L320">
        <f>model_eui_end_uses!L320*base_scenario_arch_measures!$F320</f>
        <v>0.24239742111015292</v>
      </c>
      <c r="M320">
        <f>model_eui_end_uses!M320*base_scenario_arch_measures!$F320</f>
        <v>5.8045558741509448E-2</v>
      </c>
      <c r="N320">
        <f>model_eui_end_uses!N320*base_scenario_arch_measures!$F320</f>
        <v>0</v>
      </c>
      <c r="O320">
        <f>model_eui_end_uses!O320*base_scenario_arch_measures!$F320</f>
        <v>0.11831723747776497</v>
      </c>
      <c r="P320">
        <f>model_eui_end_uses!P320*base_scenario_arch_measures!$F320</f>
        <v>8.3219439055927524E-5</v>
      </c>
      <c r="Q320">
        <f>model_eui_end_uses!Q320*base_scenario_arch_measures!$F320</f>
        <v>0</v>
      </c>
      <c r="R320" s="187">
        <f>model_eui_end_uses!R320*base_building_arch_areas!$N$20</f>
        <v>1037.4514822130418</v>
      </c>
      <c r="S320" s="187">
        <f>model_eui_end_uses!S320*base_building_arch_areas!$N$20</f>
        <v>116850.17770842586</v>
      </c>
      <c r="T320" s="187">
        <f>model_eui_end_uses!T320*base_building_arch_areas!$N$20</f>
        <v>2925.0368179062143</v>
      </c>
      <c r="U320" s="187">
        <f>model_eui_end_uses!U320*base_building_arch_areas!$N$20</f>
        <v>9052.4846347269922</v>
      </c>
      <c r="V320" s="187">
        <f>model_eui_end_uses!V320*base_building_arch_areas!$N$20</f>
        <v>0</v>
      </c>
      <c r="W320" s="187">
        <f>model_eui_end_uses!W320*base_building_arch_areas!$N$20</f>
        <v>41969.955622444963</v>
      </c>
      <c r="X320" s="187">
        <f>model_eui_end_uses!X320*base_building_arch_areas!$N$20</f>
        <v>10050.311233938841</v>
      </c>
      <c r="Y320" s="187">
        <f>model_eui_end_uses!Y320*base_building_arch_areas!$N$20</f>
        <v>0</v>
      </c>
      <c r="Z320" s="187">
        <f>model_eui_end_uses!Z320*base_building_arch_areas!$N$20</f>
        <v>20504.075822071645</v>
      </c>
      <c r="AA320" s="187">
        <f>model_eui_end_uses!AA320*base_building_arch_areas!$N$20</f>
        <v>21.613572546105036</v>
      </c>
      <c r="AB320" s="187">
        <f>model_eui_end_uses!AB320*base_building_arch_areas!$N$20</f>
        <v>0</v>
      </c>
      <c r="AC320" s="187">
        <f>model_eui_end_uses!AC320*base_building_arch_areas!$N$20</f>
        <v>202411.10689427363</v>
      </c>
      <c r="AD320" s="187">
        <f>model_eui_end_uses!AD320*base_building_arch_areas!$N$20</f>
        <v>3966.0905622102787</v>
      </c>
      <c r="AE320" s="187">
        <f>model_eui_end_uses!AE320*base_building_arch_areas!$N$20</f>
        <v>-2211.7889238847429</v>
      </c>
      <c r="AF320" s="187">
        <f t="shared" si="53"/>
        <v>1754.3016383255358</v>
      </c>
      <c r="AG320" s="187">
        <f>model_eui_end_uses!AH320*base_building_arch_areas!$N$20</f>
        <v>64.250667107806507</v>
      </c>
      <c r="AH320" s="187">
        <f>model_eui_end_uses!AI320*base_building_arch_areas!$N$20</f>
        <v>-249.93214839897598</v>
      </c>
      <c r="AI320" s="187">
        <f t="shared" si="54"/>
        <v>-185.68148129116946</v>
      </c>
      <c r="AJ320" s="200">
        <f>sim_annual_output!F320/sim_annual_output!H320*base_building_arch_areas!$N$20</f>
        <v>9346.2548116800681</v>
      </c>
      <c r="AK320">
        <f t="shared" si="55"/>
        <v>-50.33487856025927</v>
      </c>
    </row>
    <row r="321" spans="1:37">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f>model_eui_end_uses!G321*base_scenario_arch_measures!$F321</f>
        <v>3.5294470257319819E-3</v>
      </c>
      <c r="H321">
        <f>model_eui_end_uses!H321*base_scenario_arch_measures!$F321</f>
        <v>3.6799570039818409E-2</v>
      </c>
      <c r="I321">
        <f>model_eui_end_uses!I321*base_scenario_arch_measures!$F321</f>
        <v>3.8668382329375482E-3</v>
      </c>
      <c r="J321">
        <f>model_eui_end_uses!J321*base_scenario_arch_measures!$F321</f>
        <v>5.8887926307297682E-3</v>
      </c>
      <c r="K321">
        <f>model_eui_end_uses!K321*base_scenario_arch_measures!$F321</f>
        <v>0</v>
      </c>
      <c r="L321">
        <f>model_eui_end_uses!L321*base_scenario_arch_measures!$F321</f>
        <v>2.7879042235120895E-2</v>
      </c>
      <c r="M321">
        <f>model_eui_end_uses!M321*base_scenario_arch_measures!$F321</f>
        <v>6.6760387808760882E-3</v>
      </c>
      <c r="N321">
        <f>model_eui_end_uses!N321*base_scenario_arch_measures!$F321</f>
        <v>0</v>
      </c>
      <c r="O321">
        <f>model_eui_end_uses!O321*base_scenario_arch_measures!$F321</f>
        <v>9.9350942717553806E-3</v>
      </c>
      <c r="P321">
        <f>model_eui_end_uses!P321*base_scenario_arch_measures!$F321</f>
        <v>1.435707264704535E-5</v>
      </c>
      <c r="Q321">
        <f>model_eui_end_uses!Q321*base_scenario_arch_measures!$F321</f>
        <v>0</v>
      </c>
      <c r="R321" s="187">
        <f>model_eui_end_uses!R321*base_building_arch_areas!$N$21</f>
        <v>344.44434407089818</v>
      </c>
      <c r="S321" s="187">
        <f>model_eui_end_uses!S321*base_building_arch_areas!$N$21</f>
        <v>9287.8143709921296</v>
      </c>
      <c r="T321" s="187">
        <f>model_eui_end_uses!T321*base_building_arch_areas!$N$21</f>
        <v>510.02128760337177</v>
      </c>
      <c r="U321" s="187">
        <f>model_eui_end_uses!U321*base_building_arch_areas!$N$21</f>
        <v>1358.9492288584954</v>
      </c>
      <c r="V321" s="187">
        <f>model_eui_end_uses!V321*base_building_arch_areas!$N$21</f>
        <v>0</v>
      </c>
      <c r="W321" s="187">
        <f>model_eui_end_uses!W321*base_building_arch_areas!$N$21</f>
        <v>6451.9631073473229</v>
      </c>
      <c r="X321" s="187">
        <f>model_eui_end_uses!X321*base_building_arch_areas!$N$21</f>
        <v>1545.0156269418103</v>
      </c>
      <c r="Y321" s="187">
        <f>model_eui_end_uses!Y321*base_building_arch_areas!$N$21</f>
        <v>0</v>
      </c>
      <c r="Z321" s="187">
        <f>model_eui_end_uses!Z321*base_building_arch_areas!$N$21</f>
        <v>2227.8128556225456</v>
      </c>
      <c r="AA321" s="187">
        <f>model_eui_end_uses!AA321*base_building_arch_areas!$N$21</f>
        <v>3.3226142514877641</v>
      </c>
      <c r="AB321" s="187">
        <f>model_eui_end_uses!AB321*base_building_arch_areas!$N$21</f>
        <v>0</v>
      </c>
      <c r="AC321" s="187">
        <f>model_eui_end_uses!AC321*base_building_arch_areas!$N$21</f>
        <v>21729.343435688057</v>
      </c>
      <c r="AD321" s="187">
        <f>model_eui_end_uses!AD321*base_building_arch_areas!$N$21</f>
        <v>771.40027538707477</v>
      </c>
      <c r="AE321" s="187">
        <f>model_eui_end_uses!AE321*base_building_arch_areas!$N$21</f>
        <v>-932.54706658423197</v>
      </c>
      <c r="AF321" s="187">
        <f t="shared" si="47"/>
        <v>-161.1467911971572</v>
      </c>
      <c r="AG321" s="187">
        <f>model_eui_end_uses!AH321*base_building_arch_areas!$N$21</f>
        <v>12.496684461270609</v>
      </c>
      <c r="AH321" s="187">
        <f>model_eui_end_uses!AI321*base_building_arch_areas!$N$21</f>
        <v>-105.37781852401821</v>
      </c>
      <c r="AI321" s="187">
        <f t="shared" si="48"/>
        <v>-92.881134062747606</v>
      </c>
      <c r="AJ321" s="200">
        <f>sim_annual_output!F321/sim_annual_output!H321*base_building_arch_areas!$N$21</f>
        <v>11926.564722809988</v>
      </c>
      <c r="AK321">
        <f t="shared" si="49"/>
        <v>-128.40675173876292</v>
      </c>
    </row>
    <row r="322" spans="1:37">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f>model_eui_end_uses!G322*base_scenario_arch_measures!$F322</f>
        <v>1.4883498644103679E-3</v>
      </c>
      <c r="H322">
        <f>model_eui_end_uses!H322*base_scenario_arch_measures!$F322</f>
        <v>4.0132803739374105E-2</v>
      </c>
      <c r="I322">
        <f>model_eui_end_uses!I322*base_scenario_arch_measures!$F322</f>
        <v>2.2038106513214612E-3</v>
      </c>
      <c r="J322">
        <f>model_eui_end_uses!J322*base_scenario_arch_measures!$F322</f>
        <v>5.8720427126415483E-3</v>
      </c>
      <c r="K322">
        <f>model_eui_end_uses!K322*base_scenario_arch_measures!$F322</f>
        <v>0</v>
      </c>
      <c r="L322">
        <f>model_eui_end_uses!L322*base_scenario_arch_measures!$F322</f>
        <v>2.7879042235120895E-2</v>
      </c>
      <c r="M322">
        <f>model_eui_end_uses!M322*base_scenario_arch_measures!$F322</f>
        <v>6.6760387808760882E-3</v>
      </c>
      <c r="N322">
        <f>model_eui_end_uses!N322*base_scenario_arch_measures!$F322</f>
        <v>0</v>
      </c>
      <c r="O322">
        <f>model_eui_end_uses!O322*base_scenario_arch_measures!$F322</f>
        <v>9.6264172098439061E-3</v>
      </c>
      <c r="P322">
        <f>model_eui_end_uses!P322*base_scenario_arch_measures!$F322</f>
        <v>1.435707264704535E-5</v>
      </c>
      <c r="Q322">
        <f>model_eui_end_uses!Q322*base_scenario_arch_measures!$F322</f>
        <v>0</v>
      </c>
      <c r="R322" s="187">
        <f>model_eui_end_uses!R322*base_building_arch_areas!$N$21</f>
        <v>344.44434407089818</v>
      </c>
      <c r="S322" s="187">
        <f>model_eui_end_uses!S322*base_building_arch_areas!$N$21</f>
        <v>9287.8143709921296</v>
      </c>
      <c r="T322" s="187">
        <f>model_eui_end_uses!T322*base_building_arch_areas!$N$21</f>
        <v>510.02128760337177</v>
      </c>
      <c r="U322" s="187">
        <f>model_eui_end_uses!U322*base_building_arch_areas!$N$21</f>
        <v>1358.9492288584954</v>
      </c>
      <c r="V322" s="187">
        <f>model_eui_end_uses!V322*base_building_arch_areas!$N$21</f>
        <v>0</v>
      </c>
      <c r="W322" s="187">
        <f>model_eui_end_uses!W322*base_building_arch_areas!$N$21</f>
        <v>6451.9631073473229</v>
      </c>
      <c r="X322" s="187">
        <f>model_eui_end_uses!X322*base_building_arch_areas!$N$21</f>
        <v>1545.0156269418103</v>
      </c>
      <c r="Y322" s="187">
        <f>model_eui_end_uses!Y322*base_building_arch_areas!$N$21</f>
        <v>0</v>
      </c>
      <c r="Z322" s="187">
        <f>model_eui_end_uses!Z322*base_building_arch_areas!$N$21</f>
        <v>2227.8128556225456</v>
      </c>
      <c r="AA322" s="187">
        <f>model_eui_end_uses!AA322*base_building_arch_areas!$N$21</f>
        <v>3.3226142514877641</v>
      </c>
      <c r="AB322" s="187">
        <f>model_eui_end_uses!AB322*base_building_arch_areas!$N$21</f>
        <v>0</v>
      </c>
      <c r="AC322" s="187">
        <f>model_eui_end_uses!AC322*base_building_arch_areas!$N$21</f>
        <v>21729.343435688057</v>
      </c>
      <c r="AD322" s="187">
        <f>model_eui_end_uses!AD322*base_building_arch_areas!$N$21</f>
        <v>0</v>
      </c>
      <c r="AE322" s="187">
        <f>model_eui_end_uses!AE322*base_building_arch_areas!$N$21</f>
        <v>0</v>
      </c>
      <c r="AF322" s="187">
        <f t="shared" ref="AF322:AF340" si="56">SUM(AD322:AE322)</f>
        <v>0</v>
      </c>
      <c r="AG322" s="187">
        <f>model_eui_end_uses!AH322*base_building_arch_areas!$N$21</f>
        <v>0</v>
      </c>
      <c r="AH322" s="187">
        <f>model_eui_end_uses!AI322*base_building_arch_areas!$N$21</f>
        <v>0</v>
      </c>
      <c r="AI322" s="187">
        <f t="shared" ref="AI322:AI340" si="57">SUM(AG322:AH322)</f>
        <v>0</v>
      </c>
      <c r="AJ322" s="200">
        <f>sim_annual_output!F322/sim_annual_output!H322*base_building_arch_areas!$N$21</f>
        <v>0</v>
      </c>
      <c r="AK322">
        <f t="shared" ref="AK322:AK340" si="58">IF(AI322=0,0,AJ322/AI322)</f>
        <v>0</v>
      </c>
    </row>
    <row r="323" spans="1:37">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f>model_eui_end_uses!G323*base_scenario_arch_measures!$F323</f>
        <v>1.7084916449983968E-3</v>
      </c>
      <c r="H323">
        <f>model_eui_end_uses!H323*base_scenario_arch_measures!$F323</f>
        <v>3.9735591396139185E-2</v>
      </c>
      <c r="I323">
        <f>model_eui_end_uses!I323*base_scenario_arch_measures!$F323</f>
        <v>2.8785930657325926E-3</v>
      </c>
      <c r="J323">
        <f>model_eui_end_uses!J323*base_scenario_arch_measures!$F323</f>
        <v>5.8816140944062453E-3</v>
      </c>
      <c r="K323">
        <f>model_eui_end_uses!K323*base_scenario_arch_measures!$F323</f>
        <v>0</v>
      </c>
      <c r="L323">
        <f>model_eui_end_uses!L323*base_scenario_arch_measures!$F323</f>
        <v>2.7879042235120895E-2</v>
      </c>
      <c r="M323">
        <f>model_eui_end_uses!M323*base_scenario_arch_measures!$F323</f>
        <v>6.6760387808760882E-3</v>
      </c>
      <c r="N323">
        <f>model_eui_end_uses!N323*base_scenario_arch_measures!$F323</f>
        <v>0</v>
      </c>
      <c r="O323">
        <f>model_eui_end_uses!O323*base_scenario_arch_measures!$F323</f>
        <v>9.9685941079318205E-3</v>
      </c>
      <c r="P323">
        <f>model_eui_end_uses!P323*base_scenario_arch_measures!$F323</f>
        <v>1.435707264704535E-5</v>
      </c>
      <c r="Q323">
        <f>model_eui_end_uses!Q323*base_scenario_arch_measures!$F323</f>
        <v>0</v>
      </c>
      <c r="R323" s="187">
        <f>model_eui_end_uses!R323*base_building_arch_areas!$N$21</f>
        <v>344.44434407089818</v>
      </c>
      <c r="S323" s="187">
        <f>model_eui_end_uses!S323*base_building_arch_areas!$N$21</f>
        <v>9287.8143709921296</v>
      </c>
      <c r="T323" s="187">
        <f>model_eui_end_uses!T323*base_building_arch_areas!$N$21</f>
        <v>510.02128760337177</v>
      </c>
      <c r="U323" s="187">
        <f>model_eui_end_uses!U323*base_building_arch_areas!$N$21</f>
        <v>1358.9492288584954</v>
      </c>
      <c r="V323" s="187">
        <f>model_eui_end_uses!V323*base_building_arch_areas!$N$21</f>
        <v>0</v>
      </c>
      <c r="W323" s="187">
        <f>model_eui_end_uses!W323*base_building_arch_areas!$N$21</f>
        <v>6451.9631073473229</v>
      </c>
      <c r="X323" s="187">
        <f>model_eui_end_uses!X323*base_building_arch_areas!$N$21</f>
        <v>1545.0156269418103</v>
      </c>
      <c r="Y323" s="187">
        <f>model_eui_end_uses!Y323*base_building_arch_areas!$N$21</f>
        <v>0</v>
      </c>
      <c r="Z323" s="187">
        <f>model_eui_end_uses!Z323*base_building_arch_areas!$N$21</f>
        <v>2227.8128556225456</v>
      </c>
      <c r="AA323" s="187">
        <f>model_eui_end_uses!AA323*base_building_arch_areas!$N$21</f>
        <v>3.3226142514877641</v>
      </c>
      <c r="AB323" s="187">
        <f>model_eui_end_uses!AB323*base_building_arch_areas!$N$21</f>
        <v>0</v>
      </c>
      <c r="AC323" s="187">
        <f>model_eui_end_uses!AC323*base_building_arch_areas!$N$21</f>
        <v>21729.343435688057</v>
      </c>
      <c r="AD323" s="187">
        <f>model_eui_end_uses!AD323*base_building_arch_areas!$N$21</f>
        <v>91.925660957828157</v>
      </c>
      <c r="AE323" s="187">
        <f>model_eui_end_uses!AE323*base_building_arch_areas!$N$21</f>
        <v>-288.51367083752086</v>
      </c>
      <c r="AF323" s="187">
        <f t="shared" si="56"/>
        <v>-196.58800987969272</v>
      </c>
      <c r="AG323" s="187">
        <f>model_eui_end_uses!AH323*base_building_arch_areas!$N$21</f>
        <v>1.4891957075168161</v>
      </c>
      <c r="AH323" s="187">
        <f>model_eui_end_uses!AI323*base_building_arch_areas!$N$21</f>
        <v>-32.60204480463986</v>
      </c>
      <c r="AI323" s="187">
        <f t="shared" si="57"/>
        <v>-31.112849097123043</v>
      </c>
      <c r="AJ323" s="200">
        <f>sim_annual_output!F323/sim_annual_output!H323*base_building_arch_areas!$N$21</f>
        <v>787.97144308082943</v>
      </c>
      <c r="AK323">
        <f t="shared" si="58"/>
        <v>-25.326238706750001</v>
      </c>
    </row>
    <row r="324" spans="1:37">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f>model_eui_end_uses!G324*base_scenario_arch_measures!$F324</f>
        <v>1.7084916449983968E-3</v>
      </c>
      <c r="H324">
        <f>model_eui_end_uses!H324*base_scenario_arch_measures!$F324</f>
        <v>3.9735591396139185E-2</v>
      </c>
      <c r="I324">
        <f>model_eui_end_uses!I324*base_scenario_arch_measures!$F324</f>
        <v>2.8785930657325926E-3</v>
      </c>
      <c r="J324">
        <f>model_eui_end_uses!J324*base_scenario_arch_measures!$F324</f>
        <v>5.8816140944062453E-3</v>
      </c>
      <c r="K324">
        <f>model_eui_end_uses!K324*base_scenario_arch_measures!$F324</f>
        <v>0</v>
      </c>
      <c r="L324">
        <f>model_eui_end_uses!L324*base_scenario_arch_measures!$F324</f>
        <v>2.7879042235120895E-2</v>
      </c>
      <c r="M324">
        <f>model_eui_end_uses!M324*base_scenario_arch_measures!$F324</f>
        <v>6.6760387808760882E-3</v>
      </c>
      <c r="N324">
        <f>model_eui_end_uses!N324*base_scenario_arch_measures!$F324</f>
        <v>0</v>
      </c>
      <c r="O324">
        <f>model_eui_end_uses!O324*base_scenario_arch_measures!$F324</f>
        <v>9.9685941079318205E-3</v>
      </c>
      <c r="P324">
        <f>model_eui_end_uses!P324*base_scenario_arch_measures!$F324</f>
        <v>1.435707264704535E-5</v>
      </c>
      <c r="Q324">
        <f>model_eui_end_uses!Q324*base_scenario_arch_measures!$F324</f>
        <v>0</v>
      </c>
      <c r="R324" s="187">
        <f>model_eui_end_uses!R324*base_building_arch_areas!$N$21</f>
        <v>344.44434407089818</v>
      </c>
      <c r="S324" s="187">
        <f>model_eui_end_uses!S324*base_building_arch_areas!$N$21</f>
        <v>9287.8143709921296</v>
      </c>
      <c r="T324" s="187">
        <f>model_eui_end_uses!T324*base_building_arch_areas!$N$21</f>
        <v>510.02128760337177</v>
      </c>
      <c r="U324" s="187">
        <f>model_eui_end_uses!U324*base_building_arch_areas!$N$21</f>
        <v>1358.9492288584954</v>
      </c>
      <c r="V324" s="187">
        <f>model_eui_end_uses!V324*base_building_arch_areas!$N$21</f>
        <v>0</v>
      </c>
      <c r="W324" s="187">
        <f>model_eui_end_uses!W324*base_building_arch_areas!$N$21</f>
        <v>6451.9631073473229</v>
      </c>
      <c r="X324" s="187">
        <f>model_eui_end_uses!X324*base_building_arch_areas!$N$21</f>
        <v>1545.0156269418103</v>
      </c>
      <c r="Y324" s="187">
        <f>model_eui_end_uses!Y324*base_building_arch_areas!$N$21</f>
        <v>0</v>
      </c>
      <c r="Z324" s="187">
        <f>model_eui_end_uses!Z324*base_building_arch_areas!$N$21</f>
        <v>2227.8128556225456</v>
      </c>
      <c r="AA324" s="187">
        <f>model_eui_end_uses!AA324*base_building_arch_areas!$N$21</f>
        <v>3.3226142514877641</v>
      </c>
      <c r="AB324" s="187">
        <f>model_eui_end_uses!AB324*base_building_arch_areas!$N$21</f>
        <v>0</v>
      </c>
      <c r="AC324" s="187">
        <f>model_eui_end_uses!AC324*base_building_arch_areas!$N$21</f>
        <v>21729.343435688057</v>
      </c>
      <c r="AD324" s="187">
        <f>model_eui_end_uses!AD324*base_building_arch_areas!$N$21</f>
        <v>91.925660957828157</v>
      </c>
      <c r="AE324" s="187">
        <f>model_eui_end_uses!AE324*base_building_arch_areas!$N$21</f>
        <v>-288.51367083752086</v>
      </c>
      <c r="AF324" s="187">
        <f t="shared" si="56"/>
        <v>-196.58800987969272</v>
      </c>
      <c r="AG324" s="187">
        <f>model_eui_end_uses!AH324*base_building_arch_areas!$N$21</f>
        <v>1.4891957075168161</v>
      </c>
      <c r="AH324" s="187">
        <f>model_eui_end_uses!AI324*base_building_arch_areas!$N$21</f>
        <v>-32.60204480463986</v>
      </c>
      <c r="AI324" s="187">
        <f t="shared" si="57"/>
        <v>-31.112849097123043</v>
      </c>
      <c r="AJ324" s="200">
        <f>sim_annual_output!F324/sim_annual_output!H324*base_building_arch_areas!$N$21</f>
        <v>14203.186745662293</v>
      </c>
      <c r="AK324">
        <f t="shared" si="58"/>
        <v>-456.50550039069356</v>
      </c>
    </row>
    <row r="325" spans="1:37">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f>model_eui_end_uses!G325*base_scenario_arch_measures!$F325</f>
        <v>1.7084916449983968E-3</v>
      </c>
      <c r="H325">
        <f>model_eui_end_uses!H325*base_scenario_arch_measures!$F325</f>
        <v>3.9735591396139185E-2</v>
      </c>
      <c r="I325">
        <f>model_eui_end_uses!I325*base_scenario_arch_measures!$F325</f>
        <v>2.8785930657325926E-3</v>
      </c>
      <c r="J325">
        <f>model_eui_end_uses!J325*base_scenario_arch_measures!$F325</f>
        <v>5.8816140944062453E-3</v>
      </c>
      <c r="K325">
        <f>model_eui_end_uses!K325*base_scenario_arch_measures!$F325</f>
        <v>0</v>
      </c>
      <c r="L325">
        <f>model_eui_end_uses!L325*base_scenario_arch_measures!$F325</f>
        <v>2.7879042235120895E-2</v>
      </c>
      <c r="M325">
        <f>model_eui_end_uses!M325*base_scenario_arch_measures!$F325</f>
        <v>6.6760387808760882E-3</v>
      </c>
      <c r="N325">
        <f>model_eui_end_uses!N325*base_scenario_arch_measures!$F325</f>
        <v>0</v>
      </c>
      <c r="O325">
        <f>model_eui_end_uses!O325*base_scenario_arch_measures!$F325</f>
        <v>9.9685941079318205E-3</v>
      </c>
      <c r="P325">
        <f>model_eui_end_uses!P325*base_scenario_arch_measures!$F325</f>
        <v>1.435707264704535E-5</v>
      </c>
      <c r="Q325">
        <f>model_eui_end_uses!Q325*base_scenario_arch_measures!$F325</f>
        <v>0</v>
      </c>
      <c r="R325" s="187">
        <f>model_eui_end_uses!R325*base_building_arch_areas!$N$21</f>
        <v>344.44434407089818</v>
      </c>
      <c r="S325" s="187">
        <f>model_eui_end_uses!S325*base_building_arch_areas!$N$21</f>
        <v>9287.8143709921296</v>
      </c>
      <c r="T325" s="187">
        <f>model_eui_end_uses!T325*base_building_arch_areas!$N$21</f>
        <v>510.02128760337177</v>
      </c>
      <c r="U325" s="187">
        <f>model_eui_end_uses!U325*base_building_arch_areas!$N$21</f>
        <v>1358.9492288584954</v>
      </c>
      <c r="V325" s="187">
        <f>model_eui_end_uses!V325*base_building_arch_areas!$N$21</f>
        <v>0</v>
      </c>
      <c r="W325" s="187">
        <f>model_eui_end_uses!W325*base_building_arch_areas!$N$21</f>
        <v>6451.9631073473229</v>
      </c>
      <c r="X325" s="187">
        <f>model_eui_end_uses!X325*base_building_arch_areas!$N$21</f>
        <v>1545.0156269418103</v>
      </c>
      <c r="Y325" s="187">
        <f>model_eui_end_uses!Y325*base_building_arch_areas!$N$21</f>
        <v>0</v>
      </c>
      <c r="Z325" s="187">
        <f>model_eui_end_uses!Z325*base_building_arch_areas!$N$21</f>
        <v>2227.8128556225456</v>
      </c>
      <c r="AA325" s="187">
        <f>model_eui_end_uses!AA325*base_building_arch_areas!$N$21</f>
        <v>3.3226142514877641</v>
      </c>
      <c r="AB325" s="187">
        <f>model_eui_end_uses!AB325*base_building_arch_areas!$N$21</f>
        <v>0</v>
      </c>
      <c r="AC325" s="187">
        <f>model_eui_end_uses!AC325*base_building_arch_areas!$N$21</f>
        <v>21729.343435688057</v>
      </c>
      <c r="AD325" s="187">
        <f>model_eui_end_uses!AD325*base_building_arch_areas!$N$21</f>
        <v>91.925660957828157</v>
      </c>
      <c r="AE325" s="187">
        <f>model_eui_end_uses!AE325*base_building_arch_areas!$N$21</f>
        <v>-288.51367083752086</v>
      </c>
      <c r="AF325" s="187">
        <f t="shared" si="56"/>
        <v>-196.58800987969272</v>
      </c>
      <c r="AG325" s="187">
        <f>model_eui_end_uses!AH325*base_building_arch_areas!$N$21</f>
        <v>1.4891957075168161</v>
      </c>
      <c r="AH325" s="187">
        <f>model_eui_end_uses!AI325*base_building_arch_areas!$N$21</f>
        <v>-32.60204480463986</v>
      </c>
      <c r="AI325" s="187">
        <f t="shared" si="57"/>
        <v>-31.112849097123043</v>
      </c>
      <c r="AJ325" s="200">
        <f>sim_annual_output!F325/sim_annual_output!H325*base_building_arch_areas!$N$21</f>
        <v>11290.09330512061</v>
      </c>
      <c r="AK325">
        <f t="shared" si="58"/>
        <v>-362.87558461383685</v>
      </c>
    </row>
    <row r="326" spans="1:37">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f>model_eui_end_uses!G326*base_scenario_arch_measures!$F326</f>
        <v>7.314928513669606E-3</v>
      </c>
      <c r="H326">
        <f>model_eui_end_uses!H326*base_scenario_arch_measures!$F326</f>
        <v>2.0207579750716329E-2</v>
      </c>
      <c r="I326">
        <f>model_eui_end_uses!I326*base_scenario_arch_measures!$F326</f>
        <v>4.012801804849175E-3</v>
      </c>
      <c r="J326">
        <f>model_eui_end_uses!J326*base_scenario_arch_measures!$F326</f>
        <v>5.9294710032297302E-3</v>
      </c>
      <c r="K326">
        <f>model_eui_end_uses!K326*base_scenario_arch_measures!$F326</f>
        <v>0</v>
      </c>
      <c r="L326">
        <f>model_eui_end_uses!L326*base_scenario_arch_measures!$F326</f>
        <v>2.7879042235120895E-2</v>
      </c>
      <c r="M326">
        <f>model_eui_end_uses!M326*base_scenario_arch_measures!$F326</f>
        <v>6.6760387808760882E-3</v>
      </c>
      <c r="N326">
        <f>model_eui_end_uses!N326*base_scenario_arch_measures!$F326</f>
        <v>0</v>
      </c>
      <c r="O326">
        <f>model_eui_end_uses!O326*base_scenario_arch_measures!$F326</f>
        <v>1.0030808089402352E-2</v>
      </c>
      <c r="P326">
        <f>model_eui_end_uses!P326*base_scenario_arch_measures!$F326</f>
        <v>1.435707264704535E-5</v>
      </c>
      <c r="Q326">
        <f>model_eui_end_uses!Q326*base_scenario_arch_measures!$F326</f>
        <v>0</v>
      </c>
      <c r="R326" s="187">
        <f>model_eui_end_uses!R326*base_building_arch_areas!$N$21</f>
        <v>344.44434407089818</v>
      </c>
      <c r="S326" s="187">
        <f>model_eui_end_uses!S326*base_building_arch_areas!$N$21</f>
        <v>9287.8143709921296</v>
      </c>
      <c r="T326" s="187">
        <f>model_eui_end_uses!T326*base_building_arch_areas!$N$21</f>
        <v>510.02128760337177</v>
      </c>
      <c r="U326" s="187">
        <f>model_eui_end_uses!U326*base_building_arch_areas!$N$21</f>
        <v>1358.9492288584954</v>
      </c>
      <c r="V326" s="187">
        <f>model_eui_end_uses!V326*base_building_arch_areas!$N$21</f>
        <v>0</v>
      </c>
      <c r="W326" s="187">
        <f>model_eui_end_uses!W326*base_building_arch_areas!$N$21</f>
        <v>6451.9631073473229</v>
      </c>
      <c r="X326" s="187">
        <f>model_eui_end_uses!X326*base_building_arch_areas!$N$21</f>
        <v>1545.0156269418103</v>
      </c>
      <c r="Y326" s="187">
        <f>model_eui_end_uses!Y326*base_building_arch_areas!$N$21</f>
        <v>0</v>
      </c>
      <c r="Z326" s="187">
        <f>model_eui_end_uses!Z326*base_building_arch_areas!$N$21</f>
        <v>2227.8128556225456</v>
      </c>
      <c r="AA326" s="187">
        <f>model_eui_end_uses!AA326*base_building_arch_areas!$N$21</f>
        <v>3.3226142514877641</v>
      </c>
      <c r="AB326" s="187">
        <f>model_eui_end_uses!AB326*base_building_arch_areas!$N$21</f>
        <v>0</v>
      </c>
      <c r="AC326" s="187">
        <f>model_eui_end_uses!AC326*base_building_arch_areas!$N$21</f>
        <v>21729.343435688057</v>
      </c>
      <c r="AD326" s="187">
        <f>model_eui_end_uses!AD326*base_building_arch_areas!$N$21</f>
        <v>4611.2348120231018</v>
      </c>
      <c r="AE326" s="187">
        <f>model_eui_end_uses!AE326*base_building_arch_areas!$N$21</f>
        <v>-1873.9544378391004</v>
      </c>
      <c r="AF326" s="187">
        <f t="shared" si="56"/>
        <v>2737.2803741840016</v>
      </c>
      <c r="AG326" s="187">
        <f>model_eui_end_uses!AH326*base_building_arch_areas!$N$21</f>
        <v>74.702003954774256</v>
      </c>
      <c r="AH326" s="187">
        <f>model_eui_end_uses!AI326*base_building_arch_areas!$N$21</f>
        <v>-211.75685147581834</v>
      </c>
      <c r="AI326" s="187">
        <f t="shared" si="57"/>
        <v>-137.05484752104408</v>
      </c>
      <c r="AJ326" s="200">
        <f>sim_annual_output!F326/sim_annual_output!H326*base_building_arch_areas!$N$21</f>
        <v>11926.564722809988</v>
      </c>
      <c r="AK326">
        <f t="shared" si="58"/>
        <v>-87.020378618703901</v>
      </c>
    </row>
    <row r="327" spans="1:37">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f>model_eui_end_uses!G327*base_scenario_arch_measures!$F327</f>
        <v>1.7084916449983968E-3</v>
      </c>
      <c r="H327">
        <f>model_eui_end_uses!H327*base_scenario_arch_measures!$F327</f>
        <v>3.9735591396139185E-2</v>
      </c>
      <c r="I327">
        <f>model_eui_end_uses!I327*base_scenario_arch_measures!$F327</f>
        <v>2.8785930657325926E-3</v>
      </c>
      <c r="J327">
        <f>model_eui_end_uses!J327*base_scenario_arch_measures!$F327</f>
        <v>5.8816140944062453E-3</v>
      </c>
      <c r="K327">
        <f>model_eui_end_uses!K327*base_scenario_arch_measures!$F327</f>
        <v>0</v>
      </c>
      <c r="L327">
        <f>model_eui_end_uses!L327*base_scenario_arch_measures!$F327</f>
        <v>2.7879042235120895E-2</v>
      </c>
      <c r="M327">
        <f>model_eui_end_uses!M327*base_scenario_arch_measures!$F327</f>
        <v>6.6760387808760882E-3</v>
      </c>
      <c r="N327">
        <f>model_eui_end_uses!N327*base_scenario_arch_measures!$F327</f>
        <v>0</v>
      </c>
      <c r="O327">
        <f>model_eui_end_uses!O327*base_scenario_arch_measures!$F327</f>
        <v>9.9685941079318205E-3</v>
      </c>
      <c r="P327">
        <f>model_eui_end_uses!P327*base_scenario_arch_measures!$F327</f>
        <v>1.435707264704535E-5</v>
      </c>
      <c r="Q327">
        <f>model_eui_end_uses!Q327*base_scenario_arch_measures!$F327</f>
        <v>0</v>
      </c>
      <c r="R327" s="187">
        <f>model_eui_end_uses!R327*base_building_arch_areas!$N$21</f>
        <v>344.44434407089818</v>
      </c>
      <c r="S327" s="187">
        <f>model_eui_end_uses!S327*base_building_arch_areas!$N$21</f>
        <v>9287.8143709921296</v>
      </c>
      <c r="T327" s="187">
        <f>model_eui_end_uses!T327*base_building_arch_areas!$N$21</f>
        <v>510.02128760337177</v>
      </c>
      <c r="U327" s="187">
        <f>model_eui_end_uses!U327*base_building_arch_areas!$N$21</f>
        <v>1358.9492288584954</v>
      </c>
      <c r="V327" s="187">
        <f>model_eui_end_uses!V327*base_building_arch_areas!$N$21</f>
        <v>0</v>
      </c>
      <c r="W327" s="187">
        <f>model_eui_end_uses!W327*base_building_arch_areas!$N$21</f>
        <v>6451.9631073473229</v>
      </c>
      <c r="X327" s="187">
        <f>model_eui_end_uses!X327*base_building_arch_areas!$N$21</f>
        <v>1545.0156269418103</v>
      </c>
      <c r="Y327" s="187">
        <f>model_eui_end_uses!Y327*base_building_arch_areas!$N$21</f>
        <v>0</v>
      </c>
      <c r="Z327" s="187">
        <f>model_eui_end_uses!Z327*base_building_arch_areas!$N$21</f>
        <v>2227.8128556225456</v>
      </c>
      <c r="AA327" s="187">
        <f>model_eui_end_uses!AA327*base_building_arch_areas!$N$21</f>
        <v>3.3226142514877641</v>
      </c>
      <c r="AB327" s="187">
        <f>model_eui_end_uses!AB327*base_building_arch_areas!$N$21</f>
        <v>0</v>
      </c>
      <c r="AC327" s="187">
        <f>model_eui_end_uses!AC327*base_building_arch_areas!$N$21</f>
        <v>21729.343435688057</v>
      </c>
      <c r="AD327" s="187">
        <f>model_eui_end_uses!AD327*base_building_arch_areas!$N$21</f>
        <v>91.925660957828157</v>
      </c>
      <c r="AE327" s="187">
        <f>model_eui_end_uses!AE327*base_building_arch_areas!$N$21</f>
        <v>-288.51367083752086</v>
      </c>
      <c r="AF327" s="187">
        <f t="shared" si="56"/>
        <v>-196.58800987969272</v>
      </c>
      <c r="AG327" s="187">
        <f>model_eui_end_uses!AH327*base_building_arch_areas!$N$21</f>
        <v>1.4891957075168161</v>
      </c>
      <c r="AH327" s="187">
        <f>model_eui_end_uses!AI327*base_building_arch_areas!$N$21</f>
        <v>-32.60204480463986</v>
      </c>
      <c r="AI327" s="187">
        <f t="shared" si="57"/>
        <v>-31.112849097123043</v>
      </c>
      <c r="AJ327" s="200">
        <f>sim_annual_output!F327/sim_annual_output!H327*base_building_arch_areas!$N$21</f>
        <v>4660.2964875158686</v>
      </c>
      <c r="AK327">
        <f t="shared" si="58"/>
        <v>-149.78687657205907</v>
      </c>
    </row>
    <row r="328" spans="1:37">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f>model_eui_end_uses!G328*base_scenario_arch_measures!$F328</f>
        <v>1.263422392939991E-3</v>
      </c>
      <c r="H328">
        <f>model_eui_end_uses!H328*base_scenario_arch_measures!$F328</f>
        <v>4.486585202201672E-2</v>
      </c>
      <c r="I328">
        <f>model_eui_end_uses!I328*base_scenario_arch_measures!$F328</f>
        <v>1.8448838351453275E-3</v>
      </c>
      <c r="J328">
        <f>model_eui_end_uses!J328*base_scenario_arch_measures!$F328</f>
        <v>5.8863997852885942E-3</v>
      </c>
      <c r="K328">
        <f>model_eui_end_uses!K328*base_scenario_arch_measures!$F328</f>
        <v>0</v>
      </c>
      <c r="L328">
        <f>model_eui_end_uses!L328*base_scenario_arch_measures!$F328</f>
        <v>1.9516047418216984E-2</v>
      </c>
      <c r="M328">
        <f>model_eui_end_uses!M328*base_scenario_arch_measures!$F328</f>
        <v>6.6760387808760882E-3</v>
      </c>
      <c r="N328">
        <f>model_eui_end_uses!N328*base_scenario_arch_measures!$F328</f>
        <v>0</v>
      </c>
      <c r="O328">
        <f>model_eui_end_uses!O328*base_scenario_arch_measures!$F328</f>
        <v>7.3795353405813101E-3</v>
      </c>
      <c r="P328">
        <f>model_eui_end_uses!P328*base_scenario_arch_measures!$F328</f>
        <v>9.5713817646968988E-6</v>
      </c>
      <c r="Q328">
        <f>model_eui_end_uses!Q328*base_scenario_arch_measures!$F328</f>
        <v>0</v>
      </c>
      <c r="R328" s="187">
        <f>model_eui_end_uses!R328*base_building_arch_areas!$N$21</f>
        <v>344.44434407089818</v>
      </c>
      <c r="S328" s="187">
        <f>model_eui_end_uses!S328*base_building_arch_areas!$N$21</f>
        <v>9287.8143709921296</v>
      </c>
      <c r="T328" s="187">
        <f>model_eui_end_uses!T328*base_building_arch_areas!$N$21</f>
        <v>510.02128760337177</v>
      </c>
      <c r="U328" s="187">
        <f>model_eui_end_uses!U328*base_building_arch_areas!$N$21</f>
        <v>1358.9492288584954</v>
      </c>
      <c r="V328" s="187">
        <f>model_eui_end_uses!V328*base_building_arch_areas!$N$21</f>
        <v>0</v>
      </c>
      <c r="W328" s="187">
        <f>model_eui_end_uses!W328*base_building_arch_areas!$N$21</f>
        <v>6451.9631073473229</v>
      </c>
      <c r="X328" s="187">
        <f>model_eui_end_uses!X328*base_building_arch_areas!$N$21</f>
        <v>1545.0156269418103</v>
      </c>
      <c r="Y328" s="187">
        <f>model_eui_end_uses!Y328*base_building_arch_areas!$N$21</f>
        <v>0</v>
      </c>
      <c r="Z328" s="187">
        <f>model_eui_end_uses!Z328*base_building_arch_areas!$N$21</f>
        <v>2227.8128556225456</v>
      </c>
      <c r="AA328" s="187">
        <f>model_eui_end_uses!AA328*base_building_arch_areas!$N$21</f>
        <v>3.3226142514877641</v>
      </c>
      <c r="AB328" s="187">
        <f>model_eui_end_uses!AB328*base_building_arch_areas!$N$21</f>
        <v>0</v>
      </c>
      <c r="AC328" s="187">
        <f>model_eui_end_uses!AC328*base_building_arch_areas!$N$21</f>
        <v>21729.343435688057</v>
      </c>
      <c r="AD328" s="187">
        <f>model_eui_end_uses!AD328*base_building_arch_areas!$N$21</f>
        <v>-1095.3551649071328</v>
      </c>
      <c r="AE328" s="187">
        <f>model_eui_end_uses!AE328*base_building_arch_areas!$N$21</f>
        <v>2588.316501908967</v>
      </c>
      <c r="AF328" s="187">
        <f t="shared" si="56"/>
        <v>1492.9613370018342</v>
      </c>
      <c r="AG328" s="187">
        <f>model_eui_end_uses!AH328*base_building_arch_areas!$N$21</f>
        <v>-17.744753671495552</v>
      </c>
      <c r="AH328" s="187">
        <f>model_eui_end_uses!AI328*base_building_arch_areas!$N$21</f>
        <v>292.47976471571326</v>
      </c>
      <c r="AI328" s="187">
        <f t="shared" si="57"/>
        <v>274.73501104421769</v>
      </c>
      <c r="AJ328" s="200">
        <f>sim_annual_output!F328/sim_annual_output!H328*base_building_arch_areas!$N$21</f>
        <v>34329.724265763864</v>
      </c>
      <c r="AK328">
        <f t="shared" si="58"/>
        <v>124.955767869857</v>
      </c>
    </row>
    <row r="329" spans="1:37">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f>model_eui_end_uses!G329*base_scenario_arch_measures!$F329</f>
        <v>1.6749918088219576E-3</v>
      </c>
      <c r="H329">
        <f>model_eui_end_uses!H329*base_scenario_arch_measures!$F329</f>
        <v>3.5043221485996527E-2</v>
      </c>
      <c r="I329">
        <f>model_eui_end_uses!I329*base_scenario_arch_measures!$F329</f>
        <v>2.9312356654384256E-3</v>
      </c>
      <c r="J329">
        <f>model_eui_end_uses!J329*base_scenario_arch_measures!$F329</f>
        <v>5.8696498672003734E-3</v>
      </c>
      <c r="K329">
        <f>model_eui_end_uses!K329*base_scenario_arch_measures!$F329</f>
        <v>0</v>
      </c>
      <c r="L329">
        <f>model_eui_end_uses!L329*base_scenario_arch_measures!$F329</f>
        <v>2.7879042235120895E-2</v>
      </c>
      <c r="M329">
        <f>model_eui_end_uses!M329*base_scenario_arch_measures!$F329</f>
        <v>6.6760387808760882E-3</v>
      </c>
      <c r="N329">
        <f>model_eui_end_uses!N329*base_scenario_arch_measures!$F329</f>
        <v>0</v>
      </c>
      <c r="O329">
        <f>model_eui_end_uses!O329*base_scenario_arch_measures!$F329</f>
        <v>9.60009590999099E-3</v>
      </c>
      <c r="P329">
        <f>model_eui_end_uses!P329*base_scenario_arch_measures!$F329</f>
        <v>1.435707264704535E-5</v>
      </c>
      <c r="Q329">
        <f>model_eui_end_uses!Q329*base_scenario_arch_measures!$F329</f>
        <v>0</v>
      </c>
      <c r="R329" s="187">
        <f>model_eui_end_uses!R329*base_building_arch_areas!$N$21</f>
        <v>344.44434407089818</v>
      </c>
      <c r="S329" s="187">
        <f>model_eui_end_uses!S329*base_building_arch_areas!$N$21</f>
        <v>9287.8143709921296</v>
      </c>
      <c r="T329" s="187">
        <f>model_eui_end_uses!T329*base_building_arch_areas!$N$21</f>
        <v>510.02128760337177</v>
      </c>
      <c r="U329" s="187">
        <f>model_eui_end_uses!U329*base_building_arch_areas!$N$21</f>
        <v>1358.9492288584954</v>
      </c>
      <c r="V329" s="187">
        <f>model_eui_end_uses!V329*base_building_arch_areas!$N$21</f>
        <v>0</v>
      </c>
      <c r="W329" s="187">
        <f>model_eui_end_uses!W329*base_building_arch_areas!$N$21</f>
        <v>6451.9631073473229</v>
      </c>
      <c r="X329" s="187">
        <f>model_eui_end_uses!X329*base_building_arch_areas!$N$21</f>
        <v>1545.0156269418103</v>
      </c>
      <c r="Y329" s="187">
        <f>model_eui_end_uses!Y329*base_building_arch_areas!$N$21</f>
        <v>0</v>
      </c>
      <c r="Z329" s="187">
        <f>model_eui_end_uses!Z329*base_building_arch_areas!$N$21</f>
        <v>2227.8128556225456</v>
      </c>
      <c r="AA329" s="187">
        <f>model_eui_end_uses!AA329*base_building_arch_areas!$N$21</f>
        <v>3.3226142514877641</v>
      </c>
      <c r="AB329" s="187">
        <f>model_eui_end_uses!AB329*base_building_arch_areas!$N$21</f>
        <v>0</v>
      </c>
      <c r="AC329" s="187">
        <f>model_eui_end_uses!AC329*base_building_arch_areas!$N$21</f>
        <v>21729.343435688057</v>
      </c>
      <c r="AD329" s="187">
        <f>model_eui_end_uses!AD329*base_building_arch_areas!$N$21</f>
        <v>1177.8667521524123</v>
      </c>
      <c r="AE329" s="187">
        <f>model_eui_end_uses!AE329*base_building_arch_areas!$N$21</f>
        <v>-204.89454550841165</v>
      </c>
      <c r="AF329" s="187">
        <f t="shared" si="56"/>
        <v>972.97220664400072</v>
      </c>
      <c r="AG329" s="187">
        <f>model_eui_end_uses!AH329*base_building_arch_areas!$N$21</f>
        <v>19.08144138486908</v>
      </c>
      <c r="AH329" s="187">
        <f>model_eui_end_uses!AI329*base_building_arch_areas!$N$21</f>
        <v>-23.153083642450518</v>
      </c>
      <c r="AI329" s="187">
        <f t="shared" si="57"/>
        <v>-4.0716422575814377</v>
      </c>
      <c r="AJ329" s="200">
        <f>sim_annual_output!F329/sim_annual_output!H329*base_building_arch_areas!$N$21</f>
        <v>0</v>
      </c>
      <c r="AK329">
        <f t="shared" si="58"/>
        <v>0</v>
      </c>
    </row>
    <row r="330" spans="1:37">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f>model_eui_end_uses!G330*base_scenario_arch_measures!$F330</f>
        <v>1.6869560360278286E-3</v>
      </c>
      <c r="H330">
        <f>model_eui_end_uses!H330*base_scenario_arch_measures!$F330</f>
        <v>3.7866779106582107E-2</v>
      </c>
      <c r="I330">
        <f>model_eui_end_uses!I330*base_scenario_arch_measures!$F330</f>
        <v>2.9240571291149035E-3</v>
      </c>
      <c r="J330">
        <f>model_eui_end_uses!J330*base_scenario_arch_measures!$F330</f>
        <v>5.8672570217592002E-3</v>
      </c>
      <c r="K330">
        <f>model_eui_end_uses!K330*base_scenario_arch_measures!$F330</f>
        <v>0</v>
      </c>
      <c r="L330">
        <f>model_eui_end_uses!L330*base_scenario_arch_measures!$F330</f>
        <v>2.7879042235120895E-2</v>
      </c>
      <c r="M330">
        <f>model_eui_end_uses!M330*base_scenario_arch_measures!$F330</f>
        <v>6.6760387808760882E-3</v>
      </c>
      <c r="N330">
        <f>model_eui_end_uses!N330*base_scenario_arch_measures!$F330</f>
        <v>0</v>
      </c>
      <c r="O330">
        <f>model_eui_end_uses!O330*base_scenario_arch_measures!$F330</f>
        <v>9.8298090723437162E-3</v>
      </c>
      <c r="P330">
        <f>model_eui_end_uses!P330*base_scenario_arch_measures!$F330</f>
        <v>1.435707264704535E-5</v>
      </c>
      <c r="Q330">
        <f>model_eui_end_uses!Q330*base_scenario_arch_measures!$F330</f>
        <v>0</v>
      </c>
      <c r="R330" s="187">
        <f>model_eui_end_uses!R330*base_building_arch_areas!$N$21</f>
        <v>344.44434407089818</v>
      </c>
      <c r="S330" s="187">
        <f>model_eui_end_uses!S330*base_building_arch_areas!$N$21</f>
        <v>9287.8143709921296</v>
      </c>
      <c r="T330" s="187">
        <f>model_eui_end_uses!T330*base_building_arch_areas!$N$21</f>
        <v>510.02128760337177</v>
      </c>
      <c r="U330" s="187">
        <f>model_eui_end_uses!U330*base_building_arch_areas!$N$21</f>
        <v>1358.9492288584954</v>
      </c>
      <c r="V330" s="187">
        <f>model_eui_end_uses!V330*base_building_arch_areas!$N$21</f>
        <v>0</v>
      </c>
      <c r="W330" s="187">
        <f>model_eui_end_uses!W330*base_building_arch_areas!$N$21</f>
        <v>6451.9631073473229</v>
      </c>
      <c r="X330" s="187">
        <f>model_eui_end_uses!X330*base_building_arch_areas!$N$21</f>
        <v>1545.0156269418103</v>
      </c>
      <c r="Y330" s="187">
        <f>model_eui_end_uses!Y330*base_building_arch_areas!$N$21</f>
        <v>0</v>
      </c>
      <c r="Z330" s="187">
        <f>model_eui_end_uses!Z330*base_building_arch_areas!$N$21</f>
        <v>2227.8128556225456</v>
      </c>
      <c r="AA330" s="187">
        <f>model_eui_end_uses!AA330*base_building_arch_areas!$N$21</f>
        <v>3.3226142514877641</v>
      </c>
      <c r="AB330" s="187">
        <f>model_eui_end_uses!AB330*base_building_arch_areas!$N$21</f>
        <v>0</v>
      </c>
      <c r="AC330" s="187">
        <f>model_eui_end_uses!AC330*base_building_arch_areas!$N$21</f>
        <v>21729.343435688057</v>
      </c>
      <c r="AD330" s="187">
        <f>model_eui_end_uses!AD330*base_building_arch_areas!$N$21</f>
        <v>524.41928269315235</v>
      </c>
      <c r="AE330" s="187">
        <f>model_eui_end_uses!AE330*base_building_arch_areas!$N$21</f>
        <v>-258.61014257413251</v>
      </c>
      <c r="AF330" s="187">
        <f t="shared" si="56"/>
        <v>265.80914011901984</v>
      </c>
      <c r="AG330" s="187">
        <f>model_eui_end_uses!AH330*base_building_arch_areas!$N$21</f>
        <v>8.495592379629068</v>
      </c>
      <c r="AH330" s="187">
        <f>model_eui_end_uses!AI330*base_building_arch_areas!$N$21</f>
        <v>-29.222946110876975</v>
      </c>
      <c r="AI330" s="187">
        <f t="shared" si="57"/>
        <v>-20.727353731247909</v>
      </c>
      <c r="AJ330" s="200">
        <f>sim_annual_output!F330/sim_annual_output!H330*base_building_arch_areas!$N$21</f>
        <v>0</v>
      </c>
      <c r="AK330">
        <f t="shared" si="58"/>
        <v>0</v>
      </c>
    </row>
    <row r="331" spans="1:37">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f>model_eui_end_uses!G331*base_scenario_arch_measures!$F331</f>
        <v>1.7707056264689267E-3</v>
      </c>
      <c r="H331">
        <f>model_eui_end_uses!H331*base_scenario_arch_measures!$F331</f>
        <v>3.6873748248494806E-2</v>
      </c>
      <c r="I331">
        <f>model_eui_end_uses!I331*base_scenario_arch_measures!$F331</f>
        <v>2.9838782651442587E-3</v>
      </c>
      <c r="J331">
        <f>model_eui_end_uses!J331*base_scenario_arch_measures!$F331</f>
        <v>5.8816140944062453E-3</v>
      </c>
      <c r="K331">
        <f>model_eui_end_uses!K331*base_scenario_arch_measures!$F331</f>
        <v>0</v>
      </c>
      <c r="L331">
        <f>model_eui_end_uses!L331*base_scenario_arch_measures!$F331</f>
        <v>2.7879042235120895E-2</v>
      </c>
      <c r="M331">
        <f>model_eui_end_uses!M331*base_scenario_arch_measures!$F331</f>
        <v>6.6760387808760882E-3</v>
      </c>
      <c r="N331">
        <f>model_eui_end_uses!N331*base_scenario_arch_measures!$F331</f>
        <v>0</v>
      </c>
      <c r="O331">
        <f>model_eui_end_uses!O331*base_scenario_arch_measures!$F331</f>
        <v>9.8130591542554962E-3</v>
      </c>
      <c r="P331">
        <f>model_eui_end_uses!P331*base_scenario_arch_measures!$F331</f>
        <v>1.435707264704535E-5</v>
      </c>
      <c r="Q331">
        <f>model_eui_end_uses!Q331*base_scenario_arch_measures!$F331</f>
        <v>0</v>
      </c>
      <c r="R331" s="187">
        <f>model_eui_end_uses!R331*base_building_arch_areas!$N$21</f>
        <v>344.44434407089818</v>
      </c>
      <c r="S331" s="187">
        <f>model_eui_end_uses!S331*base_building_arch_areas!$N$21</f>
        <v>9287.8143709921296</v>
      </c>
      <c r="T331" s="187">
        <f>model_eui_end_uses!T331*base_building_arch_areas!$N$21</f>
        <v>510.02128760337177</v>
      </c>
      <c r="U331" s="187">
        <f>model_eui_end_uses!U331*base_building_arch_areas!$N$21</f>
        <v>1358.9492288584954</v>
      </c>
      <c r="V331" s="187">
        <f>model_eui_end_uses!V331*base_building_arch_areas!$N$21</f>
        <v>0</v>
      </c>
      <c r="W331" s="187">
        <f>model_eui_end_uses!W331*base_building_arch_areas!$N$21</f>
        <v>6451.9631073473229</v>
      </c>
      <c r="X331" s="187">
        <f>model_eui_end_uses!X331*base_building_arch_areas!$N$21</f>
        <v>1545.0156269418103</v>
      </c>
      <c r="Y331" s="187">
        <f>model_eui_end_uses!Y331*base_building_arch_areas!$N$21</f>
        <v>0</v>
      </c>
      <c r="Z331" s="187">
        <f>model_eui_end_uses!Z331*base_building_arch_areas!$N$21</f>
        <v>2227.8128556225456</v>
      </c>
      <c r="AA331" s="187">
        <f>model_eui_end_uses!AA331*base_building_arch_areas!$N$21</f>
        <v>3.3226142514877641</v>
      </c>
      <c r="AB331" s="187">
        <f>model_eui_end_uses!AB331*base_building_arch_areas!$N$21</f>
        <v>0</v>
      </c>
      <c r="AC331" s="187">
        <f>model_eui_end_uses!AC331*base_building_arch_areas!$N$21</f>
        <v>21729.343435688057</v>
      </c>
      <c r="AD331" s="187">
        <f>model_eui_end_uses!AD331*base_building_arch_areas!$N$21</f>
        <v>754.2334350877228</v>
      </c>
      <c r="AE331" s="187">
        <f>model_eui_end_uses!AE331*base_building_arch_areas!$N$21</f>
        <v>-291.28251604709618</v>
      </c>
      <c r="AF331" s="187">
        <f t="shared" si="56"/>
        <v>462.95091904062662</v>
      </c>
      <c r="AG331" s="187">
        <f>model_eui_end_uses!AH331*base_building_arch_areas!$N$21</f>
        <v>12.218581648421107</v>
      </c>
      <c r="AH331" s="187">
        <f>model_eui_end_uses!AI331*base_building_arch_areas!$N$21</f>
        <v>-32.914924313321876</v>
      </c>
      <c r="AI331" s="187">
        <f t="shared" si="57"/>
        <v>-20.696342664900769</v>
      </c>
      <c r="AJ331" s="200">
        <f>sim_annual_output!F331/sim_annual_output!H331*base_building_arch_areas!$N$21</f>
        <v>40139.450021159544</v>
      </c>
      <c r="AK331">
        <f t="shared" si="58"/>
        <v>-1939.4465327070868</v>
      </c>
    </row>
    <row r="332" spans="1:37">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f>model_eui_end_uses!G332*base_scenario_arch_measures!$F332</f>
        <v>1.7084916449983968E-3</v>
      </c>
      <c r="H332">
        <f>model_eui_end_uses!H332*base_scenario_arch_measures!$F332</f>
        <v>3.9735591396139185E-2</v>
      </c>
      <c r="I332">
        <f>model_eui_end_uses!I332*base_scenario_arch_measures!$F332</f>
        <v>2.8953429838208121E-3</v>
      </c>
      <c r="J332">
        <f>model_eui_end_uses!J332*base_scenario_arch_measures!$F332</f>
        <v>5.8816140944062453E-3</v>
      </c>
      <c r="K332">
        <f>model_eui_end_uses!K332*base_scenario_arch_measures!$F332</f>
        <v>0</v>
      </c>
      <c r="L332">
        <f>model_eui_end_uses!L332*base_scenario_arch_measures!$F332</f>
        <v>2.7879042235120895E-2</v>
      </c>
      <c r="M332">
        <f>model_eui_end_uses!M332*base_scenario_arch_measures!$F332</f>
        <v>6.6760387808760882E-3</v>
      </c>
      <c r="N332">
        <f>model_eui_end_uses!N332*base_scenario_arch_measures!$F332</f>
        <v>0</v>
      </c>
      <c r="O332">
        <f>model_eui_end_uses!O332*base_scenario_arch_measures!$F332</f>
        <v>7.7815333746985805E-3</v>
      </c>
      <c r="P332">
        <f>model_eui_end_uses!P332*base_scenario_arch_measures!$F332</f>
        <v>1.435707264704535E-5</v>
      </c>
      <c r="Q332">
        <f>model_eui_end_uses!Q332*base_scenario_arch_measures!$F332</f>
        <v>0</v>
      </c>
      <c r="R332" s="187">
        <f>model_eui_end_uses!R332*base_building_arch_areas!$N$21</f>
        <v>344.44434407089818</v>
      </c>
      <c r="S332" s="187">
        <f>model_eui_end_uses!S332*base_building_arch_areas!$N$21</f>
        <v>9287.8143709921296</v>
      </c>
      <c r="T332" s="187">
        <f>model_eui_end_uses!T332*base_building_arch_areas!$N$21</f>
        <v>510.02128760337177</v>
      </c>
      <c r="U332" s="187">
        <f>model_eui_end_uses!U332*base_building_arch_areas!$N$21</f>
        <v>1358.9492288584954</v>
      </c>
      <c r="V332" s="187">
        <f>model_eui_end_uses!V332*base_building_arch_areas!$N$21</f>
        <v>0</v>
      </c>
      <c r="W332" s="187">
        <f>model_eui_end_uses!W332*base_building_arch_areas!$N$21</f>
        <v>6451.9631073473229</v>
      </c>
      <c r="X332" s="187">
        <f>model_eui_end_uses!X332*base_building_arch_areas!$N$21</f>
        <v>1545.0156269418103</v>
      </c>
      <c r="Y332" s="187">
        <f>model_eui_end_uses!Y332*base_building_arch_areas!$N$21</f>
        <v>0</v>
      </c>
      <c r="Z332" s="187">
        <f>model_eui_end_uses!Z332*base_building_arch_areas!$N$21</f>
        <v>2227.8128556225456</v>
      </c>
      <c r="AA332" s="187">
        <f>model_eui_end_uses!AA332*base_building_arch_areas!$N$21</f>
        <v>3.3226142514877641</v>
      </c>
      <c r="AB332" s="187">
        <f>model_eui_end_uses!AB332*base_building_arch_areas!$N$21</f>
        <v>0</v>
      </c>
      <c r="AC332" s="187">
        <f>model_eui_end_uses!AC332*base_building_arch_areas!$N$21</f>
        <v>21729.343435688057</v>
      </c>
      <c r="AD332" s="187">
        <f>model_eui_end_uses!AD332*base_building_arch_areas!$N$21</f>
        <v>91.925660957828157</v>
      </c>
      <c r="AE332" s="187">
        <f>model_eui_end_uses!AE332*base_building_arch_areas!$N$21</f>
        <v>213.75485017904464</v>
      </c>
      <c r="AF332" s="187">
        <f t="shared" si="56"/>
        <v>305.68051113687278</v>
      </c>
      <c r="AG332" s="187">
        <f>model_eui_end_uses!AH332*base_building_arch_areas!$N$21</f>
        <v>1.4891957075168161</v>
      </c>
      <c r="AH332" s="187">
        <f>model_eui_end_uses!AI332*base_building_arch_areas!$N$21</f>
        <v>24.154298070232045</v>
      </c>
      <c r="AI332" s="187">
        <f t="shared" si="57"/>
        <v>25.643493777748862</v>
      </c>
      <c r="AJ332" s="200">
        <f>sim_annual_output!F332/sim_annual_output!H332*base_building_arch_areas!$N$21</f>
        <v>1241.6488870080404</v>
      </c>
      <c r="AK332">
        <f t="shared" si="58"/>
        <v>48.419645847377971</v>
      </c>
    </row>
    <row r="333" spans="1:37">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f>model_eui_end_uses!G333*base_scenario_arch_measures!$F333</f>
        <v>1.7084916449983968E-3</v>
      </c>
      <c r="H333">
        <f>model_eui_end_uses!H333*base_scenario_arch_measures!$F333</f>
        <v>3.9783448304962665E-2</v>
      </c>
      <c r="I333">
        <f>model_eui_end_uses!I333*base_scenario_arch_measures!$F333</f>
        <v>2.8738073748502445E-3</v>
      </c>
      <c r="J333">
        <f>model_eui_end_uses!J333*base_scenario_arch_measures!$F333</f>
        <v>5.8816140944062453E-3</v>
      </c>
      <c r="K333">
        <f>model_eui_end_uses!K333*base_scenario_arch_measures!$F333</f>
        <v>0</v>
      </c>
      <c r="L333">
        <f>model_eui_end_uses!L333*base_scenario_arch_measures!$F333</f>
        <v>2.7879042235120895E-2</v>
      </c>
      <c r="M333">
        <f>model_eui_end_uses!M333*base_scenario_arch_measures!$F333</f>
        <v>6.6760387808760882E-3</v>
      </c>
      <c r="N333">
        <f>model_eui_end_uses!N333*base_scenario_arch_measures!$F333</f>
        <v>0</v>
      </c>
      <c r="O333">
        <f>model_eui_end_uses!O333*base_scenario_arch_measures!$F333</f>
        <v>9.9015944355789424E-3</v>
      </c>
      <c r="P333">
        <f>model_eui_end_uses!P333*base_scenario_arch_measures!$F333</f>
        <v>1.435707264704535E-5</v>
      </c>
      <c r="Q333">
        <f>model_eui_end_uses!Q333*base_scenario_arch_measures!$F333</f>
        <v>0</v>
      </c>
      <c r="R333" s="187">
        <f>model_eui_end_uses!R333*base_building_arch_areas!$N$21</f>
        <v>344.44434407089818</v>
      </c>
      <c r="S333" s="187">
        <f>model_eui_end_uses!S333*base_building_arch_areas!$N$21</f>
        <v>9287.8143709921296</v>
      </c>
      <c r="T333" s="187">
        <f>model_eui_end_uses!T333*base_building_arch_areas!$N$21</f>
        <v>510.02128760337177</v>
      </c>
      <c r="U333" s="187">
        <f>model_eui_end_uses!U333*base_building_arch_areas!$N$21</f>
        <v>1358.9492288584954</v>
      </c>
      <c r="V333" s="187">
        <f>model_eui_end_uses!V333*base_building_arch_areas!$N$21</f>
        <v>0</v>
      </c>
      <c r="W333" s="187">
        <f>model_eui_end_uses!W333*base_building_arch_areas!$N$21</f>
        <v>6451.9631073473229</v>
      </c>
      <c r="X333" s="187">
        <f>model_eui_end_uses!X333*base_building_arch_areas!$N$21</f>
        <v>1545.0156269418103</v>
      </c>
      <c r="Y333" s="187">
        <f>model_eui_end_uses!Y333*base_building_arch_areas!$N$21</f>
        <v>0</v>
      </c>
      <c r="Z333" s="187">
        <f>model_eui_end_uses!Z333*base_building_arch_areas!$N$21</f>
        <v>2227.8128556225456</v>
      </c>
      <c r="AA333" s="187">
        <f>model_eui_end_uses!AA333*base_building_arch_areas!$N$21</f>
        <v>3.3226142514877641</v>
      </c>
      <c r="AB333" s="187">
        <f>model_eui_end_uses!AB333*base_building_arch_areas!$N$21</f>
        <v>0</v>
      </c>
      <c r="AC333" s="187">
        <f>model_eui_end_uses!AC333*base_building_arch_areas!$N$21</f>
        <v>21729.343435688057</v>
      </c>
      <c r="AD333" s="187">
        <f>model_eui_end_uses!AD333*base_building_arch_areas!$N$21</f>
        <v>80.850280119535583</v>
      </c>
      <c r="AE333" s="187">
        <f>model_eui_end_uses!AE333*base_building_arch_areas!$N$21</f>
        <v>-271.90059958008288</v>
      </c>
      <c r="AF333" s="187">
        <f t="shared" si="56"/>
        <v>-191.05031946054731</v>
      </c>
      <c r="AG333" s="187">
        <f>model_eui_end_uses!AH333*base_building_arch_areas!$N$21</f>
        <v>1.3097745379364765</v>
      </c>
      <c r="AH333" s="187">
        <f>model_eui_end_uses!AI333*base_building_arch_areas!$N$21</f>
        <v>-30.724767752549365</v>
      </c>
      <c r="AI333" s="187">
        <f t="shared" si="57"/>
        <v>-29.414993214612888</v>
      </c>
      <c r="AJ333" s="200">
        <f>sim_annual_output!F333/sim_annual_output!H333*base_building_arch_areas!$N$21</f>
        <v>3425.2286584849767</v>
      </c>
      <c r="AK333">
        <f t="shared" si="58"/>
        <v>-116.44499230356371</v>
      </c>
    </row>
    <row r="334" spans="1:37">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f>model_eui_end_uses!G334*base_scenario_arch_measures!$F334</f>
        <v>1.7084916449983968E-3</v>
      </c>
      <c r="H334">
        <f>model_eui_end_uses!H334*base_scenario_arch_measures!$F334</f>
        <v>3.9735591396139185E-2</v>
      </c>
      <c r="I334">
        <f>model_eui_end_uses!I334*base_scenario_arch_measures!$F334</f>
        <v>2.8785930657325926E-3</v>
      </c>
      <c r="J334">
        <f>model_eui_end_uses!J334*base_scenario_arch_measures!$F334</f>
        <v>5.8816140944062453E-3</v>
      </c>
      <c r="K334">
        <f>model_eui_end_uses!K334*base_scenario_arch_measures!$F334</f>
        <v>0</v>
      </c>
      <c r="L334">
        <f>model_eui_end_uses!L334*base_scenario_arch_measures!$F334</f>
        <v>2.7879042235120895E-2</v>
      </c>
      <c r="M334">
        <f>model_eui_end_uses!M334*base_scenario_arch_measures!$F334</f>
        <v>6.6760387808760882E-3</v>
      </c>
      <c r="N334">
        <f>model_eui_end_uses!N334*base_scenario_arch_measures!$F334</f>
        <v>0</v>
      </c>
      <c r="O334">
        <f>model_eui_end_uses!O334*base_scenario_arch_measures!$F334</f>
        <v>9.9685941079318205E-3</v>
      </c>
      <c r="P334">
        <f>model_eui_end_uses!P334*base_scenario_arch_measures!$F334</f>
        <v>1.435707264704535E-5</v>
      </c>
      <c r="Q334">
        <f>model_eui_end_uses!Q334*base_scenario_arch_measures!$F334</f>
        <v>0</v>
      </c>
      <c r="R334" s="187">
        <f>model_eui_end_uses!R334*base_building_arch_areas!$N$21</f>
        <v>344.44434407089818</v>
      </c>
      <c r="S334" s="187">
        <f>model_eui_end_uses!S334*base_building_arch_areas!$N$21</f>
        <v>9287.8143709921296</v>
      </c>
      <c r="T334" s="187">
        <f>model_eui_end_uses!T334*base_building_arch_areas!$N$21</f>
        <v>510.02128760337177</v>
      </c>
      <c r="U334" s="187">
        <f>model_eui_end_uses!U334*base_building_arch_areas!$N$21</f>
        <v>1358.9492288584954</v>
      </c>
      <c r="V334" s="187">
        <f>model_eui_end_uses!V334*base_building_arch_areas!$N$21</f>
        <v>0</v>
      </c>
      <c r="W334" s="187">
        <f>model_eui_end_uses!W334*base_building_arch_areas!$N$21</f>
        <v>6451.9631073473229</v>
      </c>
      <c r="X334" s="187">
        <f>model_eui_end_uses!X334*base_building_arch_areas!$N$21</f>
        <v>1545.0156269418103</v>
      </c>
      <c r="Y334" s="187">
        <f>model_eui_end_uses!Y334*base_building_arch_areas!$N$21</f>
        <v>0</v>
      </c>
      <c r="Z334" s="187">
        <f>model_eui_end_uses!Z334*base_building_arch_areas!$N$21</f>
        <v>2227.8128556225456</v>
      </c>
      <c r="AA334" s="187">
        <f>model_eui_end_uses!AA334*base_building_arch_areas!$N$21</f>
        <v>3.3226142514877641</v>
      </c>
      <c r="AB334" s="187">
        <f>model_eui_end_uses!AB334*base_building_arch_areas!$N$21</f>
        <v>0</v>
      </c>
      <c r="AC334" s="187">
        <f>model_eui_end_uses!AC334*base_building_arch_areas!$N$21</f>
        <v>21729.343435688057</v>
      </c>
      <c r="AD334" s="187">
        <f>model_eui_end_uses!AD334*base_building_arch_areas!$N$21</f>
        <v>91.925660957828157</v>
      </c>
      <c r="AE334" s="187">
        <f>model_eui_end_uses!AE334*base_building_arch_areas!$N$21</f>
        <v>-288.51367083752086</v>
      </c>
      <c r="AF334" s="187">
        <f t="shared" si="56"/>
        <v>-196.58800987969272</v>
      </c>
      <c r="AG334" s="187">
        <f>model_eui_end_uses!AH334*base_building_arch_areas!$N$21</f>
        <v>1.4891957075168161</v>
      </c>
      <c r="AH334" s="187">
        <f>model_eui_end_uses!AI334*base_building_arch_areas!$N$21</f>
        <v>-32.60204480463986</v>
      </c>
      <c r="AI334" s="187">
        <f t="shared" si="57"/>
        <v>-31.112849097123043</v>
      </c>
      <c r="AJ334" s="200">
        <f>sim_annual_output!F334/sim_annual_output!H334*base_building_arch_areas!$N$21</f>
        <v>137523.91906898012</v>
      </c>
      <c r="AK334">
        <f t="shared" si="58"/>
        <v>-4420.1647570005653</v>
      </c>
    </row>
    <row r="335" spans="1:37">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f>model_eui_end_uses!G335*base_scenario_arch_measures!$F335</f>
        <v>1.263422392939991E-3</v>
      </c>
      <c r="H335">
        <f>model_eui_end_uses!H335*base_scenario_arch_measures!$F335</f>
        <v>4.4863459176575547E-2</v>
      </c>
      <c r="I335">
        <f>model_eui_end_uses!I335*base_scenario_arch_measures!$F335</f>
        <v>1.8975264348511606E-3</v>
      </c>
      <c r="J335">
        <f>model_eui_end_uses!J335*base_scenario_arch_measures!$F335</f>
        <v>5.8887926307297682E-3</v>
      </c>
      <c r="K335">
        <f>model_eui_end_uses!K335*base_scenario_arch_measures!$F335</f>
        <v>0</v>
      </c>
      <c r="L335">
        <f>model_eui_end_uses!L335*base_scenario_arch_measures!$F335</f>
        <v>1.9516047418216984E-2</v>
      </c>
      <c r="M335">
        <f>model_eui_end_uses!M335*base_scenario_arch_measures!$F335</f>
        <v>6.6760387808760882E-3</v>
      </c>
      <c r="N335">
        <f>model_eui_end_uses!N335*base_scenario_arch_measures!$F335</f>
        <v>0</v>
      </c>
      <c r="O335">
        <f>model_eui_end_uses!O335*base_scenario_arch_measures!$F335</f>
        <v>9.5618103829322038E-3</v>
      </c>
      <c r="P335">
        <f>model_eui_end_uses!P335*base_scenario_arch_measures!$F335</f>
        <v>1.435707264704535E-5</v>
      </c>
      <c r="Q335">
        <f>model_eui_end_uses!Q335*base_scenario_arch_measures!$F335</f>
        <v>0</v>
      </c>
      <c r="R335" s="187">
        <f>model_eui_end_uses!R335*base_building_arch_areas!$N$21</f>
        <v>344.44434407089818</v>
      </c>
      <c r="S335" s="187">
        <f>model_eui_end_uses!S335*base_building_arch_areas!$N$21</f>
        <v>9287.8143709921296</v>
      </c>
      <c r="T335" s="187">
        <f>model_eui_end_uses!T335*base_building_arch_areas!$N$21</f>
        <v>510.02128760337177</v>
      </c>
      <c r="U335" s="187">
        <f>model_eui_end_uses!U335*base_building_arch_areas!$N$21</f>
        <v>1358.9492288584954</v>
      </c>
      <c r="V335" s="187">
        <f>model_eui_end_uses!V335*base_building_arch_areas!$N$21</f>
        <v>0</v>
      </c>
      <c r="W335" s="187">
        <f>model_eui_end_uses!W335*base_building_arch_areas!$N$21</f>
        <v>6451.9631073473229</v>
      </c>
      <c r="X335" s="187">
        <f>model_eui_end_uses!X335*base_building_arch_areas!$N$21</f>
        <v>1545.0156269418103</v>
      </c>
      <c r="Y335" s="187">
        <f>model_eui_end_uses!Y335*base_building_arch_areas!$N$21</f>
        <v>0</v>
      </c>
      <c r="Z335" s="187">
        <f>model_eui_end_uses!Z335*base_building_arch_areas!$N$21</f>
        <v>2227.8128556225456</v>
      </c>
      <c r="AA335" s="187">
        <f>model_eui_end_uses!AA335*base_building_arch_areas!$N$21</f>
        <v>3.3226142514877641</v>
      </c>
      <c r="AB335" s="187">
        <f>model_eui_end_uses!AB335*base_building_arch_areas!$N$21</f>
        <v>0</v>
      </c>
      <c r="AC335" s="187">
        <f>model_eui_end_uses!AC335*base_building_arch_areas!$N$21</f>
        <v>21729.343435688057</v>
      </c>
      <c r="AD335" s="187">
        <f>model_eui_end_uses!AD335*base_building_arch_areas!$N$21</f>
        <v>-1094.8013958652189</v>
      </c>
      <c r="AE335" s="187">
        <f>model_eui_end_uses!AE335*base_building_arch_areas!$N$21</f>
        <v>2069.4349096349597</v>
      </c>
      <c r="AF335" s="187">
        <f t="shared" si="56"/>
        <v>974.63351376974083</v>
      </c>
      <c r="AG335" s="187">
        <f>model_eui_end_uses!AH335*base_building_arch_areas!$N$21</f>
        <v>-17.735782613016546</v>
      </c>
      <c r="AH335" s="187">
        <f>model_eui_end_uses!AI335*base_building_arch_areas!$N$21</f>
        <v>233.84614478875048</v>
      </c>
      <c r="AI335" s="187">
        <f t="shared" si="57"/>
        <v>216.11036217573394</v>
      </c>
      <c r="AJ335" s="200">
        <f>sim_annual_output!F335/sim_annual_output!H335*base_building_arch_areas!$N$21</f>
        <v>16623.08247143462</v>
      </c>
      <c r="AK335">
        <f t="shared" si="58"/>
        <v>76.919414247787287</v>
      </c>
    </row>
    <row r="336" spans="1:37">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f>model_eui_end_uses!G336*base_scenario_arch_measures!$F336</f>
        <v>1.4739927917633226E-3</v>
      </c>
      <c r="H336">
        <f>model_eui_end_uses!H336*base_scenario_arch_measures!$F336</f>
        <v>3.1925343876146511E-2</v>
      </c>
      <c r="I336">
        <f>model_eui_end_uses!I336*base_scenario_arch_measures!$F336</f>
        <v>2.4024168229389215E-3</v>
      </c>
      <c r="J336">
        <f>model_eui_end_uses!J336*base_scenario_arch_measures!$F336</f>
        <v>5.9007568579356393E-3</v>
      </c>
      <c r="K336">
        <f>model_eui_end_uses!K336*base_scenario_arch_measures!$F336</f>
        <v>0</v>
      </c>
      <c r="L336">
        <f>model_eui_end_uses!L336*base_scenario_arch_measures!$F336</f>
        <v>2.7879042235120895E-2</v>
      </c>
      <c r="M336">
        <f>model_eui_end_uses!M336*base_scenario_arch_measures!$F336</f>
        <v>6.6760387808760882E-3</v>
      </c>
      <c r="N336">
        <f>model_eui_end_uses!N336*base_scenario_arch_measures!$F336</f>
        <v>0</v>
      </c>
      <c r="O336">
        <f>model_eui_end_uses!O336*base_scenario_arch_measures!$F336</f>
        <v>1.0626626604254733E-2</v>
      </c>
      <c r="P336">
        <f>model_eui_end_uses!P336*base_scenario_arch_measures!$F336</f>
        <v>1.435707264704535E-5</v>
      </c>
      <c r="Q336">
        <f>model_eui_end_uses!Q336*base_scenario_arch_measures!$F336</f>
        <v>0</v>
      </c>
      <c r="R336" s="187">
        <f>model_eui_end_uses!R336*base_building_arch_areas!$N$21</f>
        <v>344.44434407089818</v>
      </c>
      <c r="S336" s="187">
        <f>model_eui_end_uses!S336*base_building_arch_areas!$N$21</f>
        <v>9287.8143709921296</v>
      </c>
      <c r="T336" s="187">
        <f>model_eui_end_uses!T336*base_building_arch_areas!$N$21</f>
        <v>510.02128760337177</v>
      </c>
      <c r="U336" s="187">
        <f>model_eui_end_uses!U336*base_building_arch_areas!$N$21</f>
        <v>1358.9492288584954</v>
      </c>
      <c r="V336" s="187">
        <f>model_eui_end_uses!V336*base_building_arch_areas!$N$21</f>
        <v>0</v>
      </c>
      <c r="W336" s="187">
        <f>model_eui_end_uses!W336*base_building_arch_areas!$N$21</f>
        <v>6451.9631073473229</v>
      </c>
      <c r="X336" s="187">
        <f>model_eui_end_uses!X336*base_building_arch_areas!$N$21</f>
        <v>1545.0156269418103</v>
      </c>
      <c r="Y336" s="187">
        <f>model_eui_end_uses!Y336*base_building_arch_areas!$N$21</f>
        <v>0</v>
      </c>
      <c r="Z336" s="187">
        <f>model_eui_end_uses!Z336*base_building_arch_areas!$N$21</f>
        <v>2227.8128556225456</v>
      </c>
      <c r="AA336" s="187">
        <f>model_eui_end_uses!AA336*base_building_arch_areas!$N$21</f>
        <v>3.3226142514877641</v>
      </c>
      <c r="AB336" s="187">
        <f>model_eui_end_uses!AB336*base_building_arch_areas!$N$21</f>
        <v>0</v>
      </c>
      <c r="AC336" s="187">
        <f>model_eui_end_uses!AC336*base_building_arch_areas!$N$21</f>
        <v>21729.343435688057</v>
      </c>
      <c r="AD336" s="187">
        <f>model_eui_end_uses!AD336*base_building_arch_areas!$N$21</f>
        <v>1899.4278137671713</v>
      </c>
      <c r="AE336" s="187">
        <f>model_eui_end_uses!AE336*base_building_arch_areas!$N$21</f>
        <v>-280.76090425071584</v>
      </c>
      <c r="AF336" s="187">
        <f t="shared" si="56"/>
        <v>1618.6669095164555</v>
      </c>
      <c r="AG336" s="187">
        <f>model_eui_end_uses!AH336*base_building_arch_areas!$N$21</f>
        <v>30.770730583028175</v>
      </c>
      <c r="AH336" s="187">
        <f>model_eui_end_uses!AI336*base_building_arch_areas!$N$21</f>
        <v>-31.725982180330895</v>
      </c>
      <c r="AI336" s="187">
        <f t="shared" si="57"/>
        <v>-0.9552515973027198</v>
      </c>
      <c r="AJ336" s="200">
        <f>sim_annual_output!F336/sim_annual_output!H336*base_building_arch_areas!$N$21</f>
        <v>7253.0976385950062</v>
      </c>
      <c r="AK336">
        <f t="shared" si="58"/>
        <v>-7592.8662763559823</v>
      </c>
    </row>
    <row r="337" spans="1:37">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f>model_eui_end_uses!G337*base_scenario_arch_measures!$F337</f>
        <v>1.4739927917633226E-3</v>
      </c>
      <c r="H337">
        <f>model_eui_end_uses!H337*base_scenario_arch_measures!$F337</f>
        <v>3.1925343876146511E-2</v>
      </c>
      <c r="I337">
        <f>model_eui_end_uses!I337*base_scenario_arch_measures!$F337</f>
        <v>2.4024168229389215E-3</v>
      </c>
      <c r="J337">
        <f>model_eui_end_uses!J337*base_scenario_arch_measures!$F337</f>
        <v>5.9007568579356393E-3</v>
      </c>
      <c r="K337">
        <f>model_eui_end_uses!K337*base_scenario_arch_measures!$F337</f>
        <v>0</v>
      </c>
      <c r="L337">
        <f>model_eui_end_uses!L337*base_scenario_arch_measures!$F337</f>
        <v>2.7879042235120895E-2</v>
      </c>
      <c r="M337">
        <f>model_eui_end_uses!M337*base_scenario_arch_measures!$F337</f>
        <v>6.6760387808760882E-3</v>
      </c>
      <c r="N337">
        <f>model_eui_end_uses!N337*base_scenario_arch_measures!$F337</f>
        <v>0</v>
      </c>
      <c r="O337">
        <f>model_eui_end_uses!O337*base_scenario_arch_measures!$F337</f>
        <v>1.0626626604254733E-2</v>
      </c>
      <c r="P337">
        <f>model_eui_end_uses!P337*base_scenario_arch_measures!$F337</f>
        <v>1.435707264704535E-5</v>
      </c>
      <c r="Q337">
        <f>model_eui_end_uses!Q337*base_scenario_arch_measures!$F337</f>
        <v>0</v>
      </c>
      <c r="R337" s="187">
        <f>model_eui_end_uses!R337*base_building_arch_areas!$N$21</f>
        <v>344.44434407089818</v>
      </c>
      <c r="S337" s="187">
        <f>model_eui_end_uses!S337*base_building_arch_areas!$N$21</f>
        <v>9287.8143709921296</v>
      </c>
      <c r="T337" s="187">
        <f>model_eui_end_uses!T337*base_building_arch_areas!$N$21</f>
        <v>510.02128760337177</v>
      </c>
      <c r="U337" s="187">
        <f>model_eui_end_uses!U337*base_building_arch_areas!$N$21</f>
        <v>1358.9492288584954</v>
      </c>
      <c r="V337" s="187">
        <f>model_eui_end_uses!V337*base_building_arch_areas!$N$21</f>
        <v>0</v>
      </c>
      <c r="W337" s="187">
        <f>model_eui_end_uses!W337*base_building_arch_areas!$N$21</f>
        <v>6451.9631073473229</v>
      </c>
      <c r="X337" s="187">
        <f>model_eui_end_uses!X337*base_building_arch_areas!$N$21</f>
        <v>1545.0156269418103</v>
      </c>
      <c r="Y337" s="187">
        <f>model_eui_end_uses!Y337*base_building_arch_areas!$N$21</f>
        <v>0</v>
      </c>
      <c r="Z337" s="187">
        <f>model_eui_end_uses!Z337*base_building_arch_areas!$N$21</f>
        <v>2227.8128556225456</v>
      </c>
      <c r="AA337" s="187">
        <f>model_eui_end_uses!AA337*base_building_arch_areas!$N$21</f>
        <v>3.3226142514877641</v>
      </c>
      <c r="AB337" s="187">
        <f>model_eui_end_uses!AB337*base_building_arch_areas!$N$21</f>
        <v>0</v>
      </c>
      <c r="AC337" s="187">
        <f>model_eui_end_uses!AC337*base_building_arch_areas!$N$21</f>
        <v>21729.343435688057</v>
      </c>
      <c r="AD337" s="187">
        <f>model_eui_end_uses!AD337*base_building_arch_areas!$N$21</f>
        <v>1899.4278137671713</v>
      </c>
      <c r="AE337" s="187">
        <f>model_eui_end_uses!AE337*base_building_arch_areas!$N$21</f>
        <v>-280.76090425071584</v>
      </c>
      <c r="AF337" s="187">
        <f t="shared" si="56"/>
        <v>1618.6669095164555</v>
      </c>
      <c r="AG337" s="187">
        <f>model_eui_end_uses!AH337*base_building_arch_areas!$N$21</f>
        <v>30.770730583028175</v>
      </c>
      <c r="AH337" s="187">
        <f>model_eui_end_uses!AI337*base_building_arch_areas!$N$21</f>
        <v>-31.725982180330895</v>
      </c>
      <c r="AI337" s="187">
        <f t="shared" si="57"/>
        <v>-0.9552515973027198</v>
      </c>
      <c r="AJ337" s="200">
        <f>sim_annual_output!F337/sim_annual_output!H337*base_building_arch_areas!$N$21</f>
        <v>6465.1261955141772</v>
      </c>
      <c r="AK337">
        <f t="shared" si="58"/>
        <v>-6767.982606644493</v>
      </c>
    </row>
    <row r="338" spans="1:37">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f>model_eui_end_uses!G338*base_scenario_arch_measures!$F338</f>
        <v>5.5394371963183317E-3</v>
      </c>
      <c r="H338">
        <f>model_eui_end_uses!H338*base_scenario_arch_measures!$F338</f>
        <v>2.4213203019241986E-2</v>
      </c>
      <c r="I338">
        <f>model_eui_end_uses!I338*base_scenario_arch_measures!$F338</f>
        <v>3.3140909360263016E-3</v>
      </c>
      <c r="J338">
        <f>model_eui_end_uses!J338*base_scenario_arch_measures!$F338</f>
        <v>5.9438280758767753E-3</v>
      </c>
      <c r="K338">
        <f>model_eui_end_uses!K338*base_scenario_arch_measures!$F338</f>
        <v>0</v>
      </c>
      <c r="L338">
        <f>model_eui_end_uses!L338*base_scenario_arch_measures!$F338</f>
        <v>1.9516047418216984E-2</v>
      </c>
      <c r="M338">
        <f>model_eui_end_uses!M338*base_scenario_arch_measures!$F338</f>
        <v>6.6760387808760882E-3</v>
      </c>
      <c r="N338">
        <f>model_eui_end_uses!N338*base_scenario_arch_measures!$F338</f>
        <v>0</v>
      </c>
      <c r="O338">
        <f>model_eui_end_uses!O338*base_scenario_arch_measures!$F338</f>
        <v>8.5161369251390666E-3</v>
      </c>
      <c r="P338">
        <f>model_eui_end_uses!P338*base_scenario_arch_measures!$F338</f>
        <v>9.5713817646968988E-6</v>
      </c>
      <c r="Q338">
        <f>model_eui_end_uses!Q338*base_scenario_arch_measures!$F338</f>
        <v>0</v>
      </c>
      <c r="R338" s="187">
        <f>model_eui_end_uses!R338*base_building_arch_areas!$N$21</f>
        <v>344.44434407089818</v>
      </c>
      <c r="S338" s="187">
        <f>model_eui_end_uses!S338*base_building_arch_areas!$N$21</f>
        <v>9287.8143709921296</v>
      </c>
      <c r="T338" s="187">
        <f>model_eui_end_uses!T338*base_building_arch_areas!$N$21</f>
        <v>510.02128760337177</v>
      </c>
      <c r="U338" s="187">
        <f>model_eui_end_uses!U338*base_building_arch_areas!$N$21</f>
        <v>1358.9492288584954</v>
      </c>
      <c r="V338" s="187">
        <f>model_eui_end_uses!V338*base_building_arch_areas!$N$21</f>
        <v>0</v>
      </c>
      <c r="W338" s="187">
        <f>model_eui_end_uses!W338*base_building_arch_areas!$N$21</f>
        <v>6451.9631073473229</v>
      </c>
      <c r="X338" s="187">
        <f>model_eui_end_uses!X338*base_building_arch_areas!$N$21</f>
        <v>1545.0156269418103</v>
      </c>
      <c r="Y338" s="187">
        <f>model_eui_end_uses!Y338*base_building_arch_areas!$N$21</f>
        <v>0</v>
      </c>
      <c r="Z338" s="187">
        <f>model_eui_end_uses!Z338*base_building_arch_areas!$N$21</f>
        <v>2227.8128556225456</v>
      </c>
      <c r="AA338" s="187">
        <f>model_eui_end_uses!AA338*base_building_arch_areas!$N$21</f>
        <v>3.3226142514877641</v>
      </c>
      <c r="AB338" s="187">
        <f>model_eui_end_uses!AB338*base_building_arch_areas!$N$21</f>
        <v>0</v>
      </c>
      <c r="AC338" s="187">
        <f>model_eui_end_uses!AC338*base_building_arch_areas!$N$21</f>
        <v>21729.343435688057</v>
      </c>
      <c r="AD338" s="187">
        <f>model_eui_end_uses!AD338*base_building_arch_areas!$N$21</f>
        <v>3684.2254358580153</v>
      </c>
      <c r="AE338" s="187">
        <f>model_eui_end_uses!AE338*base_building_arch_areas!$N$21</f>
        <v>982.38628035654767</v>
      </c>
      <c r="AF338" s="187">
        <f t="shared" si="56"/>
        <v>4666.6117162145629</v>
      </c>
      <c r="AG338" s="187">
        <f>model_eui_end_uses!AH338*base_building_arch_areas!$N$21</f>
        <v>59.684452060899851</v>
      </c>
      <c r="AH338" s="187">
        <f>model_eui_end_uses!AI338*base_building_arch_areas!$N$21</f>
        <v>111.00964968028988</v>
      </c>
      <c r="AI338" s="187">
        <f t="shared" si="57"/>
        <v>170.69410174118974</v>
      </c>
      <c r="AJ338" s="200">
        <f>sim_annual_output!F338/sim_annual_output!H338*base_building_arch_areas!$N$21</f>
        <v>63522.423935674989</v>
      </c>
      <c r="AK338">
        <f t="shared" si="58"/>
        <v>372.14188005153881</v>
      </c>
    </row>
    <row r="339" spans="1:37">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f>model_eui_end_uses!G339*base_scenario_arch_measures!$F339</f>
        <v>1.7013131086748741E-3</v>
      </c>
      <c r="H339">
        <f>model_eui_end_uses!H339*base_scenario_arch_measures!$F339</f>
        <v>3.9678163105551001E-2</v>
      </c>
      <c r="I339">
        <f>model_eui_end_uses!I339*base_scenario_arch_measures!$F339</f>
        <v>2.797236320732669E-3</v>
      </c>
      <c r="J339">
        <f>model_eui_end_uses!J339*base_scenario_arch_measures!$F339</f>
        <v>5.8816140944062453E-3</v>
      </c>
      <c r="K339">
        <f>model_eui_end_uses!K339*base_scenario_arch_measures!$F339</f>
        <v>0</v>
      </c>
      <c r="L339">
        <f>model_eui_end_uses!L339*base_scenario_arch_measures!$F339</f>
        <v>2.7879042235120895E-2</v>
      </c>
      <c r="M339">
        <f>model_eui_end_uses!M339*base_scenario_arch_measures!$F339</f>
        <v>6.6760387808760882E-3</v>
      </c>
      <c r="N339">
        <f>model_eui_end_uses!N339*base_scenario_arch_measures!$F339</f>
        <v>0</v>
      </c>
      <c r="O339">
        <f>model_eui_end_uses!O339*base_scenario_arch_measures!$F339</f>
        <v>9.9685941079318205E-3</v>
      </c>
      <c r="P339">
        <f>model_eui_end_uses!P339*base_scenario_arch_measures!$F339</f>
        <v>1.435707264704535E-5</v>
      </c>
      <c r="Q339">
        <f>model_eui_end_uses!Q339*base_scenario_arch_measures!$F339</f>
        <v>0</v>
      </c>
      <c r="R339" s="187">
        <f>model_eui_end_uses!R339*base_building_arch_areas!$N$21</f>
        <v>344.44434407089818</v>
      </c>
      <c r="S339" s="187">
        <f>model_eui_end_uses!S339*base_building_arch_areas!$N$21</f>
        <v>9287.8143709921296</v>
      </c>
      <c r="T339" s="187">
        <f>model_eui_end_uses!T339*base_building_arch_areas!$N$21</f>
        <v>510.02128760337177</v>
      </c>
      <c r="U339" s="187">
        <f>model_eui_end_uses!U339*base_building_arch_areas!$N$21</f>
        <v>1358.9492288584954</v>
      </c>
      <c r="V339" s="187">
        <f>model_eui_end_uses!V339*base_building_arch_areas!$N$21</f>
        <v>0</v>
      </c>
      <c r="W339" s="187">
        <f>model_eui_end_uses!W339*base_building_arch_areas!$N$21</f>
        <v>6451.9631073473229</v>
      </c>
      <c r="X339" s="187">
        <f>model_eui_end_uses!X339*base_building_arch_areas!$N$21</f>
        <v>1545.0156269418103</v>
      </c>
      <c r="Y339" s="187">
        <f>model_eui_end_uses!Y339*base_building_arch_areas!$N$21</f>
        <v>0</v>
      </c>
      <c r="Z339" s="187">
        <f>model_eui_end_uses!Z339*base_building_arch_areas!$N$21</f>
        <v>2227.8128556225456</v>
      </c>
      <c r="AA339" s="187">
        <f>model_eui_end_uses!AA339*base_building_arch_areas!$N$21</f>
        <v>3.3226142514877641</v>
      </c>
      <c r="AB339" s="187">
        <f>model_eui_end_uses!AB339*base_building_arch_areas!$N$21</f>
        <v>0</v>
      </c>
      <c r="AC339" s="187">
        <f>model_eui_end_uses!AC339*base_building_arch_areas!$N$21</f>
        <v>21729.343435688057</v>
      </c>
      <c r="AD339" s="187">
        <f>model_eui_end_uses!AD339*base_building_arch_areas!$N$21</f>
        <v>105.21611796377853</v>
      </c>
      <c r="AE339" s="187">
        <f>model_eui_end_uses!AE339*base_building_arch_areas!$N$21</f>
        <v>-268.02421628667952</v>
      </c>
      <c r="AF339" s="187">
        <f t="shared" si="56"/>
        <v>-162.808098322901</v>
      </c>
      <c r="AG339" s="187">
        <f>model_eui_end_uses!AH339*base_building_arch_areas!$N$21</f>
        <v>1.7045011110132122</v>
      </c>
      <c r="AH339" s="187">
        <f>model_eui_end_uses!AI339*base_building_arch_areas!$N$21</f>
        <v>-30.286736440394783</v>
      </c>
      <c r="AI339" s="187">
        <f t="shared" si="57"/>
        <v>-28.582235329381572</v>
      </c>
      <c r="AJ339" s="200">
        <f>sim_annual_output!F339/sim_annual_output!H339*base_building_arch_areas!$N$21</f>
        <v>3738.1172577232337</v>
      </c>
      <c r="AK339">
        <f t="shared" si="58"/>
        <v>-130.78463649344374</v>
      </c>
    </row>
    <row r="340" spans="1:37">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f>model_eui_end_uses!G340*base_scenario_arch_measures!$F340</f>
        <v>1.7084916449983968E-3</v>
      </c>
      <c r="H340">
        <f>model_eui_end_uses!H340*base_scenario_arch_measures!$F340</f>
        <v>3.9735591396139185E-2</v>
      </c>
      <c r="I340">
        <f>model_eui_end_uses!I340*base_scenario_arch_measures!$F340</f>
        <v>2.8785930657325926E-3</v>
      </c>
      <c r="J340">
        <f>model_eui_end_uses!J340*base_scenario_arch_measures!$F340</f>
        <v>5.8816140944062453E-3</v>
      </c>
      <c r="K340">
        <f>model_eui_end_uses!K340*base_scenario_arch_measures!$F340</f>
        <v>0</v>
      </c>
      <c r="L340">
        <f>model_eui_end_uses!L340*base_scenario_arch_measures!$F340</f>
        <v>2.7879042235120895E-2</v>
      </c>
      <c r="M340">
        <f>model_eui_end_uses!M340*base_scenario_arch_measures!$F340</f>
        <v>6.6760387808760882E-3</v>
      </c>
      <c r="N340">
        <f>model_eui_end_uses!N340*base_scenario_arch_measures!$F340</f>
        <v>0</v>
      </c>
      <c r="O340">
        <f>model_eui_end_uses!O340*base_scenario_arch_measures!$F340</f>
        <v>9.9685941079318205E-3</v>
      </c>
      <c r="P340">
        <f>model_eui_end_uses!P340*base_scenario_arch_measures!$F340</f>
        <v>9.5713817646968988E-6</v>
      </c>
      <c r="Q340">
        <f>model_eui_end_uses!Q340*base_scenario_arch_measures!$F340</f>
        <v>0</v>
      </c>
      <c r="R340" s="187">
        <f>model_eui_end_uses!R340*base_building_arch_areas!$N$21</f>
        <v>344.44434407089818</v>
      </c>
      <c r="S340" s="187">
        <f>model_eui_end_uses!S340*base_building_arch_areas!$N$21</f>
        <v>9287.8143709921296</v>
      </c>
      <c r="T340" s="187">
        <f>model_eui_end_uses!T340*base_building_arch_areas!$N$21</f>
        <v>510.02128760337177</v>
      </c>
      <c r="U340" s="187">
        <f>model_eui_end_uses!U340*base_building_arch_areas!$N$21</f>
        <v>1358.9492288584954</v>
      </c>
      <c r="V340" s="187">
        <f>model_eui_end_uses!V340*base_building_arch_areas!$N$21</f>
        <v>0</v>
      </c>
      <c r="W340" s="187">
        <f>model_eui_end_uses!W340*base_building_arch_areas!$N$21</f>
        <v>6451.9631073473229</v>
      </c>
      <c r="X340" s="187">
        <f>model_eui_end_uses!X340*base_building_arch_areas!$N$21</f>
        <v>1545.0156269418103</v>
      </c>
      <c r="Y340" s="187">
        <f>model_eui_end_uses!Y340*base_building_arch_areas!$N$21</f>
        <v>0</v>
      </c>
      <c r="Z340" s="187">
        <f>model_eui_end_uses!Z340*base_building_arch_areas!$N$21</f>
        <v>2227.8128556225456</v>
      </c>
      <c r="AA340" s="187">
        <f>model_eui_end_uses!AA340*base_building_arch_areas!$N$21</f>
        <v>3.3226142514877641</v>
      </c>
      <c r="AB340" s="187">
        <f>model_eui_end_uses!AB340*base_building_arch_areas!$N$21</f>
        <v>0</v>
      </c>
      <c r="AC340" s="187">
        <f>model_eui_end_uses!AC340*base_building_arch_areas!$N$21</f>
        <v>21729.343435688057</v>
      </c>
      <c r="AD340" s="187">
        <f>model_eui_end_uses!AD340*base_building_arch_areas!$N$21</f>
        <v>91.925660957828157</v>
      </c>
      <c r="AE340" s="187">
        <f>model_eui_end_uses!AE340*base_building_arch_areas!$N$21</f>
        <v>-287.40613275369105</v>
      </c>
      <c r="AF340" s="187">
        <f t="shared" si="56"/>
        <v>-195.48047179586291</v>
      </c>
      <c r="AG340" s="187">
        <f>model_eui_end_uses!AH340*base_building_arch_areas!$N$21</f>
        <v>1.4891957075168161</v>
      </c>
      <c r="AH340" s="187">
        <f>model_eui_end_uses!AI340*base_building_arch_areas!$N$21</f>
        <v>-32.476893001167092</v>
      </c>
      <c r="AI340" s="187">
        <f t="shared" si="57"/>
        <v>-30.987697293650275</v>
      </c>
      <c r="AJ340" s="200">
        <f>sim_annual_output!F340/sim_annual_output!H340*base_building_arch_areas!$N$21</f>
        <v>1436.7823444773592</v>
      </c>
      <c r="AK340">
        <f t="shared" si="58"/>
        <v>-46.366218530596399</v>
      </c>
    </row>
    <row r="341" spans="1:37">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f>model_eui_end_uses!G341*base_scenario_arch_measures!$F341</f>
        <v>0</v>
      </c>
      <c r="H341">
        <f>model_eui_end_uses!H341*base_scenario_arch_measures!$F341</f>
        <v>25.572100456790164</v>
      </c>
      <c r="I341">
        <f>model_eui_end_uses!I341*base_scenario_arch_measures!$F341</f>
        <v>0.25121615906607064</v>
      </c>
      <c r="J341">
        <f>model_eui_end_uses!J341*base_scenario_arch_measures!$F341</f>
        <v>0</v>
      </c>
      <c r="K341">
        <f>model_eui_end_uses!K341*base_scenario_arch_measures!$F341</f>
        <v>3.2385606806535057</v>
      </c>
      <c r="L341">
        <f>model_eui_end_uses!L341*base_scenario_arch_measures!$F341</f>
        <v>2.6935729365452517</v>
      </c>
      <c r="M341">
        <f>model_eui_end_uses!M341*base_scenario_arch_measures!$F341</f>
        <v>0.81527847421811328</v>
      </c>
      <c r="N341">
        <f>model_eui_end_uses!N341*base_scenario_arch_measures!$F341</f>
        <v>0</v>
      </c>
      <c r="O341">
        <f>model_eui_end_uses!O341*base_scenario_arch_measures!$F341</f>
        <v>2.2099253023589691</v>
      </c>
      <c r="P341">
        <f>model_eui_end_uses!P341*base_scenario_arch_measures!$F341</f>
        <v>0.90856414233196248</v>
      </c>
      <c r="Q341">
        <f>model_eui_end_uses!Q341*base_scenario_arch_measures!$F341</f>
        <v>0</v>
      </c>
      <c r="R341" s="187">
        <f>model_eui_end_uses!R341*base_building_arch_areas!$N$16</f>
        <v>0</v>
      </c>
      <c r="S341" s="187">
        <f>model_eui_end_uses!S341*base_building_arch_areas!$N$16</f>
        <v>4864984.3191142427</v>
      </c>
      <c r="T341" s="187">
        <f>model_eui_end_uses!T341*base_building_arch_areas!$N$16</f>
        <v>230741.95132881525</v>
      </c>
      <c r="U341" s="187">
        <f>model_eui_end_uses!U341*base_building_arch_areas!$N$16</f>
        <v>0</v>
      </c>
      <c r="V341" s="187">
        <f>model_eui_end_uses!V341*base_building_arch_areas!$N$16</f>
        <v>500900.30189760379</v>
      </c>
      <c r="W341" s="187">
        <f>model_eui_end_uses!W341*base_building_arch_areas!$N$16</f>
        <v>416571.08559825242</v>
      </c>
      <c r="X341" s="187">
        <f>model_eui_end_uses!X341*base_building_arch_areas!$N$16</f>
        <v>126085.85216389989</v>
      </c>
      <c r="Y341" s="187">
        <f>model_eui_end_uses!Y341*base_building_arch_areas!$N$16</f>
        <v>0</v>
      </c>
      <c r="Z341" s="187">
        <f>model_eui_end_uses!Z341*base_building_arch_areas!$N$16</f>
        <v>341288.99096248916</v>
      </c>
      <c r="AA341" s="187">
        <f>model_eui_end_uses!AA341*base_building_arch_areas!$N$16</f>
        <v>139876.21204358118</v>
      </c>
      <c r="AB341" s="187">
        <f>model_eui_end_uses!AB341*base_building_arch_areas!$N$16</f>
        <v>0</v>
      </c>
      <c r="AC341" s="187">
        <f>model_eui_end_uses!AC341*base_building_arch_areas!$N$16</f>
        <v>6620448.7131088851</v>
      </c>
      <c r="AD341" s="187">
        <f>model_eui_end_uses!AD341*base_building_arch_areas!$N$16</f>
        <v>910208.58417820791</v>
      </c>
      <c r="AE341" s="187">
        <f>model_eui_end_uses!AE341*base_building_arch_areas!$N$16</f>
        <v>190769.63381020719</v>
      </c>
      <c r="AF341" s="187">
        <f t="shared" ref="AF341:AF365" si="59">SUM(AD341:AE341)</f>
        <v>1100978.2179884152</v>
      </c>
      <c r="AG341" s="187">
        <f>model_eui_end_uses!AH341*base_building_arch_areas!$N$16</f>
        <v>14745.379063686967</v>
      </c>
      <c r="AH341" s="187">
        <f>model_eui_end_uses!AI341*base_building_arch_areas!$N$16</f>
        <v>21556.968620553413</v>
      </c>
      <c r="AI341" s="187">
        <f t="shared" ref="AI341:AI365" si="60">SUM(AG341:AH341)</f>
        <v>36302.347684240376</v>
      </c>
      <c r="AJ341" s="200">
        <f>sim_annual_output!F341/sim_annual_output!H341*base_building_arch_areas!$N$16</f>
        <v>71825.399300927165</v>
      </c>
      <c r="AK341">
        <f t="shared" ref="AK341:AK365" si="61">IF(AI341=0,0,AJ341/AI341)</f>
        <v>1.9785331771285994</v>
      </c>
    </row>
    <row r="342" spans="1:37">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f>model_eui_end_uses!G342*base_scenario_arch_measures!$F342</f>
        <v>0</v>
      </c>
      <c r="H342">
        <f>model_eui_end_uses!H342*base_scenario_arch_measures!$F342</f>
        <v>31.457272364124272</v>
      </c>
      <c r="I342">
        <f>model_eui_end_uses!I342*base_scenario_arch_measures!$F342</f>
        <v>1.4919909156257238</v>
      </c>
      <c r="J342">
        <f>model_eui_end_uses!J342*base_scenario_arch_measures!$F342</f>
        <v>0</v>
      </c>
      <c r="K342">
        <f>model_eui_end_uses!K342*base_scenario_arch_measures!$F342</f>
        <v>3.2388505677514354</v>
      </c>
      <c r="L342">
        <f>model_eui_end_uses!L342*base_scenario_arch_measures!$F342</f>
        <v>2.6935729365452517</v>
      </c>
      <c r="M342">
        <f>model_eui_end_uses!M342*base_scenario_arch_measures!$F342</f>
        <v>0.81527847421811328</v>
      </c>
      <c r="N342">
        <f>model_eui_end_uses!N342*base_scenario_arch_measures!$F342</f>
        <v>0</v>
      </c>
      <c r="O342">
        <f>model_eui_end_uses!O342*base_scenario_arch_measures!$F342</f>
        <v>2.2067945217013265</v>
      </c>
      <c r="P342">
        <f>model_eui_end_uses!P342*base_scenario_arch_measures!$F342</f>
        <v>0.90444774554135754</v>
      </c>
      <c r="Q342">
        <f>model_eui_end_uses!Q342*base_scenario_arch_measures!$F342</f>
        <v>0</v>
      </c>
      <c r="R342" s="187">
        <f>model_eui_end_uses!R342*base_building_arch_areas!$N$16</f>
        <v>0</v>
      </c>
      <c r="S342" s="187">
        <f>model_eui_end_uses!S342*base_building_arch_areas!$N$16</f>
        <v>4864984.3191142427</v>
      </c>
      <c r="T342" s="187">
        <f>model_eui_end_uses!T342*base_building_arch_areas!$N$16</f>
        <v>230741.95132881525</v>
      </c>
      <c r="U342" s="187">
        <f>model_eui_end_uses!U342*base_building_arch_areas!$N$16</f>
        <v>0</v>
      </c>
      <c r="V342" s="187">
        <f>model_eui_end_uses!V342*base_building_arch_areas!$N$16</f>
        <v>500900.30189760379</v>
      </c>
      <c r="W342" s="187">
        <f>model_eui_end_uses!W342*base_building_arch_areas!$N$16</f>
        <v>416571.08559825242</v>
      </c>
      <c r="X342" s="187">
        <f>model_eui_end_uses!X342*base_building_arch_areas!$N$16</f>
        <v>126085.85216389989</v>
      </c>
      <c r="Y342" s="187">
        <f>model_eui_end_uses!Y342*base_building_arch_areas!$N$16</f>
        <v>0</v>
      </c>
      <c r="Z342" s="187">
        <f>model_eui_end_uses!Z342*base_building_arch_areas!$N$16</f>
        <v>341288.99096248916</v>
      </c>
      <c r="AA342" s="187">
        <f>model_eui_end_uses!AA342*base_building_arch_areas!$N$16</f>
        <v>139876.21204358118</v>
      </c>
      <c r="AB342" s="187">
        <f>model_eui_end_uses!AB342*base_building_arch_areas!$N$16</f>
        <v>0</v>
      </c>
      <c r="AC342" s="187">
        <f>model_eui_end_uses!AC342*base_building_arch_areas!$N$16</f>
        <v>6620448.7131088851</v>
      </c>
      <c r="AD342" s="187">
        <f>model_eui_end_uses!AD342*base_building_arch_areas!$N$16</f>
        <v>0</v>
      </c>
      <c r="AE342" s="187">
        <f>model_eui_end_uses!AE342*base_building_arch_areas!$N$16</f>
        <v>0</v>
      </c>
      <c r="AF342" s="187">
        <f t="shared" ref="AF342:AF364" si="62">SUM(AD342:AE342)</f>
        <v>0</v>
      </c>
      <c r="AG342" s="187">
        <f>model_eui_end_uses!AH342*base_building_arch_areas!$N$16</f>
        <v>0</v>
      </c>
      <c r="AH342" s="187">
        <f>model_eui_end_uses!AI342*base_building_arch_areas!$N$16</f>
        <v>0</v>
      </c>
      <c r="AI342" s="187">
        <f t="shared" ref="AI342:AI364" si="63">SUM(AG342:AH342)</f>
        <v>0</v>
      </c>
      <c r="AJ342" s="200">
        <f>sim_annual_output!F342/sim_annual_output!H342*base_building_arch_areas!$N$16</f>
        <v>0</v>
      </c>
      <c r="AK342">
        <f t="shared" ref="AK342:AK364" si="64">IF(AI342=0,0,AJ342/AI342)</f>
        <v>0</v>
      </c>
    </row>
    <row r="343" spans="1:37">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f>model_eui_end_uses!G343*base_scenario_arch_measures!$F343</f>
        <v>0</v>
      </c>
      <c r="H343">
        <f>model_eui_end_uses!H343*base_scenario_arch_measures!$F343</f>
        <v>30.931243236220634</v>
      </c>
      <c r="I343">
        <f>model_eui_end_uses!I343*base_scenario_arch_measures!$F343</f>
        <v>1.5239364738176013</v>
      </c>
      <c r="J343">
        <f>model_eui_end_uses!J343*base_scenario_arch_measures!$F343</f>
        <v>0</v>
      </c>
      <c r="K343">
        <f>model_eui_end_uses!K343*base_scenario_arch_measures!$F343</f>
        <v>3.2388505677514354</v>
      </c>
      <c r="L343">
        <f>model_eui_end_uses!L343*base_scenario_arch_measures!$F343</f>
        <v>2.6935729365452517</v>
      </c>
      <c r="M343">
        <f>model_eui_end_uses!M343*base_scenario_arch_measures!$F343</f>
        <v>0.81527847421811328</v>
      </c>
      <c r="N343">
        <f>model_eui_end_uses!N343*base_scenario_arch_measures!$F343</f>
        <v>0</v>
      </c>
      <c r="O343">
        <f>model_eui_end_uses!O343*base_scenario_arch_measures!$F343</f>
        <v>2.2025041926519631</v>
      </c>
      <c r="P343">
        <f>model_eui_end_uses!P343*base_scenario_arch_measures!$F343</f>
        <v>0.90931784878658017</v>
      </c>
      <c r="Q343">
        <f>model_eui_end_uses!Q343*base_scenario_arch_measures!$F343</f>
        <v>0</v>
      </c>
      <c r="R343" s="187">
        <f>model_eui_end_uses!R343*base_building_arch_areas!$N$16</f>
        <v>0</v>
      </c>
      <c r="S343" s="187">
        <f>model_eui_end_uses!S343*base_building_arch_areas!$N$16</f>
        <v>4864984.3191142427</v>
      </c>
      <c r="T343" s="187">
        <f>model_eui_end_uses!T343*base_building_arch_areas!$N$16</f>
        <v>230741.95132881525</v>
      </c>
      <c r="U343" s="187">
        <f>model_eui_end_uses!U343*base_building_arch_areas!$N$16</f>
        <v>0</v>
      </c>
      <c r="V343" s="187">
        <f>model_eui_end_uses!V343*base_building_arch_areas!$N$16</f>
        <v>500900.30189760379</v>
      </c>
      <c r="W343" s="187">
        <f>model_eui_end_uses!W343*base_building_arch_areas!$N$16</f>
        <v>416571.08559825242</v>
      </c>
      <c r="X343" s="187">
        <f>model_eui_end_uses!X343*base_building_arch_areas!$N$16</f>
        <v>126085.85216389989</v>
      </c>
      <c r="Y343" s="187">
        <f>model_eui_end_uses!Y343*base_building_arch_areas!$N$16</f>
        <v>0</v>
      </c>
      <c r="Z343" s="187">
        <f>model_eui_end_uses!Z343*base_building_arch_areas!$N$16</f>
        <v>341288.99096248916</v>
      </c>
      <c r="AA343" s="187">
        <f>model_eui_end_uses!AA343*base_building_arch_areas!$N$16</f>
        <v>139876.21204358118</v>
      </c>
      <c r="AB343" s="187">
        <f>model_eui_end_uses!AB343*base_building_arch_areas!$N$16</f>
        <v>0</v>
      </c>
      <c r="AC343" s="187">
        <f>model_eui_end_uses!AC343*base_building_arch_areas!$N$16</f>
        <v>6620448.7131088851</v>
      </c>
      <c r="AD343" s="187">
        <f>model_eui_end_uses!AD343*base_building_arch_areas!$N$16</f>
        <v>81352.363581500773</v>
      </c>
      <c r="AE343" s="187">
        <f>model_eui_end_uses!AE343*base_building_arch_areas!$N$16</f>
        <v>-5030.1637792594938</v>
      </c>
      <c r="AF343" s="187">
        <f t="shared" si="62"/>
        <v>76322.199802241274</v>
      </c>
      <c r="AG343" s="187">
        <f>model_eui_end_uses!AH343*base_building_arch_areas!$N$16</f>
        <v>1317.9082900203125</v>
      </c>
      <c r="AH343" s="187">
        <f>model_eui_end_uses!AI343*base_building_arch_areas!$N$16</f>
        <v>-568.40850705632283</v>
      </c>
      <c r="AI343" s="187">
        <f t="shared" si="63"/>
        <v>749.49978296398967</v>
      </c>
      <c r="AJ343" s="200">
        <f>sim_annual_output!F343/sim_annual_output!H343*base_building_arch_areas!$N$16</f>
        <v>694357.16590390715</v>
      </c>
      <c r="AK343">
        <f t="shared" si="64"/>
        <v>926.42744092331259</v>
      </c>
    </row>
    <row r="344" spans="1:37">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f>model_eui_end_uses!G344*base_scenario_arch_measures!$F344</f>
        <v>0</v>
      </c>
      <c r="H344">
        <f>model_eui_end_uses!H344*base_scenario_arch_measures!$F344</f>
        <v>21.835745651571393</v>
      </c>
      <c r="I344">
        <f>model_eui_end_uses!I344*base_scenario_arch_measures!$F344</f>
        <v>1.5239364738176013</v>
      </c>
      <c r="J344">
        <f>model_eui_end_uses!J344*base_scenario_arch_measures!$F344</f>
        <v>0</v>
      </c>
      <c r="K344">
        <f>model_eui_end_uses!K344*base_scenario_arch_measures!$F344</f>
        <v>3.2388505677514354</v>
      </c>
      <c r="L344">
        <f>model_eui_end_uses!L344*base_scenario_arch_measures!$F344</f>
        <v>2.6935729365452517</v>
      </c>
      <c r="M344">
        <f>model_eui_end_uses!M344*base_scenario_arch_measures!$F344</f>
        <v>0.81527847421811328</v>
      </c>
      <c r="N344">
        <f>model_eui_end_uses!N344*base_scenario_arch_measures!$F344</f>
        <v>0</v>
      </c>
      <c r="O344">
        <f>model_eui_end_uses!O344*base_scenario_arch_measures!$F344</f>
        <v>2.2025041926519631</v>
      </c>
      <c r="P344">
        <f>model_eui_end_uses!P344*base_scenario_arch_measures!$F344</f>
        <v>0.75631543849916716</v>
      </c>
      <c r="Q344">
        <f>model_eui_end_uses!Q344*base_scenario_arch_measures!$F344</f>
        <v>0</v>
      </c>
      <c r="R344" s="187">
        <f>model_eui_end_uses!R344*base_building_arch_areas!$N$16</f>
        <v>0</v>
      </c>
      <c r="S344" s="187">
        <f>model_eui_end_uses!S344*base_building_arch_areas!$N$16</f>
        <v>4864984.3191142427</v>
      </c>
      <c r="T344" s="187">
        <f>model_eui_end_uses!T344*base_building_arch_areas!$N$16</f>
        <v>230741.95132881525</v>
      </c>
      <c r="U344" s="187">
        <f>model_eui_end_uses!U344*base_building_arch_areas!$N$16</f>
        <v>0</v>
      </c>
      <c r="V344" s="187">
        <f>model_eui_end_uses!V344*base_building_arch_areas!$N$16</f>
        <v>500900.30189760379</v>
      </c>
      <c r="W344" s="187">
        <f>model_eui_end_uses!W344*base_building_arch_areas!$N$16</f>
        <v>416571.08559825242</v>
      </c>
      <c r="X344" s="187">
        <f>model_eui_end_uses!X344*base_building_arch_areas!$N$16</f>
        <v>126085.85216389989</v>
      </c>
      <c r="Y344" s="187">
        <f>model_eui_end_uses!Y344*base_building_arch_areas!$N$16</f>
        <v>0</v>
      </c>
      <c r="Z344" s="187">
        <f>model_eui_end_uses!Z344*base_building_arch_areas!$N$16</f>
        <v>341288.99096248916</v>
      </c>
      <c r="AA344" s="187">
        <f>model_eui_end_uses!AA344*base_building_arch_areas!$N$16</f>
        <v>139876.21204358118</v>
      </c>
      <c r="AB344" s="187">
        <f>model_eui_end_uses!AB344*base_building_arch_areas!$N$16</f>
        <v>0</v>
      </c>
      <c r="AC344" s="187">
        <f>model_eui_end_uses!AC344*base_building_arch_areas!$N$16</f>
        <v>6620448.7131088851</v>
      </c>
      <c r="AD344" s="187">
        <f>model_eui_end_uses!AD344*base_building_arch_areas!$N$16</f>
        <v>1488004.9370043862</v>
      </c>
      <c r="AE344" s="187">
        <f>model_eui_end_uses!AE344*base_building_arch_areas!$N$16</f>
        <v>18632.228758112928</v>
      </c>
      <c r="AF344" s="187">
        <f t="shared" si="62"/>
        <v>1506637.1657624992</v>
      </c>
      <c r="AG344" s="187">
        <f>model_eui_end_uses!AH344*base_building_arch_areas!$N$16</f>
        <v>24105.679979471053</v>
      </c>
      <c r="AH344" s="187">
        <f>model_eui_end_uses!AI344*base_building_arch_areas!$N$16</f>
        <v>2105.4418496667608</v>
      </c>
      <c r="AI344" s="187">
        <f t="shared" si="63"/>
        <v>26211.121829137814</v>
      </c>
      <c r="AJ344" s="200">
        <f>sim_annual_output!F344/sim_annual_output!H344*base_building_arch_areas!$N$16</f>
        <v>3796.3763551941706</v>
      </c>
      <c r="AK344">
        <f t="shared" si="64"/>
        <v>0.14483837738581251</v>
      </c>
    </row>
    <row r="345" spans="1:37">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f>model_eui_end_uses!G345*base_scenario_arch_measures!$F345</f>
        <v>0</v>
      </c>
      <c r="H345">
        <f>model_eui_end_uses!H345*base_scenario_arch_measures!$F345</f>
        <v>30.931243236220634</v>
      </c>
      <c r="I345">
        <f>model_eui_end_uses!I345*base_scenario_arch_measures!$F345</f>
        <v>1.0885260527268581</v>
      </c>
      <c r="J345">
        <f>model_eui_end_uses!J345*base_scenario_arch_measures!$F345</f>
        <v>0</v>
      </c>
      <c r="K345">
        <f>model_eui_end_uses!K345*base_scenario_arch_measures!$F345</f>
        <v>3.2388505677514354</v>
      </c>
      <c r="L345">
        <f>model_eui_end_uses!L345*base_scenario_arch_measures!$F345</f>
        <v>2.6935729365452517</v>
      </c>
      <c r="M345">
        <f>model_eui_end_uses!M345*base_scenario_arch_measures!$F345</f>
        <v>0.81527847421811328</v>
      </c>
      <c r="N345">
        <f>model_eui_end_uses!N345*base_scenario_arch_measures!$F345</f>
        <v>0</v>
      </c>
      <c r="O345">
        <f>model_eui_end_uses!O345*base_scenario_arch_measures!$F345</f>
        <v>2.2025041926519631</v>
      </c>
      <c r="P345">
        <f>model_eui_end_uses!P345*base_scenario_arch_measures!$F345</f>
        <v>0.90931784878658017</v>
      </c>
      <c r="Q345">
        <f>model_eui_end_uses!Q345*base_scenario_arch_measures!$F345</f>
        <v>0</v>
      </c>
      <c r="R345" s="187">
        <f>model_eui_end_uses!R345*base_building_arch_areas!$N$16</f>
        <v>0</v>
      </c>
      <c r="S345" s="187">
        <f>model_eui_end_uses!S345*base_building_arch_areas!$N$16</f>
        <v>4864984.3191142427</v>
      </c>
      <c r="T345" s="187">
        <f>model_eui_end_uses!T345*base_building_arch_areas!$N$16</f>
        <v>230741.95132881525</v>
      </c>
      <c r="U345" s="187">
        <f>model_eui_end_uses!U345*base_building_arch_areas!$N$16</f>
        <v>0</v>
      </c>
      <c r="V345" s="187">
        <f>model_eui_end_uses!V345*base_building_arch_areas!$N$16</f>
        <v>500900.30189760379</v>
      </c>
      <c r="W345" s="187">
        <f>model_eui_end_uses!W345*base_building_arch_areas!$N$16</f>
        <v>416571.08559825242</v>
      </c>
      <c r="X345" s="187">
        <f>model_eui_end_uses!X345*base_building_arch_areas!$N$16</f>
        <v>126085.85216389989</v>
      </c>
      <c r="Y345" s="187">
        <f>model_eui_end_uses!Y345*base_building_arch_areas!$N$16</f>
        <v>0</v>
      </c>
      <c r="Z345" s="187">
        <f>model_eui_end_uses!Z345*base_building_arch_areas!$N$16</f>
        <v>341288.99096248916</v>
      </c>
      <c r="AA345" s="187">
        <f>model_eui_end_uses!AA345*base_building_arch_areas!$N$16</f>
        <v>139876.21204358118</v>
      </c>
      <c r="AB345" s="187">
        <f>model_eui_end_uses!AB345*base_building_arch_areas!$N$16</f>
        <v>0</v>
      </c>
      <c r="AC345" s="187">
        <f>model_eui_end_uses!AC345*base_building_arch_areas!$N$16</f>
        <v>6620448.7131088851</v>
      </c>
      <c r="AD345" s="187">
        <f>model_eui_end_uses!AD345*base_building_arch_areas!$N$16</f>
        <v>81352.363581500773</v>
      </c>
      <c r="AE345" s="187">
        <f>model_eui_end_uses!AE345*base_building_arch_areas!$N$16</f>
        <v>62307.679326336234</v>
      </c>
      <c r="AF345" s="187">
        <f t="shared" si="62"/>
        <v>143660.04290783702</v>
      </c>
      <c r="AG345" s="187">
        <f>model_eui_end_uses!AH345*base_building_arch_areas!$N$16</f>
        <v>1317.9082900203125</v>
      </c>
      <c r="AH345" s="187">
        <f>model_eui_end_uses!AI345*base_building_arch_areas!$N$16</f>
        <v>7040.7677638759951</v>
      </c>
      <c r="AI345" s="187">
        <f t="shared" si="63"/>
        <v>8358.6760538963081</v>
      </c>
      <c r="AJ345" s="200">
        <f>sim_annual_output!F345/sim_annual_output!H345*base_building_arch_areas!$N$16</f>
        <v>82115.653659024261</v>
      </c>
      <c r="AK345">
        <f t="shared" si="64"/>
        <v>9.8240024053506563</v>
      </c>
    </row>
    <row r="346" spans="1:37">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f>model_eui_end_uses!G346*base_scenario_arch_measures!$F346</f>
        <v>0</v>
      </c>
      <c r="H346">
        <f>model_eui_end_uses!H346*base_scenario_arch_measures!$F346</f>
        <v>26.587516983419093</v>
      </c>
      <c r="I346">
        <f>model_eui_end_uses!I346*base_scenario_arch_measures!$F346</f>
        <v>1.52944432867827</v>
      </c>
      <c r="J346">
        <f>model_eui_end_uses!J346*base_scenario_arch_measures!$F346</f>
        <v>0</v>
      </c>
      <c r="K346">
        <f>model_eui_end_uses!K346*base_scenario_arch_measures!$F346</f>
        <v>3.2388505677514354</v>
      </c>
      <c r="L346">
        <f>model_eui_end_uses!L346*base_scenario_arch_measures!$F346</f>
        <v>2.6935729365452517</v>
      </c>
      <c r="M346">
        <f>model_eui_end_uses!M346*base_scenario_arch_measures!$F346</f>
        <v>0.81527847421811328</v>
      </c>
      <c r="N346">
        <f>model_eui_end_uses!N346*base_scenario_arch_measures!$F346</f>
        <v>0</v>
      </c>
      <c r="O346">
        <f>model_eui_end_uses!O346*base_scenario_arch_measures!$F346</f>
        <v>2.2025041926519631</v>
      </c>
      <c r="P346">
        <f>model_eui_end_uses!P346*base_scenario_arch_measures!$F346</f>
        <v>0.90653493264645291</v>
      </c>
      <c r="Q346">
        <f>model_eui_end_uses!Q346*base_scenario_arch_measures!$F346</f>
        <v>0</v>
      </c>
      <c r="R346" s="187">
        <f>model_eui_end_uses!R346*base_building_arch_areas!$N$16</f>
        <v>0</v>
      </c>
      <c r="S346" s="187">
        <f>model_eui_end_uses!S346*base_building_arch_areas!$N$16</f>
        <v>4864984.3191142427</v>
      </c>
      <c r="T346" s="187">
        <f>model_eui_end_uses!T346*base_building_arch_areas!$N$16</f>
        <v>230741.95132881525</v>
      </c>
      <c r="U346" s="187">
        <f>model_eui_end_uses!U346*base_building_arch_areas!$N$16</f>
        <v>0</v>
      </c>
      <c r="V346" s="187">
        <f>model_eui_end_uses!V346*base_building_arch_areas!$N$16</f>
        <v>500900.30189760379</v>
      </c>
      <c r="W346" s="187">
        <f>model_eui_end_uses!W346*base_building_arch_areas!$N$16</f>
        <v>416571.08559825242</v>
      </c>
      <c r="X346" s="187">
        <f>model_eui_end_uses!X346*base_building_arch_areas!$N$16</f>
        <v>126085.85216389989</v>
      </c>
      <c r="Y346" s="187">
        <f>model_eui_end_uses!Y346*base_building_arch_areas!$N$16</f>
        <v>0</v>
      </c>
      <c r="Z346" s="187">
        <f>model_eui_end_uses!Z346*base_building_arch_areas!$N$16</f>
        <v>341288.99096248916</v>
      </c>
      <c r="AA346" s="187">
        <f>model_eui_end_uses!AA346*base_building_arch_areas!$N$16</f>
        <v>139876.21204358118</v>
      </c>
      <c r="AB346" s="187">
        <f>model_eui_end_uses!AB346*base_building_arch_areas!$N$16</f>
        <v>0</v>
      </c>
      <c r="AC346" s="187">
        <f>model_eui_end_uses!AC346*base_building_arch_areas!$N$16</f>
        <v>6620448.7131088851</v>
      </c>
      <c r="AD346" s="187">
        <f>model_eui_end_uses!AD346*base_building_arch_areas!$N$16</f>
        <v>753125.80476849724</v>
      </c>
      <c r="AE346" s="187">
        <f>model_eui_end_uses!AE346*base_building_arch_areas!$N$16</f>
        <v>-5451.585700159957</v>
      </c>
      <c r="AF346" s="187">
        <f t="shared" si="62"/>
        <v>747674.21906833723</v>
      </c>
      <c r="AG346" s="187">
        <f>model_eui_end_uses!AH346*base_building_arch_areas!$N$16</f>
        <v>12200.638037249655</v>
      </c>
      <c r="AH346" s="187">
        <f>model_eui_end_uses!AI346*base_building_arch_areas!$N$16</f>
        <v>-616.02918411807514</v>
      </c>
      <c r="AI346" s="187">
        <f t="shared" si="63"/>
        <v>11584.60885313158</v>
      </c>
      <c r="AJ346" s="200">
        <f>sim_annual_output!F346/sim_annual_output!H346*base_building_arch_areas!$N$16</f>
        <v>173383.01241891054</v>
      </c>
      <c r="AK346">
        <f t="shared" si="64"/>
        <v>14.96666953688654</v>
      </c>
    </row>
    <row r="347" spans="1:37">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f>model_eui_end_uses!G347*base_scenario_arch_measures!$F347</f>
        <v>0</v>
      </c>
      <c r="H347">
        <f>model_eui_end_uses!H347*base_scenario_arch_measures!$F347</f>
        <v>24.413885545720948</v>
      </c>
      <c r="I347">
        <f>model_eui_end_uses!I347*base_scenario_arch_measures!$F347</f>
        <v>0.17445405553422721</v>
      </c>
      <c r="J347">
        <f>model_eui_end_uses!J347*base_scenario_arch_measures!$F347</f>
        <v>0</v>
      </c>
      <c r="K347">
        <f>model_eui_end_uses!K347*base_scenario_arch_measures!$F347</f>
        <v>3.2388505677514354</v>
      </c>
      <c r="L347">
        <f>model_eui_end_uses!L347*base_scenario_arch_measures!$F347</f>
        <v>2.6935729365452517</v>
      </c>
      <c r="M347">
        <f>model_eui_end_uses!M347*base_scenario_arch_measures!$F347</f>
        <v>0.81527847421811328</v>
      </c>
      <c r="N347">
        <f>model_eui_end_uses!N347*base_scenario_arch_measures!$F347</f>
        <v>0</v>
      </c>
      <c r="O347">
        <f>model_eui_end_uses!O347*base_scenario_arch_measures!$F347</f>
        <v>2.2047073345962307</v>
      </c>
      <c r="P347">
        <f>model_eui_end_uses!P347*base_scenario_arch_measures!$F347</f>
        <v>0.89992550681365069</v>
      </c>
      <c r="Q347">
        <f>model_eui_end_uses!Q347*base_scenario_arch_measures!$F347</f>
        <v>0</v>
      </c>
      <c r="R347" s="187">
        <f>model_eui_end_uses!R347*base_building_arch_areas!$N$16</f>
        <v>0</v>
      </c>
      <c r="S347" s="187">
        <f>model_eui_end_uses!S347*base_building_arch_areas!$N$16</f>
        <v>4864984.3191142427</v>
      </c>
      <c r="T347" s="187">
        <f>model_eui_end_uses!T347*base_building_arch_areas!$N$16</f>
        <v>230741.95132881525</v>
      </c>
      <c r="U347" s="187">
        <f>model_eui_end_uses!U347*base_building_arch_areas!$N$16</f>
        <v>0</v>
      </c>
      <c r="V347" s="187">
        <f>model_eui_end_uses!V347*base_building_arch_areas!$N$16</f>
        <v>500900.30189760379</v>
      </c>
      <c r="W347" s="187">
        <f>model_eui_end_uses!W347*base_building_arch_areas!$N$16</f>
        <v>416571.08559825242</v>
      </c>
      <c r="X347" s="187">
        <f>model_eui_end_uses!X347*base_building_arch_areas!$N$16</f>
        <v>126085.85216389989</v>
      </c>
      <c r="Y347" s="187">
        <f>model_eui_end_uses!Y347*base_building_arch_areas!$N$16</f>
        <v>0</v>
      </c>
      <c r="Z347" s="187">
        <f>model_eui_end_uses!Z347*base_building_arch_areas!$N$16</f>
        <v>341288.99096248916</v>
      </c>
      <c r="AA347" s="187">
        <f>model_eui_end_uses!AA347*base_building_arch_areas!$N$16</f>
        <v>139876.21204358118</v>
      </c>
      <c r="AB347" s="187">
        <f>model_eui_end_uses!AB347*base_building_arch_areas!$N$16</f>
        <v>0</v>
      </c>
      <c r="AC347" s="187">
        <f>model_eui_end_uses!AC347*base_building_arch_areas!$N$16</f>
        <v>6620448.7131088851</v>
      </c>
      <c r="AD347" s="187">
        <f>model_eui_end_uses!AD347*base_building_arch_areas!$N$16</f>
        <v>1089286.0012893889</v>
      </c>
      <c r="AE347" s="187">
        <f>model_eui_end_uses!AE347*base_building_arch_areas!$N$16</f>
        <v>204784.15428611226</v>
      </c>
      <c r="AF347" s="187">
        <f t="shared" si="62"/>
        <v>1294070.155575501</v>
      </c>
      <c r="AG347" s="187">
        <f>model_eui_end_uses!AH347*base_building_arch_areas!$N$16</f>
        <v>17646.433220888095</v>
      </c>
      <c r="AH347" s="187">
        <f>model_eui_end_uses!AI347*base_building_arch_areas!$N$16</f>
        <v>23140.609434330683</v>
      </c>
      <c r="AI347" s="187">
        <f t="shared" si="63"/>
        <v>40787.042655218778</v>
      </c>
      <c r="AJ347" s="200">
        <f>sim_annual_output!F347/sim_annual_output!H347*base_building_arch_areas!$N$16</f>
        <v>71825.399300927165</v>
      </c>
      <c r="AK347">
        <f t="shared" si="64"/>
        <v>1.7609857107827593</v>
      </c>
    </row>
    <row r="348" spans="1:37">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f>model_eui_end_uses!G348*base_scenario_arch_measures!$F348</f>
        <v>0</v>
      </c>
      <c r="H348">
        <f>model_eui_end_uses!H348*base_scenario_arch_measures!$F348</f>
        <v>30.932808626549456</v>
      </c>
      <c r="I348">
        <f>model_eui_end_uses!I348*base_scenario_arch_measures!$F348</f>
        <v>1.5132106511941943</v>
      </c>
      <c r="J348">
        <f>model_eui_end_uses!J348*base_scenario_arch_measures!$F348</f>
        <v>0</v>
      </c>
      <c r="K348">
        <f>model_eui_end_uses!K348*base_scenario_arch_measures!$F348</f>
        <v>3.2388505677514354</v>
      </c>
      <c r="L348">
        <f>model_eui_end_uses!L348*base_scenario_arch_measures!$F348</f>
        <v>2.6935729365452517</v>
      </c>
      <c r="M348">
        <f>model_eui_end_uses!M348*base_scenario_arch_measures!$F348</f>
        <v>0.81527847421811328</v>
      </c>
      <c r="N348">
        <f>model_eui_end_uses!N348*base_scenario_arch_measures!$F348</f>
        <v>0</v>
      </c>
      <c r="O348">
        <f>model_eui_end_uses!O348*base_scenario_arch_measures!$F348</f>
        <v>2.2025041926519631</v>
      </c>
      <c r="P348">
        <f>model_eui_end_uses!P348*base_scenario_arch_measures!$F348</f>
        <v>0.90937582620616619</v>
      </c>
      <c r="Q348">
        <f>model_eui_end_uses!Q348*base_scenario_arch_measures!$F348</f>
        <v>0</v>
      </c>
      <c r="R348" s="187">
        <f>model_eui_end_uses!R348*base_building_arch_areas!$N$16</f>
        <v>0</v>
      </c>
      <c r="S348" s="187">
        <f>model_eui_end_uses!S348*base_building_arch_areas!$N$16</f>
        <v>4864984.3191142427</v>
      </c>
      <c r="T348" s="187">
        <f>model_eui_end_uses!T348*base_building_arch_areas!$N$16</f>
        <v>230741.95132881525</v>
      </c>
      <c r="U348" s="187">
        <f>model_eui_end_uses!U348*base_building_arch_areas!$N$16</f>
        <v>0</v>
      </c>
      <c r="V348" s="187">
        <f>model_eui_end_uses!V348*base_building_arch_areas!$N$16</f>
        <v>500900.30189760379</v>
      </c>
      <c r="W348" s="187">
        <f>model_eui_end_uses!W348*base_building_arch_areas!$N$16</f>
        <v>416571.08559825242</v>
      </c>
      <c r="X348" s="187">
        <f>model_eui_end_uses!X348*base_building_arch_areas!$N$16</f>
        <v>126085.85216389989</v>
      </c>
      <c r="Y348" s="187">
        <f>model_eui_end_uses!Y348*base_building_arch_areas!$N$16</f>
        <v>0</v>
      </c>
      <c r="Z348" s="187">
        <f>model_eui_end_uses!Z348*base_building_arch_areas!$N$16</f>
        <v>341288.99096248916</v>
      </c>
      <c r="AA348" s="187">
        <f>model_eui_end_uses!AA348*base_building_arch_areas!$N$16</f>
        <v>139876.21204358118</v>
      </c>
      <c r="AB348" s="187">
        <f>model_eui_end_uses!AB348*base_building_arch_areas!$N$16</f>
        <v>0</v>
      </c>
      <c r="AC348" s="187">
        <f>model_eui_end_uses!AC348*base_building_arch_areas!$N$16</f>
        <v>6620448.7131088851</v>
      </c>
      <c r="AD348" s="187">
        <f>model_eui_end_uses!AD348*base_building_arch_areas!$N$16</f>
        <v>81110.270137578962</v>
      </c>
      <c r="AE348" s="187">
        <f>model_eui_end_uses!AE348*base_building_arch_areas!$N$16</f>
        <v>-3380.3417910533376</v>
      </c>
      <c r="AF348" s="187">
        <f t="shared" si="62"/>
        <v>77729.92834652563</v>
      </c>
      <c r="AG348" s="187">
        <f>model_eui_end_uses!AH348*base_building_arch_areas!$N$16</f>
        <v>1313.9863762287789</v>
      </c>
      <c r="AH348" s="187">
        <f>model_eui_end_uses!AI348*base_building_arch_areas!$N$16</f>
        <v>-381.97862238902718</v>
      </c>
      <c r="AI348" s="187">
        <f t="shared" si="63"/>
        <v>932.00775383975179</v>
      </c>
      <c r="AJ348" s="200">
        <f>sim_annual_output!F348/sim_annual_output!H348*base_building_arch_areas!$N$16</f>
        <v>28066.087024941498</v>
      </c>
      <c r="AK348">
        <f t="shared" si="64"/>
        <v>30.113576747953907</v>
      </c>
    </row>
    <row r="349" spans="1:37">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f>model_eui_end_uses!G349*base_scenario_arch_measures!$F349</f>
        <v>0</v>
      </c>
      <c r="H349">
        <f>model_eui_end_uses!H349*base_scenario_arch_measures!$F349</f>
        <v>27.640966697296431</v>
      </c>
      <c r="I349">
        <f>model_eui_end_uses!I349*base_scenario_arch_measures!$F349</f>
        <v>1.5150079512013597</v>
      </c>
      <c r="J349">
        <f>model_eui_end_uses!J349*base_scenario_arch_measures!$F349</f>
        <v>0</v>
      </c>
      <c r="K349">
        <f>model_eui_end_uses!K349*base_scenario_arch_measures!$F349</f>
        <v>3.2388505677514354</v>
      </c>
      <c r="L349">
        <f>model_eui_end_uses!L349*base_scenario_arch_measures!$F349</f>
        <v>1.8855416397753864</v>
      </c>
      <c r="M349">
        <f>model_eui_end_uses!M349*base_scenario_arch_measures!$F349</f>
        <v>0.81527847421811328</v>
      </c>
      <c r="N349">
        <f>model_eui_end_uses!N349*base_scenario_arch_measures!$F349</f>
        <v>0</v>
      </c>
      <c r="O349">
        <f>model_eui_end_uses!O349*base_scenario_arch_measures!$F349</f>
        <v>1.0639436268224007</v>
      </c>
      <c r="P349">
        <f>model_eui_end_uses!P349*base_scenario_arch_measures!$F349</f>
        <v>0.71260046413133482</v>
      </c>
      <c r="Q349">
        <f>model_eui_end_uses!Q349*base_scenario_arch_measures!$F349</f>
        <v>0</v>
      </c>
      <c r="R349" s="187">
        <f>model_eui_end_uses!R349*base_building_arch_areas!$N$16</f>
        <v>0</v>
      </c>
      <c r="S349" s="187">
        <f>model_eui_end_uses!S349*base_building_arch_areas!$N$16</f>
        <v>4864984.3191142427</v>
      </c>
      <c r="T349" s="187">
        <f>model_eui_end_uses!T349*base_building_arch_areas!$N$16</f>
        <v>230741.95132881525</v>
      </c>
      <c r="U349" s="187">
        <f>model_eui_end_uses!U349*base_building_arch_areas!$N$16</f>
        <v>0</v>
      </c>
      <c r="V349" s="187">
        <f>model_eui_end_uses!V349*base_building_arch_areas!$N$16</f>
        <v>500900.30189760379</v>
      </c>
      <c r="W349" s="187">
        <f>model_eui_end_uses!W349*base_building_arch_areas!$N$16</f>
        <v>416571.08559825242</v>
      </c>
      <c r="X349" s="187">
        <f>model_eui_end_uses!X349*base_building_arch_areas!$N$16</f>
        <v>126085.85216389989</v>
      </c>
      <c r="Y349" s="187">
        <f>model_eui_end_uses!Y349*base_building_arch_areas!$N$16</f>
        <v>0</v>
      </c>
      <c r="Z349" s="187">
        <f>model_eui_end_uses!Z349*base_building_arch_areas!$N$16</f>
        <v>341288.99096248916</v>
      </c>
      <c r="AA349" s="187">
        <f>model_eui_end_uses!AA349*base_building_arch_areas!$N$16</f>
        <v>139876.21204358118</v>
      </c>
      <c r="AB349" s="187">
        <f>model_eui_end_uses!AB349*base_building_arch_areas!$N$16</f>
        <v>0</v>
      </c>
      <c r="AC349" s="187">
        <f>model_eui_end_uses!AC349*base_building_arch_areas!$N$16</f>
        <v>6620448.7131088851</v>
      </c>
      <c r="AD349" s="187">
        <f>model_eui_end_uses!AD349*base_building_arch_areas!$N$16</f>
        <v>590205.88343312079</v>
      </c>
      <c r="AE349" s="187">
        <f>model_eui_end_uses!AE349*base_building_arch_areas!$N$16</f>
        <v>327821.42234137008</v>
      </c>
      <c r="AF349" s="187">
        <f t="shared" si="62"/>
        <v>918027.30577449081</v>
      </c>
      <c r="AG349" s="187">
        <f>model_eui_end_uses!AH349*base_building_arch_areas!$N$16</f>
        <v>9561.3353116165563</v>
      </c>
      <c r="AH349" s="187">
        <f>model_eui_end_uses!AI349*base_building_arch_areas!$N$16</f>
        <v>37043.82072457482</v>
      </c>
      <c r="AI349" s="187">
        <f t="shared" si="63"/>
        <v>46605.156036191373</v>
      </c>
      <c r="AJ349" s="200">
        <f>sim_annual_output!F349/sim_annual_output!H349*base_building_arch_areas!$N$16</f>
        <v>614502.67556429398</v>
      </c>
      <c r="AK349">
        <f t="shared" si="64"/>
        <v>13.185293813566467</v>
      </c>
    </row>
    <row r="350" spans="1:37">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f>model_eui_end_uses!G350*base_scenario_arch_measures!$F350</f>
        <v>0</v>
      </c>
      <c r="H350">
        <f>model_eui_end_uses!H350*base_scenario_arch_measures!$F350</f>
        <v>28.948241554121207</v>
      </c>
      <c r="I350">
        <f>model_eui_end_uses!I350*base_scenario_arch_measures!$F350</f>
        <v>1.3979515410572569</v>
      </c>
      <c r="J350">
        <f>model_eui_end_uses!J350*base_scenario_arch_measures!$F350</f>
        <v>0</v>
      </c>
      <c r="K350">
        <f>model_eui_end_uses!K350*base_scenario_arch_measures!$F350</f>
        <v>3.2388505677514354</v>
      </c>
      <c r="L350">
        <f>model_eui_end_uses!L350*base_scenario_arch_measures!$F350</f>
        <v>2.6935729365452517</v>
      </c>
      <c r="M350">
        <f>model_eui_end_uses!M350*base_scenario_arch_measures!$F350</f>
        <v>0.81527847421811328</v>
      </c>
      <c r="N350">
        <f>model_eui_end_uses!N350*base_scenario_arch_measures!$F350</f>
        <v>0</v>
      </c>
      <c r="O350">
        <f>model_eui_end_uses!O350*base_scenario_arch_measures!$F350</f>
        <v>2.1602386537737805</v>
      </c>
      <c r="P350">
        <f>model_eui_end_uses!P350*base_scenario_arch_measures!$F350</f>
        <v>0.85823974213132781</v>
      </c>
      <c r="Q350">
        <f>model_eui_end_uses!Q350*base_scenario_arch_measures!$F350</f>
        <v>0</v>
      </c>
      <c r="R350" s="187">
        <f>model_eui_end_uses!R350*base_building_arch_areas!$N$16</f>
        <v>0</v>
      </c>
      <c r="S350" s="187">
        <f>model_eui_end_uses!S350*base_building_arch_areas!$N$16</f>
        <v>4864984.3191142427</v>
      </c>
      <c r="T350" s="187">
        <f>model_eui_end_uses!T350*base_building_arch_areas!$N$16</f>
        <v>230741.95132881525</v>
      </c>
      <c r="U350" s="187">
        <f>model_eui_end_uses!U350*base_building_arch_areas!$N$16</f>
        <v>0</v>
      </c>
      <c r="V350" s="187">
        <f>model_eui_end_uses!V350*base_building_arch_areas!$N$16</f>
        <v>500900.30189760379</v>
      </c>
      <c r="W350" s="187">
        <f>model_eui_end_uses!W350*base_building_arch_areas!$N$16</f>
        <v>416571.08559825242</v>
      </c>
      <c r="X350" s="187">
        <f>model_eui_end_uses!X350*base_building_arch_areas!$N$16</f>
        <v>126085.85216389989</v>
      </c>
      <c r="Y350" s="187">
        <f>model_eui_end_uses!Y350*base_building_arch_areas!$N$16</f>
        <v>0</v>
      </c>
      <c r="Z350" s="187">
        <f>model_eui_end_uses!Z350*base_building_arch_areas!$N$16</f>
        <v>341288.99096248916</v>
      </c>
      <c r="AA350" s="187">
        <f>model_eui_end_uses!AA350*base_building_arch_areas!$N$16</f>
        <v>139876.21204358118</v>
      </c>
      <c r="AB350" s="187">
        <f>model_eui_end_uses!AB350*base_building_arch_areas!$N$16</f>
        <v>0</v>
      </c>
      <c r="AC350" s="187">
        <f>model_eui_end_uses!AC350*base_building_arch_areas!$N$16</f>
        <v>6620448.7131088851</v>
      </c>
      <c r="AD350" s="187">
        <f>model_eui_end_uses!AD350*base_building_arch_areas!$N$16</f>
        <v>388030.95848705253</v>
      </c>
      <c r="AE350" s="187">
        <f>model_eui_end_uses!AE350*base_building_arch_areas!$N$16</f>
        <v>28889.817641308877</v>
      </c>
      <c r="AF350" s="187">
        <f t="shared" si="62"/>
        <v>416920.77612836141</v>
      </c>
      <c r="AG350" s="187">
        <f>model_eui_end_uses!AH350*base_building_arch_areas!$N$16</f>
        <v>6286.101527490252</v>
      </c>
      <c r="AH350" s="187">
        <f>model_eui_end_uses!AI350*base_building_arch_areas!$N$16</f>
        <v>3264.549393467903</v>
      </c>
      <c r="AI350" s="187">
        <f t="shared" si="63"/>
        <v>9550.6509209581545</v>
      </c>
      <c r="AJ350" s="200">
        <f>sim_annual_output!F350/sim_annual_output!H350*base_building_arch_areas!$N$16</f>
        <v>3686421.1394368913</v>
      </c>
      <c r="AK350">
        <f t="shared" si="64"/>
        <v>385.98637621100033</v>
      </c>
    </row>
    <row r="351" spans="1:37">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f>model_eui_end_uses!G351*base_scenario_arch_measures!$F351</f>
        <v>0</v>
      </c>
      <c r="H351">
        <f>model_eui_end_uses!H351*base_scenario_arch_measures!$F351</f>
        <v>29.47061810459093</v>
      </c>
      <c r="I351">
        <f>model_eui_end_uses!I351*base_scenario_arch_measures!$F351</f>
        <v>1.4435217928518409</v>
      </c>
      <c r="J351">
        <f>model_eui_end_uses!J351*base_scenario_arch_measures!$F351</f>
        <v>0</v>
      </c>
      <c r="K351">
        <f>model_eui_end_uses!K351*base_scenario_arch_measures!$F351</f>
        <v>3.2388505677514354</v>
      </c>
      <c r="L351">
        <f>model_eui_end_uses!L351*base_scenario_arch_measures!$F351</f>
        <v>2.6935729365452517</v>
      </c>
      <c r="M351">
        <f>model_eui_end_uses!M351*base_scenario_arch_measures!$F351</f>
        <v>0.81527847421811328</v>
      </c>
      <c r="N351">
        <f>model_eui_end_uses!N351*base_scenario_arch_measures!$F351</f>
        <v>0</v>
      </c>
      <c r="O351">
        <f>model_eui_end_uses!O351*base_scenario_arch_measures!$F351</f>
        <v>2.166268305410723</v>
      </c>
      <c r="P351">
        <f>model_eui_end_uses!P351*base_scenario_arch_measures!$F351</f>
        <v>0.86705230990839743</v>
      </c>
      <c r="Q351">
        <f>model_eui_end_uses!Q351*base_scenario_arch_measures!$F351</f>
        <v>0</v>
      </c>
      <c r="R351" s="187">
        <f>model_eui_end_uses!R351*base_building_arch_areas!$N$16</f>
        <v>0</v>
      </c>
      <c r="S351" s="187">
        <f>model_eui_end_uses!S351*base_building_arch_areas!$N$16</f>
        <v>4864984.3191142427</v>
      </c>
      <c r="T351" s="187">
        <f>model_eui_end_uses!T351*base_building_arch_areas!$N$16</f>
        <v>230741.95132881525</v>
      </c>
      <c r="U351" s="187">
        <f>model_eui_end_uses!U351*base_building_arch_areas!$N$16</f>
        <v>0</v>
      </c>
      <c r="V351" s="187">
        <f>model_eui_end_uses!V351*base_building_arch_areas!$N$16</f>
        <v>500900.30189760379</v>
      </c>
      <c r="W351" s="187">
        <f>model_eui_end_uses!W351*base_building_arch_areas!$N$16</f>
        <v>416571.08559825242</v>
      </c>
      <c r="X351" s="187">
        <f>model_eui_end_uses!X351*base_building_arch_areas!$N$16</f>
        <v>126085.85216389989</v>
      </c>
      <c r="Y351" s="187">
        <f>model_eui_end_uses!Y351*base_building_arch_areas!$N$16</f>
        <v>0</v>
      </c>
      <c r="Z351" s="187">
        <f>model_eui_end_uses!Z351*base_building_arch_areas!$N$16</f>
        <v>341288.99096248916</v>
      </c>
      <c r="AA351" s="187">
        <f>model_eui_end_uses!AA351*base_building_arch_areas!$N$16</f>
        <v>139876.21204358118</v>
      </c>
      <c r="AB351" s="187">
        <f>model_eui_end_uses!AB351*base_building_arch_areas!$N$16</f>
        <v>0</v>
      </c>
      <c r="AC351" s="187">
        <f>model_eui_end_uses!AC351*base_building_arch_areas!$N$16</f>
        <v>6620448.7131088851</v>
      </c>
      <c r="AD351" s="187">
        <f>model_eui_end_uses!AD351*base_building_arch_areas!$N$16</f>
        <v>307243.47960803518</v>
      </c>
      <c r="AE351" s="187">
        <f>model_eui_end_uses!AE351*base_building_arch_areas!$N$16</f>
        <v>19546.803990705721</v>
      </c>
      <c r="AF351" s="187">
        <f t="shared" si="62"/>
        <v>326790.28359874088</v>
      </c>
      <c r="AG351" s="187">
        <f>model_eui_end_uses!AH351*base_building_arch_areas!$N$16</f>
        <v>4977.3443696501699</v>
      </c>
      <c r="AH351" s="187">
        <f>model_eui_end_uses!AI351*base_building_arch_areas!$N$16</f>
        <v>2208.7888509497466</v>
      </c>
      <c r="AI351" s="187">
        <f t="shared" si="63"/>
        <v>7186.133220599917</v>
      </c>
      <c r="AJ351" s="200">
        <f>sim_annual_output!F351/sim_annual_output!H351*base_building_arch_areas!$N$16</f>
        <v>1574890.7725717591</v>
      </c>
      <c r="AK351">
        <f t="shared" si="64"/>
        <v>219.15691293575588</v>
      </c>
    </row>
    <row r="352" spans="1:37">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f>model_eui_end_uses!G352*base_scenario_arch_measures!$F352</f>
        <v>0</v>
      </c>
      <c r="H352">
        <f>model_eui_end_uses!H352*base_scenario_arch_measures!$F352</f>
        <v>30.775747796891025</v>
      </c>
      <c r="I352">
        <f>model_eui_end_uses!I352*base_scenario_arch_measures!$F352</f>
        <v>1.5242843383351172</v>
      </c>
      <c r="J352">
        <f>model_eui_end_uses!J352*base_scenario_arch_measures!$F352</f>
        <v>0</v>
      </c>
      <c r="K352">
        <f>model_eui_end_uses!K352*base_scenario_arch_measures!$F352</f>
        <v>3.2388505677514354</v>
      </c>
      <c r="L352">
        <f>model_eui_end_uses!L352*base_scenario_arch_measures!$F352</f>
        <v>2.6935729365452517</v>
      </c>
      <c r="M352">
        <f>model_eui_end_uses!M352*base_scenario_arch_measures!$F352</f>
        <v>0.81527847421811328</v>
      </c>
      <c r="N352">
        <f>model_eui_end_uses!N352*base_scenario_arch_measures!$F352</f>
        <v>0</v>
      </c>
      <c r="O352">
        <f>model_eui_end_uses!O352*base_scenario_arch_measures!$F352</f>
        <v>2.1957788119799893</v>
      </c>
      <c r="P352">
        <f>model_eui_end_uses!P352*base_scenario_arch_measures!$F352</f>
        <v>0.902186626177504</v>
      </c>
      <c r="Q352">
        <f>model_eui_end_uses!Q352*base_scenario_arch_measures!$F352</f>
        <v>0</v>
      </c>
      <c r="R352" s="187">
        <f>model_eui_end_uses!R352*base_building_arch_areas!$N$16</f>
        <v>0</v>
      </c>
      <c r="S352" s="187">
        <f>model_eui_end_uses!S352*base_building_arch_areas!$N$16</f>
        <v>4864984.3191142427</v>
      </c>
      <c r="T352" s="187">
        <f>model_eui_end_uses!T352*base_building_arch_areas!$N$16</f>
        <v>230741.95132881525</v>
      </c>
      <c r="U352" s="187">
        <f>model_eui_end_uses!U352*base_building_arch_areas!$N$16</f>
        <v>0</v>
      </c>
      <c r="V352" s="187">
        <f>model_eui_end_uses!V352*base_building_arch_areas!$N$16</f>
        <v>500900.30189760379</v>
      </c>
      <c r="W352" s="187">
        <f>model_eui_end_uses!W352*base_building_arch_areas!$N$16</f>
        <v>416571.08559825242</v>
      </c>
      <c r="X352" s="187">
        <f>model_eui_end_uses!X352*base_building_arch_areas!$N$16</f>
        <v>126085.85216389989</v>
      </c>
      <c r="Y352" s="187">
        <f>model_eui_end_uses!Y352*base_building_arch_areas!$N$16</f>
        <v>0</v>
      </c>
      <c r="Z352" s="187">
        <f>model_eui_end_uses!Z352*base_building_arch_areas!$N$16</f>
        <v>341288.99096248916</v>
      </c>
      <c r="AA352" s="187">
        <f>model_eui_end_uses!AA352*base_building_arch_areas!$N$16</f>
        <v>139876.21204358118</v>
      </c>
      <c r="AB352" s="187">
        <f>model_eui_end_uses!AB352*base_building_arch_areas!$N$16</f>
        <v>0</v>
      </c>
      <c r="AC352" s="187">
        <f>model_eui_end_uses!AC352*base_building_arch_areas!$N$16</f>
        <v>6620448.7131088851</v>
      </c>
      <c r="AD352" s="187">
        <f>model_eui_end_uses!AD352*base_building_arch_areas!$N$16</f>
        <v>105400.3123443775</v>
      </c>
      <c r="AE352" s="187">
        <f>model_eui_end_uses!AE352*base_building_arch_areas!$N$16</f>
        <v>-2940.9870224548686</v>
      </c>
      <c r="AF352" s="187">
        <f t="shared" si="62"/>
        <v>102459.32532192263</v>
      </c>
      <c r="AG352" s="187">
        <f>model_eui_end_uses!AH352*base_building_arch_areas!$N$16</f>
        <v>1707.4850599789154</v>
      </c>
      <c r="AH352" s="187">
        <f>model_eui_end_uses!AI352*base_building_arch_areas!$N$16</f>
        <v>-332.33153353740016</v>
      </c>
      <c r="AI352" s="187">
        <f t="shared" si="63"/>
        <v>1375.1535264415152</v>
      </c>
      <c r="AJ352" s="200">
        <f>sim_annual_output!F352/sim_annual_output!H352*base_building_arch_areas!$N$16</f>
        <v>12395753.00847552</v>
      </c>
      <c r="AK352">
        <f t="shared" si="64"/>
        <v>9014.0866238782874</v>
      </c>
    </row>
    <row r="353" spans="1:37">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f>model_eui_end_uses!G353*base_scenario_arch_measures!$F353</f>
        <v>0</v>
      </c>
      <c r="H353">
        <f>model_eui_end_uses!H353*base_scenario_arch_measures!$F353</f>
        <v>30.931243236220634</v>
      </c>
      <c r="I353">
        <f>model_eui_end_uses!I353*base_scenario_arch_measures!$F353</f>
        <v>1.5239364738176013</v>
      </c>
      <c r="J353">
        <f>model_eui_end_uses!J353*base_scenario_arch_measures!$F353</f>
        <v>0</v>
      </c>
      <c r="K353">
        <f>model_eui_end_uses!K353*base_scenario_arch_measures!$F353</f>
        <v>3.2388505677514354</v>
      </c>
      <c r="L353">
        <f>model_eui_end_uses!L353*base_scenario_arch_measures!$F353</f>
        <v>2.6935729365452517</v>
      </c>
      <c r="M353">
        <f>model_eui_end_uses!M353*base_scenario_arch_measures!$F353</f>
        <v>0.81527847421811328</v>
      </c>
      <c r="N353">
        <f>model_eui_end_uses!N353*base_scenario_arch_measures!$F353</f>
        <v>0</v>
      </c>
      <c r="O353">
        <f>model_eui_end_uses!O353*base_scenario_arch_measures!$F353</f>
        <v>1.0525800525835476</v>
      </c>
      <c r="P353">
        <f>model_eui_end_uses!P353*base_scenario_arch_measures!$F353</f>
        <v>0.90931784878658017</v>
      </c>
      <c r="Q353">
        <f>model_eui_end_uses!Q353*base_scenario_arch_measures!$F353</f>
        <v>0</v>
      </c>
      <c r="R353" s="187">
        <f>model_eui_end_uses!R353*base_building_arch_areas!$N$16</f>
        <v>0</v>
      </c>
      <c r="S353" s="187">
        <f>model_eui_end_uses!S353*base_building_arch_areas!$N$16</f>
        <v>4864984.3191142427</v>
      </c>
      <c r="T353" s="187">
        <f>model_eui_end_uses!T353*base_building_arch_areas!$N$16</f>
        <v>230741.95132881525</v>
      </c>
      <c r="U353" s="187">
        <f>model_eui_end_uses!U353*base_building_arch_areas!$N$16</f>
        <v>0</v>
      </c>
      <c r="V353" s="187">
        <f>model_eui_end_uses!V353*base_building_arch_areas!$N$16</f>
        <v>500900.30189760379</v>
      </c>
      <c r="W353" s="187">
        <f>model_eui_end_uses!W353*base_building_arch_areas!$N$16</f>
        <v>416571.08559825242</v>
      </c>
      <c r="X353" s="187">
        <f>model_eui_end_uses!X353*base_building_arch_areas!$N$16</f>
        <v>126085.85216389989</v>
      </c>
      <c r="Y353" s="187">
        <f>model_eui_end_uses!Y353*base_building_arch_areas!$N$16</f>
        <v>0</v>
      </c>
      <c r="Z353" s="187">
        <f>model_eui_end_uses!Z353*base_building_arch_areas!$N$16</f>
        <v>341288.99096248916</v>
      </c>
      <c r="AA353" s="187">
        <f>model_eui_end_uses!AA353*base_building_arch_areas!$N$16</f>
        <v>139876.21204358118</v>
      </c>
      <c r="AB353" s="187">
        <f>model_eui_end_uses!AB353*base_building_arch_areas!$N$16</f>
        <v>0</v>
      </c>
      <c r="AC353" s="187">
        <f>model_eui_end_uses!AC353*base_building_arch_areas!$N$16</f>
        <v>6620448.7131088851</v>
      </c>
      <c r="AD353" s="187">
        <f>model_eui_end_uses!AD353*base_building_arch_areas!$N$16</f>
        <v>81352.363581500773</v>
      </c>
      <c r="AE353" s="187">
        <f>model_eui_end_uses!AE353*base_building_arch_areas!$N$16</f>
        <v>172809.88684076539</v>
      </c>
      <c r="AF353" s="187">
        <f t="shared" si="62"/>
        <v>254162.25042226617</v>
      </c>
      <c r="AG353" s="187">
        <f>model_eui_end_uses!AH353*base_building_arch_areas!$N$16</f>
        <v>1317.9082900203125</v>
      </c>
      <c r="AH353" s="187">
        <f>model_eui_end_uses!AI353*base_building_arch_areas!$N$16</f>
        <v>19527.517213006493</v>
      </c>
      <c r="AI353" s="187">
        <f t="shared" si="63"/>
        <v>20845.425503026807</v>
      </c>
      <c r="AJ353" s="200">
        <f>sim_annual_output!F353/sim_annual_output!H353*base_building_arch_areas!$N$16</f>
        <v>20929.571206937413</v>
      </c>
      <c r="AK353">
        <f t="shared" si="64"/>
        <v>1.0040366508181082</v>
      </c>
    </row>
    <row r="354" spans="1:37">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f>model_eui_end_uses!G354*base_scenario_arch_measures!$F354</f>
        <v>0</v>
      </c>
      <c r="H354">
        <f>model_eui_end_uses!H354*base_scenario_arch_measures!$F354</f>
        <v>30.936809068500889</v>
      </c>
      <c r="I354">
        <f>model_eui_end_uses!I354*base_scenario_arch_measures!$F354</f>
        <v>1.5238205189784295</v>
      </c>
      <c r="J354">
        <f>model_eui_end_uses!J354*base_scenario_arch_measures!$F354</f>
        <v>0</v>
      </c>
      <c r="K354">
        <f>model_eui_end_uses!K354*base_scenario_arch_measures!$F354</f>
        <v>3.2388505677514354</v>
      </c>
      <c r="L354">
        <f>model_eui_end_uses!L354*base_scenario_arch_measures!$F354</f>
        <v>2.6935729365452517</v>
      </c>
      <c r="M354">
        <f>model_eui_end_uses!M354*base_scenario_arch_measures!$F354</f>
        <v>0.81527847421811328</v>
      </c>
      <c r="N354">
        <f>model_eui_end_uses!N354*base_scenario_arch_measures!$F354</f>
        <v>0</v>
      </c>
      <c r="O354">
        <f>model_eui_end_uses!O354*base_scenario_arch_measures!$F354</f>
        <v>2.1982718410221862</v>
      </c>
      <c r="P354">
        <f>model_eui_end_uses!P354*base_scenario_arch_measures!$F354</f>
        <v>0.90931784878658017</v>
      </c>
      <c r="Q354">
        <f>model_eui_end_uses!Q354*base_scenario_arch_measures!$F354</f>
        <v>0</v>
      </c>
      <c r="R354" s="187">
        <f>model_eui_end_uses!R354*base_building_arch_areas!$N$16</f>
        <v>0</v>
      </c>
      <c r="S354" s="187">
        <f>model_eui_end_uses!S354*base_building_arch_areas!$N$16</f>
        <v>4864984.3191142427</v>
      </c>
      <c r="T354" s="187">
        <f>model_eui_end_uses!T354*base_building_arch_areas!$N$16</f>
        <v>230741.95132881525</v>
      </c>
      <c r="U354" s="187">
        <f>model_eui_end_uses!U354*base_building_arch_areas!$N$16</f>
        <v>0</v>
      </c>
      <c r="V354" s="187">
        <f>model_eui_end_uses!V354*base_building_arch_areas!$N$16</f>
        <v>500900.30189760379</v>
      </c>
      <c r="W354" s="187">
        <f>model_eui_end_uses!W354*base_building_arch_areas!$N$16</f>
        <v>416571.08559825242</v>
      </c>
      <c r="X354" s="187">
        <f>model_eui_end_uses!X354*base_building_arch_areas!$N$16</f>
        <v>126085.85216389989</v>
      </c>
      <c r="Y354" s="187">
        <f>model_eui_end_uses!Y354*base_building_arch_areas!$N$16</f>
        <v>0</v>
      </c>
      <c r="Z354" s="187">
        <f>model_eui_end_uses!Z354*base_building_arch_areas!$N$16</f>
        <v>341288.99096248916</v>
      </c>
      <c r="AA354" s="187">
        <f>model_eui_end_uses!AA354*base_building_arch_areas!$N$16</f>
        <v>139876.21204358118</v>
      </c>
      <c r="AB354" s="187">
        <f>model_eui_end_uses!AB354*base_building_arch_areas!$N$16</f>
        <v>0</v>
      </c>
      <c r="AC354" s="187">
        <f>model_eui_end_uses!AC354*base_building_arch_areas!$N$16</f>
        <v>6620448.7131088851</v>
      </c>
      <c r="AD354" s="187">
        <f>model_eui_end_uses!AD354*base_building_arch_areas!$N$16</f>
        <v>80491.586892001535</v>
      </c>
      <c r="AE354" s="187">
        <f>model_eui_end_uses!AE354*base_building_arch_areas!$N$16</f>
        <v>-4357.6819905883649</v>
      </c>
      <c r="AF354" s="187">
        <f t="shared" si="62"/>
        <v>76133.904901413174</v>
      </c>
      <c r="AG354" s="187">
        <f>model_eui_end_uses!AH354*base_building_arch_areas!$N$16</f>
        <v>1303.9637076504248</v>
      </c>
      <c r="AH354" s="187">
        <f>model_eui_end_uses!AI354*base_building_arch_areas!$N$16</f>
        <v>-492.41806493648522</v>
      </c>
      <c r="AI354" s="187">
        <f t="shared" si="63"/>
        <v>811.54564271393951</v>
      </c>
      <c r="AJ354" s="200">
        <f>sim_annual_output!F354/sim_annual_output!H354*base_building_arch_areas!$N$16</f>
        <v>20628.069144524427</v>
      </c>
      <c r="AK354">
        <f t="shared" si="64"/>
        <v>25.418248905312137</v>
      </c>
    </row>
    <row r="355" spans="1:37">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f>model_eui_end_uses!G355*base_scenario_arch_measures!$F355</f>
        <v>0</v>
      </c>
      <c r="H355">
        <f>model_eui_end_uses!H355*base_scenario_arch_measures!$F355</f>
        <v>26.308703572630098</v>
      </c>
      <c r="I355">
        <f>model_eui_end_uses!I355*base_scenario_arch_measures!$F355</f>
        <v>1.5471274416519951</v>
      </c>
      <c r="J355">
        <f>model_eui_end_uses!J355*base_scenario_arch_measures!$F355</f>
        <v>0</v>
      </c>
      <c r="K355">
        <f>model_eui_end_uses!K355*base_scenario_arch_measures!$F355</f>
        <v>3.2388505677514354</v>
      </c>
      <c r="L355">
        <f>model_eui_end_uses!L355*base_scenario_arch_measures!$F355</f>
        <v>2.6935729365452517</v>
      </c>
      <c r="M355">
        <f>model_eui_end_uses!M355*base_scenario_arch_measures!$F355</f>
        <v>0.81527847421811328</v>
      </c>
      <c r="N355">
        <f>model_eui_end_uses!N355*base_scenario_arch_measures!$F355</f>
        <v>0</v>
      </c>
      <c r="O355">
        <f>model_eui_end_uses!O355*base_scenario_arch_measures!$F355</f>
        <v>2.2025621700715492</v>
      </c>
      <c r="P355">
        <f>model_eui_end_uses!P355*base_scenario_arch_measures!$F355</f>
        <v>0.90699875200314084</v>
      </c>
      <c r="Q355">
        <f>model_eui_end_uses!Q355*base_scenario_arch_measures!$F355</f>
        <v>0.45703599859631544</v>
      </c>
      <c r="R355" s="187">
        <f>model_eui_end_uses!R355*base_building_arch_areas!$N$16</f>
        <v>0</v>
      </c>
      <c r="S355" s="187">
        <f>model_eui_end_uses!S355*base_building_arch_areas!$N$16</f>
        <v>4864984.3191142427</v>
      </c>
      <c r="T355" s="187">
        <f>model_eui_end_uses!T355*base_building_arch_areas!$N$16</f>
        <v>230741.95132881525</v>
      </c>
      <c r="U355" s="187">
        <f>model_eui_end_uses!U355*base_building_arch_areas!$N$16</f>
        <v>0</v>
      </c>
      <c r="V355" s="187">
        <f>model_eui_end_uses!V355*base_building_arch_areas!$N$16</f>
        <v>500900.30189760379</v>
      </c>
      <c r="W355" s="187">
        <f>model_eui_end_uses!W355*base_building_arch_areas!$N$16</f>
        <v>416571.08559825242</v>
      </c>
      <c r="X355" s="187">
        <f>model_eui_end_uses!X355*base_building_arch_areas!$N$16</f>
        <v>126085.85216389989</v>
      </c>
      <c r="Y355" s="187">
        <f>model_eui_end_uses!Y355*base_building_arch_areas!$N$16</f>
        <v>0</v>
      </c>
      <c r="Z355" s="187">
        <f>model_eui_end_uses!Z355*base_building_arch_areas!$N$16</f>
        <v>341288.99096248916</v>
      </c>
      <c r="AA355" s="187">
        <f>model_eui_end_uses!AA355*base_building_arch_areas!$N$16</f>
        <v>139876.21204358118</v>
      </c>
      <c r="AB355" s="187">
        <f>model_eui_end_uses!AB355*base_building_arch_areas!$N$16</f>
        <v>0</v>
      </c>
      <c r="AC355" s="187">
        <f>model_eui_end_uses!AC355*base_building_arch_areas!$N$16</f>
        <v>6620448.7131088851</v>
      </c>
      <c r="AD355" s="187">
        <f>model_eui_end_uses!AD355*base_building_arch_areas!$N$16</f>
        <v>796245.33705808548</v>
      </c>
      <c r="AE355" s="187">
        <f>model_eui_end_uses!AE355*base_building_arch_areas!$N$16</f>
        <v>-78949.361989982775</v>
      </c>
      <c r="AF355" s="187">
        <f t="shared" si="62"/>
        <v>717295.97506810271</v>
      </c>
      <c r="AG355" s="187">
        <f>model_eui_end_uses!AH355*base_building_arch_areas!$N$16</f>
        <v>12899.174460340982</v>
      </c>
      <c r="AH355" s="187">
        <f>model_eui_end_uses!AI355*base_building_arch_areas!$N$16</f>
        <v>-8921.2779048680532</v>
      </c>
      <c r="AI355" s="187">
        <f t="shared" si="63"/>
        <v>3977.8965554729293</v>
      </c>
      <c r="AJ355" s="200">
        <f>sim_annual_output!F355/sim_annual_output!H355*base_building_arch_areas!$N$16</f>
        <v>1243754.4773615927</v>
      </c>
      <c r="AK355">
        <f t="shared" si="64"/>
        <v>312.66637028315677</v>
      </c>
    </row>
    <row r="356" spans="1:37">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f>model_eui_end_uses!G356*base_scenario_arch_measures!$F356</f>
        <v>0</v>
      </c>
      <c r="H356">
        <f>model_eui_end_uses!H356*base_scenario_arch_measures!$F356</f>
        <v>18.693543442269796</v>
      </c>
      <c r="I356">
        <f>model_eui_end_uses!I356*base_scenario_arch_measures!$F356</f>
        <v>1.271850653457741</v>
      </c>
      <c r="J356">
        <f>model_eui_end_uses!J356*base_scenario_arch_measures!$F356</f>
        <v>0</v>
      </c>
      <c r="K356">
        <f>model_eui_end_uses!K356*base_scenario_arch_measures!$F356</f>
        <v>3.2386766354926775</v>
      </c>
      <c r="L356">
        <f>model_eui_end_uses!L356*base_scenario_arch_measures!$F356</f>
        <v>2.6935729365452517</v>
      </c>
      <c r="M356">
        <f>model_eui_end_uses!M356*base_scenario_arch_measures!$F356</f>
        <v>0.81527847421811328</v>
      </c>
      <c r="N356">
        <f>model_eui_end_uses!N356*base_scenario_arch_measures!$F356</f>
        <v>0</v>
      </c>
      <c r="O356">
        <f>model_eui_end_uses!O356*base_scenario_arch_measures!$F356</f>
        <v>1.9398085045078679</v>
      </c>
      <c r="P356">
        <f>model_eui_end_uses!P356*base_scenario_arch_measures!$F356</f>
        <v>0.60076202174997095</v>
      </c>
      <c r="Q356">
        <f>model_eui_end_uses!Q356*base_scenario_arch_measures!$F356</f>
        <v>0</v>
      </c>
      <c r="R356" s="187">
        <f>model_eui_end_uses!R356*base_building_arch_areas!$N$16</f>
        <v>0</v>
      </c>
      <c r="S356" s="187">
        <f>model_eui_end_uses!S356*base_building_arch_areas!$N$16</f>
        <v>4864984.3191142427</v>
      </c>
      <c r="T356" s="187">
        <f>model_eui_end_uses!T356*base_building_arch_areas!$N$16</f>
        <v>230741.95132881525</v>
      </c>
      <c r="U356" s="187">
        <f>model_eui_end_uses!U356*base_building_arch_areas!$N$16</f>
        <v>0</v>
      </c>
      <c r="V356" s="187">
        <f>model_eui_end_uses!V356*base_building_arch_areas!$N$16</f>
        <v>500900.30189760379</v>
      </c>
      <c r="W356" s="187">
        <f>model_eui_end_uses!W356*base_building_arch_areas!$N$16</f>
        <v>416571.08559825242</v>
      </c>
      <c r="X356" s="187">
        <f>model_eui_end_uses!X356*base_building_arch_areas!$N$16</f>
        <v>126085.85216389989</v>
      </c>
      <c r="Y356" s="187">
        <f>model_eui_end_uses!Y356*base_building_arch_areas!$N$16</f>
        <v>0</v>
      </c>
      <c r="Z356" s="187">
        <f>model_eui_end_uses!Z356*base_building_arch_areas!$N$16</f>
        <v>341288.99096248916</v>
      </c>
      <c r="AA356" s="187">
        <f>model_eui_end_uses!AA356*base_building_arch_areas!$N$16</f>
        <v>139876.21204358118</v>
      </c>
      <c r="AB356" s="187">
        <f>model_eui_end_uses!AB356*base_building_arch_areas!$N$16</f>
        <v>0</v>
      </c>
      <c r="AC356" s="187">
        <f>model_eui_end_uses!AC356*base_building_arch_areas!$N$16</f>
        <v>6620448.7131088851</v>
      </c>
      <c r="AD356" s="187">
        <f>model_eui_end_uses!AD356*base_building_arch_areas!$N$16</f>
        <v>1973985.1096173406</v>
      </c>
      <c r="AE356" s="187">
        <f>model_eui_end_uses!AE356*base_building_arch_areas!$N$16</f>
        <v>122302.02129964402</v>
      </c>
      <c r="AF356" s="187">
        <f t="shared" si="62"/>
        <v>2096287.1309169848</v>
      </c>
      <c r="AG356" s="187">
        <f>model_eui_end_uses!AH356*base_building_arch_areas!$N$16</f>
        <v>31978.558775800921</v>
      </c>
      <c r="AH356" s="187">
        <f>model_eui_end_uses!AI356*base_building_arch_areas!$N$16</f>
        <v>13820.128406859776</v>
      </c>
      <c r="AI356" s="187">
        <f t="shared" si="63"/>
        <v>45798.687182660695</v>
      </c>
      <c r="AJ356" s="200">
        <f>sim_annual_output!F356/sim_annual_output!H356*base_building_arch_areas!$N$16</f>
        <v>216162.47363665988</v>
      </c>
      <c r="AK356">
        <f t="shared" si="64"/>
        <v>4.7198399546810288</v>
      </c>
    </row>
    <row r="357" spans="1:37">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f>model_eui_end_uses!G357*base_scenario_arch_measures!$F357</f>
        <v>0</v>
      </c>
      <c r="H357">
        <f>model_eui_end_uses!H357*base_scenario_arch_measures!$F357</f>
        <v>16.872878535011125</v>
      </c>
      <c r="I357">
        <f>model_eui_end_uses!I357*base_scenario_arch_measures!$F357</f>
        <v>1.2494133920779649</v>
      </c>
      <c r="J357">
        <f>model_eui_end_uses!J357*base_scenario_arch_measures!$F357</f>
        <v>0</v>
      </c>
      <c r="K357">
        <f>model_eui_end_uses!K357*base_scenario_arch_measures!$F357</f>
        <v>3.2386186580730909</v>
      </c>
      <c r="L357">
        <f>model_eui_end_uses!L357*base_scenario_arch_measures!$F357</f>
        <v>2.6935729365452517</v>
      </c>
      <c r="M357">
        <f>model_eui_end_uses!M357*base_scenario_arch_measures!$F357</f>
        <v>0.81527847421811328</v>
      </c>
      <c r="N357">
        <f>model_eui_end_uses!N357*base_scenario_arch_measures!$F357</f>
        <v>0</v>
      </c>
      <c r="O357">
        <f>model_eui_end_uses!O357*base_scenario_arch_measures!$F357</f>
        <v>1.9371995206264987</v>
      </c>
      <c r="P357">
        <f>model_eui_end_uses!P357*base_scenario_arch_measures!$F357</f>
        <v>0.61502446696812307</v>
      </c>
      <c r="Q357">
        <f>model_eui_end_uses!Q357*base_scenario_arch_measures!$F357</f>
        <v>0</v>
      </c>
      <c r="R357" s="187">
        <f>model_eui_end_uses!R357*base_building_arch_areas!$N$16</f>
        <v>0</v>
      </c>
      <c r="S357" s="187">
        <f>model_eui_end_uses!S357*base_building_arch_areas!$N$16</f>
        <v>4864984.3191142427</v>
      </c>
      <c r="T357" s="187">
        <f>model_eui_end_uses!T357*base_building_arch_areas!$N$16</f>
        <v>230741.95132881525</v>
      </c>
      <c r="U357" s="187">
        <f>model_eui_end_uses!U357*base_building_arch_areas!$N$16</f>
        <v>0</v>
      </c>
      <c r="V357" s="187">
        <f>model_eui_end_uses!V357*base_building_arch_areas!$N$16</f>
        <v>500900.30189760379</v>
      </c>
      <c r="W357" s="187">
        <f>model_eui_end_uses!W357*base_building_arch_areas!$N$16</f>
        <v>416571.08559825242</v>
      </c>
      <c r="X357" s="187">
        <f>model_eui_end_uses!X357*base_building_arch_areas!$N$16</f>
        <v>126085.85216389989</v>
      </c>
      <c r="Y357" s="187">
        <f>model_eui_end_uses!Y357*base_building_arch_areas!$N$16</f>
        <v>0</v>
      </c>
      <c r="Z357" s="187">
        <f>model_eui_end_uses!Z357*base_building_arch_areas!$N$16</f>
        <v>341288.99096248916</v>
      </c>
      <c r="AA357" s="187">
        <f>model_eui_end_uses!AA357*base_building_arch_areas!$N$16</f>
        <v>139876.21204358118</v>
      </c>
      <c r="AB357" s="187">
        <f>model_eui_end_uses!AB357*base_building_arch_areas!$N$16</f>
        <v>0</v>
      </c>
      <c r="AC357" s="187">
        <f>model_eui_end_uses!AC357*base_building_arch_areas!$N$16</f>
        <v>6620448.7131088851</v>
      </c>
      <c r="AD357" s="187">
        <f>model_eui_end_uses!AD357*base_building_arch_areas!$N$16</f>
        <v>2255566.6841696887</v>
      </c>
      <c r="AE357" s="187">
        <f>model_eui_end_uses!AE357*base_building_arch_areas!$N$16</f>
        <v>123969.77613554834</v>
      </c>
      <c r="AF357" s="187">
        <f t="shared" si="62"/>
        <v>2379536.4603052372</v>
      </c>
      <c r="AG357" s="187">
        <f>model_eui_end_uses!AH357*base_building_arch_areas!$N$16</f>
        <v>36540.180283548958</v>
      </c>
      <c r="AH357" s="187">
        <f>model_eui_end_uses!AI357*base_building_arch_areas!$N$16</f>
        <v>14008.584703316963</v>
      </c>
      <c r="AI357" s="187">
        <f t="shared" si="63"/>
        <v>50548.764986865921</v>
      </c>
      <c r="AJ357" s="200">
        <f>sim_annual_output!F357/sim_annual_output!H357*base_building_arch_areas!$N$16</f>
        <v>315447.03332814958</v>
      </c>
      <c r="AK357">
        <f t="shared" si="64"/>
        <v>6.2404498588662287</v>
      </c>
    </row>
    <row r="358" spans="1:37">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f>model_eui_end_uses!G358*base_scenario_arch_measures!$F358</f>
        <v>0</v>
      </c>
      <c r="H358">
        <f>model_eui_end_uses!H358*base_scenario_arch_measures!$F358</f>
        <v>31.924280478889376</v>
      </c>
      <c r="I358">
        <f>model_eui_end_uses!I358*base_scenario_arch_measures!$F358</f>
        <v>1.5095580737602772</v>
      </c>
      <c r="J358">
        <f>model_eui_end_uses!J358*base_scenario_arch_measures!$F358</f>
        <v>0</v>
      </c>
      <c r="K358">
        <f>model_eui_end_uses!K358*base_scenario_arch_measures!$F358</f>
        <v>3.2388505677514354</v>
      </c>
      <c r="L358">
        <f>model_eui_end_uses!L358*base_scenario_arch_measures!$F358</f>
        <v>1.8855416397753864</v>
      </c>
      <c r="M358">
        <f>model_eui_end_uses!M358*base_scenario_arch_measures!$F358</f>
        <v>0.81527847421811328</v>
      </c>
      <c r="N358">
        <f>model_eui_end_uses!N358*base_scenario_arch_measures!$F358</f>
        <v>0</v>
      </c>
      <c r="O358">
        <f>model_eui_end_uses!O358*base_scenario_arch_measures!$F358</f>
        <v>2.2132879926949562</v>
      </c>
      <c r="P358">
        <f>model_eui_end_uses!P358*base_scenario_arch_measures!$F358</f>
        <v>0.91297042622049718</v>
      </c>
      <c r="Q358">
        <f>model_eui_end_uses!Q358*base_scenario_arch_measures!$F358</f>
        <v>0</v>
      </c>
      <c r="R358" s="187">
        <f>model_eui_end_uses!R358*base_building_arch_areas!$N$16</f>
        <v>0</v>
      </c>
      <c r="S358" s="187">
        <f>model_eui_end_uses!S358*base_building_arch_areas!$N$16</f>
        <v>4864984.3191142427</v>
      </c>
      <c r="T358" s="187">
        <f>model_eui_end_uses!T358*base_building_arch_areas!$N$16</f>
        <v>230741.95132881525</v>
      </c>
      <c r="U358" s="187">
        <f>model_eui_end_uses!U358*base_building_arch_areas!$N$16</f>
        <v>0</v>
      </c>
      <c r="V358" s="187">
        <f>model_eui_end_uses!V358*base_building_arch_areas!$N$16</f>
        <v>500900.30189760379</v>
      </c>
      <c r="W358" s="187">
        <f>model_eui_end_uses!W358*base_building_arch_areas!$N$16</f>
        <v>416571.08559825242</v>
      </c>
      <c r="X358" s="187">
        <f>model_eui_end_uses!X358*base_building_arch_areas!$N$16</f>
        <v>126085.85216389989</v>
      </c>
      <c r="Y358" s="187">
        <f>model_eui_end_uses!Y358*base_building_arch_areas!$N$16</f>
        <v>0</v>
      </c>
      <c r="Z358" s="187">
        <f>model_eui_end_uses!Z358*base_building_arch_areas!$N$16</f>
        <v>341288.99096248916</v>
      </c>
      <c r="AA358" s="187">
        <f>model_eui_end_uses!AA358*base_building_arch_areas!$N$16</f>
        <v>139876.21204358118</v>
      </c>
      <c r="AB358" s="187">
        <f>model_eui_end_uses!AB358*base_building_arch_areas!$N$16</f>
        <v>0</v>
      </c>
      <c r="AC358" s="187">
        <f>model_eui_end_uses!AC358*base_building_arch_areas!$N$16</f>
        <v>6620448.7131088851</v>
      </c>
      <c r="AD358" s="187">
        <f>model_eui_end_uses!AD358*base_building_arch_areas!$N$16</f>
        <v>-72224.544103272434</v>
      </c>
      <c r="AE358" s="187">
        <f>model_eui_end_uses!AE358*base_building_arch_areas!$N$16</f>
        <v>119925.91897967304</v>
      </c>
      <c r="AF358" s="187">
        <f t="shared" si="62"/>
        <v>47701.374876400601</v>
      </c>
      <c r="AG358" s="187">
        <f>model_eui_end_uses!AH358*base_building_arch_areas!$N$16</f>
        <v>-1170.0376144730133</v>
      </c>
      <c r="AH358" s="187">
        <f>model_eui_end_uses!AI358*base_building_arch_areas!$N$16</f>
        <v>13551.628844703053</v>
      </c>
      <c r="AI358" s="187">
        <f t="shared" si="63"/>
        <v>12381.59123023004</v>
      </c>
      <c r="AJ358" s="200">
        <f>sim_annual_output!F358/sim_annual_output!H358*base_building_arch_areas!$N$16</f>
        <v>329954.14889362839</v>
      </c>
      <c r="AK358">
        <f t="shared" si="64"/>
        <v>26.648767735768491</v>
      </c>
    </row>
    <row r="359" spans="1:37">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f>model_eui_end_uses!G359*base_scenario_arch_measures!$F359</f>
        <v>0</v>
      </c>
      <c r="H359">
        <f>model_eui_end_uses!H359*base_scenario_arch_measures!$F359</f>
        <v>11.423175026187344</v>
      </c>
      <c r="I359">
        <f>model_eui_end_uses!I359*base_scenario_arch_measures!$F359</f>
        <v>1.2494133920779649</v>
      </c>
      <c r="J359">
        <f>model_eui_end_uses!J359*base_scenario_arch_measures!$F359</f>
        <v>0</v>
      </c>
      <c r="K359">
        <f>model_eui_end_uses!K359*base_scenario_arch_measures!$F359</f>
        <v>3.2386186580730909</v>
      </c>
      <c r="L359">
        <f>model_eui_end_uses!L359*base_scenario_arch_measures!$F359</f>
        <v>2.6935729365452517</v>
      </c>
      <c r="M359">
        <f>model_eui_end_uses!M359*base_scenario_arch_measures!$F359</f>
        <v>0.81527847421811328</v>
      </c>
      <c r="N359">
        <f>model_eui_end_uses!N359*base_scenario_arch_measures!$F359</f>
        <v>0</v>
      </c>
      <c r="O359">
        <f>model_eui_end_uses!O359*base_scenario_arch_measures!$F359</f>
        <v>1.9372574980460846</v>
      </c>
      <c r="P359">
        <f>model_eui_end_uses!P359*base_scenario_arch_measures!$F359</f>
        <v>0.54579942798245762</v>
      </c>
      <c r="Q359">
        <f>model_eui_end_uses!Q359*base_scenario_arch_measures!$F359</f>
        <v>0</v>
      </c>
      <c r="R359" s="187">
        <f>model_eui_end_uses!R359*base_building_arch_areas!$N$16</f>
        <v>0</v>
      </c>
      <c r="S359" s="187">
        <f>model_eui_end_uses!S359*base_building_arch_areas!$N$16</f>
        <v>4864984.3191142427</v>
      </c>
      <c r="T359" s="187">
        <f>model_eui_end_uses!T359*base_building_arch_areas!$N$16</f>
        <v>230741.95132881525</v>
      </c>
      <c r="U359" s="187">
        <f>model_eui_end_uses!U359*base_building_arch_areas!$N$16</f>
        <v>0</v>
      </c>
      <c r="V359" s="187">
        <f>model_eui_end_uses!V359*base_building_arch_areas!$N$16</f>
        <v>500900.30189760379</v>
      </c>
      <c r="W359" s="187">
        <f>model_eui_end_uses!W359*base_building_arch_areas!$N$16</f>
        <v>416571.08559825242</v>
      </c>
      <c r="X359" s="187">
        <f>model_eui_end_uses!X359*base_building_arch_areas!$N$16</f>
        <v>126085.85216389989</v>
      </c>
      <c r="Y359" s="187">
        <f>model_eui_end_uses!Y359*base_building_arch_areas!$N$16</f>
        <v>0</v>
      </c>
      <c r="Z359" s="187">
        <f>model_eui_end_uses!Z359*base_building_arch_areas!$N$16</f>
        <v>341288.99096248916</v>
      </c>
      <c r="AA359" s="187">
        <f>model_eui_end_uses!AA359*base_building_arch_areas!$N$16</f>
        <v>139876.21204358118</v>
      </c>
      <c r="AB359" s="187">
        <f>model_eui_end_uses!AB359*base_building_arch_areas!$N$16</f>
        <v>0</v>
      </c>
      <c r="AC359" s="187">
        <f>model_eui_end_uses!AC359*base_building_arch_areas!$N$16</f>
        <v>6620448.7131088851</v>
      </c>
      <c r="AD359" s="187">
        <f>model_eui_end_uses!AD359*base_building_arch_areas!$N$16</f>
        <v>3098383.6266992078</v>
      </c>
      <c r="AE359" s="187">
        <f>model_eui_end_uses!AE359*base_building_arch_areas!$N$16</f>
        <v>134666.71978734262</v>
      </c>
      <c r="AF359" s="187">
        <f t="shared" si="62"/>
        <v>3233050.3464865503</v>
      </c>
      <c r="AG359" s="187">
        <f>model_eui_end_uses!AH359*base_building_arch_areas!$N$16</f>
        <v>50193.814752527163</v>
      </c>
      <c r="AH359" s="187">
        <f>model_eui_end_uses!AI359*base_building_arch_areas!$N$16</f>
        <v>15217.339335969715</v>
      </c>
      <c r="AI359" s="187">
        <f t="shared" si="63"/>
        <v>65411.154088496878</v>
      </c>
      <c r="AJ359" s="200">
        <f>sim_annual_output!F359/sim_annual_output!H359*base_building_arch_areas!$N$16</f>
        <v>319243.40968334372</v>
      </c>
      <c r="AK359">
        <f t="shared" si="64"/>
        <v>4.8805653123231689</v>
      </c>
    </row>
    <row r="360" spans="1:37">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f>model_eui_end_uses!G360*base_scenario_arch_measures!$F360</f>
        <v>0</v>
      </c>
      <c r="H360">
        <f>model_eui_end_uses!H360*base_scenario_arch_measures!$F360</f>
        <v>29.580021495349683</v>
      </c>
      <c r="I360">
        <f>model_eui_end_uses!I360*base_scenario_arch_measures!$F360</f>
        <v>1.7594987295954563</v>
      </c>
      <c r="J360">
        <f>model_eui_end_uses!J360*base_scenario_arch_measures!$F360</f>
        <v>0</v>
      </c>
      <c r="K360">
        <f>model_eui_end_uses!K360*base_scenario_arch_measures!$F360</f>
        <v>3.2387346129122632</v>
      </c>
      <c r="L360">
        <f>model_eui_end_uses!L360*base_scenario_arch_measures!$F360</f>
        <v>2.6935729365452517</v>
      </c>
      <c r="M360">
        <f>model_eui_end_uses!M360*base_scenario_arch_measures!$F360</f>
        <v>0.81527847421811328</v>
      </c>
      <c r="N360">
        <f>model_eui_end_uses!N360*base_scenario_arch_measures!$F360</f>
        <v>0</v>
      </c>
      <c r="O360">
        <f>model_eui_end_uses!O360*base_scenario_arch_measures!$F360</f>
        <v>2.2685404735603996</v>
      </c>
      <c r="P360">
        <f>model_eui_end_uses!P360*base_scenario_arch_measures!$F360</f>
        <v>0.98144175875154482</v>
      </c>
      <c r="Q360">
        <f>model_eui_end_uses!Q360*base_scenario_arch_measures!$F360</f>
        <v>0</v>
      </c>
      <c r="R360" s="187">
        <f>model_eui_end_uses!R360*base_building_arch_areas!$N$16</f>
        <v>0</v>
      </c>
      <c r="S360" s="187">
        <f>model_eui_end_uses!S360*base_building_arch_areas!$N$16</f>
        <v>4864984.3191142427</v>
      </c>
      <c r="T360" s="187">
        <f>model_eui_end_uses!T360*base_building_arch_areas!$N$16</f>
        <v>230741.95132881525</v>
      </c>
      <c r="U360" s="187">
        <f>model_eui_end_uses!U360*base_building_arch_areas!$N$16</f>
        <v>0</v>
      </c>
      <c r="V360" s="187">
        <f>model_eui_end_uses!V360*base_building_arch_areas!$N$16</f>
        <v>500900.30189760379</v>
      </c>
      <c r="W360" s="187">
        <f>model_eui_end_uses!W360*base_building_arch_areas!$N$16</f>
        <v>416571.08559825242</v>
      </c>
      <c r="X360" s="187">
        <f>model_eui_end_uses!X360*base_building_arch_areas!$N$16</f>
        <v>126085.85216389989</v>
      </c>
      <c r="Y360" s="187">
        <f>model_eui_end_uses!Y360*base_building_arch_areas!$N$16</f>
        <v>0</v>
      </c>
      <c r="Z360" s="187">
        <f>model_eui_end_uses!Z360*base_building_arch_areas!$N$16</f>
        <v>341288.99096248916</v>
      </c>
      <c r="AA360" s="187">
        <f>model_eui_end_uses!AA360*base_building_arch_areas!$N$16</f>
        <v>139876.21204358118</v>
      </c>
      <c r="AB360" s="187">
        <f>model_eui_end_uses!AB360*base_building_arch_areas!$N$16</f>
        <v>0</v>
      </c>
      <c r="AC360" s="187">
        <f>model_eui_end_uses!AC360*base_building_arch_areas!$N$16</f>
        <v>6620448.7131088851</v>
      </c>
      <c r="AD360" s="187">
        <f>model_eui_end_uses!AD360*base_building_arch_areas!$N$16</f>
        <v>290341.77065276849</v>
      </c>
      <c r="AE360" s="187">
        <f>model_eui_end_uses!AE360*base_building_arch_areas!$N$16</f>
        <v>-62827.731909575101</v>
      </c>
      <c r="AF360" s="187">
        <f t="shared" si="62"/>
        <v>227514.03874319338</v>
      </c>
      <c r="AG360" s="187">
        <f>model_eui_end_uses!AH360*base_building_arch_areas!$N$16</f>
        <v>4703.5366845748495</v>
      </c>
      <c r="AH360" s="187">
        <f>model_eui_end_uses!AI360*base_building_arch_areas!$N$16</f>
        <v>-7099.5337057819861</v>
      </c>
      <c r="AI360" s="187">
        <f t="shared" si="63"/>
        <v>-2395.9970212071366</v>
      </c>
      <c r="AJ360" s="200">
        <f>sim_annual_output!F360/sim_annual_output!H360*base_building_arch_areas!$N$16</f>
        <v>99284.559691489674</v>
      </c>
      <c r="AK360">
        <f t="shared" si="64"/>
        <v>-41.437680770349509</v>
      </c>
    </row>
    <row r="361" spans="1:37">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f>model_eui_end_uses!G361*base_scenario_arch_measures!$F361</f>
        <v>0</v>
      </c>
      <c r="H361">
        <f>model_eui_end_uses!H361*base_scenario_arch_measures!$F361</f>
        <v>5.2304908853691732</v>
      </c>
      <c r="I361">
        <f>model_eui_end_uses!I361*base_scenario_arch_measures!$F361</f>
        <v>0.1793821361990359</v>
      </c>
      <c r="J361">
        <f>model_eui_end_uses!J361*base_scenario_arch_measures!$F361</f>
        <v>0</v>
      </c>
      <c r="K361">
        <f>model_eui_end_uses!K361*base_scenario_arch_measures!$F361</f>
        <v>3.2386186580730909</v>
      </c>
      <c r="L361">
        <f>model_eui_end_uses!L361*base_scenario_arch_measures!$F361</f>
        <v>1.8855416397753864</v>
      </c>
      <c r="M361">
        <f>model_eui_end_uses!M361*base_scenario_arch_measures!$F361</f>
        <v>0.81527847421811328</v>
      </c>
      <c r="N361">
        <f>model_eui_end_uses!N361*base_scenario_arch_measures!$F361</f>
        <v>0</v>
      </c>
      <c r="O361">
        <f>model_eui_end_uses!O361*base_scenario_arch_measures!$F361</f>
        <v>0.77370866437496244</v>
      </c>
      <c r="P361">
        <f>model_eui_end_uses!P361*base_scenario_arch_measures!$F361</f>
        <v>0.39540600157641392</v>
      </c>
      <c r="Q361">
        <f>model_eui_end_uses!Q361*base_scenario_arch_measures!$F361</f>
        <v>0</v>
      </c>
      <c r="R361" s="187">
        <f>model_eui_end_uses!R361*base_building_arch_areas!$N$16</f>
        <v>0</v>
      </c>
      <c r="S361" s="187">
        <f>model_eui_end_uses!S361*base_building_arch_areas!$N$16</f>
        <v>4864984.3191142427</v>
      </c>
      <c r="T361" s="187">
        <f>model_eui_end_uses!T361*base_building_arch_areas!$N$16</f>
        <v>230741.95132881525</v>
      </c>
      <c r="U361" s="187">
        <f>model_eui_end_uses!U361*base_building_arch_areas!$N$16</f>
        <v>0</v>
      </c>
      <c r="V361" s="187">
        <f>model_eui_end_uses!V361*base_building_arch_areas!$N$16</f>
        <v>500900.30189760379</v>
      </c>
      <c r="W361" s="187">
        <f>model_eui_end_uses!W361*base_building_arch_areas!$N$16</f>
        <v>416571.08559825242</v>
      </c>
      <c r="X361" s="187">
        <f>model_eui_end_uses!X361*base_building_arch_areas!$N$16</f>
        <v>126085.85216389989</v>
      </c>
      <c r="Y361" s="187">
        <f>model_eui_end_uses!Y361*base_building_arch_areas!$N$16</f>
        <v>0</v>
      </c>
      <c r="Z361" s="187">
        <f>model_eui_end_uses!Z361*base_building_arch_areas!$N$16</f>
        <v>341288.99096248916</v>
      </c>
      <c r="AA361" s="187">
        <f>model_eui_end_uses!AA361*base_building_arch_areas!$N$16</f>
        <v>139876.21204358118</v>
      </c>
      <c r="AB361" s="187">
        <f>model_eui_end_uses!AB361*base_building_arch_areas!$N$16</f>
        <v>0</v>
      </c>
      <c r="AC361" s="187">
        <f>model_eui_end_uses!AC361*base_building_arch_areas!$N$16</f>
        <v>6620448.7131088851</v>
      </c>
      <c r="AD361" s="187">
        <f>model_eui_end_uses!AD361*base_building_arch_areas!$N$16</f>
        <v>4056105.2908529895</v>
      </c>
      <c r="AE361" s="187">
        <f>model_eui_end_uses!AE361*base_building_arch_areas!$N$16</f>
        <v>628322.15121499693</v>
      </c>
      <c r="AF361" s="187">
        <f t="shared" si="62"/>
        <v>4684427.4420679864</v>
      </c>
      <c r="AG361" s="187">
        <f>model_eui_end_uses!AH361*base_building_arch_areas!$N$16</f>
        <v>65708.905711818428</v>
      </c>
      <c r="AH361" s="187">
        <f>model_eui_end_uses!AI361*base_building_arch_areas!$N$16</f>
        <v>71000.403087294661</v>
      </c>
      <c r="AI361" s="187">
        <f t="shared" si="63"/>
        <v>136709.30879911309</v>
      </c>
      <c r="AJ361" s="200">
        <f>sim_annual_output!F361/sim_annual_output!H361*base_building_arch_areas!$N$16</f>
        <v>1121560.8275015552</v>
      </c>
      <c r="AK361">
        <f t="shared" si="64"/>
        <v>8.2039828695910391</v>
      </c>
    </row>
    <row r="362" spans="1:37">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f>model_eui_end_uses!G362*base_scenario_arch_measures!$F362</f>
        <v>0</v>
      </c>
      <c r="H362">
        <f>model_eui_end_uses!H362*base_scenario_arch_measures!$F362</f>
        <v>30.976929442854388</v>
      </c>
      <c r="I362">
        <f>model_eui_end_uses!I362*base_scenario_arch_measures!$F362</f>
        <v>1.5241683834959452</v>
      </c>
      <c r="J362">
        <f>model_eui_end_uses!J362*base_scenario_arch_measures!$F362</f>
        <v>0</v>
      </c>
      <c r="K362">
        <f>model_eui_end_uses!K362*base_scenario_arch_measures!$F362</f>
        <v>3.2388505677514354</v>
      </c>
      <c r="L362">
        <f>model_eui_end_uses!L362*base_scenario_arch_measures!$F362</f>
        <v>2.6935729365452517</v>
      </c>
      <c r="M362">
        <f>model_eui_end_uses!M362*base_scenario_arch_measures!$F362</f>
        <v>0.81527847421811328</v>
      </c>
      <c r="N362">
        <f>model_eui_end_uses!N362*base_scenario_arch_measures!$F362</f>
        <v>0</v>
      </c>
      <c r="O362">
        <f>model_eui_end_uses!O362*base_scenario_arch_measures!$F362</f>
        <v>2.2031999216869953</v>
      </c>
      <c r="P362">
        <f>model_eui_end_uses!P362*base_scenario_arch_measures!$F362</f>
        <v>0.909781668143268</v>
      </c>
      <c r="Q362">
        <f>model_eui_end_uses!Q362*base_scenario_arch_measures!$F362</f>
        <v>0</v>
      </c>
      <c r="R362" s="187">
        <f>model_eui_end_uses!R362*base_building_arch_areas!$N$16</f>
        <v>0</v>
      </c>
      <c r="S362" s="187">
        <f>model_eui_end_uses!S362*base_building_arch_areas!$N$16</f>
        <v>4864984.3191142427</v>
      </c>
      <c r="T362" s="187">
        <f>model_eui_end_uses!T362*base_building_arch_areas!$N$16</f>
        <v>230741.95132881525</v>
      </c>
      <c r="U362" s="187">
        <f>model_eui_end_uses!U362*base_building_arch_areas!$N$16</f>
        <v>0</v>
      </c>
      <c r="V362" s="187">
        <f>model_eui_end_uses!V362*base_building_arch_areas!$N$16</f>
        <v>500900.30189760379</v>
      </c>
      <c r="W362" s="187">
        <f>model_eui_end_uses!W362*base_building_arch_areas!$N$16</f>
        <v>416571.08559825242</v>
      </c>
      <c r="X362" s="187">
        <f>model_eui_end_uses!X362*base_building_arch_areas!$N$16</f>
        <v>126085.85216389989</v>
      </c>
      <c r="Y362" s="187">
        <f>model_eui_end_uses!Y362*base_building_arch_areas!$N$16</f>
        <v>0</v>
      </c>
      <c r="Z362" s="187">
        <f>model_eui_end_uses!Z362*base_building_arch_areas!$N$16</f>
        <v>341288.99096248916</v>
      </c>
      <c r="AA362" s="187">
        <f>model_eui_end_uses!AA362*base_building_arch_areas!$N$16</f>
        <v>139876.21204358118</v>
      </c>
      <c r="AB362" s="187">
        <f>model_eui_end_uses!AB362*base_building_arch_areas!$N$16</f>
        <v>0</v>
      </c>
      <c r="AC362" s="187">
        <f>model_eui_end_uses!AC362*base_building_arch_areas!$N$16</f>
        <v>6620448.7131088851</v>
      </c>
      <c r="AD362" s="187">
        <f>model_eui_end_uses!AD362*base_building_arch_areas!$N$16</f>
        <v>74286.821588530525</v>
      </c>
      <c r="AE362" s="187">
        <f>model_eui_end_uses!AE362*base_building_arch_areas!$N$16</f>
        <v>-5245.3579516341488</v>
      </c>
      <c r="AF362" s="187">
        <f t="shared" si="62"/>
        <v>69041.463636896369</v>
      </c>
      <c r="AG362" s="187">
        <f>model_eui_end_uses!AH362*base_building_arch_areas!$N$16</f>
        <v>1203.4465097341943</v>
      </c>
      <c r="AH362" s="187">
        <f>model_eui_end_uses!AI362*base_building_arch_areas!$N$16</f>
        <v>-592.72544853465888</v>
      </c>
      <c r="AI362" s="187">
        <f t="shared" si="63"/>
        <v>610.72106119953537</v>
      </c>
      <c r="AJ362" s="200">
        <f>sim_annual_output!F362/sim_annual_output!H362*base_building_arch_areas!$N$16</f>
        <v>57405.559573002756</v>
      </c>
      <c r="AK362">
        <f t="shared" si="64"/>
        <v>93.996364658279163</v>
      </c>
    </row>
    <row r="363" spans="1:37">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f>model_eui_end_uses!G363*base_scenario_arch_measures!$F363</f>
        <v>0</v>
      </c>
      <c r="H363">
        <f>model_eui_end_uses!H363*base_scenario_arch_measures!$F363</f>
        <v>31.601694116312959</v>
      </c>
      <c r="I363">
        <f>model_eui_end_uses!I363*base_scenario_arch_measures!$F363</f>
        <v>1.5239364738176013</v>
      </c>
      <c r="J363">
        <f>model_eui_end_uses!J363*base_scenario_arch_measures!$F363</f>
        <v>0</v>
      </c>
      <c r="K363">
        <f>model_eui_end_uses!K363*base_scenario_arch_measures!$F363</f>
        <v>3.2388505677514354</v>
      </c>
      <c r="L363">
        <f>model_eui_end_uses!L363*base_scenario_arch_measures!$F363</f>
        <v>2.6935729365452517</v>
      </c>
      <c r="M363">
        <f>model_eui_end_uses!M363*base_scenario_arch_measures!$F363</f>
        <v>0.81527847421811328</v>
      </c>
      <c r="N363">
        <f>model_eui_end_uses!N363*base_scenario_arch_measures!$F363</f>
        <v>0</v>
      </c>
      <c r="O363">
        <f>model_eui_end_uses!O363*base_scenario_arch_measures!$F363</f>
        <v>2.2025041926519631</v>
      </c>
      <c r="P363">
        <f>model_eui_end_uses!P363*base_scenario_arch_measures!$F363</f>
        <v>0.2119074685867732</v>
      </c>
      <c r="Q363">
        <f>model_eui_end_uses!Q363*base_scenario_arch_measures!$F363</f>
        <v>0</v>
      </c>
      <c r="R363" s="187">
        <f>model_eui_end_uses!R363*base_building_arch_areas!$N$16</f>
        <v>0</v>
      </c>
      <c r="S363" s="187">
        <f>model_eui_end_uses!S363*base_building_arch_areas!$N$16</f>
        <v>4864984.3191142427</v>
      </c>
      <c r="T363" s="187">
        <f>model_eui_end_uses!T363*base_building_arch_areas!$N$16</f>
        <v>230741.95132881525</v>
      </c>
      <c r="U363" s="187">
        <f>model_eui_end_uses!U363*base_building_arch_areas!$N$16</f>
        <v>0</v>
      </c>
      <c r="V363" s="187">
        <f>model_eui_end_uses!V363*base_building_arch_areas!$N$16</f>
        <v>500900.30189760379</v>
      </c>
      <c r="W363" s="187">
        <f>model_eui_end_uses!W363*base_building_arch_areas!$N$16</f>
        <v>416571.08559825242</v>
      </c>
      <c r="X363" s="187">
        <f>model_eui_end_uses!X363*base_building_arch_areas!$N$16</f>
        <v>126085.85216389989</v>
      </c>
      <c r="Y363" s="187">
        <f>model_eui_end_uses!Y363*base_building_arch_areas!$N$16</f>
        <v>0</v>
      </c>
      <c r="Z363" s="187">
        <f>model_eui_end_uses!Z363*base_building_arch_areas!$N$16</f>
        <v>341288.99096248916</v>
      </c>
      <c r="AA363" s="187">
        <f>model_eui_end_uses!AA363*base_building_arch_areas!$N$16</f>
        <v>139876.21204358118</v>
      </c>
      <c r="AB363" s="187">
        <f>model_eui_end_uses!AB363*base_building_arch_areas!$N$16</f>
        <v>0</v>
      </c>
      <c r="AC363" s="187">
        <f>model_eui_end_uses!AC363*base_building_arch_areas!$N$16</f>
        <v>6620448.7131088851</v>
      </c>
      <c r="AD363" s="187">
        <f>model_eui_end_uses!AD363*base_building_arch_areas!$N$16</f>
        <v>-22335.361807728481</v>
      </c>
      <c r="AE363" s="187">
        <f>model_eui_end_uses!AE363*base_building_arch_areas!$N$16</f>
        <v>102826.94869973001</v>
      </c>
      <c r="AF363" s="187">
        <f t="shared" si="62"/>
        <v>80491.586892001535</v>
      </c>
      <c r="AG363" s="187">
        <f>model_eui_end_uses!AH363*base_building_arch_areas!$N$16</f>
        <v>-361.83286128520137</v>
      </c>
      <c r="AH363" s="187">
        <f>model_eui_end_uses!AI363*base_building_arch_areas!$N$16</f>
        <v>11619.445203069492</v>
      </c>
      <c r="AI363" s="187">
        <f t="shared" si="63"/>
        <v>11257.61234178429</v>
      </c>
      <c r="AJ363" s="200">
        <f>sim_annual_output!F363/sim_annual_output!H363*base_building_arch_areas!$N$16</f>
        <v>13995.350647234813</v>
      </c>
      <c r="AK363">
        <f t="shared" si="64"/>
        <v>1.2431899609199548</v>
      </c>
    </row>
    <row r="364" spans="1:37">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f>model_eui_end_uses!G364*base_scenario_arch_measures!$F364</f>
        <v>0</v>
      </c>
      <c r="H364">
        <f>model_eui_end_uses!H364*base_scenario_arch_measures!$F364</f>
        <v>30.931243236220634</v>
      </c>
      <c r="I364">
        <f>model_eui_end_uses!I364*base_scenario_arch_measures!$F364</f>
        <v>1.5239364738176013</v>
      </c>
      <c r="J364">
        <f>model_eui_end_uses!J364*base_scenario_arch_measures!$F364</f>
        <v>0</v>
      </c>
      <c r="K364">
        <f>model_eui_end_uses!K364*base_scenario_arch_measures!$F364</f>
        <v>3.2388505677514354</v>
      </c>
      <c r="L364">
        <f>model_eui_end_uses!L364*base_scenario_arch_measures!$F364</f>
        <v>2.6935729365452517</v>
      </c>
      <c r="M364">
        <f>model_eui_end_uses!M364*base_scenario_arch_measures!$F364</f>
        <v>0.81527847421811328</v>
      </c>
      <c r="N364">
        <f>model_eui_end_uses!N364*base_scenario_arch_measures!$F364</f>
        <v>0</v>
      </c>
      <c r="O364">
        <f>model_eui_end_uses!O364*base_scenario_arch_measures!$F364</f>
        <v>2.2025041926519631</v>
      </c>
      <c r="P364">
        <f>model_eui_end_uses!P364*base_scenario_arch_measures!$F364</f>
        <v>0.71120900606127124</v>
      </c>
      <c r="Q364">
        <f>model_eui_end_uses!Q364*base_scenario_arch_measures!$F364</f>
        <v>0</v>
      </c>
      <c r="R364" s="187">
        <f>model_eui_end_uses!R364*base_building_arch_areas!$N$16</f>
        <v>0</v>
      </c>
      <c r="S364" s="187">
        <f>model_eui_end_uses!S364*base_building_arch_areas!$N$16</f>
        <v>4864984.3191142427</v>
      </c>
      <c r="T364" s="187">
        <f>model_eui_end_uses!T364*base_building_arch_areas!$N$16</f>
        <v>230741.95132881525</v>
      </c>
      <c r="U364" s="187">
        <f>model_eui_end_uses!U364*base_building_arch_areas!$N$16</f>
        <v>0</v>
      </c>
      <c r="V364" s="187">
        <f>model_eui_end_uses!V364*base_building_arch_areas!$N$16</f>
        <v>500900.30189760379</v>
      </c>
      <c r="W364" s="187">
        <f>model_eui_end_uses!W364*base_building_arch_areas!$N$16</f>
        <v>416571.08559825242</v>
      </c>
      <c r="X364" s="187">
        <f>model_eui_end_uses!X364*base_building_arch_areas!$N$16</f>
        <v>126085.85216389989</v>
      </c>
      <c r="Y364" s="187">
        <f>model_eui_end_uses!Y364*base_building_arch_areas!$N$16</f>
        <v>0</v>
      </c>
      <c r="Z364" s="187">
        <f>model_eui_end_uses!Z364*base_building_arch_areas!$N$16</f>
        <v>341288.99096248916</v>
      </c>
      <c r="AA364" s="187">
        <f>model_eui_end_uses!AA364*base_building_arch_areas!$N$16</f>
        <v>139876.21204358118</v>
      </c>
      <c r="AB364" s="187">
        <f>model_eui_end_uses!AB364*base_building_arch_areas!$N$16</f>
        <v>0</v>
      </c>
      <c r="AC364" s="187">
        <f>model_eui_end_uses!AC364*base_building_arch_areas!$N$16</f>
        <v>6620448.7131088851</v>
      </c>
      <c r="AD364" s="187">
        <f>model_eui_end_uses!AD364*base_building_arch_areas!$N$16</f>
        <v>81352.363581500773</v>
      </c>
      <c r="AE364" s="187">
        <f>model_eui_end_uses!AE364*base_building_arch_areas!$N$16</f>
        <v>25608.106512594102</v>
      </c>
      <c r="AF364" s="187">
        <f t="shared" si="62"/>
        <v>106960.47009409487</v>
      </c>
      <c r="AG364" s="187">
        <f>model_eui_end_uses!AH364*base_building_arch_areas!$N$16</f>
        <v>1317.9082900203125</v>
      </c>
      <c r="AH364" s="187">
        <f>model_eui_end_uses!AI364*base_building_arch_areas!$N$16</f>
        <v>2893.7160359231334</v>
      </c>
      <c r="AI364" s="187">
        <f t="shared" si="63"/>
        <v>4211.6243259434459</v>
      </c>
      <c r="AJ364" s="200">
        <f>sim_annual_output!F364/sim_annual_output!H364*base_building_arch_areas!$N$16</f>
        <v>32830.38347181493</v>
      </c>
      <c r="AK364">
        <f t="shared" si="64"/>
        <v>7.7951832668410175</v>
      </c>
    </row>
    <row r="365" spans="1:37">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f>model_eui_end_uses!G365*base_scenario_arch_measures!$F365</f>
        <v>0</v>
      </c>
      <c r="H365">
        <f>model_eui_end_uses!H365*base_scenario_arch_measures!$F365</f>
        <v>5.0206373861580271</v>
      </c>
      <c r="I365">
        <f>model_eui_end_uses!I365*base_scenario_arch_measures!$F365</f>
        <v>5.1023780693085892E-2</v>
      </c>
      <c r="J365">
        <f>model_eui_end_uses!J365*base_scenario_arch_measures!$F365</f>
        <v>0</v>
      </c>
      <c r="K365">
        <f>model_eui_end_uses!K365*base_scenario_arch_measures!$F365</f>
        <v>0.68250415846146673</v>
      </c>
      <c r="L365">
        <f>model_eui_end_uses!L365*base_scenario_arch_measures!$F365</f>
        <v>0.56765177854886917</v>
      </c>
      <c r="M365">
        <f>model_eui_end_uses!M365*base_scenario_arch_measures!$F365</f>
        <v>0.17181427301393049</v>
      </c>
      <c r="N365">
        <f>model_eui_end_uses!N365*base_scenario_arch_measures!$F365</f>
        <v>0</v>
      </c>
      <c r="O365">
        <f>model_eui_end_uses!O365*base_scenario_arch_measures!$F365</f>
        <v>0.45410676083314899</v>
      </c>
      <c r="P365">
        <f>model_eui_end_uses!P365*base_scenario_arch_measures!$F365</f>
        <v>0.17800897052623765</v>
      </c>
      <c r="Q365">
        <f>model_eui_end_uses!Q365*base_scenario_arch_measures!$F365</f>
        <v>0</v>
      </c>
      <c r="R365" s="187">
        <f>model_eui_end_uses!R365*base_building_arch_areas!$N$17</f>
        <v>0</v>
      </c>
      <c r="S365" s="187">
        <f>model_eui_end_uses!S365*base_building_arch_areas!$N$17</f>
        <v>913396.39365109184</v>
      </c>
      <c r="T365" s="187">
        <f>model_eui_end_uses!T365*base_building_arch_areas!$N$17</f>
        <v>43759.544817090282</v>
      </c>
      <c r="U365" s="187">
        <f>model_eui_end_uses!U365*base_building_arch_areas!$N$17</f>
        <v>0</v>
      </c>
      <c r="V365" s="187">
        <f>model_eui_end_uses!V365*base_building_arch_areas!$N$17</f>
        <v>100770.15588696697</v>
      </c>
      <c r="W365" s="187">
        <f>model_eui_end_uses!W365*base_building_arch_areas!$N$17</f>
        <v>83804.966925973757</v>
      </c>
      <c r="X365" s="187">
        <f>model_eui_end_uses!X365*base_building_arch_areas!$N$17</f>
        <v>25365.708364645019</v>
      </c>
      <c r="Y365" s="187">
        <f>model_eui_end_uses!Y365*base_building_arch_areas!$N$17</f>
        <v>0</v>
      </c>
      <c r="Z365" s="187">
        <f>model_eui_end_uses!Z365*base_building_arch_areas!$N$17</f>
        <v>66890.285704577342</v>
      </c>
      <c r="AA365" s="187">
        <f>model_eui_end_uses!AA365*base_building_arch_areas!$N$17</f>
        <v>26285.670764443697</v>
      </c>
      <c r="AB365" s="187">
        <f>model_eui_end_uses!AB365*base_building_arch_areas!$N$17</f>
        <v>0</v>
      </c>
      <c r="AC365" s="187">
        <f>model_eui_end_uses!AC365*base_building_arch_areas!$N$17</f>
        <v>1260272.7261147888</v>
      </c>
      <c r="AD365" s="187">
        <f>model_eui_end_uses!AD365*base_building_arch_areas!$N$17</f>
        <v>172186.29582898525</v>
      </c>
      <c r="AE365" s="187">
        <f>model_eui_end_uses!AE365*base_building_arch_areas!$N$17</f>
        <v>36080.564550535491</v>
      </c>
      <c r="AF365" s="187">
        <f t="shared" si="59"/>
        <v>208266.86037952075</v>
      </c>
      <c r="AG365" s="187">
        <f>model_eui_end_uses!AH365*base_building_arch_areas!$N$17</f>
        <v>2789.4179924295609</v>
      </c>
      <c r="AH365" s="187">
        <f>model_eui_end_uses!AI365*base_building_arch_areas!$N$17</f>
        <v>4077.1037942105108</v>
      </c>
      <c r="AI365" s="187">
        <f t="shared" si="60"/>
        <v>6866.5217866400717</v>
      </c>
      <c r="AJ365" s="200">
        <f>sim_annual_output!F365/sim_annual_output!H365*base_building_arch_areas!$N$17</f>
        <v>14449.695192393141</v>
      </c>
      <c r="AK365">
        <f t="shared" si="61"/>
        <v>2.1043689427312908</v>
      </c>
    </row>
    <row r="366" spans="1:37">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f>model_eui_end_uses!G366*base_scenario_arch_measures!$F366</f>
        <v>0</v>
      </c>
      <c r="H366">
        <f>model_eui_end_uses!H366*base_scenario_arch_measures!$F366</f>
        <v>6.1868777758024365</v>
      </c>
      <c r="I366">
        <f>model_eui_end_uses!I366*base_scenario_arch_measures!$F366</f>
        <v>0.29640466854252168</v>
      </c>
      <c r="J366">
        <f>model_eui_end_uses!J366*base_scenario_arch_measures!$F366</f>
        <v>0</v>
      </c>
      <c r="K366">
        <f>model_eui_end_uses!K366*base_scenario_arch_measures!$F366</f>
        <v>0.68256525015290959</v>
      </c>
      <c r="L366">
        <f>model_eui_end_uses!L366*base_scenario_arch_measures!$F366</f>
        <v>0.56765177854886917</v>
      </c>
      <c r="M366">
        <f>model_eui_end_uses!M366*base_scenario_arch_measures!$F366</f>
        <v>0.17181427301393049</v>
      </c>
      <c r="N366">
        <f>model_eui_end_uses!N366*base_scenario_arch_measures!$F366</f>
        <v>0</v>
      </c>
      <c r="O366">
        <f>model_eui_end_uses!O366*base_scenario_arch_measures!$F366</f>
        <v>0.45308042041690877</v>
      </c>
      <c r="P366">
        <f>model_eui_end_uses!P366*base_scenario_arch_measures!$F366</f>
        <v>0.17804562554110337</v>
      </c>
      <c r="Q366">
        <f>model_eui_end_uses!Q366*base_scenario_arch_measures!$F366</f>
        <v>0</v>
      </c>
      <c r="R366" s="187">
        <f>model_eui_end_uses!R366*base_building_arch_areas!$N$17</f>
        <v>0</v>
      </c>
      <c r="S366" s="187">
        <f>model_eui_end_uses!S366*base_building_arch_areas!$N$17</f>
        <v>913396.39365109184</v>
      </c>
      <c r="T366" s="187">
        <f>model_eui_end_uses!T366*base_building_arch_areas!$N$17</f>
        <v>43759.544817090282</v>
      </c>
      <c r="U366" s="187">
        <f>model_eui_end_uses!U366*base_building_arch_areas!$N$17</f>
        <v>0</v>
      </c>
      <c r="V366" s="187">
        <f>model_eui_end_uses!V366*base_building_arch_areas!$N$17</f>
        <v>100770.15588696697</v>
      </c>
      <c r="W366" s="187">
        <f>model_eui_end_uses!W366*base_building_arch_areas!$N$17</f>
        <v>83804.966925973757</v>
      </c>
      <c r="X366" s="187">
        <f>model_eui_end_uses!X366*base_building_arch_areas!$N$17</f>
        <v>25365.708364645019</v>
      </c>
      <c r="Y366" s="187">
        <f>model_eui_end_uses!Y366*base_building_arch_areas!$N$17</f>
        <v>0</v>
      </c>
      <c r="Z366" s="187">
        <f>model_eui_end_uses!Z366*base_building_arch_areas!$N$17</f>
        <v>66890.285704577342</v>
      </c>
      <c r="AA366" s="187">
        <f>model_eui_end_uses!AA366*base_building_arch_areas!$N$17</f>
        <v>26285.670764443697</v>
      </c>
      <c r="AB366" s="187">
        <f>model_eui_end_uses!AB366*base_building_arch_areas!$N$17</f>
        <v>0</v>
      </c>
      <c r="AC366" s="187">
        <f>model_eui_end_uses!AC366*base_building_arch_areas!$N$17</f>
        <v>1260272.7261147888</v>
      </c>
      <c r="AD366" s="187">
        <f>model_eui_end_uses!AD366*base_building_arch_areas!$N$17</f>
        <v>0</v>
      </c>
      <c r="AE366" s="187">
        <f>model_eui_end_uses!AE366*base_building_arch_areas!$N$17</f>
        <v>0</v>
      </c>
      <c r="AF366" s="187">
        <f t="shared" ref="AF366:AF388" si="65">SUM(AD366:AE366)</f>
        <v>0</v>
      </c>
      <c r="AG366" s="187">
        <f>model_eui_end_uses!AH366*base_building_arch_areas!$N$17</f>
        <v>0</v>
      </c>
      <c r="AH366" s="187">
        <f>model_eui_end_uses!AI366*base_building_arch_areas!$N$17</f>
        <v>0</v>
      </c>
      <c r="AI366" s="187">
        <f t="shared" ref="AI366:AI388" si="66">SUM(AG366:AH366)</f>
        <v>0</v>
      </c>
      <c r="AJ366" s="200">
        <f>sim_annual_output!F366/sim_annual_output!H366*base_building_arch_areas!$N$17</f>
        <v>0</v>
      </c>
      <c r="AK366">
        <f t="shared" ref="AK366:AK388" si="67">IF(AI366=0,0,AJ366/AI366)</f>
        <v>0</v>
      </c>
    </row>
    <row r="367" spans="1:37">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f>model_eui_end_uses!G367*base_scenario_arch_measures!$F367</f>
        <v>0</v>
      </c>
      <c r="H367">
        <f>model_eui_end_uses!H367*base_scenario_arch_measures!$F367</f>
        <v>6.0579376518431118</v>
      </c>
      <c r="I367">
        <f>model_eui_end_uses!I367*base_scenario_arch_measures!$F367</f>
        <v>0.30269711276113742</v>
      </c>
      <c r="J367">
        <f>model_eui_end_uses!J367*base_scenario_arch_measures!$F367</f>
        <v>0</v>
      </c>
      <c r="K367">
        <f>model_eui_end_uses!K367*base_scenario_arch_measures!$F367</f>
        <v>0.68255303181462101</v>
      </c>
      <c r="L367">
        <f>model_eui_end_uses!L367*base_scenario_arch_measures!$F367</f>
        <v>0.56765177854886917</v>
      </c>
      <c r="M367">
        <f>model_eui_end_uses!M367*base_scenario_arch_measures!$F367</f>
        <v>0.17181427301393049</v>
      </c>
      <c r="N367">
        <f>model_eui_end_uses!N367*base_scenario_arch_measures!$F367</f>
        <v>0</v>
      </c>
      <c r="O367">
        <f>model_eui_end_uses!O367*base_scenario_arch_measures!$F367</f>
        <v>0.45216404504526569</v>
      </c>
      <c r="P367">
        <f>model_eui_end_uses!P367*base_scenario_arch_measures!$F367</f>
        <v>0.17872985248526349</v>
      </c>
      <c r="Q367">
        <f>model_eui_end_uses!Q367*base_scenario_arch_measures!$F367</f>
        <v>0</v>
      </c>
      <c r="R367" s="187">
        <f>model_eui_end_uses!R367*base_building_arch_areas!$N$17</f>
        <v>0</v>
      </c>
      <c r="S367" s="187">
        <f>model_eui_end_uses!S367*base_building_arch_areas!$N$17</f>
        <v>913396.39365109184</v>
      </c>
      <c r="T367" s="187">
        <f>model_eui_end_uses!T367*base_building_arch_areas!$N$17</f>
        <v>43759.544817090282</v>
      </c>
      <c r="U367" s="187">
        <f>model_eui_end_uses!U367*base_building_arch_areas!$N$17</f>
        <v>0</v>
      </c>
      <c r="V367" s="187">
        <f>model_eui_end_uses!V367*base_building_arch_areas!$N$17</f>
        <v>100770.15588696697</v>
      </c>
      <c r="W367" s="187">
        <f>model_eui_end_uses!W367*base_building_arch_areas!$N$17</f>
        <v>83804.966925973757</v>
      </c>
      <c r="X367" s="187">
        <f>model_eui_end_uses!X367*base_building_arch_areas!$N$17</f>
        <v>25365.708364645019</v>
      </c>
      <c r="Y367" s="187">
        <f>model_eui_end_uses!Y367*base_building_arch_areas!$N$17</f>
        <v>0</v>
      </c>
      <c r="Z367" s="187">
        <f>model_eui_end_uses!Z367*base_building_arch_areas!$N$17</f>
        <v>66890.285704577342</v>
      </c>
      <c r="AA367" s="187">
        <f>model_eui_end_uses!AA367*base_building_arch_areas!$N$17</f>
        <v>26285.670764443697</v>
      </c>
      <c r="AB367" s="187">
        <f>model_eui_end_uses!AB367*base_building_arch_areas!$N$17</f>
        <v>0</v>
      </c>
      <c r="AC367" s="187">
        <f>model_eui_end_uses!AC367*base_building_arch_areas!$N$17</f>
        <v>1260272.7261147888</v>
      </c>
      <c r="AD367" s="187">
        <f>model_eui_end_uses!AD367*base_building_arch_areas!$N$17</f>
        <v>19037.810132304261</v>
      </c>
      <c r="AE367" s="187">
        <f>model_eui_end_uses!AE367*base_building_arch_areas!$N$17</f>
        <v>-894.70853000023908</v>
      </c>
      <c r="AF367" s="187">
        <f t="shared" si="65"/>
        <v>18143.101602304021</v>
      </c>
      <c r="AG367" s="187">
        <f>model_eui_end_uses!AH367*base_building_arch_areas!$N$17</f>
        <v>308.41252414332905</v>
      </c>
      <c r="AH367" s="187">
        <f>model_eui_end_uses!AI367*base_building_arch_areas!$N$17</f>
        <v>-101.10206389002701</v>
      </c>
      <c r="AI367" s="187">
        <f t="shared" si="66"/>
        <v>207.31046025330204</v>
      </c>
      <c r="AJ367" s="200">
        <f>sim_annual_output!F367/sim_annual_output!H367*base_building_arch_areas!$N$17</f>
        <v>53703.134275304372</v>
      </c>
      <c r="AK367">
        <f t="shared" si="67"/>
        <v>259.04691065606272</v>
      </c>
    </row>
    <row r="368" spans="1:37">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f>model_eui_end_uses!G368*base_scenario_arch_measures!$F368</f>
        <v>0</v>
      </c>
      <c r="H368">
        <f>model_eui_end_uses!H368*base_scenario_arch_measures!$F368</f>
        <v>4.2871338836800525</v>
      </c>
      <c r="I368">
        <f>model_eui_end_uses!I368*base_scenario_arch_measures!$F368</f>
        <v>0.30269711276113742</v>
      </c>
      <c r="J368">
        <f>model_eui_end_uses!J368*base_scenario_arch_measures!$F368</f>
        <v>0</v>
      </c>
      <c r="K368">
        <f>model_eui_end_uses!K368*base_scenario_arch_measures!$F368</f>
        <v>0.68255303181462101</v>
      </c>
      <c r="L368">
        <f>model_eui_end_uses!L368*base_scenario_arch_measures!$F368</f>
        <v>0.56765177854886917</v>
      </c>
      <c r="M368">
        <f>model_eui_end_uses!M368*base_scenario_arch_measures!$F368</f>
        <v>0.17181427301393049</v>
      </c>
      <c r="N368">
        <f>model_eui_end_uses!N368*base_scenario_arch_measures!$F368</f>
        <v>0</v>
      </c>
      <c r="O368">
        <f>model_eui_end_uses!O368*base_scenario_arch_measures!$F368</f>
        <v>0.45216404504526569</v>
      </c>
      <c r="P368">
        <f>model_eui_end_uses!P368*base_scenario_arch_measures!$F368</f>
        <v>0.14933253056295395</v>
      </c>
      <c r="Q368">
        <f>model_eui_end_uses!Q368*base_scenario_arch_measures!$F368</f>
        <v>0</v>
      </c>
      <c r="R368" s="187">
        <f>model_eui_end_uses!R368*base_building_arch_areas!$N$17</f>
        <v>0</v>
      </c>
      <c r="S368" s="187">
        <f>model_eui_end_uses!S368*base_building_arch_areas!$N$17</f>
        <v>913396.39365109184</v>
      </c>
      <c r="T368" s="187">
        <f>model_eui_end_uses!T368*base_building_arch_areas!$N$17</f>
        <v>43759.544817090282</v>
      </c>
      <c r="U368" s="187">
        <f>model_eui_end_uses!U368*base_building_arch_areas!$N$17</f>
        <v>0</v>
      </c>
      <c r="V368" s="187">
        <f>model_eui_end_uses!V368*base_building_arch_areas!$N$17</f>
        <v>100770.15588696697</v>
      </c>
      <c r="W368" s="187">
        <f>model_eui_end_uses!W368*base_building_arch_areas!$N$17</f>
        <v>83804.966925973757</v>
      </c>
      <c r="X368" s="187">
        <f>model_eui_end_uses!X368*base_building_arch_areas!$N$17</f>
        <v>25365.708364645019</v>
      </c>
      <c r="Y368" s="187">
        <f>model_eui_end_uses!Y368*base_building_arch_areas!$N$17</f>
        <v>0</v>
      </c>
      <c r="Z368" s="187">
        <f>model_eui_end_uses!Z368*base_building_arch_areas!$N$17</f>
        <v>66890.285704577342</v>
      </c>
      <c r="AA368" s="187">
        <f>model_eui_end_uses!AA368*base_building_arch_areas!$N$17</f>
        <v>26285.670764443697</v>
      </c>
      <c r="AB368" s="187">
        <f>model_eui_end_uses!AB368*base_building_arch_areas!$N$17</f>
        <v>0</v>
      </c>
      <c r="AC368" s="187">
        <f>model_eui_end_uses!AC368*base_building_arch_areas!$N$17</f>
        <v>1260272.7261147888</v>
      </c>
      <c r="AD368" s="187">
        <f>model_eui_end_uses!AD368*base_building_arch_areas!$N$17</f>
        <v>280469.47798097477</v>
      </c>
      <c r="AE368" s="187">
        <f>model_eui_end_uses!AE368*base_building_arch_areas!$N$17</f>
        <v>3445.3493796381986</v>
      </c>
      <c r="AF368" s="187">
        <f t="shared" si="65"/>
        <v>283914.82736061298</v>
      </c>
      <c r="AG368" s="187">
        <f>model_eui_end_uses!AH368*base_building_arch_areas!$N$17</f>
        <v>4543.605543291791</v>
      </c>
      <c r="AH368" s="187">
        <f>model_eui_end_uses!AI368*base_building_arch_areas!$N$17</f>
        <v>389.32447989911645</v>
      </c>
      <c r="AI368" s="187">
        <f t="shared" si="66"/>
        <v>4932.9300231909074</v>
      </c>
      <c r="AJ368" s="200">
        <f>sim_annual_output!F368/sim_annual_output!H368*base_building_arch_areas!$N$17</f>
        <v>763.74766728872305</v>
      </c>
      <c r="AK368">
        <f t="shared" si="67"/>
        <v>0.15482637371666716</v>
      </c>
    </row>
    <row r="369" spans="1:37">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f>model_eui_end_uses!G369*base_scenario_arch_measures!$F369</f>
        <v>0</v>
      </c>
      <c r="H369">
        <f>model_eui_end_uses!H369*base_scenario_arch_measures!$F369</f>
        <v>6.0579376518431118</v>
      </c>
      <c r="I369">
        <f>model_eui_end_uses!I369*base_scenario_arch_measures!$F369</f>
        <v>0.21621571435460918</v>
      </c>
      <c r="J369">
        <f>model_eui_end_uses!J369*base_scenario_arch_measures!$F369</f>
        <v>0</v>
      </c>
      <c r="K369">
        <f>model_eui_end_uses!K369*base_scenario_arch_measures!$F369</f>
        <v>0.68255303181462101</v>
      </c>
      <c r="L369">
        <f>model_eui_end_uses!L369*base_scenario_arch_measures!$F369</f>
        <v>0.56765177854886917</v>
      </c>
      <c r="M369">
        <f>model_eui_end_uses!M369*base_scenario_arch_measures!$F369</f>
        <v>0.17181427301393049</v>
      </c>
      <c r="N369">
        <f>model_eui_end_uses!N369*base_scenario_arch_measures!$F369</f>
        <v>0</v>
      </c>
      <c r="O369">
        <f>model_eui_end_uses!O369*base_scenario_arch_measures!$F369</f>
        <v>0.45216404504526569</v>
      </c>
      <c r="P369">
        <f>model_eui_end_uses!P369*base_scenario_arch_measures!$F369</f>
        <v>0.17872985248526349</v>
      </c>
      <c r="Q369">
        <f>model_eui_end_uses!Q369*base_scenario_arch_measures!$F369</f>
        <v>0</v>
      </c>
      <c r="R369" s="187">
        <f>model_eui_end_uses!R369*base_building_arch_areas!$N$17</f>
        <v>0</v>
      </c>
      <c r="S369" s="187">
        <f>model_eui_end_uses!S369*base_building_arch_areas!$N$17</f>
        <v>913396.39365109184</v>
      </c>
      <c r="T369" s="187">
        <f>model_eui_end_uses!T369*base_building_arch_areas!$N$17</f>
        <v>43759.544817090282</v>
      </c>
      <c r="U369" s="187">
        <f>model_eui_end_uses!U369*base_building_arch_areas!$N$17</f>
        <v>0</v>
      </c>
      <c r="V369" s="187">
        <f>model_eui_end_uses!V369*base_building_arch_areas!$N$17</f>
        <v>100770.15588696697</v>
      </c>
      <c r="W369" s="187">
        <f>model_eui_end_uses!W369*base_building_arch_areas!$N$17</f>
        <v>83804.966925973757</v>
      </c>
      <c r="X369" s="187">
        <f>model_eui_end_uses!X369*base_building_arch_areas!$N$17</f>
        <v>25365.708364645019</v>
      </c>
      <c r="Y369" s="187">
        <f>model_eui_end_uses!Y369*base_building_arch_areas!$N$17</f>
        <v>0</v>
      </c>
      <c r="Z369" s="187">
        <f>model_eui_end_uses!Z369*base_building_arch_areas!$N$17</f>
        <v>66890.285704577342</v>
      </c>
      <c r="AA369" s="187">
        <f>model_eui_end_uses!AA369*base_building_arch_areas!$N$17</f>
        <v>26285.670764443697</v>
      </c>
      <c r="AB369" s="187">
        <f>model_eui_end_uses!AB369*base_building_arch_areas!$N$17</f>
        <v>0</v>
      </c>
      <c r="AC369" s="187">
        <f>model_eui_end_uses!AC369*base_building_arch_areas!$N$17</f>
        <v>1260272.7261147888</v>
      </c>
      <c r="AD369" s="187">
        <f>model_eui_end_uses!AD369*base_building_arch_areas!$N$17</f>
        <v>19037.810132304261</v>
      </c>
      <c r="AE369" s="187">
        <f>model_eui_end_uses!AE369*base_building_arch_areas!$N$17</f>
        <v>11872.926500931146</v>
      </c>
      <c r="AF369" s="187">
        <f t="shared" si="65"/>
        <v>30910.736633235407</v>
      </c>
      <c r="AG369" s="187">
        <f>model_eui_end_uses!AH369*base_building_arch_areas!$N$17</f>
        <v>308.41252414332905</v>
      </c>
      <c r="AH369" s="187">
        <f>model_eui_end_uses!AI369*base_building_arch_areas!$N$17</f>
        <v>1341.6406946052196</v>
      </c>
      <c r="AI369" s="187">
        <f t="shared" si="66"/>
        <v>1650.0532187485487</v>
      </c>
      <c r="AJ369" s="200">
        <f>sim_annual_output!F369/sim_annual_output!H369*base_building_arch_areas!$N$17</f>
        <v>16519.868701679552</v>
      </c>
      <c r="AK369">
        <f t="shared" si="67"/>
        <v>10.011718721538406</v>
      </c>
    </row>
    <row r="370" spans="1:37">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f>model_eui_end_uses!G370*base_scenario_arch_measures!$F370</f>
        <v>0</v>
      </c>
      <c r="H370">
        <f>model_eui_end_uses!H370*base_scenario_arch_measures!$F370</f>
        <v>5.150738252254766</v>
      </c>
      <c r="I370">
        <f>model_eui_end_uses!I370*base_scenario_arch_measures!$F370</f>
        <v>0.30409000332603492</v>
      </c>
      <c r="J370">
        <f>model_eui_end_uses!J370*base_scenario_arch_measures!$F370</f>
        <v>0</v>
      </c>
      <c r="K370">
        <f>model_eui_end_uses!K370*base_scenario_arch_measures!$F370</f>
        <v>0.68255303181462101</v>
      </c>
      <c r="L370">
        <f>model_eui_end_uses!L370*base_scenario_arch_measures!$F370</f>
        <v>0.56765177854886917</v>
      </c>
      <c r="M370">
        <f>model_eui_end_uses!M370*base_scenario_arch_measures!$F370</f>
        <v>0.17181427301393049</v>
      </c>
      <c r="N370">
        <f>model_eui_end_uses!N370*base_scenario_arch_measures!$F370</f>
        <v>0</v>
      </c>
      <c r="O370">
        <f>model_eui_end_uses!O370*base_scenario_arch_measures!$F370</f>
        <v>0.45216404504526569</v>
      </c>
      <c r="P370">
        <f>model_eui_end_uses!P370*base_scenario_arch_measures!$F370</f>
        <v>0.17800897052623765</v>
      </c>
      <c r="Q370">
        <f>model_eui_end_uses!Q370*base_scenario_arch_measures!$F370</f>
        <v>0</v>
      </c>
      <c r="R370" s="187">
        <f>model_eui_end_uses!R370*base_building_arch_areas!$N$17</f>
        <v>0</v>
      </c>
      <c r="S370" s="187">
        <f>model_eui_end_uses!S370*base_building_arch_areas!$N$17</f>
        <v>913396.39365109184</v>
      </c>
      <c r="T370" s="187">
        <f>model_eui_end_uses!T370*base_building_arch_areas!$N$17</f>
        <v>43759.544817090282</v>
      </c>
      <c r="U370" s="187">
        <f>model_eui_end_uses!U370*base_building_arch_areas!$N$17</f>
        <v>0</v>
      </c>
      <c r="V370" s="187">
        <f>model_eui_end_uses!V370*base_building_arch_areas!$N$17</f>
        <v>100770.15588696697</v>
      </c>
      <c r="W370" s="187">
        <f>model_eui_end_uses!W370*base_building_arch_areas!$N$17</f>
        <v>83804.966925973757</v>
      </c>
      <c r="X370" s="187">
        <f>model_eui_end_uses!X370*base_building_arch_areas!$N$17</f>
        <v>25365.708364645019</v>
      </c>
      <c r="Y370" s="187">
        <f>model_eui_end_uses!Y370*base_building_arch_areas!$N$17</f>
        <v>0</v>
      </c>
      <c r="Z370" s="187">
        <f>model_eui_end_uses!Z370*base_building_arch_areas!$N$17</f>
        <v>66890.285704577342</v>
      </c>
      <c r="AA370" s="187">
        <f>model_eui_end_uses!AA370*base_building_arch_areas!$N$17</f>
        <v>26285.670764443697</v>
      </c>
      <c r="AB370" s="187">
        <f>model_eui_end_uses!AB370*base_building_arch_areas!$N$17</f>
        <v>0</v>
      </c>
      <c r="AC370" s="187">
        <f>model_eui_end_uses!AC370*base_building_arch_areas!$N$17</f>
        <v>1260272.7261147888</v>
      </c>
      <c r="AD370" s="187">
        <f>model_eui_end_uses!AD370*base_building_arch_areas!$N$17</f>
        <v>152971.70860809201</v>
      </c>
      <c r="AE370" s="187">
        <f>model_eui_end_uses!AE370*base_building_arch_areas!$N$17</f>
        <v>-993.92016135108838</v>
      </c>
      <c r="AF370" s="187">
        <f t="shared" si="65"/>
        <v>151977.78844674092</v>
      </c>
      <c r="AG370" s="187">
        <f>model_eui_end_uses!AH370*base_building_arch_areas!$N$17</f>
        <v>2478.141679451091</v>
      </c>
      <c r="AH370" s="187">
        <f>model_eui_end_uses!AI370*base_building_arch_areas!$N$17</f>
        <v>-112.31297823267299</v>
      </c>
      <c r="AI370" s="187">
        <f t="shared" si="66"/>
        <v>2365.8287012184182</v>
      </c>
      <c r="AJ370" s="200">
        <f>sim_annual_output!F370/sim_annual_output!H370*base_building_arch_areas!$N$17</f>
        <v>34880.85977072781</v>
      </c>
      <c r="AK370">
        <f t="shared" si="67"/>
        <v>14.743611721661811</v>
      </c>
    </row>
    <row r="371" spans="1:37">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f>model_eui_end_uses!G371*base_scenario_arch_measures!$F371</f>
        <v>0</v>
      </c>
      <c r="H371">
        <f>model_eui_end_uses!H371*base_scenario_arch_measures!$F371</f>
        <v>4.7809013705979133</v>
      </c>
      <c r="I371">
        <f>model_eui_end_uses!I371*base_scenario_arch_measures!$F371</f>
        <v>3.6874944954916958E-2</v>
      </c>
      <c r="J371">
        <f>model_eui_end_uses!J371*base_scenario_arch_measures!$F371</f>
        <v>0</v>
      </c>
      <c r="K371">
        <f>model_eui_end_uses!K371*base_scenario_arch_measures!$F371</f>
        <v>0.68256525015290959</v>
      </c>
      <c r="L371">
        <f>model_eui_end_uses!L371*base_scenario_arch_measures!$F371</f>
        <v>0.56765177854886917</v>
      </c>
      <c r="M371">
        <f>model_eui_end_uses!M371*base_scenario_arch_measures!$F371</f>
        <v>0.17181427301393049</v>
      </c>
      <c r="N371">
        <f>model_eui_end_uses!N371*base_scenario_arch_measures!$F371</f>
        <v>0</v>
      </c>
      <c r="O371">
        <f>model_eui_end_uses!O371*base_scenario_arch_measures!$F371</f>
        <v>0.45271387026825155</v>
      </c>
      <c r="P371">
        <f>model_eui_end_uses!P371*base_scenario_arch_measures!$F371</f>
        <v>0.17654276993160872</v>
      </c>
      <c r="Q371">
        <f>model_eui_end_uses!Q371*base_scenario_arch_measures!$F371</f>
        <v>0</v>
      </c>
      <c r="R371" s="187">
        <f>model_eui_end_uses!R371*base_building_arch_areas!$N$17</f>
        <v>0</v>
      </c>
      <c r="S371" s="187">
        <f>model_eui_end_uses!S371*base_building_arch_areas!$N$17</f>
        <v>913396.39365109184</v>
      </c>
      <c r="T371" s="187">
        <f>model_eui_end_uses!T371*base_building_arch_areas!$N$17</f>
        <v>43759.544817090282</v>
      </c>
      <c r="U371" s="187">
        <f>model_eui_end_uses!U371*base_building_arch_areas!$N$17</f>
        <v>0</v>
      </c>
      <c r="V371" s="187">
        <f>model_eui_end_uses!V371*base_building_arch_areas!$N$17</f>
        <v>100770.15588696697</v>
      </c>
      <c r="W371" s="187">
        <f>model_eui_end_uses!W371*base_building_arch_areas!$N$17</f>
        <v>83804.966925973757</v>
      </c>
      <c r="X371" s="187">
        <f>model_eui_end_uses!X371*base_building_arch_areas!$N$17</f>
        <v>25365.708364645019</v>
      </c>
      <c r="Y371" s="187">
        <f>model_eui_end_uses!Y371*base_building_arch_areas!$N$17</f>
        <v>0</v>
      </c>
      <c r="Z371" s="187">
        <f>model_eui_end_uses!Z371*base_building_arch_areas!$N$17</f>
        <v>66890.285704577342</v>
      </c>
      <c r="AA371" s="187">
        <f>model_eui_end_uses!AA371*base_building_arch_areas!$N$17</f>
        <v>26285.670764443697</v>
      </c>
      <c r="AB371" s="187">
        <f>model_eui_end_uses!AB371*base_building_arch_areas!$N$17</f>
        <v>0</v>
      </c>
      <c r="AC371" s="187">
        <f>model_eui_end_uses!AC371*base_building_arch_areas!$N$17</f>
        <v>1260272.7261147888</v>
      </c>
      <c r="AD371" s="187">
        <f>model_eui_end_uses!AD371*base_building_arch_areas!$N$17</f>
        <v>207570.57511222205</v>
      </c>
      <c r="AE371" s="187">
        <f>model_eui_end_uses!AE371*base_building_arch_areas!$N$17</f>
        <v>38591.520747633062</v>
      </c>
      <c r="AF371" s="187">
        <f t="shared" si="65"/>
        <v>246162.09585985512</v>
      </c>
      <c r="AG371" s="187">
        <f>model_eui_end_uses!AH371*base_building_arch_areas!$N$17</f>
        <v>3362.6433168179969</v>
      </c>
      <c r="AH371" s="187">
        <f>model_eui_end_uses!AI371*base_building_arch_areas!$N$17</f>
        <v>4360.8418444825365</v>
      </c>
      <c r="AI371" s="187">
        <f t="shared" si="66"/>
        <v>7723.4851613005339</v>
      </c>
      <c r="AJ371" s="200">
        <f>sim_annual_output!F371/sim_annual_output!H371*base_building_arch_areas!$N$17</f>
        <v>14449.695192393141</v>
      </c>
      <c r="AK371">
        <f t="shared" si="67"/>
        <v>1.8708775754234765</v>
      </c>
    </row>
    <row r="372" spans="1:37">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f>model_eui_end_uses!G372*base_scenario_arch_measures!$F372</f>
        <v>0</v>
      </c>
      <c r="H372">
        <f>model_eui_end_uses!H372*base_scenario_arch_measures!$F372</f>
        <v>6.0581942369471724</v>
      </c>
      <c r="I372">
        <f>model_eui_end_uses!I372*base_scenario_arch_measures!$F372</f>
        <v>0.30061999525207977</v>
      </c>
      <c r="J372">
        <f>model_eui_end_uses!J372*base_scenario_arch_measures!$F372</f>
        <v>0</v>
      </c>
      <c r="K372">
        <f>model_eui_end_uses!K372*base_scenario_arch_measures!$F372</f>
        <v>0.68255303181462101</v>
      </c>
      <c r="L372">
        <f>model_eui_end_uses!L372*base_scenario_arch_measures!$F372</f>
        <v>0.56765177854886917</v>
      </c>
      <c r="M372">
        <f>model_eui_end_uses!M372*base_scenario_arch_measures!$F372</f>
        <v>0.17181427301393049</v>
      </c>
      <c r="N372">
        <f>model_eui_end_uses!N372*base_scenario_arch_measures!$F372</f>
        <v>0</v>
      </c>
      <c r="O372">
        <f>model_eui_end_uses!O372*base_scenario_arch_measures!$F372</f>
        <v>0.45215182670697712</v>
      </c>
      <c r="P372">
        <f>model_eui_end_uses!P372*base_scenario_arch_measures!$F372</f>
        <v>0.17874207082355209</v>
      </c>
      <c r="Q372">
        <f>model_eui_end_uses!Q372*base_scenario_arch_measures!$F372</f>
        <v>0</v>
      </c>
      <c r="R372" s="187">
        <f>model_eui_end_uses!R372*base_building_arch_areas!$N$17</f>
        <v>0</v>
      </c>
      <c r="S372" s="187">
        <f>model_eui_end_uses!S372*base_building_arch_areas!$N$17</f>
        <v>913396.39365109184</v>
      </c>
      <c r="T372" s="187">
        <f>model_eui_end_uses!T372*base_building_arch_areas!$N$17</f>
        <v>43759.544817090282</v>
      </c>
      <c r="U372" s="187">
        <f>model_eui_end_uses!U372*base_building_arch_areas!$N$17</f>
        <v>0</v>
      </c>
      <c r="V372" s="187">
        <f>model_eui_end_uses!V372*base_building_arch_areas!$N$17</f>
        <v>100770.15588696697</v>
      </c>
      <c r="W372" s="187">
        <f>model_eui_end_uses!W372*base_building_arch_areas!$N$17</f>
        <v>83804.966925973757</v>
      </c>
      <c r="X372" s="187">
        <f>model_eui_end_uses!X372*base_building_arch_areas!$N$17</f>
        <v>25365.708364645019</v>
      </c>
      <c r="Y372" s="187">
        <f>model_eui_end_uses!Y372*base_building_arch_areas!$N$17</f>
        <v>0</v>
      </c>
      <c r="Z372" s="187">
        <f>model_eui_end_uses!Z372*base_building_arch_areas!$N$17</f>
        <v>66890.285704577342</v>
      </c>
      <c r="AA372" s="187">
        <f>model_eui_end_uses!AA372*base_building_arch_areas!$N$17</f>
        <v>26285.670764443697</v>
      </c>
      <c r="AB372" s="187">
        <f>model_eui_end_uses!AB372*base_building_arch_areas!$N$17</f>
        <v>0</v>
      </c>
      <c r="AC372" s="187">
        <f>model_eui_end_uses!AC372*base_building_arch_areas!$N$17</f>
        <v>1260272.7261147888</v>
      </c>
      <c r="AD372" s="187">
        <f>model_eui_end_uses!AD372*base_building_arch_areas!$N$17</f>
        <v>18999.929327606813</v>
      </c>
      <c r="AE372" s="187">
        <f>model_eui_end_uses!AE372*base_building_arch_areas!$N$17</f>
        <v>-588.05439673401793</v>
      </c>
      <c r="AF372" s="187">
        <f t="shared" si="65"/>
        <v>18411.874930872797</v>
      </c>
      <c r="AG372" s="187">
        <f>model_eui_end_uses!AH372*base_building_arch_areas!$N$17</f>
        <v>307.79885510723039</v>
      </c>
      <c r="AH372" s="187">
        <f>model_eui_end_uses!AI372*base_building_arch_areas!$N$17</f>
        <v>-66.450146830944021</v>
      </c>
      <c r="AI372" s="187">
        <f t="shared" si="66"/>
        <v>241.34870827628637</v>
      </c>
      <c r="AJ372" s="200">
        <f>sim_annual_output!F372/sim_annual_output!H372*base_building_arch_areas!$N$17</f>
        <v>5646.2812138985164</v>
      </c>
      <c r="AK372">
        <f t="shared" si="67"/>
        <v>23.394702437913523</v>
      </c>
    </row>
    <row r="373" spans="1:37">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f>model_eui_end_uses!G373*base_scenario_arch_measures!$F373</f>
        <v>0</v>
      </c>
      <c r="H373">
        <f>model_eui_end_uses!H373*base_scenario_arch_measures!$F373</f>
        <v>5.3639604737286746</v>
      </c>
      <c r="I373">
        <f>model_eui_end_uses!I373*base_scenario_arch_measures!$F373</f>
        <v>0.30112094712191134</v>
      </c>
      <c r="J373">
        <f>model_eui_end_uses!J373*base_scenario_arch_measures!$F373</f>
        <v>0</v>
      </c>
      <c r="K373">
        <f>model_eui_end_uses!K373*base_scenario_arch_measures!$F373</f>
        <v>0.68255303181462101</v>
      </c>
      <c r="L373">
        <f>model_eui_end_uses!L373*base_scenario_arch_measures!$F373</f>
        <v>0.39736479782101042</v>
      </c>
      <c r="M373">
        <f>model_eui_end_uses!M373*base_scenario_arch_measures!$F373</f>
        <v>0.17181427301393049</v>
      </c>
      <c r="N373">
        <f>model_eui_end_uses!N373*base_scenario_arch_measures!$F373</f>
        <v>0</v>
      </c>
      <c r="O373">
        <f>model_eui_end_uses!O373*base_scenario_arch_measures!$F373</f>
        <v>0.21186598592387673</v>
      </c>
      <c r="P373">
        <f>model_eui_end_uses!P373*base_scenario_arch_measures!$F373</f>
        <v>0.13983888171273179</v>
      </c>
      <c r="Q373">
        <f>model_eui_end_uses!Q373*base_scenario_arch_measures!$F373</f>
        <v>0</v>
      </c>
      <c r="R373" s="187">
        <f>model_eui_end_uses!R373*base_building_arch_areas!$N$17</f>
        <v>0</v>
      </c>
      <c r="S373" s="187">
        <f>model_eui_end_uses!S373*base_building_arch_areas!$N$17</f>
        <v>913396.39365109184</v>
      </c>
      <c r="T373" s="187">
        <f>model_eui_end_uses!T373*base_building_arch_areas!$N$17</f>
        <v>43759.544817090282</v>
      </c>
      <c r="U373" s="187">
        <f>model_eui_end_uses!U373*base_building_arch_areas!$N$17</f>
        <v>0</v>
      </c>
      <c r="V373" s="187">
        <f>model_eui_end_uses!V373*base_building_arch_areas!$N$17</f>
        <v>100770.15588696697</v>
      </c>
      <c r="W373" s="187">
        <f>model_eui_end_uses!W373*base_building_arch_areas!$N$17</f>
        <v>83804.966925973757</v>
      </c>
      <c r="X373" s="187">
        <f>model_eui_end_uses!X373*base_building_arch_areas!$N$17</f>
        <v>25365.708364645019</v>
      </c>
      <c r="Y373" s="187">
        <f>model_eui_end_uses!Y373*base_building_arch_areas!$N$17</f>
        <v>0</v>
      </c>
      <c r="Z373" s="187">
        <f>model_eui_end_uses!Z373*base_building_arch_areas!$N$17</f>
        <v>66890.285704577342</v>
      </c>
      <c r="AA373" s="187">
        <f>model_eui_end_uses!AA373*base_building_arch_areas!$N$17</f>
        <v>26285.670764443697</v>
      </c>
      <c r="AB373" s="187">
        <f>model_eui_end_uses!AB373*base_building_arch_areas!$N$17</f>
        <v>0</v>
      </c>
      <c r="AC373" s="187">
        <f>model_eui_end_uses!AC373*base_building_arch_areas!$N$17</f>
        <v>1260272.7261147888</v>
      </c>
      <c r="AD373" s="187">
        <f>model_eui_end_uses!AD373*base_building_arch_areas!$N$17</f>
        <v>121492.7599043927</v>
      </c>
      <c r="AE373" s="187">
        <f>model_eui_end_uses!AE373*base_building_arch_areas!$N$17</f>
        <v>65696.138432681852</v>
      </c>
      <c r="AF373" s="187">
        <f t="shared" si="65"/>
        <v>187188.89833707456</v>
      </c>
      <c r="AG373" s="187">
        <f>model_eui_end_uses!AH373*base_building_arch_areas!$N$17</f>
        <v>1968.1827104511615</v>
      </c>
      <c r="AH373" s="187">
        <f>model_eui_end_uses!AI373*base_building_arch_areas!$N$17</f>
        <v>7423.6636428930487</v>
      </c>
      <c r="AI373" s="187">
        <f t="shared" si="66"/>
        <v>9391.84635334421</v>
      </c>
      <c r="AJ373" s="200">
        <f>sim_annual_output!F373/sim_annual_output!H373*base_building_arch_areas!$N$17</f>
        <v>123624.46214342843</v>
      </c>
      <c r="AK373">
        <f t="shared" si="67"/>
        <v>13.162956195445931</v>
      </c>
    </row>
    <row r="374" spans="1:37">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f>model_eui_end_uses!G374*base_scenario_arch_measures!$F374</f>
        <v>0</v>
      </c>
      <c r="H374">
        <f>model_eui_end_uses!H374*base_scenario_arch_measures!$F374</f>
        <v>5.1179808873030987</v>
      </c>
      <c r="I374">
        <f>model_eui_end_uses!I374*base_scenario_arch_measures!$F374</f>
        <v>0.25257748910140604</v>
      </c>
      <c r="J374">
        <f>model_eui_end_uses!J374*base_scenario_arch_measures!$F374</f>
        <v>0</v>
      </c>
      <c r="K374">
        <f>model_eui_end_uses!K374*base_scenario_arch_measures!$F374</f>
        <v>0.68255303181462101</v>
      </c>
      <c r="L374">
        <f>model_eui_end_uses!L374*base_scenario_arch_measures!$F374</f>
        <v>0.56765177854886917</v>
      </c>
      <c r="M374">
        <f>model_eui_end_uses!M374*base_scenario_arch_measures!$F374</f>
        <v>0.17181427301393049</v>
      </c>
      <c r="N374">
        <f>model_eui_end_uses!N374*base_scenario_arch_measures!$F374</f>
        <v>0</v>
      </c>
      <c r="O374">
        <f>model_eui_end_uses!O374*base_scenario_arch_measures!$F374</f>
        <v>0.43160058170559534</v>
      </c>
      <c r="P374">
        <f>model_eui_end_uses!P374*base_scenario_arch_measures!$F374</f>
        <v>0.15382887905314929</v>
      </c>
      <c r="Q374">
        <f>model_eui_end_uses!Q374*base_scenario_arch_measures!$F374</f>
        <v>0</v>
      </c>
      <c r="R374" s="187">
        <f>model_eui_end_uses!R374*base_building_arch_areas!$N$17</f>
        <v>0</v>
      </c>
      <c r="S374" s="187">
        <f>model_eui_end_uses!S374*base_building_arch_areas!$N$17</f>
        <v>913396.39365109184</v>
      </c>
      <c r="T374" s="187">
        <f>model_eui_end_uses!T374*base_building_arch_areas!$N$17</f>
        <v>43759.544817090282</v>
      </c>
      <c r="U374" s="187">
        <f>model_eui_end_uses!U374*base_building_arch_areas!$N$17</f>
        <v>0</v>
      </c>
      <c r="V374" s="187">
        <f>model_eui_end_uses!V374*base_building_arch_areas!$N$17</f>
        <v>100770.15588696697</v>
      </c>
      <c r="W374" s="187">
        <f>model_eui_end_uses!W374*base_building_arch_areas!$N$17</f>
        <v>83804.966925973757</v>
      </c>
      <c r="X374" s="187">
        <f>model_eui_end_uses!X374*base_building_arch_areas!$N$17</f>
        <v>25365.708364645019</v>
      </c>
      <c r="Y374" s="187">
        <f>model_eui_end_uses!Y374*base_building_arch_areas!$N$17</f>
        <v>0</v>
      </c>
      <c r="Z374" s="187">
        <f>model_eui_end_uses!Z374*base_building_arch_areas!$N$17</f>
        <v>66890.285704577342</v>
      </c>
      <c r="AA374" s="187">
        <f>model_eui_end_uses!AA374*base_building_arch_areas!$N$17</f>
        <v>26285.670764443697</v>
      </c>
      <c r="AB374" s="187">
        <f>model_eui_end_uses!AB374*base_building_arch_areas!$N$17</f>
        <v>0</v>
      </c>
      <c r="AC374" s="187">
        <f>model_eui_end_uses!AC374*base_building_arch_areas!$N$17</f>
        <v>1260272.7261147888</v>
      </c>
      <c r="AD374" s="187">
        <f>model_eui_end_uses!AD374*base_building_arch_areas!$N$17</f>
        <v>157807.82467448481</v>
      </c>
      <c r="AE374" s="187">
        <f>model_eui_end_uses!AE374*base_building_arch_areas!$N$17</f>
        <v>13216.79314377429</v>
      </c>
      <c r="AF374" s="187">
        <f t="shared" si="65"/>
        <v>171024.61781825911</v>
      </c>
      <c r="AG374" s="187">
        <f>model_eui_end_uses!AH374*base_building_arch_areas!$N$17</f>
        <v>2556.4867597266534</v>
      </c>
      <c r="AH374" s="187">
        <f>model_eui_end_uses!AI374*base_building_arch_areas!$N$17</f>
        <v>1493.4976252464946</v>
      </c>
      <c r="AI374" s="187">
        <f t="shared" si="66"/>
        <v>4049.9843849731478</v>
      </c>
      <c r="AJ374" s="200">
        <f>sim_annual_output!F374/sim_annual_output!H374*base_building_arch_areas!$N$17</f>
        <v>682135.61516928836</v>
      </c>
      <c r="AK374">
        <f t="shared" si="67"/>
        <v>168.42919634462024</v>
      </c>
    </row>
    <row r="375" spans="1:37">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f>model_eui_end_uses!G375*base_scenario_arch_measures!$F375</f>
        <v>0</v>
      </c>
      <c r="H375">
        <f>model_eui_end_uses!H375*base_scenario_arch_measures!$F375</f>
        <v>5.7693405014669903</v>
      </c>
      <c r="I375">
        <f>model_eui_end_uses!I375*base_scenario_arch_measures!$F375</f>
        <v>0.28647115951391089</v>
      </c>
      <c r="J375">
        <f>model_eui_end_uses!J375*base_scenario_arch_measures!$F375</f>
        <v>0</v>
      </c>
      <c r="K375">
        <f>model_eui_end_uses!K375*base_scenario_arch_measures!$F375</f>
        <v>0.68255303181462101</v>
      </c>
      <c r="L375">
        <f>model_eui_end_uses!L375*base_scenario_arch_measures!$F375</f>
        <v>0.56765177854886917</v>
      </c>
      <c r="M375">
        <f>model_eui_end_uses!M375*base_scenario_arch_measures!$F375</f>
        <v>0.17181427301393049</v>
      </c>
      <c r="N375">
        <f>model_eui_end_uses!N375*base_scenario_arch_measures!$F375</f>
        <v>0</v>
      </c>
      <c r="O375">
        <f>model_eui_end_uses!O375*base_scenario_arch_measures!$F375</f>
        <v>0.44615262260728722</v>
      </c>
      <c r="P375">
        <f>model_eui_end_uses!P375*base_scenario_arch_measures!$F375</f>
        <v>0.17119113776121322</v>
      </c>
      <c r="Q375">
        <f>model_eui_end_uses!Q375*base_scenario_arch_measures!$F375</f>
        <v>0</v>
      </c>
      <c r="R375" s="187">
        <f>model_eui_end_uses!R375*base_building_arch_areas!$N$17</f>
        <v>0</v>
      </c>
      <c r="S375" s="187">
        <f>model_eui_end_uses!S375*base_building_arch_areas!$N$17</f>
        <v>913396.39365109184</v>
      </c>
      <c r="T375" s="187">
        <f>model_eui_end_uses!T375*base_building_arch_areas!$N$17</f>
        <v>43759.544817090282</v>
      </c>
      <c r="U375" s="187">
        <f>model_eui_end_uses!U375*base_building_arch_areas!$N$17</f>
        <v>0</v>
      </c>
      <c r="V375" s="187">
        <f>model_eui_end_uses!V375*base_building_arch_areas!$N$17</f>
        <v>100770.15588696697</v>
      </c>
      <c r="W375" s="187">
        <f>model_eui_end_uses!W375*base_building_arch_areas!$N$17</f>
        <v>83804.966925973757</v>
      </c>
      <c r="X375" s="187">
        <f>model_eui_end_uses!X375*base_building_arch_areas!$N$17</f>
        <v>25365.708364645019</v>
      </c>
      <c r="Y375" s="187">
        <f>model_eui_end_uses!Y375*base_building_arch_areas!$N$17</f>
        <v>0</v>
      </c>
      <c r="Z375" s="187">
        <f>model_eui_end_uses!Z375*base_building_arch_areas!$N$17</f>
        <v>66890.285704577342</v>
      </c>
      <c r="AA375" s="187">
        <f>model_eui_end_uses!AA375*base_building_arch_areas!$N$17</f>
        <v>26285.670764443697</v>
      </c>
      <c r="AB375" s="187">
        <f>model_eui_end_uses!AB375*base_building_arch_areas!$N$17</f>
        <v>0</v>
      </c>
      <c r="AC375" s="187">
        <f>model_eui_end_uses!AC375*base_building_arch_areas!$N$17</f>
        <v>1260272.7261147888</v>
      </c>
      <c r="AD375" s="187">
        <f>model_eui_end_uses!AD375*base_building_arch_areas!$N$17</f>
        <v>61644.696177882099</v>
      </c>
      <c r="AE375" s="187">
        <f>model_eui_end_uses!AE375*base_building_arch_areas!$N$17</f>
        <v>3501.2686627632133</v>
      </c>
      <c r="AF375" s="187">
        <f t="shared" si="65"/>
        <v>65145.964840645313</v>
      </c>
      <c r="AG375" s="187">
        <f>model_eui_end_uses!AH375*base_building_arch_areas!$N$17</f>
        <v>998.64407808168994</v>
      </c>
      <c r="AH375" s="187">
        <f>model_eui_end_uses!AI375*base_building_arch_areas!$N$17</f>
        <v>395.6433588922431</v>
      </c>
      <c r="AI375" s="187">
        <f t="shared" si="66"/>
        <v>1394.2874369739329</v>
      </c>
      <c r="AJ375" s="200">
        <f>sim_annual_output!F375/sim_annual_output!H375*base_building_arch_areas!$N$17</f>
        <v>316833.48573713686</v>
      </c>
      <c r="AK375">
        <f t="shared" si="67"/>
        <v>227.23685040494291</v>
      </c>
    </row>
    <row r="376" spans="1:37">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f>model_eui_end_uses!G376*base_scenario_arch_measures!$F376</f>
        <v>0</v>
      </c>
      <c r="H376">
        <f>model_eui_end_uses!H376*base_scenario_arch_measures!$F376</f>
        <v>6.028344836508186</v>
      </c>
      <c r="I376">
        <f>model_eui_end_uses!I376*base_scenario_arch_measures!$F376</f>
        <v>0.30269711276113742</v>
      </c>
      <c r="J376">
        <f>model_eui_end_uses!J376*base_scenario_arch_measures!$F376</f>
        <v>0</v>
      </c>
      <c r="K376">
        <f>model_eui_end_uses!K376*base_scenario_arch_measures!$F376</f>
        <v>0.68255303181462101</v>
      </c>
      <c r="L376">
        <f>model_eui_end_uses!L376*base_scenario_arch_measures!$F376</f>
        <v>0.56765177854886917</v>
      </c>
      <c r="M376">
        <f>model_eui_end_uses!M376*base_scenario_arch_measures!$F376</f>
        <v>0.17181427301393049</v>
      </c>
      <c r="N376">
        <f>model_eui_end_uses!N376*base_scenario_arch_measures!$F376</f>
        <v>0</v>
      </c>
      <c r="O376">
        <f>model_eui_end_uses!O376*base_scenario_arch_measures!$F376</f>
        <v>0.45118657798217976</v>
      </c>
      <c r="P376">
        <f>model_eui_end_uses!P376*base_scenario_arch_measures!$F376</f>
        <v>0.17759354702442609</v>
      </c>
      <c r="Q376">
        <f>model_eui_end_uses!Q376*base_scenario_arch_measures!$F376</f>
        <v>0</v>
      </c>
      <c r="R376" s="187">
        <f>model_eui_end_uses!R376*base_building_arch_areas!$N$17</f>
        <v>0</v>
      </c>
      <c r="S376" s="187">
        <f>model_eui_end_uses!S376*base_building_arch_areas!$N$17</f>
        <v>913396.39365109184</v>
      </c>
      <c r="T376" s="187">
        <f>model_eui_end_uses!T376*base_building_arch_areas!$N$17</f>
        <v>43759.544817090282</v>
      </c>
      <c r="U376" s="187">
        <f>model_eui_end_uses!U376*base_building_arch_areas!$N$17</f>
        <v>0</v>
      </c>
      <c r="V376" s="187">
        <f>model_eui_end_uses!V376*base_building_arch_areas!$N$17</f>
        <v>100770.15588696697</v>
      </c>
      <c r="W376" s="187">
        <f>model_eui_end_uses!W376*base_building_arch_areas!$N$17</f>
        <v>83804.966925973757</v>
      </c>
      <c r="X376" s="187">
        <f>model_eui_end_uses!X376*base_building_arch_areas!$N$17</f>
        <v>25365.708364645019</v>
      </c>
      <c r="Y376" s="187">
        <f>model_eui_end_uses!Y376*base_building_arch_areas!$N$17</f>
        <v>0</v>
      </c>
      <c r="Z376" s="187">
        <f>model_eui_end_uses!Z376*base_building_arch_areas!$N$17</f>
        <v>66890.285704577342</v>
      </c>
      <c r="AA376" s="187">
        <f>model_eui_end_uses!AA376*base_building_arch_areas!$N$17</f>
        <v>26285.670764443697</v>
      </c>
      <c r="AB376" s="187">
        <f>model_eui_end_uses!AB376*base_building_arch_areas!$N$17</f>
        <v>0</v>
      </c>
      <c r="AC376" s="187">
        <f>model_eui_end_uses!AC376*base_building_arch_areas!$N$17</f>
        <v>1260272.7261147888</v>
      </c>
      <c r="AD376" s="187">
        <f>model_eui_end_uses!AD376*base_building_arch_areas!$N$17</f>
        <v>23406.729607426503</v>
      </c>
      <c r="AE376" s="187">
        <f>model_eui_end_uses!AE376*base_building_arch_areas!$N$17</f>
        <v>-582.6428532057887</v>
      </c>
      <c r="AF376" s="187">
        <f t="shared" si="65"/>
        <v>22824.086754220716</v>
      </c>
      <c r="AG376" s="187">
        <f>model_eui_end_uses!AH376*base_building_arch_areas!$N$17</f>
        <v>379.18901964030937</v>
      </c>
      <c r="AH376" s="187">
        <f>model_eui_end_uses!AI376*base_building_arch_areas!$N$17</f>
        <v>-65.838642412254117</v>
      </c>
      <c r="AI376" s="187">
        <f t="shared" si="66"/>
        <v>313.35037722805527</v>
      </c>
      <c r="AJ376" s="200">
        <f>sim_annual_output!F376/sim_annual_output!H376*base_building_arch_areas!$N$17</f>
        <v>2493753.6636896832</v>
      </c>
      <c r="AK376">
        <f t="shared" si="67"/>
        <v>7958.3553903773936</v>
      </c>
    </row>
    <row r="377" spans="1:37">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f>model_eui_end_uses!G377*base_scenario_arch_measures!$F377</f>
        <v>0</v>
      </c>
      <c r="H377">
        <f>model_eui_end_uses!H377*base_scenario_arch_measures!$F377</f>
        <v>6.0579376518431118</v>
      </c>
      <c r="I377">
        <f>model_eui_end_uses!I377*base_scenario_arch_measures!$F377</f>
        <v>0.30269711276113742</v>
      </c>
      <c r="J377">
        <f>model_eui_end_uses!J377*base_scenario_arch_measures!$F377</f>
        <v>0</v>
      </c>
      <c r="K377">
        <f>model_eui_end_uses!K377*base_scenario_arch_measures!$F377</f>
        <v>0.68255303181462101</v>
      </c>
      <c r="L377">
        <f>model_eui_end_uses!L377*base_scenario_arch_measures!$F377</f>
        <v>0.56765177854886917</v>
      </c>
      <c r="M377">
        <f>model_eui_end_uses!M377*base_scenario_arch_measures!$F377</f>
        <v>0.17181427301393049</v>
      </c>
      <c r="N377">
        <f>model_eui_end_uses!N377*base_scenario_arch_measures!$F377</f>
        <v>0</v>
      </c>
      <c r="O377">
        <f>model_eui_end_uses!O377*base_scenario_arch_measures!$F377</f>
        <v>0.20981330509139628</v>
      </c>
      <c r="P377">
        <f>model_eui_end_uses!P377*base_scenario_arch_measures!$F377</f>
        <v>0.17872985248526349</v>
      </c>
      <c r="Q377">
        <f>model_eui_end_uses!Q377*base_scenario_arch_measures!$F377</f>
        <v>0</v>
      </c>
      <c r="R377" s="187">
        <f>model_eui_end_uses!R377*base_building_arch_areas!$N$17</f>
        <v>0</v>
      </c>
      <c r="S377" s="187">
        <f>model_eui_end_uses!S377*base_building_arch_areas!$N$17</f>
        <v>913396.39365109184</v>
      </c>
      <c r="T377" s="187">
        <f>model_eui_end_uses!T377*base_building_arch_areas!$N$17</f>
        <v>43759.544817090282</v>
      </c>
      <c r="U377" s="187">
        <f>model_eui_end_uses!U377*base_building_arch_areas!$N$17</f>
        <v>0</v>
      </c>
      <c r="V377" s="187">
        <f>model_eui_end_uses!V377*base_building_arch_areas!$N$17</f>
        <v>100770.15588696697</v>
      </c>
      <c r="W377" s="187">
        <f>model_eui_end_uses!W377*base_building_arch_areas!$N$17</f>
        <v>83804.966925973757</v>
      </c>
      <c r="X377" s="187">
        <f>model_eui_end_uses!X377*base_building_arch_areas!$N$17</f>
        <v>25365.708364645019</v>
      </c>
      <c r="Y377" s="187">
        <f>model_eui_end_uses!Y377*base_building_arch_areas!$N$17</f>
        <v>0</v>
      </c>
      <c r="Z377" s="187">
        <f>model_eui_end_uses!Z377*base_building_arch_areas!$N$17</f>
        <v>66890.285704577342</v>
      </c>
      <c r="AA377" s="187">
        <f>model_eui_end_uses!AA377*base_building_arch_areas!$N$17</f>
        <v>26285.670764443697</v>
      </c>
      <c r="AB377" s="187">
        <f>model_eui_end_uses!AB377*base_building_arch_areas!$N$17</f>
        <v>0</v>
      </c>
      <c r="AC377" s="187">
        <f>model_eui_end_uses!AC377*base_building_arch_areas!$N$17</f>
        <v>1260272.7261147888</v>
      </c>
      <c r="AD377" s="187">
        <f>model_eui_end_uses!AD377*base_building_arch_areas!$N$17</f>
        <v>19037.810132304261</v>
      </c>
      <c r="AE377" s="187">
        <f>model_eui_end_uses!AE377*base_building_arch_areas!$N$17</f>
        <v>34884.613430797232</v>
      </c>
      <c r="AF377" s="187">
        <f t="shared" si="65"/>
        <v>53922.423563101489</v>
      </c>
      <c r="AG377" s="187">
        <f>model_eui_end_uses!AH377*base_building_arch_areas!$N$17</f>
        <v>308.41252414332905</v>
      </c>
      <c r="AH377" s="187">
        <f>model_eui_end_uses!AI377*base_building_arch_areas!$N$17</f>
        <v>3941.9613176800867</v>
      </c>
      <c r="AI377" s="187">
        <f t="shared" si="66"/>
        <v>4250.3738418234161</v>
      </c>
      <c r="AJ377" s="200">
        <f>sim_annual_output!F377/sim_annual_output!H377*base_building_arch_areas!$N$17</f>
        <v>4210.570736692438</v>
      </c>
      <c r="AK377">
        <f t="shared" si="67"/>
        <v>0.99063538723598432</v>
      </c>
    </row>
    <row r="378" spans="1:37">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f>model_eui_end_uses!G378*base_scenario_arch_measures!$F378</f>
        <v>0</v>
      </c>
      <c r="H378">
        <f>model_eui_end_uses!H378*base_scenario_arch_measures!$F378</f>
        <v>6.0590006472742175</v>
      </c>
      <c r="I378">
        <f>model_eui_end_uses!I378*base_scenario_arch_measures!$F378</f>
        <v>0.3026604577462717</v>
      </c>
      <c r="J378">
        <f>model_eui_end_uses!J378*base_scenario_arch_measures!$F378</f>
        <v>0</v>
      </c>
      <c r="K378">
        <f>model_eui_end_uses!K378*base_scenario_arch_measures!$F378</f>
        <v>0.68255303181462101</v>
      </c>
      <c r="L378">
        <f>model_eui_end_uses!L378*base_scenario_arch_measures!$F378</f>
        <v>0.56765177854886917</v>
      </c>
      <c r="M378">
        <f>model_eui_end_uses!M378*base_scenario_arch_measures!$F378</f>
        <v>0.17181427301393049</v>
      </c>
      <c r="N378">
        <f>model_eui_end_uses!N378*base_scenario_arch_measures!$F378</f>
        <v>0</v>
      </c>
      <c r="O378">
        <f>model_eui_end_uses!O378*base_scenario_arch_measures!$F378</f>
        <v>0.4513454163799312</v>
      </c>
      <c r="P378">
        <f>model_eui_end_uses!P378*base_scenario_arch_measures!$F378</f>
        <v>0.17874207082355209</v>
      </c>
      <c r="Q378">
        <f>model_eui_end_uses!Q378*base_scenario_arch_measures!$F378</f>
        <v>0</v>
      </c>
      <c r="R378" s="187">
        <f>model_eui_end_uses!R378*base_building_arch_areas!$N$17</f>
        <v>0</v>
      </c>
      <c r="S378" s="187">
        <f>model_eui_end_uses!S378*base_building_arch_areas!$N$17</f>
        <v>913396.39365109184</v>
      </c>
      <c r="T378" s="187">
        <f>model_eui_end_uses!T378*base_building_arch_areas!$N$17</f>
        <v>43759.544817090282</v>
      </c>
      <c r="U378" s="187">
        <f>model_eui_end_uses!U378*base_building_arch_areas!$N$17</f>
        <v>0</v>
      </c>
      <c r="V378" s="187">
        <f>model_eui_end_uses!V378*base_building_arch_areas!$N$17</f>
        <v>100770.15588696697</v>
      </c>
      <c r="W378" s="187">
        <f>model_eui_end_uses!W378*base_building_arch_areas!$N$17</f>
        <v>83804.966925973757</v>
      </c>
      <c r="X378" s="187">
        <f>model_eui_end_uses!X378*base_building_arch_areas!$N$17</f>
        <v>25365.708364645019</v>
      </c>
      <c r="Y378" s="187">
        <f>model_eui_end_uses!Y378*base_building_arch_areas!$N$17</f>
        <v>0</v>
      </c>
      <c r="Z378" s="187">
        <f>model_eui_end_uses!Z378*base_building_arch_areas!$N$17</f>
        <v>66890.285704577342</v>
      </c>
      <c r="AA378" s="187">
        <f>model_eui_end_uses!AA378*base_building_arch_areas!$N$17</f>
        <v>26285.670764443697</v>
      </c>
      <c r="AB378" s="187">
        <f>model_eui_end_uses!AB378*base_building_arch_areas!$N$17</f>
        <v>0</v>
      </c>
      <c r="AC378" s="187">
        <f>model_eui_end_uses!AC378*base_building_arch_areas!$N$17</f>
        <v>1260272.7261147888</v>
      </c>
      <c r="AD378" s="187">
        <f>model_eui_end_uses!AD378*base_building_arch_areas!$N$17</f>
        <v>18880.875369985835</v>
      </c>
      <c r="AE378" s="187">
        <f>model_eui_end_uses!AE378*base_building_arch_areas!$N$17</f>
        <v>-770.2430288510601</v>
      </c>
      <c r="AF378" s="187">
        <f t="shared" si="65"/>
        <v>18110.632341134777</v>
      </c>
      <c r="AG378" s="187">
        <f>model_eui_end_uses!AH378*base_building_arch_areas!$N$17</f>
        <v>305.87018099377053</v>
      </c>
      <c r="AH378" s="187">
        <f>model_eui_end_uses!AI378*base_building_arch_areas!$N$17</f>
        <v>-87.037462260169789</v>
      </c>
      <c r="AI378" s="187">
        <f t="shared" si="66"/>
        <v>218.83271873360076</v>
      </c>
      <c r="AJ378" s="200">
        <f>sim_annual_output!F378/sim_annual_output!H378*base_building_arch_areas!$N$17</f>
        <v>4149.9151337421135</v>
      </c>
      <c r="AK378">
        <f t="shared" si="67"/>
        <v>18.963869560995921</v>
      </c>
    </row>
    <row r="379" spans="1:37">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f>model_eui_end_uses!G379*base_scenario_arch_measures!$F379</f>
        <v>0</v>
      </c>
      <c r="H379">
        <f>model_eui_end_uses!H379*base_scenario_arch_measures!$F379</f>
        <v>5.0909905780236384</v>
      </c>
      <c r="I379">
        <f>model_eui_end_uses!I379*base_scenario_arch_measures!$F379</f>
        <v>0.30786546985720431</v>
      </c>
      <c r="J379">
        <f>model_eui_end_uses!J379*base_scenario_arch_measures!$F379</f>
        <v>0</v>
      </c>
      <c r="K379">
        <f>model_eui_end_uses!K379*base_scenario_arch_measures!$F379</f>
        <v>0.68255303181462101</v>
      </c>
      <c r="L379">
        <f>model_eui_end_uses!L379*base_scenario_arch_measures!$F379</f>
        <v>0.56765177854886917</v>
      </c>
      <c r="M379">
        <f>model_eui_end_uses!M379*base_scenario_arch_measures!$F379</f>
        <v>0.17181427301393049</v>
      </c>
      <c r="N379">
        <f>model_eui_end_uses!N379*base_scenario_arch_measures!$F379</f>
        <v>0</v>
      </c>
      <c r="O379">
        <f>model_eui_end_uses!O379*base_scenario_arch_measures!$F379</f>
        <v>0.45217626338355432</v>
      </c>
      <c r="P379">
        <f>model_eui_end_uses!P379*base_scenario_arch_measures!$F379</f>
        <v>0.17816780892398909</v>
      </c>
      <c r="Q379">
        <f>model_eui_end_uses!Q379*base_scenario_arch_measures!$F379</f>
        <v>9.6317160728830481E-2</v>
      </c>
      <c r="R379" s="187">
        <f>model_eui_end_uses!R379*base_building_arch_areas!$N$17</f>
        <v>0</v>
      </c>
      <c r="S379" s="187">
        <f>model_eui_end_uses!S379*base_building_arch_areas!$N$17</f>
        <v>913396.39365109184</v>
      </c>
      <c r="T379" s="187">
        <f>model_eui_end_uses!T379*base_building_arch_areas!$N$17</f>
        <v>43759.544817090282</v>
      </c>
      <c r="U379" s="187">
        <f>model_eui_end_uses!U379*base_building_arch_areas!$N$17</f>
        <v>0</v>
      </c>
      <c r="V379" s="187">
        <f>model_eui_end_uses!V379*base_building_arch_areas!$N$17</f>
        <v>100770.15588696697</v>
      </c>
      <c r="W379" s="187">
        <f>model_eui_end_uses!W379*base_building_arch_areas!$N$17</f>
        <v>83804.966925973757</v>
      </c>
      <c r="X379" s="187">
        <f>model_eui_end_uses!X379*base_building_arch_areas!$N$17</f>
        <v>25365.708364645019</v>
      </c>
      <c r="Y379" s="187">
        <f>model_eui_end_uses!Y379*base_building_arch_areas!$N$17</f>
        <v>0</v>
      </c>
      <c r="Z379" s="187">
        <f>model_eui_end_uses!Z379*base_building_arch_areas!$N$17</f>
        <v>66890.285704577342</v>
      </c>
      <c r="AA379" s="187">
        <f>model_eui_end_uses!AA379*base_building_arch_areas!$N$17</f>
        <v>26285.670764443697</v>
      </c>
      <c r="AB379" s="187">
        <f>model_eui_end_uses!AB379*base_building_arch_areas!$N$17</f>
        <v>0</v>
      </c>
      <c r="AC379" s="187">
        <f>model_eui_end_uses!AC379*base_building_arch_areas!$N$17</f>
        <v>1260272.7261147888</v>
      </c>
      <c r="AD379" s="187">
        <f>model_eui_end_uses!AD379*base_building_arch_areas!$N$17</f>
        <v>161792.52455910292</v>
      </c>
      <c r="AE379" s="187">
        <f>model_eui_end_uses!AE379*base_building_arch_areas!$N$17</f>
        <v>-15796.295558896054</v>
      </c>
      <c r="AF379" s="187">
        <f t="shared" si="65"/>
        <v>145996.22900020686</v>
      </c>
      <c r="AG379" s="187">
        <f>model_eui_end_uses!AH379*base_building_arch_areas!$N$17</f>
        <v>2621.0388978574674</v>
      </c>
      <c r="AH379" s="187">
        <f>model_eui_end_uses!AI379*base_building_arch_areas!$N$17</f>
        <v>-1784.9813981552543</v>
      </c>
      <c r="AI379" s="187">
        <f t="shared" si="66"/>
        <v>836.05749970221314</v>
      </c>
      <c r="AJ379" s="200">
        <f>sim_annual_output!F379/sim_annual_output!H379*base_building_arch_areas!$N$17</f>
        <v>250216.12503332447</v>
      </c>
      <c r="AK379">
        <f t="shared" si="67"/>
        <v>299.28100055611776</v>
      </c>
    </row>
    <row r="380" spans="1:37">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f>model_eui_end_uses!G380*base_scenario_arch_measures!$F380</f>
        <v>0</v>
      </c>
      <c r="H380">
        <f>model_eui_end_uses!H380*base_scenario_arch_measures!$F380</f>
        <v>4.5461504370595369</v>
      </c>
      <c r="I380">
        <f>model_eui_end_uses!I380*base_scenario_arch_measures!$F380</f>
        <v>0.27716078573801733</v>
      </c>
      <c r="J380">
        <f>model_eui_end_uses!J380*base_scenario_arch_measures!$F380</f>
        <v>0</v>
      </c>
      <c r="K380">
        <f>model_eui_end_uses!K380*base_scenario_arch_measures!$F380</f>
        <v>0.68254081347633233</v>
      </c>
      <c r="L380">
        <f>model_eui_end_uses!L380*base_scenario_arch_measures!$F380</f>
        <v>0.56765177854886917</v>
      </c>
      <c r="M380">
        <f>model_eui_end_uses!M380*base_scenario_arch_measures!$F380</f>
        <v>0.17181427301393049</v>
      </c>
      <c r="N380">
        <f>model_eui_end_uses!N380*base_scenario_arch_measures!$F380</f>
        <v>0</v>
      </c>
      <c r="O380">
        <f>model_eui_end_uses!O380*base_scenario_arch_measures!$F380</f>
        <v>0.41708519581876913</v>
      </c>
      <c r="P380">
        <f>model_eui_end_uses!P380*base_scenario_arch_measures!$F380</f>
        <v>0.1386659212370287</v>
      </c>
      <c r="Q380">
        <f>model_eui_end_uses!Q380*base_scenario_arch_measures!$F380</f>
        <v>0</v>
      </c>
      <c r="R380" s="187">
        <f>model_eui_end_uses!R380*base_building_arch_areas!$N$17</f>
        <v>0</v>
      </c>
      <c r="S380" s="187">
        <f>model_eui_end_uses!S380*base_building_arch_areas!$N$17</f>
        <v>913396.39365109184</v>
      </c>
      <c r="T380" s="187">
        <f>model_eui_end_uses!T380*base_building_arch_areas!$N$17</f>
        <v>43759.544817090282</v>
      </c>
      <c r="U380" s="187">
        <f>model_eui_end_uses!U380*base_building_arch_areas!$N$17</f>
        <v>0</v>
      </c>
      <c r="V380" s="187">
        <f>model_eui_end_uses!V380*base_building_arch_areas!$N$17</f>
        <v>100770.15588696697</v>
      </c>
      <c r="W380" s="187">
        <f>model_eui_end_uses!W380*base_building_arch_areas!$N$17</f>
        <v>83804.966925973757</v>
      </c>
      <c r="X380" s="187">
        <f>model_eui_end_uses!X380*base_building_arch_areas!$N$17</f>
        <v>25365.708364645019</v>
      </c>
      <c r="Y380" s="187">
        <f>model_eui_end_uses!Y380*base_building_arch_areas!$N$17</f>
        <v>0</v>
      </c>
      <c r="Z380" s="187">
        <f>model_eui_end_uses!Z380*base_building_arch_areas!$N$17</f>
        <v>66890.285704577342</v>
      </c>
      <c r="AA380" s="187">
        <f>model_eui_end_uses!AA380*base_building_arch_areas!$N$17</f>
        <v>26285.670764443697</v>
      </c>
      <c r="AB380" s="187">
        <f>model_eui_end_uses!AB380*base_building_arch_areas!$N$17</f>
        <v>0</v>
      </c>
      <c r="AC380" s="187">
        <f>model_eui_end_uses!AC380*base_building_arch_areas!$N$17</f>
        <v>1260272.7261147888</v>
      </c>
      <c r="AD380" s="187">
        <f>model_eui_end_uses!AD380*base_building_arch_areas!$N$17</f>
        <v>242231.51141051919</v>
      </c>
      <c r="AE380" s="187">
        <f>model_eui_end_uses!AE380*base_building_arch_areas!$N$17</f>
        <v>13968.997694197971</v>
      </c>
      <c r="AF380" s="187">
        <f t="shared" si="65"/>
        <v>256200.50910471717</v>
      </c>
      <c r="AG380" s="187">
        <f>model_eui_end_uses!AH380*base_building_arch_areas!$N$17</f>
        <v>3924.1504848504105</v>
      </c>
      <c r="AH380" s="187">
        <f>model_eui_end_uses!AI380*base_building_arch_areas!$N$17</f>
        <v>1578.4967394443706</v>
      </c>
      <c r="AI380" s="187">
        <f t="shared" si="66"/>
        <v>5502.6472242947812</v>
      </c>
      <c r="AJ380" s="200">
        <f>sim_annual_output!F380/sim_annual_output!H380*base_building_arch_areas!$N$17</f>
        <v>43487.14920465654</v>
      </c>
      <c r="AK380">
        <f t="shared" si="67"/>
        <v>7.902950603966775</v>
      </c>
    </row>
    <row r="381" spans="1:37">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f>model_eui_end_uses!G381*base_scenario_arch_measures!$F381</f>
        <v>0</v>
      </c>
      <c r="H381">
        <f>model_eui_end_uses!H381*base_scenario_arch_measures!$F381</f>
        <v>4.0844560881491834</v>
      </c>
      <c r="I381">
        <f>model_eui_end_uses!I381*base_scenario_arch_measures!$F381</f>
        <v>0.27244450715862767</v>
      </c>
      <c r="J381">
        <f>model_eui_end_uses!J381*base_scenario_arch_measures!$F381</f>
        <v>0</v>
      </c>
      <c r="K381">
        <f>model_eui_end_uses!K381*base_scenario_arch_measures!$F381</f>
        <v>0.68251637679975519</v>
      </c>
      <c r="L381">
        <f>model_eui_end_uses!L381*base_scenario_arch_measures!$F381</f>
        <v>0.56765177854886917</v>
      </c>
      <c r="M381">
        <f>model_eui_end_uses!M381*base_scenario_arch_measures!$F381</f>
        <v>0.17181427301393049</v>
      </c>
      <c r="N381">
        <f>model_eui_end_uses!N381*base_scenario_arch_measures!$F381</f>
        <v>0</v>
      </c>
      <c r="O381">
        <f>model_eui_end_uses!O381*base_scenario_arch_measures!$F381</f>
        <v>0.41993206864000698</v>
      </c>
      <c r="P381">
        <f>model_eui_end_uses!P381*base_scenario_arch_measures!$F381</f>
        <v>0.14456737863041003</v>
      </c>
      <c r="Q381">
        <f>model_eui_end_uses!Q381*base_scenario_arch_measures!$F381</f>
        <v>0</v>
      </c>
      <c r="R381" s="187">
        <f>model_eui_end_uses!R381*base_building_arch_areas!$N$17</f>
        <v>0</v>
      </c>
      <c r="S381" s="187">
        <f>model_eui_end_uses!S381*base_building_arch_areas!$N$17</f>
        <v>913396.39365109184</v>
      </c>
      <c r="T381" s="187">
        <f>model_eui_end_uses!T381*base_building_arch_areas!$N$17</f>
        <v>43759.544817090282</v>
      </c>
      <c r="U381" s="187">
        <f>model_eui_end_uses!U381*base_building_arch_areas!$N$17</f>
        <v>0</v>
      </c>
      <c r="V381" s="187">
        <f>model_eui_end_uses!V381*base_building_arch_areas!$N$17</f>
        <v>100770.15588696697</v>
      </c>
      <c r="W381" s="187">
        <f>model_eui_end_uses!W381*base_building_arch_areas!$N$17</f>
        <v>83804.966925973757</v>
      </c>
      <c r="X381" s="187">
        <f>model_eui_end_uses!X381*base_building_arch_areas!$N$17</f>
        <v>25365.708364645019</v>
      </c>
      <c r="Y381" s="187">
        <f>model_eui_end_uses!Y381*base_building_arch_areas!$N$17</f>
        <v>0</v>
      </c>
      <c r="Z381" s="187">
        <f>model_eui_end_uses!Z381*base_building_arch_areas!$N$17</f>
        <v>66890.285704577342</v>
      </c>
      <c r="AA381" s="187">
        <f>model_eui_end_uses!AA381*base_building_arch_areas!$N$17</f>
        <v>26285.670764443697</v>
      </c>
      <c r="AB381" s="187">
        <f>model_eui_end_uses!AB381*base_building_arch_areas!$N$17</f>
        <v>0</v>
      </c>
      <c r="AC381" s="187">
        <f>model_eui_end_uses!AC381*base_building_arch_areas!$N$17</f>
        <v>1260272.7261147888</v>
      </c>
      <c r="AD381" s="187">
        <f>model_eui_end_uses!AD381*base_building_arch_areas!$N$17</f>
        <v>310397.11753991549</v>
      </c>
      <c r="AE381" s="187">
        <f>model_eui_end_uses!AE381*base_building_arch_areas!$N$17</f>
        <v>13373.727906092907</v>
      </c>
      <c r="AF381" s="187">
        <f t="shared" si="65"/>
        <v>323770.84544600837</v>
      </c>
      <c r="AG381" s="187">
        <f>model_eui_end_uses!AH381*base_building_arch_areas!$N$17</f>
        <v>5028.4333041466298</v>
      </c>
      <c r="AH381" s="187">
        <f>model_eui_end_uses!AI381*base_building_arch_areas!$N$17</f>
        <v>1511.2312533884985</v>
      </c>
      <c r="AI381" s="187">
        <f t="shared" si="66"/>
        <v>6539.6645575351286</v>
      </c>
      <c r="AJ381" s="200">
        <f>sim_annual_output!F381/sim_annual_output!H381*base_building_arch_areas!$N$17</f>
        <v>63461.025282146991</v>
      </c>
      <c r="AK381">
        <f t="shared" si="67"/>
        <v>9.7040184131502532</v>
      </c>
    </row>
    <row r="382" spans="1:37">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f>model_eui_end_uses!G382*base_scenario_arch_measures!$F382</f>
        <v>0</v>
      </c>
      <c r="H382">
        <f>model_eui_end_uses!H382*base_scenario_arch_measures!$F382</f>
        <v>6.253883142976977</v>
      </c>
      <c r="I382">
        <f>model_eui_end_uses!I382*base_scenario_arch_measures!$F382</f>
        <v>0.29954478148268532</v>
      </c>
      <c r="J382">
        <f>model_eui_end_uses!J382*base_scenario_arch_measures!$F382</f>
        <v>0</v>
      </c>
      <c r="K382">
        <f>model_eui_end_uses!K382*base_scenario_arch_measures!$F382</f>
        <v>0.68255303181462101</v>
      </c>
      <c r="L382">
        <f>model_eui_end_uses!L382*base_scenario_arch_measures!$F382</f>
        <v>0.39736479782101042</v>
      </c>
      <c r="M382">
        <f>model_eui_end_uses!M382*base_scenario_arch_measures!$F382</f>
        <v>0.17181427301393049</v>
      </c>
      <c r="N382">
        <f>model_eui_end_uses!N382*base_scenario_arch_measures!$F382</f>
        <v>0</v>
      </c>
      <c r="O382">
        <f>model_eui_end_uses!O382*base_scenario_arch_measures!$F382</f>
        <v>0.45400901412684047</v>
      </c>
      <c r="P382">
        <f>model_eui_end_uses!P382*base_scenario_arch_measures!$F382</f>
        <v>0.17926745936996077</v>
      </c>
      <c r="Q382">
        <f>model_eui_end_uses!Q382*base_scenario_arch_measures!$F382</f>
        <v>0</v>
      </c>
      <c r="R382" s="187">
        <f>model_eui_end_uses!R382*base_building_arch_areas!$N$17</f>
        <v>0</v>
      </c>
      <c r="S382" s="187">
        <f>model_eui_end_uses!S382*base_building_arch_areas!$N$17</f>
        <v>913396.39365109184</v>
      </c>
      <c r="T382" s="187">
        <f>model_eui_end_uses!T382*base_building_arch_areas!$N$17</f>
        <v>43759.544817090282</v>
      </c>
      <c r="U382" s="187">
        <f>model_eui_end_uses!U382*base_building_arch_areas!$N$17</f>
        <v>0</v>
      </c>
      <c r="V382" s="187">
        <f>model_eui_end_uses!V382*base_building_arch_areas!$N$17</f>
        <v>100770.15588696697</v>
      </c>
      <c r="W382" s="187">
        <f>model_eui_end_uses!W382*base_building_arch_areas!$N$17</f>
        <v>83804.966925973757</v>
      </c>
      <c r="X382" s="187">
        <f>model_eui_end_uses!X382*base_building_arch_areas!$N$17</f>
        <v>25365.708364645019</v>
      </c>
      <c r="Y382" s="187">
        <f>model_eui_end_uses!Y382*base_building_arch_areas!$N$17</f>
        <v>0</v>
      </c>
      <c r="Z382" s="187">
        <f>model_eui_end_uses!Z382*base_building_arch_areas!$N$17</f>
        <v>66890.285704577342</v>
      </c>
      <c r="AA382" s="187">
        <f>model_eui_end_uses!AA382*base_building_arch_areas!$N$17</f>
        <v>26285.670764443697</v>
      </c>
      <c r="AB382" s="187">
        <f>model_eui_end_uses!AB382*base_building_arch_areas!$N$17</f>
        <v>0</v>
      </c>
      <c r="AC382" s="187">
        <f>model_eui_end_uses!AC382*base_building_arch_areas!$N$17</f>
        <v>1260272.7261147888</v>
      </c>
      <c r="AD382" s="187">
        <f>model_eui_end_uses!AD382*base_building_arch_areas!$N$17</f>
        <v>-9890.4977217571031</v>
      </c>
      <c r="AE382" s="187">
        <f>model_eui_end_uses!AE382*base_building_arch_areas!$N$17</f>
        <v>24359.161268394702</v>
      </c>
      <c r="AF382" s="187">
        <f t="shared" si="65"/>
        <v>14468.663546637599</v>
      </c>
      <c r="AG382" s="187">
        <f>model_eui_end_uses!AH382*base_building_arch_areas!$N$17</f>
        <v>-160.22606309246507</v>
      </c>
      <c r="AH382" s="187">
        <f>model_eui_end_uses!AI382*base_building_arch_areas!$N$17</f>
        <v>2752.5852233286018</v>
      </c>
      <c r="AI382" s="187">
        <f t="shared" si="66"/>
        <v>2592.3591602361366</v>
      </c>
      <c r="AJ382" s="200">
        <f>sim_annual_output!F382/sim_annual_output!H382*base_building_arch_areas!$N$17</f>
        <v>66379.538789656101</v>
      </c>
      <c r="AK382">
        <f t="shared" si="67"/>
        <v>25.605841894072125</v>
      </c>
    </row>
    <row r="383" spans="1:37">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f>model_eui_end_uses!G383*base_scenario_arch_measures!$F383</f>
        <v>0</v>
      </c>
      <c r="H383">
        <f>model_eui_end_uses!H383*base_scenario_arch_measures!$F383</f>
        <v>2.7922324124112867</v>
      </c>
      <c r="I383">
        <f>model_eui_end_uses!I383*base_scenario_arch_measures!$F383</f>
        <v>0.27244450715862767</v>
      </c>
      <c r="J383">
        <f>model_eui_end_uses!J383*base_scenario_arch_measures!$F383</f>
        <v>0</v>
      </c>
      <c r="K383">
        <f>model_eui_end_uses!K383*base_scenario_arch_measures!$F383</f>
        <v>0.68251637679975519</v>
      </c>
      <c r="L383">
        <f>model_eui_end_uses!L383*base_scenario_arch_measures!$F383</f>
        <v>0.56765177854886917</v>
      </c>
      <c r="M383">
        <f>model_eui_end_uses!M383*base_scenario_arch_measures!$F383</f>
        <v>0.17181427301393049</v>
      </c>
      <c r="N383">
        <f>model_eui_end_uses!N383*base_scenario_arch_measures!$F383</f>
        <v>0</v>
      </c>
      <c r="O383">
        <f>model_eui_end_uses!O383*base_scenario_arch_measures!$F383</f>
        <v>0.41993206864000698</v>
      </c>
      <c r="P383">
        <f>model_eui_end_uses!P383*base_scenario_arch_measures!$F383</f>
        <v>0.12595884941691152</v>
      </c>
      <c r="Q383">
        <f>model_eui_end_uses!Q383*base_scenario_arch_measures!$F383</f>
        <v>0</v>
      </c>
      <c r="R383" s="187">
        <f>model_eui_end_uses!R383*base_building_arch_areas!$N$17</f>
        <v>0</v>
      </c>
      <c r="S383" s="187">
        <f>model_eui_end_uses!S383*base_building_arch_areas!$N$17</f>
        <v>913396.39365109184</v>
      </c>
      <c r="T383" s="187">
        <f>model_eui_end_uses!T383*base_building_arch_areas!$N$17</f>
        <v>43759.544817090282</v>
      </c>
      <c r="U383" s="187">
        <f>model_eui_end_uses!U383*base_building_arch_areas!$N$17</f>
        <v>0</v>
      </c>
      <c r="V383" s="187">
        <f>model_eui_end_uses!V383*base_building_arch_areas!$N$17</f>
        <v>100770.15588696697</v>
      </c>
      <c r="W383" s="187">
        <f>model_eui_end_uses!W383*base_building_arch_areas!$N$17</f>
        <v>83804.966925973757</v>
      </c>
      <c r="X383" s="187">
        <f>model_eui_end_uses!X383*base_building_arch_areas!$N$17</f>
        <v>25365.708364645019</v>
      </c>
      <c r="Y383" s="187">
        <f>model_eui_end_uses!Y383*base_building_arch_areas!$N$17</f>
        <v>0</v>
      </c>
      <c r="Z383" s="187">
        <f>model_eui_end_uses!Z383*base_building_arch_areas!$N$17</f>
        <v>66890.285704577342</v>
      </c>
      <c r="AA383" s="187">
        <f>model_eui_end_uses!AA383*base_building_arch_areas!$N$17</f>
        <v>26285.670764443697</v>
      </c>
      <c r="AB383" s="187">
        <f>model_eui_end_uses!AB383*base_building_arch_areas!$N$17</f>
        <v>0</v>
      </c>
      <c r="AC383" s="187">
        <f>model_eui_end_uses!AC383*base_building_arch_areas!$N$17</f>
        <v>1260272.7261147888</v>
      </c>
      <c r="AD383" s="187">
        <f>model_eui_end_uses!AD383*base_building_arch_areas!$N$17</f>
        <v>501173.86923620495</v>
      </c>
      <c r="AE383" s="187">
        <f>model_eui_end_uses!AE383*base_building_arch_areas!$N$17</f>
        <v>16120.988170589717</v>
      </c>
      <c r="AF383" s="187">
        <f t="shared" si="65"/>
        <v>517294.85740679468</v>
      </c>
      <c r="AG383" s="187">
        <f>model_eui_end_uses!AH383*base_building_arch_areas!$N$17</f>
        <v>8119.0166816265191</v>
      </c>
      <c r="AH383" s="187">
        <f>model_eui_end_uses!AI383*base_building_arch_areas!$N$17</f>
        <v>1821.6716632766381</v>
      </c>
      <c r="AI383" s="187">
        <f t="shared" si="66"/>
        <v>9940.6883449031575</v>
      </c>
      <c r="AJ383" s="200">
        <f>sim_annual_output!F383/sim_annual_output!H383*base_building_arch_areas!$N$17</f>
        <v>64224.772949435705</v>
      </c>
      <c r="AK383">
        <f t="shared" si="67"/>
        <v>6.4607973533709435</v>
      </c>
    </row>
    <row r="384" spans="1:37">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f>model_eui_end_uses!G384*base_scenario_arch_measures!$F384</f>
        <v>0</v>
      </c>
      <c r="H384">
        <f>model_eui_end_uses!H384*base_scenario_arch_measures!$F384</f>
        <v>5.7648441529767949</v>
      </c>
      <c r="I384">
        <f>model_eui_end_uses!I384*base_scenario_arch_measures!$F384</f>
        <v>0.35075183725009984</v>
      </c>
      <c r="J384">
        <f>model_eui_end_uses!J384*base_scenario_arch_measures!$F384</f>
        <v>0</v>
      </c>
      <c r="K384">
        <f>model_eui_end_uses!K384*base_scenario_arch_measures!$F384</f>
        <v>0.68254081347633233</v>
      </c>
      <c r="L384">
        <f>model_eui_end_uses!L384*base_scenario_arch_measures!$F384</f>
        <v>0.56765177854886917</v>
      </c>
      <c r="M384">
        <f>model_eui_end_uses!M384*base_scenario_arch_measures!$F384</f>
        <v>0.17181427301393049</v>
      </c>
      <c r="N384">
        <f>model_eui_end_uses!N384*base_scenario_arch_measures!$F384</f>
        <v>0</v>
      </c>
      <c r="O384">
        <f>model_eui_end_uses!O384*base_scenario_arch_measures!$F384</f>
        <v>0.46484668018880576</v>
      </c>
      <c r="P384">
        <f>model_eui_end_uses!P384*base_scenario_arch_measures!$F384</f>
        <v>0.19386837362480694</v>
      </c>
      <c r="Q384">
        <f>model_eui_end_uses!Q384*base_scenario_arch_measures!$F384</f>
        <v>0</v>
      </c>
      <c r="R384" s="187">
        <f>model_eui_end_uses!R384*base_building_arch_areas!$N$17</f>
        <v>0</v>
      </c>
      <c r="S384" s="187">
        <f>model_eui_end_uses!S384*base_building_arch_areas!$N$17</f>
        <v>913396.39365109184</v>
      </c>
      <c r="T384" s="187">
        <f>model_eui_end_uses!T384*base_building_arch_areas!$N$17</f>
        <v>43759.544817090282</v>
      </c>
      <c r="U384" s="187">
        <f>model_eui_end_uses!U384*base_building_arch_areas!$N$17</f>
        <v>0</v>
      </c>
      <c r="V384" s="187">
        <f>model_eui_end_uses!V384*base_building_arch_areas!$N$17</f>
        <v>100770.15588696697</v>
      </c>
      <c r="W384" s="187">
        <f>model_eui_end_uses!W384*base_building_arch_areas!$N$17</f>
        <v>83804.966925973757</v>
      </c>
      <c r="X384" s="187">
        <f>model_eui_end_uses!X384*base_building_arch_areas!$N$17</f>
        <v>25365.708364645019</v>
      </c>
      <c r="Y384" s="187">
        <f>model_eui_end_uses!Y384*base_building_arch_areas!$N$17</f>
        <v>0</v>
      </c>
      <c r="Z384" s="187">
        <f>model_eui_end_uses!Z384*base_building_arch_areas!$N$17</f>
        <v>66890.285704577342</v>
      </c>
      <c r="AA384" s="187">
        <f>model_eui_end_uses!AA384*base_building_arch_areas!$N$17</f>
        <v>26285.670764443697</v>
      </c>
      <c r="AB384" s="187">
        <f>model_eui_end_uses!AB384*base_building_arch_areas!$N$17</f>
        <v>0</v>
      </c>
      <c r="AC384" s="187">
        <f>model_eui_end_uses!AC384*base_building_arch_areas!$N$17</f>
        <v>1260272.7261147888</v>
      </c>
      <c r="AD384" s="187">
        <f>model_eui_end_uses!AD384*base_building_arch_areas!$N$17</f>
        <v>62310.316031854018</v>
      </c>
      <c r="AE384" s="187">
        <f>model_eui_end_uses!AE384*base_building_arch_areas!$N$17</f>
        <v>-12096.603633431205</v>
      </c>
      <c r="AF384" s="187">
        <f t="shared" si="65"/>
        <v>50213.712398422809</v>
      </c>
      <c r="AG384" s="187">
        <f>model_eui_end_uses!AH384*base_building_arch_areas!$N$17</f>
        <v>1009.427119716035</v>
      </c>
      <c r="AH384" s="187">
        <f>model_eui_end_uses!AI384*base_building_arch_areas!$N$17</f>
        <v>-1366.9162105777264</v>
      </c>
      <c r="AI384" s="187">
        <f t="shared" si="66"/>
        <v>-357.48909086169135</v>
      </c>
      <c r="AJ384" s="200">
        <f>sim_annual_output!F384/sim_annual_output!H384*base_building_arch_areas!$N$17</f>
        <v>19973.876077490448</v>
      </c>
      <c r="AK384">
        <f t="shared" si="67"/>
        <v>-55.872686994015503</v>
      </c>
    </row>
    <row r="385" spans="1:37">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f>model_eui_end_uses!G385*base_scenario_arch_measures!$F385</f>
        <v>0</v>
      </c>
      <c r="H385">
        <f>model_eui_end_uses!H385*base_scenario_arch_measures!$F385</f>
        <v>1.4339808365619346</v>
      </c>
      <c r="I385">
        <f>model_eui_end_uses!I385*base_scenario_arch_measures!$F385</f>
        <v>3.6092971304448211E-2</v>
      </c>
      <c r="J385">
        <f>model_eui_end_uses!J385*base_scenario_arch_measures!$F385</f>
        <v>0</v>
      </c>
      <c r="K385">
        <f>model_eui_end_uses!K385*base_scenario_arch_measures!$F385</f>
        <v>0.68251637679975519</v>
      </c>
      <c r="L385">
        <f>model_eui_end_uses!L385*base_scenario_arch_measures!$F385</f>
        <v>0.39736479782101042</v>
      </c>
      <c r="M385">
        <f>model_eui_end_uses!M385*base_scenario_arch_measures!$F385</f>
        <v>0.17181427301393049</v>
      </c>
      <c r="N385">
        <f>model_eui_end_uses!N385*base_scenario_arch_measures!$F385</f>
        <v>0</v>
      </c>
      <c r="O385">
        <f>model_eui_end_uses!O385*base_scenario_arch_measures!$F385</f>
        <v>0.17666495331449447</v>
      </c>
      <c r="P385">
        <f>model_eui_end_uses!P385*base_scenario_arch_measures!$F385</f>
        <v>9.3494724584169853E-2</v>
      </c>
      <c r="Q385">
        <f>model_eui_end_uses!Q385*base_scenario_arch_measures!$F385</f>
        <v>0</v>
      </c>
      <c r="R385" s="187">
        <f>model_eui_end_uses!R385*base_building_arch_areas!$N$17</f>
        <v>0</v>
      </c>
      <c r="S385" s="187">
        <f>model_eui_end_uses!S385*base_building_arch_areas!$N$17</f>
        <v>913396.39365109184</v>
      </c>
      <c r="T385" s="187">
        <f>model_eui_end_uses!T385*base_building_arch_areas!$N$17</f>
        <v>43759.544817090282</v>
      </c>
      <c r="U385" s="187">
        <f>model_eui_end_uses!U385*base_building_arch_areas!$N$17</f>
        <v>0</v>
      </c>
      <c r="V385" s="187">
        <f>model_eui_end_uses!V385*base_building_arch_areas!$N$17</f>
        <v>100770.15588696697</v>
      </c>
      <c r="W385" s="187">
        <f>model_eui_end_uses!W385*base_building_arch_areas!$N$17</f>
        <v>83804.966925973757</v>
      </c>
      <c r="X385" s="187">
        <f>model_eui_end_uses!X385*base_building_arch_areas!$N$17</f>
        <v>25365.708364645019</v>
      </c>
      <c r="Y385" s="187">
        <f>model_eui_end_uses!Y385*base_building_arch_areas!$N$17</f>
        <v>0</v>
      </c>
      <c r="Z385" s="187">
        <f>model_eui_end_uses!Z385*base_building_arch_areas!$N$17</f>
        <v>66890.285704577342</v>
      </c>
      <c r="AA385" s="187">
        <f>model_eui_end_uses!AA385*base_building_arch_areas!$N$17</f>
        <v>26285.670764443697</v>
      </c>
      <c r="AB385" s="187">
        <f>model_eui_end_uses!AB385*base_building_arch_areas!$N$17</f>
        <v>0</v>
      </c>
      <c r="AC385" s="187">
        <f>model_eui_end_uses!AC385*base_building_arch_areas!$N$17</f>
        <v>1260272.7261147888</v>
      </c>
      <c r="AD385" s="187">
        <f>model_eui_end_uses!AD385*base_building_arch_areas!$N$17</f>
        <v>701698.61467467481</v>
      </c>
      <c r="AE385" s="187">
        <f>model_eui_end_uses!AE385*base_building_arch_areas!$N$17</f>
        <v>116862.28249207282</v>
      </c>
      <c r="AF385" s="187">
        <f t="shared" si="65"/>
        <v>818560.8971667476</v>
      </c>
      <c r="AG385" s="187">
        <f>model_eui_end_uses!AH385*base_building_arch_areas!$N$17</f>
        <v>11367.517557729732</v>
      </c>
      <c r="AH385" s="187">
        <f>model_eui_end_uses!AI385*base_building_arch_areas!$N$17</f>
        <v>13205.437921604229</v>
      </c>
      <c r="AI385" s="187">
        <f t="shared" si="66"/>
        <v>24572.955479333963</v>
      </c>
      <c r="AJ385" s="200">
        <f>sim_annual_output!F385/sim_annual_output!H385*base_building_arch_areas!$N$17</f>
        <v>225633.44241535591</v>
      </c>
      <c r="AK385">
        <f t="shared" si="67"/>
        <v>9.1821857816458134</v>
      </c>
    </row>
    <row r="386" spans="1:37">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f>model_eui_end_uses!G386*base_scenario_arch_measures!$F386</f>
        <v>0</v>
      </c>
      <c r="H386">
        <f>model_eui_end_uses!H386*base_scenario_arch_measures!$F386</f>
        <v>6.0695817282321229</v>
      </c>
      <c r="I386">
        <f>model_eui_end_uses!I386*base_scenario_arch_measures!$F386</f>
        <v>0.3030392262332175</v>
      </c>
      <c r="J386">
        <f>model_eui_end_uses!J386*base_scenario_arch_measures!$F386</f>
        <v>0</v>
      </c>
      <c r="K386">
        <f>model_eui_end_uses!K386*base_scenario_arch_measures!$F386</f>
        <v>0.68255303181462101</v>
      </c>
      <c r="L386">
        <f>model_eui_end_uses!L386*base_scenario_arch_measures!$F386</f>
        <v>0.56765177854886917</v>
      </c>
      <c r="M386">
        <f>model_eui_end_uses!M386*base_scenario_arch_measures!$F386</f>
        <v>0.17181427301393049</v>
      </c>
      <c r="N386">
        <f>model_eui_end_uses!N386*base_scenario_arch_measures!$F386</f>
        <v>0</v>
      </c>
      <c r="O386">
        <f>model_eui_end_uses!O386*base_scenario_arch_measures!$F386</f>
        <v>0.45220070006013147</v>
      </c>
      <c r="P386">
        <f>model_eui_end_uses!P386*base_scenario_arch_measures!$F386</f>
        <v>0.17876650750012926</v>
      </c>
      <c r="Q386">
        <f>model_eui_end_uses!Q386*base_scenario_arch_measures!$F386</f>
        <v>0</v>
      </c>
      <c r="R386" s="187">
        <f>model_eui_end_uses!R386*base_building_arch_areas!$N$17</f>
        <v>0</v>
      </c>
      <c r="S386" s="187">
        <f>model_eui_end_uses!S386*base_building_arch_areas!$N$17</f>
        <v>913396.39365109184</v>
      </c>
      <c r="T386" s="187">
        <f>model_eui_end_uses!T386*base_building_arch_areas!$N$17</f>
        <v>43759.544817090282</v>
      </c>
      <c r="U386" s="187">
        <f>model_eui_end_uses!U386*base_building_arch_areas!$N$17</f>
        <v>0</v>
      </c>
      <c r="V386" s="187">
        <f>model_eui_end_uses!V386*base_building_arch_areas!$N$17</f>
        <v>100770.15588696697</v>
      </c>
      <c r="W386" s="187">
        <f>model_eui_end_uses!W386*base_building_arch_areas!$N$17</f>
        <v>83804.966925973757</v>
      </c>
      <c r="X386" s="187">
        <f>model_eui_end_uses!X386*base_building_arch_areas!$N$17</f>
        <v>25365.708364645019</v>
      </c>
      <c r="Y386" s="187">
        <f>model_eui_end_uses!Y386*base_building_arch_areas!$N$17</f>
        <v>0</v>
      </c>
      <c r="Z386" s="187">
        <f>model_eui_end_uses!Z386*base_building_arch_areas!$N$17</f>
        <v>66890.285704577342</v>
      </c>
      <c r="AA386" s="187">
        <f>model_eui_end_uses!AA386*base_building_arch_areas!$N$17</f>
        <v>26285.670764443697</v>
      </c>
      <c r="AB386" s="187">
        <f>model_eui_end_uses!AB386*base_building_arch_areas!$N$17</f>
        <v>0</v>
      </c>
      <c r="AC386" s="187">
        <f>model_eui_end_uses!AC386*base_building_arch_areas!$N$17</f>
        <v>1260272.7261147888</v>
      </c>
      <c r="AD386" s="187">
        <f>model_eui_end_uses!AD386*base_building_arch_areas!$N$17</f>
        <v>17318.743138170797</v>
      </c>
      <c r="AE386" s="187">
        <f>model_eui_end_uses!AE386*base_building_arch_areas!$N$17</f>
        <v>-956.03935665348331</v>
      </c>
      <c r="AF386" s="187">
        <f t="shared" si="65"/>
        <v>16362.703781517313</v>
      </c>
      <c r="AG386" s="187">
        <f>model_eui_end_uses!AH386*base_building_arch_areas!$N$17</f>
        <v>280.5636388383669</v>
      </c>
      <c r="AH386" s="187">
        <f>model_eui_end_uses!AI386*base_building_arch_areas!$N$17</f>
        <v>-108.03244730184362</v>
      </c>
      <c r="AI386" s="187">
        <f t="shared" si="66"/>
        <v>172.53119153652329</v>
      </c>
      <c r="AJ386" s="200">
        <f>sim_annual_output!F386/sim_annual_output!H386*base_building_arch_areas!$N$17</f>
        <v>11548.739669421488</v>
      </c>
      <c r="AK386">
        <f t="shared" si="67"/>
        <v>66.937111872763737</v>
      </c>
    </row>
    <row r="387" spans="1:37">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f>model_eui_end_uses!G387*base_scenario_arch_measures!$F387</f>
        <v>0</v>
      </c>
      <c r="H387">
        <f>model_eui_end_uses!H387*base_scenario_arch_measures!$F387</f>
        <v>6.1889060199583392</v>
      </c>
      <c r="I387">
        <f>model_eui_end_uses!I387*base_scenario_arch_measures!$F387</f>
        <v>0.30269711276113742</v>
      </c>
      <c r="J387">
        <f>model_eui_end_uses!J387*base_scenario_arch_measures!$F387</f>
        <v>0</v>
      </c>
      <c r="K387">
        <f>model_eui_end_uses!K387*base_scenario_arch_measures!$F387</f>
        <v>0.68255303181462101</v>
      </c>
      <c r="L387">
        <f>model_eui_end_uses!L387*base_scenario_arch_measures!$F387</f>
        <v>0.56765177854886917</v>
      </c>
      <c r="M387">
        <f>model_eui_end_uses!M387*base_scenario_arch_measures!$F387</f>
        <v>0.17181427301393049</v>
      </c>
      <c r="N387">
        <f>model_eui_end_uses!N387*base_scenario_arch_measures!$F387</f>
        <v>0</v>
      </c>
      <c r="O387">
        <f>model_eui_end_uses!O387*base_scenario_arch_measures!$F387</f>
        <v>0.45216404504526569</v>
      </c>
      <c r="P387">
        <f>model_eui_end_uses!P387*base_scenario_arch_measures!$F387</f>
        <v>4.115136335591793E-2</v>
      </c>
      <c r="Q387">
        <f>model_eui_end_uses!Q387*base_scenario_arch_measures!$F387</f>
        <v>0</v>
      </c>
      <c r="R387" s="187">
        <f>model_eui_end_uses!R387*base_building_arch_areas!$N$17</f>
        <v>0</v>
      </c>
      <c r="S387" s="187">
        <f>model_eui_end_uses!S387*base_building_arch_areas!$N$17</f>
        <v>913396.39365109184</v>
      </c>
      <c r="T387" s="187">
        <f>model_eui_end_uses!T387*base_building_arch_areas!$N$17</f>
        <v>43759.544817090282</v>
      </c>
      <c r="U387" s="187">
        <f>model_eui_end_uses!U387*base_building_arch_areas!$N$17</f>
        <v>0</v>
      </c>
      <c r="V387" s="187">
        <f>model_eui_end_uses!V387*base_building_arch_areas!$N$17</f>
        <v>100770.15588696697</v>
      </c>
      <c r="W387" s="187">
        <f>model_eui_end_uses!W387*base_building_arch_areas!$N$17</f>
        <v>83804.966925973757</v>
      </c>
      <c r="X387" s="187">
        <f>model_eui_end_uses!X387*base_building_arch_areas!$N$17</f>
        <v>25365.708364645019</v>
      </c>
      <c r="Y387" s="187">
        <f>model_eui_end_uses!Y387*base_building_arch_areas!$N$17</f>
        <v>0</v>
      </c>
      <c r="Z387" s="187">
        <f>model_eui_end_uses!Z387*base_building_arch_areas!$N$17</f>
        <v>66890.285704577342</v>
      </c>
      <c r="AA387" s="187">
        <f>model_eui_end_uses!AA387*base_building_arch_areas!$N$17</f>
        <v>26285.670764443697</v>
      </c>
      <c r="AB387" s="187">
        <f>model_eui_end_uses!AB387*base_building_arch_areas!$N$17</f>
        <v>0</v>
      </c>
      <c r="AC387" s="187">
        <f>model_eui_end_uses!AC387*base_building_arch_areas!$N$17</f>
        <v>1260272.7261147888</v>
      </c>
      <c r="AD387" s="187">
        <f>model_eui_end_uses!AD387*base_building_arch_areas!$N$17</f>
        <v>-297.63489405245309</v>
      </c>
      <c r="AE387" s="187">
        <f>model_eui_end_uses!AE387*base_building_arch_areas!$N$17</f>
        <v>19416.618179280282</v>
      </c>
      <c r="AF387" s="187">
        <f t="shared" si="65"/>
        <v>19118.983285227827</v>
      </c>
      <c r="AG387" s="187">
        <f>model_eui_end_uses!AH387*base_building_arch_areas!$N$17</f>
        <v>-4.8216852836497397</v>
      </c>
      <c r="AH387" s="187">
        <f>model_eui_end_uses!AI387*base_building_arch_areas!$N$17</f>
        <v>2194.0778542586718</v>
      </c>
      <c r="AI387" s="187">
        <f t="shared" si="66"/>
        <v>2189.2561689750219</v>
      </c>
      <c r="AJ387" s="200">
        <f>sim_annual_output!F387/sim_annual_output!H387*base_building_arch_areas!$N$17</f>
        <v>2815.5576290766908</v>
      </c>
      <c r="AK387">
        <f t="shared" si="67"/>
        <v>1.2860795684750288</v>
      </c>
    </row>
    <row r="388" spans="1:37">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f>model_eui_end_uses!G388*base_scenario_arch_measures!$F388</f>
        <v>0</v>
      </c>
      <c r="H388">
        <f>model_eui_end_uses!H388*base_scenario_arch_measures!$F388</f>
        <v>6.0579376518431118</v>
      </c>
      <c r="I388">
        <f>model_eui_end_uses!I388*base_scenario_arch_measures!$F388</f>
        <v>0.30269711276113742</v>
      </c>
      <c r="J388">
        <f>model_eui_end_uses!J388*base_scenario_arch_measures!$F388</f>
        <v>0</v>
      </c>
      <c r="K388">
        <f>model_eui_end_uses!K388*base_scenario_arch_measures!$F388</f>
        <v>0.68255303181462101</v>
      </c>
      <c r="L388">
        <f>model_eui_end_uses!L388*base_scenario_arch_measures!$F388</f>
        <v>0.56765177854886917</v>
      </c>
      <c r="M388">
        <f>model_eui_end_uses!M388*base_scenario_arch_measures!$F388</f>
        <v>0.17181427301393049</v>
      </c>
      <c r="N388">
        <f>model_eui_end_uses!N388*base_scenario_arch_measures!$F388</f>
        <v>0</v>
      </c>
      <c r="O388">
        <f>model_eui_end_uses!O388*base_scenario_arch_measures!$F388</f>
        <v>0.45216404504526569</v>
      </c>
      <c r="P388">
        <f>model_eui_end_uses!P388*base_scenario_arch_measures!$F388</f>
        <v>0.1397900083595775</v>
      </c>
      <c r="Q388">
        <f>model_eui_end_uses!Q388*base_scenario_arch_measures!$F388</f>
        <v>0</v>
      </c>
      <c r="R388" s="187">
        <f>model_eui_end_uses!R388*base_building_arch_areas!$N$17</f>
        <v>0</v>
      </c>
      <c r="S388" s="187">
        <f>model_eui_end_uses!S388*base_building_arch_areas!$N$17</f>
        <v>913396.39365109184</v>
      </c>
      <c r="T388" s="187">
        <f>model_eui_end_uses!T388*base_building_arch_areas!$N$17</f>
        <v>43759.544817090282</v>
      </c>
      <c r="U388" s="187">
        <f>model_eui_end_uses!U388*base_building_arch_areas!$N$17</f>
        <v>0</v>
      </c>
      <c r="V388" s="187">
        <f>model_eui_end_uses!V388*base_building_arch_areas!$N$17</f>
        <v>100770.15588696697</v>
      </c>
      <c r="W388" s="187">
        <f>model_eui_end_uses!W388*base_building_arch_areas!$N$17</f>
        <v>83804.966925973757</v>
      </c>
      <c r="X388" s="187">
        <f>model_eui_end_uses!X388*base_building_arch_areas!$N$17</f>
        <v>25365.708364645019</v>
      </c>
      <c r="Y388" s="187">
        <f>model_eui_end_uses!Y388*base_building_arch_areas!$N$17</f>
        <v>0</v>
      </c>
      <c r="Z388" s="187">
        <f>model_eui_end_uses!Z388*base_building_arch_areas!$N$17</f>
        <v>66890.285704577342</v>
      </c>
      <c r="AA388" s="187">
        <f>model_eui_end_uses!AA388*base_building_arch_areas!$N$17</f>
        <v>26285.670764443697</v>
      </c>
      <c r="AB388" s="187">
        <f>model_eui_end_uses!AB388*base_building_arch_areas!$N$17</f>
        <v>0</v>
      </c>
      <c r="AC388" s="187">
        <f>model_eui_end_uses!AC388*base_building_arch_areas!$N$17</f>
        <v>1260272.7261147888</v>
      </c>
      <c r="AD388" s="187">
        <f>model_eui_end_uses!AD388*base_building_arch_areas!$N$17</f>
        <v>19037.810132304261</v>
      </c>
      <c r="AE388" s="187">
        <f>model_eui_end_uses!AE388*base_building_arch_areas!$N$17</f>
        <v>4854.1545448200941</v>
      </c>
      <c r="AF388" s="187">
        <f t="shared" si="65"/>
        <v>23891.964677124357</v>
      </c>
      <c r="AG388" s="187">
        <f>model_eui_end_uses!AH388*base_building_arch_areas!$N$17</f>
        <v>308.41252414332905</v>
      </c>
      <c r="AH388" s="187">
        <f>model_eui_end_uses!AI388*base_building_arch_areas!$N$17</f>
        <v>548.51946356467067</v>
      </c>
      <c r="AI388" s="187">
        <f t="shared" si="66"/>
        <v>856.93198770799972</v>
      </c>
      <c r="AJ388" s="200">
        <f>sim_annual_output!F388/sim_annual_output!H388*base_building_arch_areas!$N$17</f>
        <v>6604.753176930597</v>
      </c>
      <c r="AK388">
        <f t="shared" si="67"/>
        <v>7.7074415142280488</v>
      </c>
    </row>
    <row r="389" spans="1:37">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f>model_eui_end_uses!G389*base_scenario_arch_measures!$F389</f>
        <v>0</v>
      </c>
      <c r="H389">
        <f>model_eui_end_uses!H389*base_scenario_arch_measures!$F389</f>
        <v>18.005397676764581</v>
      </c>
      <c r="I389">
        <f>model_eui_end_uses!I389*base_scenario_arch_measures!$F389</f>
        <v>0.19506100983837479</v>
      </c>
      <c r="J389">
        <f>model_eui_end_uses!J389*base_scenario_arch_measures!$F389</f>
        <v>0</v>
      </c>
      <c r="K389">
        <f>model_eui_end_uses!K389*base_scenario_arch_measures!$F389</f>
        <v>3.4678271637688662</v>
      </c>
      <c r="L389">
        <f>model_eui_end_uses!L389*base_scenario_arch_measures!$F389</f>
        <v>2.8842582610060643</v>
      </c>
      <c r="M389">
        <f>model_eui_end_uses!M389*base_scenario_arch_measures!$F389</f>
        <v>0.87299424581388474</v>
      </c>
      <c r="N389">
        <f>model_eui_end_uses!N389*base_scenario_arch_measures!$F389</f>
        <v>0</v>
      </c>
      <c r="O389">
        <f>model_eui_end_uses!O389*base_scenario_arch_measures!$F389</f>
        <v>2.1196588347904615</v>
      </c>
      <c r="P389">
        <f>model_eui_end_uses!P389*base_scenario_arch_measures!$F389</f>
        <v>0.67271836492954451</v>
      </c>
      <c r="Q389">
        <f>model_eui_end_uses!Q389*base_scenario_arch_measures!$F389</f>
        <v>0</v>
      </c>
      <c r="R389" s="187">
        <f>model_eui_end_uses!R389*base_building_arch_areas!$N$18</f>
        <v>0</v>
      </c>
      <c r="S389" s="187">
        <f>model_eui_end_uses!S389*base_building_arch_areas!$N$18</f>
        <v>4762306.0351265986</v>
      </c>
      <c r="T389" s="187">
        <f>model_eui_end_uses!T389*base_building_arch_areas!$N$18</f>
        <v>173084.11965005135</v>
      </c>
      <c r="U389" s="187">
        <f>model_eui_end_uses!U389*base_building_arch_areas!$N$18</f>
        <v>0</v>
      </c>
      <c r="V389" s="187">
        <f>model_eui_end_uses!V389*base_building_arch_areas!$N$18</f>
        <v>802591.93943584128</v>
      </c>
      <c r="W389" s="187">
        <f>model_eui_end_uses!W389*base_building_arch_areas!$N$18</f>
        <v>667495.23645517824</v>
      </c>
      <c r="X389" s="187">
        <f>model_eui_end_uses!X389*base_building_arch_areas!$N$18</f>
        <v>202034.43932257179</v>
      </c>
      <c r="Y389" s="187">
        <f>model_eui_end_uses!Y389*base_building_arch_areas!$N$18</f>
        <v>0</v>
      </c>
      <c r="Z389" s="187">
        <f>model_eui_end_uses!Z389*base_building_arch_areas!$N$18</f>
        <v>478865.58545166528</v>
      </c>
      <c r="AA389" s="187">
        <f>model_eui_end_uses!AA389*base_building_arch_areas!$N$18</f>
        <v>147898.05990517378</v>
      </c>
      <c r="AB389" s="187">
        <f>model_eui_end_uses!AB389*base_building_arch_areas!$N$18</f>
        <v>0</v>
      </c>
      <c r="AC389" s="187">
        <f>model_eui_end_uses!AC389*base_building_arch_areas!$N$18</f>
        <v>7234275.4153470807</v>
      </c>
      <c r="AD389" s="187">
        <f>model_eui_end_uses!AD389*base_building_arch_areas!$N$18</f>
        <v>595413.96939230605</v>
      </c>
      <c r="AE389" s="187">
        <f>model_eui_end_uses!AE389*base_building_arch_areas!$N$18</f>
        <v>108473.90236535251</v>
      </c>
      <c r="AF389" s="187">
        <f t="shared" ref="AF389:AF436" si="68">SUM(AD389:AE389)</f>
        <v>703887.87175765855</v>
      </c>
      <c r="AG389" s="187">
        <f>model_eui_end_uses!AH389*base_building_arch_areas!$N$18</f>
        <v>9645.7063041553592</v>
      </c>
      <c r="AH389" s="187">
        <f>model_eui_end_uses!AI389*base_building_arch_areas!$N$18</f>
        <v>12257.550967284835</v>
      </c>
      <c r="AI389" s="187">
        <f t="shared" ref="AI389:AI436" si="69">SUM(AG389:AH389)</f>
        <v>21903.257271440194</v>
      </c>
      <c r="AJ389" s="200">
        <f>sim_annual_output!F389/sim_annual_output!H389*base_building_arch_areas!$N$18</f>
        <v>115089.86954589888</v>
      </c>
      <c r="AK389">
        <f t="shared" ref="AK389:AK436" si="70">IF(AI389=0,0,AJ389/AI389)</f>
        <v>5.2544636681031616</v>
      </c>
    </row>
    <row r="390" spans="1:37">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f>model_eui_end_uses!G390*base_scenario_arch_measures!$F390</f>
        <v>0</v>
      </c>
      <c r="H390">
        <f>model_eui_end_uses!H390*base_scenario_arch_measures!$F390</f>
        <v>20.578005311076918</v>
      </c>
      <c r="I390">
        <f>model_eui_end_uses!I390*base_scenario_arch_measures!$F390</f>
        <v>0.74789942249630059</v>
      </c>
      <c r="J390">
        <f>model_eui_end_uses!J390*base_scenario_arch_measures!$F390</f>
        <v>0</v>
      </c>
      <c r="K390">
        <f>model_eui_end_uses!K390*base_scenario_arch_measures!$F390</f>
        <v>3.4680134099990116</v>
      </c>
      <c r="L390">
        <f>model_eui_end_uses!L390*base_scenario_arch_measures!$F390</f>
        <v>2.8842582605105638</v>
      </c>
      <c r="M390">
        <f>model_eui_end_uses!M390*base_scenario_arch_measures!$F390</f>
        <v>0.87299424579920137</v>
      </c>
      <c r="N390">
        <f>model_eui_end_uses!N390*base_scenario_arch_measures!$F390</f>
        <v>0</v>
      </c>
      <c r="O390">
        <f>model_eui_end_uses!O390*base_scenario_arch_measures!$F390</f>
        <v>2.0691863328464928</v>
      </c>
      <c r="P390">
        <f>model_eui_end_uses!P390*base_scenario_arch_measures!$F390</f>
        <v>0.63907003031268517</v>
      </c>
      <c r="Q390">
        <f>model_eui_end_uses!Q390*base_scenario_arch_measures!$F390</f>
        <v>0</v>
      </c>
      <c r="R390" s="187">
        <f>model_eui_end_uses!R390*base_building_arch_areas!$N$18</f>
        <v>0</v>
      </c>
      <c r="S390" s="187">
        <f>model_eui_end_uses!S390*base_building_arch_areas!$N$18</f>
        <v>4762306.0351265986</v>
      </c>
      <c r="T390" s="187">
        <f>model_eui_end_uses!T390*base_building_arch_areas!$N$18</f>
        <v>173084.11965005135</v>
      </c>
      <c r="U390" s="187">
        <f>model_eui_end_uses!U390*base_building_arch_areas!$N$18</f>
        <v>0</v>
      </c>
      <c r="V390" s="187">
        <f>model_eui_end_uses!V390*base_building_arch_areas!$N$18</f>
        <v>802591.93943584128</v>
      </c>
      <c r="W390" s="187">
        <f>model_eui_end_uses!W390*base_building_arch_areas!$N$18</f>
        <v>667495.23645517824</v>
      </c>
      <c r="X390" s="187">
        <f>model_eui_end_uses!X390*base_building_arch_areas!$N$18</f>
        <v>202034.43932257179</v>
      </c>
      <c r="Y390" s="187">
        <f>model_eui_end_uses!Y390*base_building_arch_areas!$N$18</f>
        <v>0</v>
      </c>
      <c r="Z390" s="187">
        <f>model_eui_end_uses!Z390*base_building_arch_areas!$N$18</f>
        <v>478865.58545166528</v>
      </c>
      <c r="AA390" s="187">
        <f>model_eui_end_uses!AA390*base_building_arch_areas!$N$18</f>
        <v>147898.05990517378</v>
      </c>
      <c r="AB390" s="187">
        <f>model_eui_end_uses!AB390*base_building_arch_areas!$N$18</f>
        <v>0</v>
      </c>
      <c r="AC390" s="187">
        <f>model_eui_end_uses!AC390*base_building_arch_areas!$N$18</f>
        <v>7234275.4153470807</v>
      </c>
      <c r="AD390" s="187">
        <f>model_eui_end_uses!AD390*base_building_arch_areas!$N$18</f>
        <v>0</v>
      </c>
      <c r="AE390" s="187">
        <f>model_eui_end_uses!AE390*base_building_arch_areas!$N$18</f>
        <v>0</v>
      </c>
      <c r="AF390" s="187">
        <f t="shared" ref="AF390:AF412" si="71">SUM(AD390:AE390)</f>
        <v>0</v>
      </c>
      <c r="AG390" s="187">
        <f>model_eui_end_uses!AH390*base_building_arch_areas!$N$18</f>
        <v>0</v>
      </c>
      <c r="AH390" s="187">
        <f>model_eui_end_uses!AI390*base_building_arch_areas!$N$18</f>
        <v>0</v>
      </c>
      <c r="AI390" s="187">
        <f t="shared" ref="AI390:AI412" si="72">SUM(AG390:AH390)</f>
        <v>0</v>
      </c>
      <c r="AJ390" s="200">
        <f>sim_annual_output!F390/sim_annual_output!H390*base_building_arch_areas!$N$18</f>
        <v>0</v>
      </c>
      <c r="AK390">
        <f t="shared" ref="AK390:AK412" si="73">IF(AI390=0,0,AJ390/AI390)</f>
        <v>0</v>
      </c>
    </row>
    <row r="391" spans="1:37">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f>model_eui_end_uses!G391*base_scenario_arch_measures!$F391</f>
        <v>0</v>
      </c>
      <c r="H391">
        <f>model_eui_end_uses!H391*base_scenario_arch_measures!$F391</f>
        <v>22.066664749204687</v>
      </c>
      <c r="I391">
        <f>model_eui_end_uses!I391*base_scenario_arch_measures!$F391</f>
        <v>1.1329928165341629</v>
      </c>
      <c r="J391">
        <f>model_eui_end_uses!J391*base_scenario_arch_measures!$F391</f>
        <v>0</v>
      </c>
      <c r="K391">
        <f>model_eui_end_uses!K391*base_scenario_arch_measures!$F391</f>
        <v>3.4680134091633645</v>
      </c>
      <c r="L391">
        <f>model_eui_end_uses!L391*base_scenario_arch_measures!$F391</f>
        <v>2.8842582610060643</v>
      </c>
      <c r="M391">
        <f>model_eui_end_uses!M391*base_scenario_arch_measures!$F391</f>
        <v>0.87299424581388474</v>
      </c>
      <c r="N391">
        <f>model_eui_end_uses!N391*base_scenario_arch_measures!$F391</f>
        <v>0</v>
      </c>
      <c r="O391">
        <f>model_eui_end_uses!O391*base_scenario_arch_measures!$F391</f>
        <v>2.1015930315240809</v>
      </c>
      <c r="P391">
        <f>model_eui_end_uses!P391*base_scenario_arch_measures!$F391</f>
        <v>0.67824364496634137</v>
      </c>
      <c r="Q391">
        <f>model_eui_end_uses!Q391*base_scenario_arch_measures!$F391</f>
        <v>0</v>
      </c>
      <c r="R391" s="187">
        <f>model_eui_end_uses!R391*base_building_arch_areas!$N$18</f>
        <v>0</v>
      </c>
      <c r="S391" s="187">
        <f>model_eui_end_uses!S391*base_building_arch_areas!$N$18</f>
        <v>4762306.0351265986</v>
      </c>
      <c r="T391" s="187">
        <f>model_eui_end_uses!T391*base_building_arch_areas!$N$18</f>
        <v>173084.11965005135</v>
      </c>
      <c r="U391" s="187">
        <f>model_eui_end_uses!U391*base_building_arch_areas!$N$18</f>
        <v>0</v>
      </c>
      <c r="V391" s="187">
        <f>model_eui_end_uses!V391*base_building_arch_areas!$N$18</f>
        <v>802591.93943584128</v>
      </c>
      <c r="W391" s="187">
        <f>model_eui_end_uses!W391*base_building_arch_areas!$N$18</f>
        <v>667495.23645517824</v>
      </c>
      <c r="X391" s="187">
        <f>model_eui_end_uses!X391*base_building_arch_areas!$N$18</f>
        <v>202034.43932257179</v>
      </c>
      <c r="Y391" s="187">
        <f>model_eui_end_uses!Y391*base_building_arch_areas!$N$18</f>
        <v>0</v>
      </c>
      <c r="Z391" s="187">
        <f>model_eui_end_uses!Z391*base_building_arch_areas!$N$18</f>
        <v>478865.58545166528</v>
      </c>
      <c r="AA391" s="187">
        <f>model_eui_end_uses!AA391*base_building_arch_areas!$N$18</f>
        <v>147898.05990517378</v>
      </c>
      <c r="AB391" s="187">
        <f>model_eui_end_uses!AB391*base_building_arch_areas!$N$18</f>
        <v>0</v>
      </c>
      <c r="AC391" s="187">
        <f>model_eui_end_uses!AC391*base_building_arch_areas!$N$18</f>
        <v>7234275.4153470807</v>
      </c>
      <c r="AD391" s="187">
        <f>model_eui_end_uses!AD391*base_building_arch_areas!$N$18</f>
        <v>-344515.98759420344</v>
      </c>
      <c r="AE391" s="187">
        <f>model_eui_end_uses!AE391*base_building_arch_areas!$N$18</f>
        <v>-105686.62619338073</v>
      </c>
      <c r="AF391" s="187">
        <f t="shared" si="71"/>
        <v>-450202.61378758418</v>
      </c>
      <c r="AG391" s="187">
        <f>model_eui_end_uses!AH391*base_building_arch_areas!$N$18</f>
        <v>-5581.1589990260954</v>
      </c>
      <c r="AH391" s="187">
        <f>model_eui_end_uses!AI391*base_building_arch_areas!$N$18</f>
        <v>-11942.588759852024</v>
      </c>
      <c r="AI391" s="187">
        <f t="shared" si="72"/>
        <v>-17523.747758878118</v>
      </c>
      <c r="AJ391" s="200">
        <f>sim_annual_output!F391/sim_annual_output!H391*base_building_arch_areas!$N$18</f>
        <v>215553.55260819339</v>
      </c>
      <c r="AK391">
        <f t="shared" si="73"/>
        <v>-12.30065369429817</v>
      </c>
    </row>
    <row r="392" spans="1:37">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f>model_eui_end_uses!G392*base_scenario_arch_measures!$F392</f>
        <v>0</v>
      </c>
      <c r="H392">
        <f>model_eui_end_uses!H392*base_scenario_arch_measures!$F392</f>
        <v>15.48568373459077</v>
      </c>
      <c r="I392">
        <f>model_eui_end_uses!I392*base_scenario_arch_measures!$F392</f>
        <v>1.1329928165341629</v>
      </c>
      <c r="J392">
        <f>model_eui_end_uses!J392*base_scenario_arch_measures!$F392</f>
        <v>0</v>
      </c>
      <c r="K392">
        <f>model_eui_end_uses!K392*base_scenario_arch_measures!$F392</f>
        <v>3.4680134091633645</v>
      </c>
      <c r="L392">
        <f>model_eui_end_uses!L392*base_scenario_arch_measures!$F392</f>
        <v>2.8842582610060643</v>
      </c>
      <c r="M392">
        <f>model_eui_end_uses!M392*base_scenario_arch_measures!$F392</f>
        <v>0.87299424581388474</v>
      </c>
      <c r="N392">
        <f>model_eui_end_uses!N392*base_scenario_arch_measures!$F392</f>
        <v>0</v>
      </c>
      <c r="O392">
        <f>model_eui_end_uses!O392*base_scenario_arch_measures!$F392</f>
        <v>2.1015930315240809</v>
      </c>
      <c r="P392">
        <f>model_eui_end_uses!P392*base_scenario_arch_measures!$F392</f>
        <v>0.59257076349690874</v>
      </c>
      <c r="Q392">
        <f>model_eui_end_uses!Q392*base_scenario_arch_measures!$F392</f>
        <v>0</v>
      </c>
      <c r="R392" s="187">
        <f>model_eui_end_uses!R392*base_building_arch_areas!$N$18</f>
        <v>0</v>
      </c>
      <c r="S392" s="187">
        <f>model_eui_end_uses!S392*base_building_arch_areas!$N$18</f>
        <v>4762306.0351265986</v>
      </c>
      <c r="T392" s="187">
        <f>model_eui_end_uses!T392*base_building_arch_areas!$N$18</f>
        <v>173084.11965005135</v>
      </c>
      <c r="U392" s="187">
        <f>model_eui_end_uses!U392*base_building_arch_areas!$N$18</f>
        <v>0</v>
      </c>
      <c r="V392" s="187">
        <f>model_eui_end_uses!V392*base_building_arch_areas!$N$18</f>
        <v>802591.93943584128</v>
      </c>
      <c r="W392" s="187">
        <f>model_eui_end_uses!W392*base_building_arch_areas!$N$18</f>
        <v>667495.23645517824</v>
      </c>
      <c r="X392" s="187">
        <f>model_eui_end_uses!X392*base_building_arch_areas!$N$18</f>
        <v>202034.43932257179</v>
      </c>
      <c r="Y392" s="187">
        <f>model_eui_end_uses!Y392*base_building_arch_areas!$N$18</f>
        <v>0</v>
      </c>
      <c r="Z392" s="187">
        <f>model_eui_end_uses!Z392*base_building_arch_areas!$N$18</f>
        <v>478865.58545166528</v>
      </c>
      <c r="AA392" s="187">
        <f>model_eui_end_uses!AA392*base_building_arch_areas!$N$18</f>
        <v>147898.05990517378</v>
      </c>
      <c r="AB392" s="187">
        <f>model_eui_end_uses!AB392*base_building_arch_areas!$N$18</f>
        <v>0</v>
      </c>
      <c r="AC392" s="187">
        <f>model_eui_end_uses!AC392*base_building_arch_areas!$N$18</f>
        <v>7234275.4153470807</v>
      </c>
      <c r="AD392" s="187">
        <f>model_eui_end_uses!AD392*base_building_arch_areas!$N$18</f>
        <v>1178500.7056748518</v>
      </c>
      <c r="AE392" s="187">
        <f>model_eui_end_uses!AE392*base_building_arch_areas!$N$18</f>
        <v>-85859.608253554325</v>
      </c>
      <c r="AF392" s="187">
        <f t="shared" si="71"/>
        <v>1092641.0974212973</v>
      </c>
      <c r="AG392" s="187">
        <f>model_eui_end_uses!AH392*base_building_arch_areas!$N$18</f>
        <v>19091.711431932596</v>
      </c>
      <c r="AH392" s="187">
        <f>model_eui_end_uses!AI392*base_building_arch_areas!$N$18</f>
        <v>-9702.135732651639</v>
      </c>
      <c r="AI392" s="187">
        <f t="shared" si="72"/>
        <v>9389.5756992809565</v>
      </c>
      <c r="AJ392" s="200">
        <f>sim_annual_output!F392/sim_annual_output!H392*base_building_arch_areas!$N$18</f>
        <v>6083.1469608104508</v>
      </c>
      <c r="AK392">
        <f t="shared" si="73"/>
        <v>0.64786175175905891</v>
      </c>
    </row>
    <row r="393" spans="1:37">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f>model_eui_end_uses!G393*base_scenario_arch_measures!$F393</f>
        <v>0</v>
      </c>
      <c r="H393">
        <f>model_eui_end_uses!H393*base_scenario_arch_measures!$F393</f>
        <v>22.066664749204687</v>
      </c>
      <c r="I393">
        <f>model_eui_end_uses!I393*base_scenario_arch_measures!$F393</f>
        <v>0.97114556871473479</v>
      </c>
      <c r="J393">
        <f>model_eui_end_uses!J393*base_scenario_arch_measures!$F393</f>
        <v>0</v>
      </c>
      <c r="K393">
        <f>model_eui_end_uses!K393*base_scenario_arch_measures!$F393</f>
        <v>3.4680134091633645</v>
      </c>
      <c r="L393">
        <f>model_eui_end_uses!L393*base_scenario_arch_measures!$F393</f>
        <v>2.8842582610060643</v>
      </c>
      <c r="M393">
        <f>model_eui_end_uses!M393*base_scenario_arch_measures!$F393</f>
        <v>0.87299424581388474</v>
      </c>
      <c r="N393">
        <f>model_eui_end_uses!N393*base_scenario_arch_measures!$F393</f>
        <v>0</v>
      </c>
      <c r="O393">
        <f>model_eui_end_uses!O393*base_scenario_arch_measures!$F393</f>
        <v>2.1015930315240809</v>
      </c>
      <c r="P393">
        <f>model_eui_end_uses!P393*base_scenario_arch_measures!$F393</f>
        <v>0.67824364496634137</v>
      </c>
      <c r="Q393">
        <f>model_eui_end_uses!Q393*base_scenario_arch_measures!$F393</f>
        <v>0</v>
      </c>
      <c r="R393" s="187">
        <f>model_eui_end_uses!R393*base_building_arch_areas!$N$18</f>
        <v>0</v>
      </c>
      <c r="S393" s="187">
        <f>model_eui_end_uses!S393*base_building_arch_areas!$N$18</f>
        <v>4762306.0351265986</v>
      </c>
      <c r="T393" s="187">
        <f>model_eui_end_uses!T393*base_building_arch_areas!$N$18</f>
        <v>173084.11965005135</v>
      </c>
      <c r="U393" s="187">
        <f>model_eui_end_uses!U393*base_building_arch_areas!$N$18</f>
        <v>0</v>
      </c>
      <c r="V393" s="187">
        <f>model_eui_end_uses!V393*base_building_arch_areas!$N$18</f>
        <v>802591.93943584128</v>
      </c>
      <c r="W393" s="187">
        <f>model_eui_end_uses!W393*base_building_arch_areas!$N$18</f>
        <v>667495.23645517824</v>
      </c>
      <c r="X393" s="187">
        <f>model_eui_end_uses!X393*base_building_arch_areas!$N$18</f>
        <v>202034.43932257179</v>
      </c>
      <c r="Y393" s="187">
        <f>model_eui_end_uses!Y393*base_building_arch_areas!$N$18</f>
        <v>0</v>
      </c>
      <c r="Z393" s="187">
        <f>model_eui_end_uses!Z393*base_building_arch_areas!$N$18</f>
        <v>478865.58545166528</v>
      </c>
      <c r="AA393" s="187">
        <f>model_eui_end_uses!AA393*base_building_arch_areas!$N$18</f>
        <v>147898.05990517378</v>
      </c>
      <c r="AB393" s="187">
        <f>model_eui_end_uses!AB393*base_building_arch_areas!$N$18</f>
        <v>0</v>
      </c>
      <c r="AC393" s="187">
        <f>model_eui_end_uses!AC393*base_building_arch_areas!$N$18</f>
        <v>7234275.4153470807</v>
      </c>
      <c r="AD393" s="187">
        <f>model_eui_end_uses!AD393*base_building_arch_areas!$N$18</f>
        <v>-344515.98759420344</v>
      </c>
      <c r="AE393" s="187">
        <f>model_eui_end_uses!AE393*base_building_arch_areas!$N$18</f>
        <v>-68230.803172274114</v>
      </c>
      <c r="AF393" s="187">
        <f t="shared" si="71"/>
        <v>-412746.79076647758</v>
      </c>
      <c r="AG393" s="187">
        <f>model_eui_end_uses!AH393*base_building_arch_areas!$N$18</f>
        <v>-5581.1589990260954</v>
      </c>
      <c r="AH393" s="187">
        <f>model_eui_end_uses!AI393*base_building_arch_areas!$N$18</f>
        <v>-7710.0807584669747</v>
      </c>
      <c r="AI393" s="187">
        <f t="shared" si="72"/>
        <v>-13291.239757493069</v>
      </c>
      <c r="AJ393" s="200">
        <f>sim_annual_output!F393/sim_annual_output!H393*base_building_arch_areas!$N$18</f>
        <v>131578.52179418821</v>
      </c>
      <c r="AK393">
        <f t="shared" si="73"/>
        <v>-9.8996424859471457</v>
      </c>
    </row>
    <row r="394" spans="1:37">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f>model_eui_end_uses!G394*base_scenario_arch_measures!$F394</f>
        <v>0</v>
      </c>
      <c r="H394">
        <f>model_eui_end_uses!H394*base_scenario_arch_measures!$F394</f>
        <v>17.356022067945553</v>
      </c>
      <c r="I394">
        <f>model_eui_end_uses!I394*base_scenario_arch_measures!$F394</f>
        <v>1.1442296220022552</v>
      </c>
      <c r="J394">
        <f>model_eui_end_uses!J394*base_scenario_arch_measures!$F394</f>
        <v>0</v>
      </c>
      <c r="K394">
        <f>model_eui_end_uses!K394*base_scenario_arch_measures!$F394</f>
        <v>3.4680134091633645</v>
      </c>
      <c r="L394">
        <f>model_eui_end_uses!L394*base_scenario_arch_measures!$F394</f>
        <v>2.8842582610060643</v>
      </c>
      <c r="M394">
        <f>model_eui_end_uses!M394*base_scenario_arch_measures!$F394</f>
        <v>0.87299424581388474</v>
      </c>
      <c r="N394">
        <f>model_eui_end_uses!N394*base_scenario_arch_measures!$F394</f>
        <v>0</v>
      </c>
      <c r="O394">
        <f>model_eui_end_uses!O394*base_scenario_arch_measures!$F394</f>
        <v>2.1015930315240809</v>
      </c>
      <c r="P394">
        <f>model_eui_end_uses!P394*base_scenario_arch_measures!$F394</f>
        <v>0.67389791909470342</v>
      </c>
      <c r="Q394">
        <f>model_eui_end_uses!Q394*base_scenario_arch_measures!$F394</f>
        <v>0</v>
      </c>
      <c r="R394" s="187">
        <f>model_eui_end_uses!R394*base_building_arch_areas!$N$18</f>
        <v>0</v>
      </c>
      <c r="S394" s="187">
        <f>model_eui_end_uses!S394*base_building_arch_areas!$N$18</f>
        <v>4762306.0351265986</v>
      </c>
      <c r="T394" s="187">
        <f>model_eui_end_uses!T394*base_building_arch_areas!$N$18</f>
        <v>173084.11965005135</v>
      </c>
      <c r="U394" s="187">
        <f>model_eui_end_uses!U394*base_building_arch_areas!$N$18</f>
        <v>0</v>
      </c>
      <c r="V394" s="187">
        <f>model_eui_end_uses!V394*base_building_arch_areas!$N$18</f>
        <v>802591.93943584128</v>
      </c>
      <c r="W394" s="187">
        <f>model_eui_end_uses!W394*base_building_arch_areas!$N$18</f>
        <v>667495.23645517824</v>
      </c>
      <c r="X394" s="187">
        <f>model_eui_end_uses!X394*base_building_arch_areas!$N$18</f>
        <v>202034.43932257179</v>
      </c>
      <c r="Y394" s="187">
        <f>model_eui_end_uses!Y394*base_building_arch_areas!$N$18</f>
        <v>0</v>
      </c>
      <c r="Z394" s="187">
        <f>model_eui_end_uses!Z394*base_building_arch_areas!$N$18</f>
        <v>478865.58545166528</v>
      </c>
      <c r="AA394" s="187">
        <f>model_eui_end_uses!AA394*base_building_arch_areas!$N$18</f>
        <v>147898.05990517378</v>
      </c>
      <c r="AB394" s="187">
        <f>model_eui_end_uses!AB394*base_building_arch_areas!$N$18</f>
        <v>0</v>
      </c>
      <c r="AC394" s="187">
        <f>model_eui_end_uses!AC394*base_building_arch_areas!$N$18</f>
        <v>7234275.4153470807</v>
      </c>
      <c r="AD394" s="187">
        <f>model_eui_end_uses!AD394*base_building_arch_areas!$N$18</f>
        <v>745653.91620155459</v>
      </c>
      <c r="AE394" s="187">
        <f>model_eui_end_uses!AE394*base_building_arch_areas!$N$18</f>
        <v>-107281.40807114916</v>
      </c>
      <c r="AF394" s="187">
        <f t="shared" si="71"/>
        <v>638372.50813040545</v>
      </c>
      <c r="AG394" s="187">
        <f>model_eui_end_uses!AH394*base_building_arch_areas!$N$18</f>
        <v>12079.593442465182</v>
      </c>
      <c r="AH394" s="187">
        <f>model_eui_end_uses!AI394*base_building_arch_areas!$N$18</f>
        <v>-12122.799112039853</v>
      </c>
      <c r="AI394" s="187">
        <f t="shared" si="72"/>
        <v>-43.205669574670537</v>
      </c>
      <c r="AJ394" s="200">
        <f>sim_annual_output!F394/sim_annual_output!H394*base_building_arch_areas!$N$18</f>
        <v>277821.33444414823</v>
      </c>
      <c r="AK394">
        <f t="shared" si="73"/>
        <v>-6430.2055072656922</v>
      </c>
    </row>
    <row r="395" spans="1:37">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f>model_eui_end_uses!G395*base_scenario_arch_measures!$F395</f>
        <v>0</v>
      </c>
      <c r="H395">
        <f>model_eui_end_uses!H395*base_scenario_arch_measures!$F395</f>
        <v>16.666293290318453</v>
      </c>
      <c r="I395">
        <f>model_eui_end_uses!I395*base_scenario_arch_measures!$F395</f>
        <v>0.16166100242492931</v>
      </c>
      <c r="J395">
        <f>model_eui_end_uses!J395*base_scenario_arch_measures!$F395</f>
        <v>0</v>
      </c>
      <c r="K395">
        <f>model_eui_end_uses!K395*base_scenario_arch_measures!$F395</f>
        <v>3.4680134091633645</v>
      </c>
      <c r="L395">
        <f>model_eui_end_uses!L395*base_scenario_arch_measures!$F395</f>
        <v>2.8842582610060643</v>
      </c>
      <c r="M395">
        <f>model_eui_end_uses!M395*base_scenario_arch_measures!$F395</f>
        <v>0.87299424581388474</v>
      </c>
      <c r="N395">
        <f>model_eui_end_uses!N395*base_scenario_arch_measures!$F395</f>
        <v>0</v>
      </c>
      <c r="O395">
        <f>model_eui_end_uses!O395*base_scenario_arch_measures!$F395</f>
        <v>2.1064354117810491</v>
      </c>
      <c r="P395">
        <f>model_eui_end_uses!P395*base_scenario_arch_measures!$F395</f>
        <v>0.67166297436071831</v>
      </c>
      <c r="Q395">
        <f>model_eui_end_uses!Q395*base_scenario_arch_measures!$F395</f>
        <v>0</v>
      </c>
      <c r="R395" s="187">
        <f>model_eui_end_uses!R395*base_building_arch_areas!$N$18</f>
        <v>0</v>
      </c>
      <c r="S395" s="187">
        <f>model_eui_end_uses!S395*base_building_arch_areas!$N$18</f>
        <v>4762306.0351265986</v>
      </c>
      <c r="T395" s="187">
        <f>model_eui_end_uses!T395*base_building_arch_areas!$N$18</f>
        <v>173084.11965005135</v>
      </c>
      <c r="U395" s="187">
        <f>model_eui_end_uses!U395*base_building_arch_areas!$N$18</f>
        <v>0</v>
      </c>
      <c r="V395" s="187">
        <f>model_eui_end_uses!V395*base_building_arch_areas!$N$18</f>
        <v>802591.93943584128</v>
      </c>
      <c r="W395" s="187">
        <f>model_eui_end_uses!W395*base_building_arch_areas!$N$18</f>
        <v>667495.23645517824</v>
      </c>
      <c r="X395" s="187">
        <f>model_eui_end_uses!X395*base_building_arch_areas!$N$18</f>
        <v>202034.43932257179</v>
      </c>
      <c r="Y395" s="187">
        <f>model_eui_end_uses!Y395*base_building_arch_areas!$N$18</f>
        <v>0</v>
      </c>
      <c r="Z395" s="187">
        <f>model_eui_end_uses!Z395*base_building_arch_areas!$N$18</f>
        <v>478865.58545166528</v>
      </c>
      <c r="AA395" s="187">
        <f>model_eui_end_uses!AA395*base_building_arch_areas!$N$18</f>
        <v>147898.05990517378</v>
      </c>
      <c r="AB395" s="187">
        <f>model_eui_end_uses!AB395*base_building_arch_areas!$N$18</f>
        <v>0</v>
      </c>
      <c r="AC395" s="187">
        <f>model_eui_end_uses!AC395*base_building_arch_areas!$N$18</f>
        <v>7234275.4153470807</v>
      </c>
      <c r="AD395" s="187">
        <f>model_eui_end_uses!AD395*base_building_arch_areas!$N$18</f>
        <v>905275.77802146145</v>
      </c>
      <c r="AE395" s="187">
        <f>model_eui_end_uses!AE395*base_building_arch_areas!$N$18</f>
        <v>119508.0688709949</v>
      </c>
      <c r="AF395" s="187">
        <f t="shared" si="71"/>
        <v>1024783.8468924563</v>
      </c>
      <c r="AG395" s="187">
        <f>model_eui_end_uses!AH395*base_building_arch_areas!$N$18</f>
        <v>14665.467603947676</v>
      </c>
      <c r="AH395" s="187">
        <f>model_eui_end_uses!AI395*base_building_arch_areas!$N$18</f>
        <v>13504.411782422425</v>
      </c>
      <c r="AI395" s="187">
        <f t="shared" si="72"/>
        <v>28169.879386370099</v>
      </c>
      <c r="AJ395" s="200">
        <f>sim_annual_output!F395/sim_annual_output!H395*base_building_arch_areas!$N$18</f>
        <v>115089.86954589888</v>
      </c>
      <c r="AK395">
        <f t="shared" si="73"/>
        <v>4.0855648676147585</v>
      </c>
    </row>
    <row r="396" spans="1:37">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f>model_eui_end_uses!G396*base_scenario_arch_measures!$F396</f>
        <v>0</v>
      </c>
      <c r="H396">
        <f>model_eui_end_uses!H396*base_scenario_arch_measures!$F396</f>
        <v>22.068961775736838</v>
      </c>
      <c r="I396">
        <f>model_eui_end_uses!I396*base_scenario_arch_measures!$F396</f>
        <v>1.1192106573412544</v>
      </c>
      <c r="J396">
        <f>model_eui_end_uses!J396*base_scenario_arch_measures!$F396</f>
        <v>0</v>
      </c>
      <c r="K396">
        <f>model_eui_end_uses!K396*base_scenario_arch_measures!$F396</f>
        <v>3.4680134091633645</v>
      </c>
      <c r="L396">
        <f>model_eui_end_uses!L396*base_scenario_arch_measures!$F396</f>
        <v>2.8842582610060643</v>
      </c>
      <c r="M396">
        <f>model_eui_end_uses!M396*base_scenario_arch_measures!$F396</f>
        <v>0.87299424581388474</v>
      </c>
      <c r="N396">
        <f>model_eui_end_uses!N396*base_scenario_arch_measures!$F396</f>
        <v>0</v>
      </c>
      <c r="O396">
        <f>model_eui_end_uses!O396*base_scenario_arch_measures!$F396</f>
        <v>2.1015930315240809</v>
      </c>
      <c r="P396">
        <f>model_eui_end_uses!P396*base_scenario_arch_measures!$F396</f>
        <v>0.67830572676450762</v>
      </c>
      <c r="Q396">
        <f>model_eui_end_uses!Q396*base_scenario_arch_measures!$F396</f>
        <v>0</v>
      </c>
      <c r="R396" s="187">
        <f>model_eui_end_uses!R396*base_building_arch_areas!$N$18</f>
        <v>0</v>
      </c>
      <c r="S396" s="187">
        <f>model_eui_end_uses!S396*base_building_arch_areas!$N$18</f>
        <v>4762306.0351265986</v>
      </c>
      <c r="T396" s="187">
        <f>model_eui_end_uses!T396*base_building_arch_areas!$N$18</f>
        <v>173084.11965005135</v>
      </c>
      <c r="U396" s="187">
        <f>model_eui_end_uses!U396*base_building_arch_areas!$N$18</f>
        <v>0</v>
      </c>
      <c r="V396" s="187">
        <f>model_eui_end_uses!V396*base_building_arch_areas!$N$18</f>
        <v>802591.93943584128</v>
      </c>
      <c r="W396" s="187">
        <f>model_eui_end_uses!W396*base_building_arch_areas!$N$18</f>
        <v>667495.23645517824</v>
      </c>
      <c r="X396" s="187">
        <f>model_eui_end_uses!X396*base_building_arch_areas!$N$18</f>
        <v>202034.43932257179</v>
      </c>
      <c r="Y396" s="187">
        <f>model_eui_end_uses!Y396*base_building_arch_areas!$N$18</f>
        <v>0</v>
      </c>
      <c r="Z396" s="187">
        <f>model_eui_end_uses!Z396*base_building_arch_areas!$N$18</f>
        <v>478865.58545166528</v>
      </c>
      <c r="AA396" s="187">
        <f>model_eui_end_uses!AA396*base_building_arch_areas!$N$18</f>
        <v>147898.05990517378</v>
      </c>
      <c r="AB396" s="187">
        <f>model_eui_end_uses!AB396*base_building_arch_areas!$N$18</f>
        <v>0</v>
      </c>
      <c r="AC396" s="187">
        <f>model_eui_end_uses!AC396*base_building_arch_areas!$N$18</f>
        <v>7234275.4153470807</v>
      </c>
      <c r="AD396" s="187">
        <f>model_eui_end_uses!AD396*base_building_arch_areas!$N$18</f>
        <v>-345047.58155345992</v>
      </c>
      <c r="AE396" s="187">
        <f>model_eui_end_uses!AE396*base_building_arch_areas!$N$18</f>
        <v>-102511.4298421477</v>
      </c>
      <c r="AF396" s="187">
        <f t="shared" si="71"/>
        <v>-447559.01139560761</v>
      </c>
      <c r="AG396" s="187">
        <f>model_eui_end_uses!AH396*base_building_arch_areas!$N$18</f>
        <v>-5589.7708211660502</v>
      </c>
      <c r="AH396" s="187">
        <f>model_eui_end_uses!AI396*base_building_arch_areas!$N$18</f>
        <v>-11583.79157216269</v>
      </c>
      <c r="AI396" s="187">
        <f t="shared" si="72"/>
        <v>-17173.562393328742</v>
      </c>
      <c r="AJ396" s="200">
        <f>sim_annual_output!F396/sim_annual_output!H396*base_building_arch_areas!$N$18</f>
        <v>44971.866857726833</v>
      </c>
      <c r="AK396">
        <f t="shared" si="73"/>
        <v>-2.6186684991575566</v>
      </c>
    </row>
    <row r="397" spans="1:37">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f>model_eui_end_uses!G397*base_scenario_arch_measures!$F397</f>
        <v>0</v>
      </c>
      <c r="H397">
        <f>model_eui_end_uses!H397*base_scenario_arch_measures!$F397</f>
        <v>16.628237148042537</v>
      </c>
      <c r="I397">
        <f>model_eui_end_uses!I397*base_scenario_arch_measures!$F397</f>
        <v>0.85275557961168547</v>
      </c>
      <c r="J397">
        <f>model_eui_end_uses!J397*base_scenario_arch_measures!$F397</f>
        <v>0</v>
      </c>
      <c r="K397">
        <f>model_eui_end_uses!K397*base_scenario_arch_measures!$F397</f>
        <v>3.4680134091633645</v>
      </c>
      <c r="L397">
        <f>model_eui_end_uses!L397*base_scenario_arch_measures!$F397</f>
        <v>2.0190242399629614</v>
      </c>
      <c r="M397">
        <f>model_eui_end_uses!M397*base_scenario_arch_measures!$F397</f>
        <v>0.87299424581388474</v>
      </c>
      <c r="N397">
        <f>model_eui_end_uses!N397*base_scenario_arch_measures!$F397</f>
        <v>0</v>
      </c>
      <c r="O397">
        <f>model_eui_end_uses!O397*base_scenario_arch_measures!$F397</f>
        <v>0.85728755087782227</v>
      </c>
      <c r="P397">
        <f>model_eui_end_uses!P397*base_scenario_arch_measures!$F397</f>
        <v>0.50931907215596006</v>
      </c>
      <c r="Q397">
        <f>model_eui_end_uses!Q397*base_scenario_arch_measures!$F397</f>
        <v>0</v>
      </c>
      <c r="R397" s="187">
        <f>model_eui_end_uses!R397*base_building_arch_areas!$N$18</f>
        <v>0</v>
      </c>
      <c r="S397" s="187">
        <f>model_eui_end_uses!S397*base_building_arch_areas!$N$18</f>
        <v>4762306.0351265986</v>
      </c>
      <c r="T397" s="187">
        <f>model_eui_end_uses!T397*base_building_arch_areas!$N$18</f>
        <v>173084.11965005135</v>
      </c>
      <c r="U397" s="187">
        <f>model_eui_end_uses!U397*base_building_arch_areas!$N$18</f>
        <v>0</v>
      </c>
      <c r="V397" s="187">
        <f>model_eui_end_uses!V397*base_building_arch_areas!$N$18</f>
        <v>802591.93943584128</v>
      </c>
      <c r="W397" s="187">
        <f>model_eui_end_uses!W397*base_building_arch_areas!$N$18</f>
        <v>667495.23645517824</v>
      </c>
      <c r="X397" s="187">
        <f>model_eui_end_uses!X397*base_building_arch_areas!$N$18</f>
        <v>202034.43932257179</v>
      </c>
      <c r="Y397" s="187">
        <f>model_eui_end_uses!Y397*base_building_arch_areas!$N$18</f>
        <v>0</v>
      </c>
      <c r="Z397" s="187">
        <f>model_eui_end_uses!Z397*base_building_arch_areas!$N$18</f>
        <v>478865.58545166528</v>
      </c>
      <c r="AA397" s="187">
        <f>model_eui_end_uses!AA397*base_building_arch_areas!$N$18</f>
        <v>147898.05990517378</v>
      </c>
      <c r="AB397" s="187">
        <f>model_eui_end_uses!AB397*base_building_arch_areas!$N$18</f>
        <v>0</v>
      </c>
      <c r="AC397" s="187">
        <f>model_eui_end_uses!AC397*base_building_arch_areas!$N$18</f>
        <v>7234275.4153470807</v>
      </c>
      <c r="AD397" s="187">
        <f>model_eui_end_uses!AD397*base_building_arch_areas!$N$18</f>
        <v>914082.99685994955</v>
      </c>
      <c r="AE397" s="187">
        <f>model_eui_end_uses!AE397*base_building_arch_areas!$N$18</f>
        <v>486465.94220512931</v>
      </c>
      <c r="AF397" s="187">
        <f t="shared" si="71"/>
        <v>1400548.9390650787</v>
      </c>
      <c r="AG397" s="187">
        <f>model_eui_end_uses!AH397*base_building_arch_areas!$N$18</f>
        <v>14808.144549131182</v>
      </c>
      <c r="AH397" s="187">
        <f>model_eui_end_uses!AI397*base_building_arch_areas!$N$18</f>
        <v>54970.651469179618</v>
      </c>
      <c r="AI397" s="187">
        <f t="shared" si="72"/>
        <v>69778.796018310793</v>
      </c>
      <c r="AJ397" s="200">
        <f>sim_annual_output!F397/sim_annual_output!H397*base_building_arch_areas!$N$18</f>
        <v>984652.13496400975</v>
      </c>
      <c r="AK397">
        <f t="shared" si="73"/>
        <v>14.111050794078265</v>
      </c>
    </row>
    <row r="398" spans="1:37">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f>model_eui_end_uses!G398*base_scenario_arch_measures!$F398</f>
        <v>0</v>
      </c>
      <c r="H398">
        <f>model_eui_end_uses!H398*base_scenario_arch_measures!$F398</f>
        <v>20.657035440041689</v>
      </c>
      <c r="I398">
        <f>model_eui_end_uses!I398*base_scenario_arch_measures!$F398</f>
        <v>1.0964266374142384</v>
      </c>
      <c r="J398">
        <f>model_eui_end_uses!J398*base_scenario_arch_measures!$F398</f>
        <v>0</v>
      </c>
      <c r="K398">
        <f>model_eui_end_uses!K398*base_scenario_arch_measures!$F398</f>
        <v>3.4680134091633645</v>
      </c>
      <c r="L398">
        <f>model_eui_end_uses!L398*base_scenario_arch_measures!$F398</f>
        <v>2.8842582610060643</v>
      </c>
      <c r="M398">
        <f>model_eui_end_uses!M398*base_scenario_arch_measures!$F398</f>
        <v>0.87299424581388474</v>
      </c>
      <c r="N398">
        <f>model_eui_end_uses!N398*base_scenario_arch_measures!$F398</f>
        <v>0</v>
      </c>
      <c r="O398">
        <f>model_eui_end_uses!O398*base_scenario_arch_measures!$F398</f>
        <v>2.0823476740925417</v>
      </c>
      <c r="P398">
        <f>model_eui_end_uses!P398*base_scenario_arch_measures!$F398</f>
        <v>0.6481339728557074</v>
      </c>
      <c r="Q398">
        <f>model_eui_end_uses!Q398*base_scenario_arch_measures!$F398</f>
        <v>0</v>
      </c>
      <c r="R398" s="187">
        <f>model_eui_end_uses!R398*base_building_arch_areas!$N$18</f>
        <v>0</v>
      </c>
      <c r="S398" s="187">
        <f>model_eui_end_uses!S398*base_building_arch_areas!$N$18</f>
        <v>4762306.0351265986</v>
      </c>
      <c r="T398" s="187">
        <f>model_eui_end_uses!T398*base_building_arch_areas!$N$18</f>
        <v>173084.11965005135</v>
      </c>
      <c r="U398" s="187">
        <f>model_eui_end_uses!U398*base_building_arch_areas!$N$18</f>
        <v>0</v>
      </c>
      <c r="V398" s="187">
        <f>model_eui_end_uses!V398*base_building_arch_areas!$N$18</f>
        <v>802591.93943584128</v>
      </c>
      <c r="W398" s="187">
        <f>model_eui_end_uses!W398*base_building_arch_areas!$N$18</f>
        <v>667495.23645517824</v>
      </c>
      <c r="X398" s="187">
        <f>model_eui_end_uses!X398*base_building_arch_areas!$N$18</f>
        <v>202034.43932257179</v>
      </c>
      <c r="Y398" s="187">
        <f>model_eui_end_uses!Y398*base_building_arch_areas!$N$18</f>
        <v>0</v>
      </c>
      <c r="Z398" s="187">
        <f>model_eui_end_uses!Z398*base_building_arch_areas!$N$18</f>
        <v>478865.58545166528</v>
      </c>
      <c r="AA398" s="187">
        <f>model_eui_end_uses!AA398*base_building_arch_areas!$N$18</f>
        <v>147898.05990517378</v>
      </c>
      <c r="AB398" s="187">
        <f>model_eui_end_uses!AB398*base_building_arch_areas!$N$18</f>
        <v>0</v>
      </c>
      <c r="AC398" s="187">
        <f>model_eui_end_uses!AC398*base_building_arch_areas!$N$18</f>
        <v>7234275.4153470807</v>
      </c>
      <c r="AD398" s="187">
        <f>model_eui_end_uses!AD398*base_building_arch_areas!$N$18</f>
        <v>-18289.705462538841</v>
      </c>
      <c r="AE398" s="187">
        <f>model_eui_end_uses!AE398*base_building_arch_areas!$N$18</f>
        <v>-85802.138636337331</v>
      </c>
      <c r="AF398" s="187">
        <f t="shared" si="71"/>
        <v>-104091.84409887617</v>
      </c>
      <c r="AG398" s="187">
        <f>model_eui_end_uses!AH398*base_building_arch_areas!$N$18</f>
        <v>-296.29322849312922</v>
      </c>
      <c r="AH398" s="187">
        <f>model_eui_end_uses!AI398*base_building_arch_areas!$N$18</f>
        <v>-9695.6416659061197</v>
      </c>
      <c r="AI398" s="187">
        <f t="shared" si="72"/>
        <v>-9991.9348943992482</v>
      </c>
      <c r="AJ398" s="200">
        <f>sim_annual_output!F398/sim_annual_output!H398*base_building_arch_areas!$N$18</f>
        <v>5433117.9943348449</v>
      </c>
      <c r="AK398">
        <f t="shared" si="73"/>
        <v>-543.75033982459752</v>
      </c>
    </row>
    <row r="399" spans="1:37">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f>model_eui_end_uses!G399*base_scenario_arch_measures!$F399</f>
        <v>0</v>
      </c>
      <c r="H399">
        <f>model_eui_end_uses!H399*base_scenario_arch_measures!$F399</f>
        <v>21.690945706702507</v>
      </c>
      <c r="I399">
        <f>model_eui_end_uses!I399*base_scenario_arch_measures!$F399</f>
        <v>1.1357244156534783</v>
      </c>
      <c r="J399">
        <f>model_eui_end_uses!J399*base_scenario_arch_measures!$F399</f>
        <v>0</v>
      </c>
      <c r="K399">
        <f>model_eui_end_uses!K399*base_scenario_arch_measures!$F399</f>
        <v>3.4680134091633645</v>
      </c>
      <c r="L399">
        <f>model_eui_end_uses!L399*base_scenario_arch_measures!$F399</f>
        <v>2.8842582610060643</v>
      </c>
      <c r="M399">
        <f>model_eui_end_uses!M399*base_scenario_arch_measures!$F399</f>
        <v>0.87299424581388474</v>
      </c>
      <c r="N399">
        <f>model_eui_end_uses!N399*base_scenario_arch_measures!$F399</f>
        <v>0</v>
      </c>
      <c r="O399">
        <f>model_eui_end_uses!O399*base_scenario_arch_measures!$F399</f>
        <v>2.0972473056524432</v>
      </c>
      <c r="P399">
        <f>model_eui_end_uses!P399*base_scenario_arch_measures!$F399</f>
        <v>0.6702350930028943</v>
      </c>
      <c r="Q399">
        <f>model_eui_end_uses!Q399*base_scenario_arch_measures!$F399</f>
        <v>0</v>
      </c>
      <c r="R399" s="187">
        <f>model_eui_end_uses!R399*base_building_arch_areas!$N$18</f>
        <v>0</v>
      </c>
      <c r="S399" s="187">
        <f>model_eui_end_uses!S399*base_building_arch_areas!$N$18</f>
        <v>4762306.0351265986</v>
      </c>
      <c r="T399" s="187">
        <f>model_eui_end_uses!T399*base_building_arch_areas!$N$18</f>
        <v>173084.11965005135</v>
      </c>
      <c r="U399" s="187">
        <f>model_eui_end_uses!U399*base_building_arch_areas!$N$18</f>
        <v>0</v>
      </c>
      <c r="V399" s="187">
        <f>model_eui_end_uses!V399*base_building_arch_areas!$N$18</f>
        <v>802591.93943584128</v>
      </c>
      <c r="W399" s="187">
        <f>model_eui_end_uses!W399*base_building_arch_areas!$N$18</f>
        <v>667495.23645517824</v>
      </c>
      <c r="X399" s="187">
        <f>model_eui_end_uses!X399*base_building_arch_areas!$N$18</f>
        <v>202034.43932257179</v>
      </c>
      <c r="Y399" s="187">
        <f>model_eui_end_uses!Y399*base_building_arch_areas!$N$18</f>
        <v>0</v>
      </c>
      <c r="Z399" s="187">
        <f>model_eui_end_uses!Z399*base_building_arch_areas!$N$18</f>
        <v>478865.58545166528</v>
      </c>
      <c r="AA399" s="187">
        <f>model_eui_end_uses!AA399*base_building_arch_areas!$N$18</f>
        <v>147898.05990517378</v>
      </c>
      <c r="AB399" s="187">
        <f>model_eui_end_uses!AB399*base_building_arch_areas!$N$18</f>
        <v>0</v>
      </c>
      <c r="AC399" s="187">
        <f>model_eui_end_uses!AC399*base_building_arch_areas!$N$18</f>
        <v>7234275.4153470807</v>
      </c>
      <c r="AD399" s="187">
        <f>model_eui_end_uses!AD399*base_building_arch_areas!$N$18</f>
        <v>-257564.45674505085</v>
      </c>
      <c r="AE399" s="187">
        <f>model_eui_end_uses!AE399*base_building_arch_areas!$N$18</f>
        <v>-103459.67852622642</v>
      </c>
      <c r="AF399" s="187">
        <f t="shared" si="71"/>
        <v>-361024.13527127728</v>
      </c>
      <c r="AG399" s="187">
        <f>model_eui_end_uses!AH399*base_building_arch_areas!$N$18</f>
        <v>-4172.5441992698234</v>
      </c>
      <c r="AH399" s="187">
        <f>model_eui_end_uses!AI399*base_building_arch_areas!$N$18</f>
        <v>-11690.943673463586</v>
      </c>
      <c r="AI399" s="187">
        <f t="shared" si="72"/>
        <v>-15863.487872733409</v>
      </c>
      <c r="AJ399" s="200">
        <f>sim_annual_output!F399/sim_annual_output!H399*base_building_arch_areas!$N$18</f>
        <v>2523535.8985603843</v>
      </c>
      <c r="AK399">
        <f t="shared" si="73"/>
        <v>-159.07825055912866</v>
      </c>
    </row>
    <row r="400" spans="1:37">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f>model_eui_end_uses!G400*base_scenario_arch_measures!$F400</f>
        <v>0</v>
      </c>
      <c r="H400">
        <f>model_eui_end_uses!H400*base_scenario_arch_measures!$F400</f>
        <v>21.970996698230486</v>
      </c>
      <c r="I400">
        <f>model_eui_end_uses!I400*base_scenario_arch_measures!$F400</f>
        <v>1.1341723706993219</v>
      </c>
      <c r="J400">
        <f>model_eui_end_uses!J400*base_scenario_arch_measures!$F400</f>
        <v>0</v>
      </c>
      <c r="K400">
        <f>model_eui_end_uses!K400*base_scenario_arch_measures!$F400</f>
        <v>3.4680134091633645</v>
      </c>
      <c r="L400">
        <f>model_eui_end_uses!L400*base_scenario_arch_measures!$F400</f>
        <v>2.8842582610060643</v>
      </c>
      <c r="M400">
        <f>model_eui_end_uses!M400*base_scenario_arch_measures!$F400</f>
        <v>0.87299424581388474</v>
      </c>
      <c r="N400">
        <f>model_eui_end_uses!N400*base_scenario_arch_measures!$F400</f>
        <v>0</v>
      </c>
      <c r="O400">
        <f>model_eui_end_uses!O400*base_scenario_arch_measures!$F400</f>
        <v>2.1019034405149126</v>
      </c>
      <c r="P400">
        <f>model_eui_end_uses!P400*base_scenario_arch_measures!$F400</f>
        <v>0.6773744997920137</v>
      </c>
      <c r="Q400">
        <f>model_eui_end_uses!Q400*base_scenario_arch_measures!$F400</f>
        <v>0</v>
      </c>
      <c r="R400" s="187">
        <f>model_eui_end_uses!R400*base_building_arch_areas!$N$18</f>
        <v>0</v>
      </c>
      <c r="S400" s="187">
        <f>model_eui_end_uses!S400*base_building_arch_areas!$N$18</f>
        <v>4762306.0351265986</v>
      </c>
      <c r="T400" s="187">
        <f>model_eui_end_uses!T400*base_building_arch_areas!$N$18</f>
        <v>173084.11965005135</v>
      </c>
      <c r="U400" s="187">
        <f>model_eui_end_uses!U400*base_building_arch_areas!$N$18</f>
        <v>0</v>
      </c>
      <c r="V400" s="187">
        <f>model_eui_end_uses!V400*base_building_arch_areas!$N$18</f>
        <v>802591.93943584128</v>
      </c>
      <c r="W400" s="187">
        <f>model_eui_end_uses!W400*base_building_arch_areas!$N$18</f>
        <v>667495.23645517824</v>
      </c>
      <c r="X400" s="187">
        <f>model_eui_end_uses!X400*base_building_arch_areas!$N$18</f>
        <v>202034.43932257179</v>
      </c>
      <c r="Y400" s="187">
        <f>model_eui_end_uses!Y400*base_building_arch_areas!$N$18</f>
        <v>0</v>
      </c>
      <c r="Z400" s="187">
        <f>model_eui_end_uses!Z400*base_building_arch_areas!$N$18</f>
        <v>478865.58545166528</v>
      </c>
      <c r="AA400" s="187">
        <f>model_eui_end_uses!AA400*base_building_arch_areas!$N$18</f>
        <v>147898.05990517378</v>
      </c>
      <c r="AB400" s="187">
        <f>model_eui_end_uses!AB400*base_building_arch_areas!$N$18</f>
        <v>0</v>
      </c>
      <c r="AC400" s="187">
        <f>model_eui_end_uses!AC400*base_building_arch_areas!$N$18</f>
        <v>7234275.4153470807</v>
      </c>
      <c r="AD400" s="187">
        <f>model_eui_end_uses!AD400*base_building_arch_areas!$N$18</f>
        <v>-322375.81756139657</v>
      </c>
      <c r="AE400" s="187">
        <f>model_eui_end_uses!AE400*base_building_arch_areas!$N$18</f>
        <v>-105830.30023642308</v>
      </c>
      <c r="AF400" s="187">
        <f t="shared" si="71"/>
        <v>-428206.11779781966</v>
      </c>
      <c r="AG400" s="187">
        <f>model_eui_end_uses!AH400*base_building_arch_areas!$N$18</f>
        <v>-5222.4882444946243</v>
      </c>
      <c r="AH400" s="187">
        <f>model_eui_end_uses!AI400*base_building_arch_areas!$N$18</f>
        <v>-11958.823926715808</v>
      </c>
      <c r="AI400" s="187">
        <f t="shared" si="72"/>
        <v>-17181.312171210433</v>
      </c>
      <c r="AJ400" s="200">
        <f>sim_annual_output!F400/sim_annual_output!H400*base_building_arch_areas!$N$18</f>
        <v>19862410.93754999</v>
      </c>
      <c r="AK400">
        <f t="shared" si="73"/>
        <v>-1156.0473809929426</v>
      </c>
    </row>
    <row r="401" spans="1:37">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f>model_eui_end_uses!G401*base_scenario_arch_measures!$F401</f>
        <v>0</v>
      </c>
      <c r="H401">
        <f>model_eui_end_uses!H401*base_scenario_arch_measures!$F401</f>
        <v>22.066726831002853</v>
      </c>
      <c r="I401">
        <f>model_eui_end_uses!I401*base_scenario_arch_measures!$F401</f>
        <v>1.1329928165341629</v>
      </c>
      <c r="J401">
        <f>model_eui_end_uses!J401*base_scenario_arch_measures!$F401</f>
        <v>0</v>
      </c>
      <c r="K401">
        <f>model_eui_end_uses!K401*base_scenario_arch_measures!$F401</f>
        <v>3.4680134091633645</v>
      </c>
      <c r="L401">
        <f>model_eui_end_uses!L401*base_scenario_arch_measures!$F401</f>
        <v>2.8842582610060643</v>
      </c>
      <c r="M401">
        <f>model_eui_end_uses!M401*base_scenario_arch_measures!$F401</f>
        <v>0.87299424581388474</v>
      </c>
      <c r="N401">
        <f>model_eui_end_uses!N401*base_scenario_arch_measures!$F401</f>
        <v>0</v>
      </c>
      <c r="O401">
        <f>model_eui_end_uses!O401*base_scenario_arch_measures!$F401</f>
        <v>0.87026264669456954</v>
      </c>
      <c r="P401">
        <f>model_eui_end_uses!P401*base_scenario_arch_measures!$F401</f>
        <v>0.67824364496634137</v>
      </c>
      <c r="Q401">
        <f>model_eui_end_uses!Q401*base_scenario_arch_measures!$F401</f>
        <v>0</v>
      </c>
      <c r="R401" s="187">
        <f>model_eui_end_uses!R401*base_building_arch_areas!$N$18</f>
        <v>0</v>
      </c>
      <c r="S401" s="187">
        <f>model_eui_end_uses!S401*base_building_arch_areas!$N$18</f>
        <v>4762306.0351265986</v>
      </c>
      <c r="T401" s="187">
        <f>model_eui_end_uses!T401*base_building_arch_areas!$N$18</f>
        <v>173084.11965005135</v>
      </c>
      <c r="U401" s="187">
        <f>model_eui_end_uses!U401*base_building_arch_areas!$N$18</f>
        <v>0</v>
      </c>
      <c r="V401" s="187">
        <f>model_eui_end_uses!V401*base_building_arch_areas!$N$18</f>
        <v>802591.93943584128</v>
      </c>
      <c r="W401" s="187">
        <f>model_eui_end_uses!W401*base_building_arch_areas!$N$18</f>
        <v>667495.23645517824</v>
      </c>
      <c r="X401" s="187">
        <f>model_eui_end_uses!X401*base_building_arch_areas!$N$18</f>
        <v>202034.43932257179</v>
      </c>
      <c r="Y401" s="187">
        <f>model_eui_end_uses!Y401*base_building_arch_areas!$N$18</f>
        <v>0</v>
      </c>
      <c r="Z401" s="187">
        <f>model_eui_end_uses!Z401*base_building_arch_areas!$N$18</f>
        <v>478865.58545166528</v>
      </c>
      <c r="AA401" s="187">
        <f>model_eui_end_uses!AA401*base_building_arch_areas!$N$18</f>
        <v>147898.05990517378</v>
      </c>
      <c r="AB401" s="187">
        <f>model_eui_end_uses!AB401*base_building_arch_areas!$N$18</f>
        <v>0</v>
      </c>
      <c r="AC401" s="187">
        <f>model_eui_end_uses!AC401*base_building_arch_areas!$N$18</f>
        <v>7234275.4153470807</v>
      </c>
      <c r="AD401" s="187">
        <f>model_eui_end_uses!AD401*base_building_arch_areas!$N$18</f>
        <v>-344530.35499850672</v>
      </c>
      <c r="AE401" s="187">
        <f>model_eui_end_uses!AE401*base_building_arch_areas!$N$18</f>
        <v>179276.47077655856</v>
      </c>
      <c r="AF401" s="187">
        <f t="shared" si="71"/>
        <v>-165253.88422194816</v>
      </c>
      <c r="AG401" s="187">
        <f>model_eui_end_uses!AH401*base_building_arch_areas!$N$18</f>
        <v>-5581.3917509758094</v>
      </c>
      <c r="AH401" s="187">
        <f>model_eui_end_uses!AI401*base_building_arch_areas!$N$18</f>
        <v>20258.241197751118</v>
      </c>
      <c r="AI401" s="187">
        <f t="shared" si="72"/>
        <v>14676.849446775308</v>
      </c>
      <c r="AJ401" s="200">
        <f>sim_annual_output!F401/sim_annual_output!H401*base_building_arch_areas!$N$18</f>
        <v>33536.626921709772</v>
      </c>
      <c r="AK401">
        <f t="shared" si="73"/>
        <v>2.285001767125042</v>
      </c>
    </row>
    <row r="402" spans="1:37">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f>model_eui_end_uses!G402*base_scenario_arch_measures!$F402</f>
        <v>0</v>
      </c>
      <c r="H402">
        <f>model_eui_end_uses!H402*base_scenario_arch_measures!$F402</f>
        <v>22.070762147883659</v>
      </c>
      <c r="I402">
        <f>model_eui_end_uses!I402*base_scenario_arch_measures!$F402</f>
        <v>1.1328686529378302</v>
      </c>
      <c r="J402">
        <f>model_eui_end_uses!J402*base_scenario_arch_measures!$F402</f>
        <v>0</v>
      </c>
      <c r="K402">
        <f>model_eui_end_uses!K402*base_scenario_arch_measures!$F402</f>
        <v>3.4680134091633645</v>
      </c>
      <c r="L402">
        <f>model_eui_end_uses!L402*base_scenario_arch_measures!$F402</f>
        <v>2.8842582610060643</v>
      </c>
      <c r="M402">
        <f>model_eui_end_uses!M402*base_scenario_arch_measures!$F402</f>
        <v>0.87299424581388474</v>
      </c>
      <c r="N402">
        <f>model_eui_end_uses!N402*base_scenario_arch_measures!$F402</f>
        <v>0</v>
      </c>
      <c r="O402">
        <f>model_eui_end_uses!O402*base_scenario_arch_measures!$F402</f>
        <v>2.0984268598176019</v>
      </c>
      <c r="P402">
        <f>model_eui_end_uses!P402*base_scenario_arch_measures!$F402</f>
        <v>0.67824364496634137</v>
      </c>
      <c r="Q402">
        <f>model_eui_end_uses!Q402*base_scenario_arch_measures!$F402</f>
        <v>0</v>
      </c>
      <c r="R402" s="187">
        <f>model_eui_end_uses!R402*base_building_arch_areas!$N$18</f>
        <v>0</v>
      </c>
      <c r="S402" s="187">
        <f>model_eui_end_uses!S402*base_building_arch_areas!$N$18</f>
        <v>4762306.0351265986</v>
      </c>
      <c r="T402" s="187">
        <f>model_eui_end_uses!T402*base_building_arch_areas!$N$18</f>
        <v>173084.11965005135</v>
      </c>
      <c r="U402" s="187">
        <f>model_eui_end_uses!U402*base_building_arch_areas!$N$18</f>
        <v>0</v>
      </c>
      <c r="V402" s="187">
        <f>model_eui_end_uses!V402*base_building_arch_areas!$N$18</f>
        <v>802591.93943584128</v>
      </c>
      <c r="W402" s="187">
        <f>model_eui_end_uses!W402*base_building_arch_areas!$N$18</f>
        <v>667495.23645517824</v>
      </c>
      <c r="X402" s="187">
        <f>model_eui_end_uses!X402*base_building_arch_areas!$N$18</f>
        <v>202034.43932257179</v>
      </c>
      <c r="Y402" s="187">
        <f>model_eui_end_uses!Y402*base_building_arch_areas!$N$18</f>
        <v>0</v>
      </c>
      <c r="Z402" s="187">
        <f>model_eui_end_uses!Z402*base_building_arch_areas!$N$18</f>
        <v>478865.58545166528</v>
      </c>
      <c r="AA402" s="187">
        <f>model_eui_end_uses!AA402*base_building_arch_areas!$N$18</f>
        <v>147898.05990517378</v>
      </c>
      <c r="AB402" s="187">
        <f>model_eui_end_uses!AB402*base_building_arch_areas!$N$18</f>
        <v>0</v>
      </c>
      <c r="AC402" s="187">
        <f>model_eui_end_uses!AC402*base_building_arch_areas!$N$18</f>
        <v>7234275.4153470807</v>
      </c>
      <c r="AD402" s="187">
        <f>model_eui_end_uses!AD402*base_building_arch_areas!$N$18</f>
        <v>-345464.2362782819</v>
      </c>
      <c r="AE402" s="187">
        <f>model_eui_end_uses!AE402*base_building_arch_areas!$N$18</f>
        <v>-104925.15376525704</v>
      </c>
      <c r="AF402" s="187">
        <f t="shared" si="71"/>
        <v>-450389.39004353894</v>
      </c>
      <c r="AG402" s="187">
        <f>model_eui_end_uses!AH402*base_building_arch_areas!$N$18</f>
        <v>-5596.520627708167</v>
      </c>
      <c r="AH402" s="187">
        <f>model_eui_end_uses!AI402*base_building_arch_areas!$N$18</f>
        <v>-11856.542375474046</v>
      </c>
      <c r="AI402" s="187">
        <f t="shared" si="72"/>
        <v>-17453.063003182215</v>
      </c>
      <c r="AJ402" s="200">
        <f>sim_annual_output!F402/sim_annual_output!H402*base_building_arch_areas!$N$18</f>
        <v>33053.51324091354</v>
      </c>
      <c r="AK402">
        <f t="shared" si="73"/>
        <v>-1.8938517115813367</v>
      </c>
    </row>
    <row r="403" spans="1:37">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f>model_eui_end_uses!G403*base_scenario_arch_measures!$F403</f>
        <v>0</v>
      </c>
      <c r="H403">
        <f>model_eui_end_uses!H403*base_scenario_arch_measures!$F403</f>
        <v>17.036921625370997</v>
      </c>
      <c r="I403">
        <f>model_eui_end_uses!I403*base_scenario_arch_measures!$F403</f>
        <v>1.1711110406082439</v>
      </c>
      <c r="J403">
        <f>model_eui_end_uses!J403*base_scenario_arch_measures!$F403</f>
        <v>0</v>
      </c>
      <c r="K403">
        <f>model_eui_end_uses!K403*base_scenario_arch_measures!$F403</f>
        <v>3.4679513273651983</v>
      </c>
      <c r="L403">
        <f>model_eui_end_uses!L403*base_scenario_arch_measures!$F403</f>
        <v>2.8842582610060643</v>
      </c>
      <c r="M403">
        <f>model_eui_end_uses!M403*base_scenario_arch_measures!$F403</f>
        <v>0.87299424581388474</v>
      </c>
      <c r="N403">
        <f>model_eui_end_uses!N403*base_scenario_arch_measures!$F403</f>
        <v>0</v>
      </c>
      <c r="O403">
        <f>model_eui_end_uses!O403*base_scenario_arch_measures!$F403</f>
        <v>2.1017171951204139</v>
      </c>
      <c r="P403">
        <f>model_eui_end_uses!P403*base_scenario_arch_measures!$F403</f>
        <v>0.67532580045252733</v>
      </c>
      <c r="Q403">
        <f>model_eui_end_uses!Q403*base_scenario_arch_measures!$F403</f>
        <v>0.48939081494459213</v>
      </c>
      <c r="R403" s="187">
        <f>model_eui_end_uses!R403*base_building_arch_areas!$N$18</f>
        <v>0</v>
      </c>
      <c r="S403" s="187">
        <f>model_eui_end_uses!S403*base_building_arch_areas!$N$18</f>
        <v>4762306.0351265986</v>
      </c>
      <c r="T403" s="187">
        <f>model_eui_end_uses!T403*base_building_arch_areas!$N$18</f>
        <v>173084.11965005135</v>
      </c>
      <c r="U403" s="187">
        <f>model_eui_end_uses!U403*base_building_arch_areas!$N$18</f>
        <v>0</v>
      </c>
      <c r="V403" s="187">
        <f>model_eui_end_uses!V403*base_building_arch_areas!$N$18</f>
        <v>802591.93943584128</v>
      </c>
      <c r="W403" s="187">
        <f>model_eui_end_uses!W403*base_building_arch_areas!$N$18</f>
        <v>667495.23645517824</v>
      </c>
      <c r="X403" s="187">
        <f>model_eui_end_uses!X403*base_building_arch_areas!$N$18</f>
        <v>202034.43932257179</v>
      </c>
      <c r="Y403" s="187">
        <f>model_eui_end_uses!Y403*base_building_arch_areas!$N$18</f>
        <v>0</v>
      </c>
      <c r="Z403" s="187">
        <f>model_eui_end_uses!Z403*base_building_arch_areas!$N$18</f>
        <v>478865.58545166528</v>
      </c>
      <c r="AA403" s="187">
        <f>model_eui_end_uses!AA403*base_building_arch_areas!$N$18</f>
        <v>147898.05990517378</v>
      </c>
      <c r="AB403" s="187">
        <f>model_eui_end_uses!AB403*base_building_arch_areas!$N$18</f>
        <v>0</v>
      </c>
      <c r="AC403" s="187">
        <f>model_eui_end_uses!AC403*base_building_arch_areas!$N$18</f>
        <v>7234275.4153470807</v>
      </c>
      <c r="AD403" s="187">
        <f>model_eui_end_uses!AD403*base_building_arch_areas!$N$18</f>
        <v>819516.74172955961</v>
      </c>
      <c r="AE403" s="187">
        <f>model_eui_end_uses!AE403*base_building_arch_areas!$N$18</f>
        <v>-227119.92737266523</v>
      </c>
      <c r="AF403" s="187">
        <f t="shared" si="71"/>
        <v>592396.81435689435</v>
      </c>
      <c r="AG403" s="187">
        <f>model_eui_end_uses!AH403*base_building_arch_areas!$N$18</f>
        <v>13276.171216018865</v>
      </c>
      <c r="AH403" s="187">
        <f>model_eui_end_uses!AI403*base_building_arch_areas!$N$18</f>
        <v>-25664.551793111172</v>
      </c>
      <c r="AI403" s="187">
        <f t="shared" si="72"/>
        <v>-12388.380577092306</v>
      </c>
      <c r="AJ403" s="200">
        <f>sim_annual_output!F403/sim_annual_output!H403*base_building_arch_areas!$N$18</f>
        <v>1992937.62290056</v>
      </c>
      <c r="AK403">
        <f t="shared" si="73"/>
        <v>-160.87152073659698</v>
      </c>
    </row>
    <row r="404" spans="1:37">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f>model_eui_end_uses!G404*base_scenario_arch_measures!$F404</f>
        <v>0</v>
      </c>
      <c r="H404">
        <f>model_eui_end_uses!H404*base_scenario_arch_measures!$F404</f>
        <v>18.542529394499027</v>
      </c>
      <c r="I404">
        <f>model_eui_end_uses!I404*base_scenario_arch_measures!$F404</f>
        <v>1.1290816632496887</v>
      </c>
      <c r="J404">
        <f>model_eui_end_uses!J404*base_scenario_arch_measures!$F404</f>
        <v>0</v>
      </c>
      <c r="K404">
        <f>model_eui_end_uses!K404*base_scenario_arch_measures!$F404</f>
        <v>3.4679513273651983</v>
      </c>
      <c r="L404">
        <f>model_eui_end_uses!L404*base_scenario_arch_measures!$F404</f>
        <v>2.8842582610060643</v>
      </c>
      <c r="M404">
        <f>model_eui_end_uses!M404*base_scenario_arch_measures!$F404</f>
        <v>0.87299424581388474</v>
      </c>
      <c r="N404">
        <f>model_eui_end_uses!N404*base_scenario_arch_measures!$F404</f>
        <v>0</v>
      </c>
      <c r="O404">
        <f>model_eui_end_uses!O404*base_scenario_arch_measures!$F404</f>
        <v>2.071172950422616</v>
      </c>
      <c r="P404">
        <f>model_eui_end_uses!P404*base_scenario_arch_measures!$F404</f>
        <v>0.61721723736891221</v>
      </c>
      <c r="Q404">
        <f>model_eui_end_uses!Q404*base_scenario_arch_measures!$F404</f>
        <v>0</v>
      </c>
      <c r="R404" s="187">
        <f>model_eui_end_uses!R404*base_building_arch_areas!$N$18</f>
        <v>0</v>
      </c>
      <c r="S404" s="187">
        <f>model_eui_end_uses!S404*base_building_arch_areas!$N$18</f>
        <v>4762306.0351265986</v>
      </c>
      <c r="T404" s="187">
        <f>model_eui_end_uses!T404*base_building_arch_areas!$N$18</f>
        <v>173084.11965005135</v>
      </c>
      <c r="U404" s="187">
        <f>model_eui_end_uses!U404*base_building_arch_areas!$N$18</f>
        <v>0</v>
      </c>
      <c r="V404" s="187">
        <f>model_eui_end_uses!V404*base_building_arch_areas!$N$18</f>
        <v>802591.93943584128</v>
      </c>
      <c r="W404" s="187">
        <f>model_eui_end_uses!W404*base_building_arch_areas!$N$18</f>
        <v>667495.23645517824</v>
      </c>
      <c r="X404" s="187">
        <f>model_eui_end_uses!X404*base_building_arch_areas!$N$18</f>
        <v>202034.43932257179</v>
      </c>
      <c r="Y404" s="187">
        <f>model_eui_end_uses!Y404*base_building_arch_areas!$N$18</f>
        <v>0</v>
      </c>
      <c r="Z404" s="187">
        <f>model_eui_end_uses!Z404*base_building_arch_areas!$N$18</f>
        <v>478865.58545166528</v>
      </c>
      <c r="AA404" s="187">
        <f>model_eui_end_uses!AA404*base_building_arch_areas!$N$18</f>
        <v>147898.05990517378</v>
      </c>
      <c r="AB404" s="187">
        <f>model_eui_end_uses!AB404*base_building_arch_areas!$N$18</f>
        <v>0</v>
      </c>
      <c r="AC404" s="187">
        <f>model_eui_end_uses!AC404*base_building_arch_areas!$N$18</f>
        <v>7234275.4153470807</v>
      </c>
      <c r="AD404" s="187">
        <f>model_eui_end_uses!AD404*base_building_arch_areas!$N$18</f>
        <v>471078.45254356769</v>
      </c>
      <c r="AE404" s="187">
        <f>model_eui_end_uses!AE404*base_building_arch_areas!$N$18</f>
        <v>-83618.293182095702</v>
      </c>
      <c r="AF404" s="187">
        <f t="shared" si="71"/>
        <v>387460.159361472</v>
      </c>
      <c r="AG404" s="187">
        <f>model_eui_end_uses!AH404*base_building_arch_areas!$N$18</f>
        <v>7631.4709312057958</v>
      </c>
      <c r="AH404" s="187">
        <f>model_eui_end_uses!AI404*base_building_arch_areas!$N$18</f>
        <v>-9448.8671295768145</v>
      </c>
      <c r="AI404" s="187">
        <f t="shared" si="72"/>
        <v>-1817.3961983710187</v>
      </c>
      <c r="AJ404" s="200">
        <f>sim_annual_output!F404/sim_annual_output!H404*base_building_arch_areas!$N$18</f>
        <v>317193.16802186082</v>
      </c>
      <c r="AK404">
        <f t="shared" si="73"/>
        <v>-174.53165595161343</v>
      </c>
    </row>
    <row r="405" spans="1:37">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f>model_eui_end_uses!G405*base_scenario_arch_measures!$F405</f>
        <v>0</v>
      </c>
      <c r="H405">
        <f>model_eui_end_uses!H405*base_scenario_arch_measures!$F405</f>
        <v>16.755442751309396</v>
      </c>
      <c r="I405">
        <f>model_eui_end_uses!I405*base_scenario_arch_measures!$F405</f>
        <v>1.1089671606251696</v>
      </c>
      <c r="J405">
        <f>model_eui_end_uses!J405*base_scenario_arch_measures!$F405</f>
        <v>0</v>
      </c>
      <c r="K405">
        <f>model_eui_end_uses!K405*base_scenario_arch_measures!$F405</f>
        <v>3.4678892455087031</v>
      </c>
      <c r="L405">
        <f>model_eui_end_uses!L405*base_scenario_arch_measures!$F405</f>
        <v>2.8842582605105638</v>
      </c>
      <c r="M405">
        <f>model_eui_end_uses!M405*base_scenario_arch_measures!$F405</f>
        <v>0.87299424579920137</v>
      </c>
      <c r="N405">
        <f>model_eui_end_uses!N405*base_scenario_arch_measures!$F405</f>
        <v>0</v>
      </c>
      <c r="O405">
        <f>model_eui_end_uses!O405*base_scenario_arch_measures!$F405</f>
        <v>2.0555283372501463</v>
      </c>
      <c r="P405">
        <f>model_eui_end_uses!P405*base_scenario_arch_measures!$F405</f>
        <v>0.62690199787230383</v>
      </c>
      <c r="Q405">
        <f>model_eui_end_uses!Q405*base_scenario_arch_measures!$F405</f>
        <v>0</v>
      </c>
      <c r="R405" s="187">
        <f>model_eui_end_uses!R405*base_building_arch_areas!$N$18</f>
        <v>0</v>
      </c>
      <c r="S405" s="187">
        <f>model_eui_end_uses!S405*base_building_arch_areas!$N$18</f>
        <v>4762306.0351265986</v>
      </c>
      <c r="T405" s="187">
        <f>model_eui_end_uses!T405*base_building_arch_areas!$N$18</f>
        <v>173084.11965005135</v>
      </c>
      <c r="U405" s="187">
        <f>model_eui_end_uses!U405*base_building_arch_areas!$N$18</f>
        <v>0</v>
      </c>
      <c r="V405" s="187">
        <f>model_eui_end_uses!V405*base_building_arch_areas!$N$18</f>
        <v>802591.93943584128</v>
      </c>
      <c r="W405" s="187">
        <f>model_eui_end_uses!W405*base_building_arch_areas!$N$18</f>
        <v>667495.23645517824</v>
      </c>
      <c r="X405" s="187">
        <f>model_eui_end_uses!X405*base_building_arch_areas!$N$18</f>
        <v>202034.43932257179</v>
      </c>
      <c r="Y405" s="187">
        <f>model_eui_end_uses!Y405*base_building_arch_areas!$N$18</f>
        <v>0</v>
      </c>
      <c r="Z405" s="187">
        <f>model_eui_end_uses!Z405*base_building_arch_areas!$N$18</f>
        <v>478865.58545166528</v>
      </c>
      <c r="AA405" s="187">
        <f>model_eui_end_uses!AA405*base_building_arch_areas!$N$18</f>
        <v>147898.05990517378</v>
      </c>
      <c r="AB405" s="187">
        <f>model_eui_end_uses!AB405*base_building_arch_areas!$N$18</f>
        <v>0</v>
      </c>
      <c r="AC405" s="187">
        <f>model_eui_end_uses!AC405*base_building_arch_areas!$N$18</f>
        <v>7234275.4153470807</v>
      </c>
      <c r="AD405" s="187">
        <f>model_eui_end_uses!AD405*base_building_arch_areas!$N$18</f>
        <v>884672.92053481762</v>
      </c>
      <c r="AE405" s="187">
        <f>model_eui_end_uses!AE405*base_building_arch_areas!$N$18</f>
        <v>-77583.983241494279</v>
      </c>
      <c r="AF405" s="187">
        <f t="shared" si="71"/>
        <v>807088.93729332334</v>
      </c>
      <c r="AG405" s="187">
        <f>model_eui_end_uses!AH405*base_building_arch_areas!$N$18</f>
        <v>14331.701312664045</v>
      </c>
      <c r="AH405" s="187">
        <f>model_eui_end_uses!AI405*base_building_arch_areas!$N$18</f>
        <v>-8766.9901062888548</v>
      </c>
      <c r="AI405" s="187">
        <f t="shared" si="72"/>
        <v>5564.7112063751902</v>
      </c>
      <c r="AJ405" s="200">
        <f>sim_annual_output!F405/sim_annual_output!H405*base_building_arch_areas!$N$18</f>
        <v>476282.39180662943</v>
      </c>
      <c r="AK405">
        <f t="shared" si="73"/>
        <v>85.589777104870834</v>
      </c>
    </row>
    <row r="406" spans="1:37">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f>model_eui_end_uses!G406*base_scenario_arch_measures!$F406</f>
        <v>0</v>
      </c>
      <c r="H406">
        <f>model_eui_end_uses!H406*base_scenario_arch_measures!$F406</f>
        <v>21.405555680532231</v>
      </c>
      <c r="I406">
        <f>model_eui_end_uses!I406*base_scenario_arch_measures!$F406</f>
        <v>0.85188643443735801</v>
      </c>
      <c r="J406">
        <f>model_eui_end_uses!J406*base_scenario_arch_measures!$F406</f>
        <v>0</v>
      </c>
      <c r="K406">
        <f>model_eui_end_uses!K406*base_scenario_arch_measures!$F406</f>
        <v>3.4680134091633645</v>
      </c>
      <c r="L406">
        <f>model_eui_end_uses!L406*base_scenario_arch_measures!$F406</f>
        <v>2.0190242399629614</v>
      </c>
      <c r="M406">
        <f>model_eui_end_uses!M406*base_scenario_arch_measures!$F406</f>
        <v>0.87299424581388474</v>
      </c>
      <c r="N406">
        <f>model_eui_end_uses!N406*base_scenario_arch_measures!$F406</f>
        <v>0</v>
      </c>
      <c r="O406">
        <f>model_eui_end_uses!O406*base_scenario_arch_measures!$F406</f>
        <v>2.088369608514669</v>
      </c>
      <c r="P406">
        <f>model_eui_end_uses!P406*base_scenario_arch_measures!$F406</f>
        <v>0.65483880705766295</v>
      </c>
      <c r="Q406">
        <f>model_eui_end_uses!Q406*base_scenario_arch_measures!$F406</f>
        <v>0</v>
      </c>
      <c r="R406" s="187">
        <f>model_eui_end_uses!R406*base_building_arch_areas!$N$18</f>
        <v>0</v>
      </c>
      <c r="S406" s="187">
        <f>model_eui_end_uses!S406*base_building_arch_areas!$N$18</f>
        <v>4762306.0351265986</v>
      </c>
      <c r="T406" s="187">
        <f>model_eui_end_uses!T406*base_building_arch_areas!$N$18</f>
        <v>173084.11965005135</v>
      </c>
      <c r="U406" s="187">
        <f>model_eui_end_uses!U406*base_building_arch_areas!$N$18</f>
        <v>0</v>
      </c>
      <c r="V406" s="187">
        <f>model_eui_end_uses!V406*base_building_arch_areas!$N$18</f>
        <v>802591.93943584128</v>
      </c>
      <c r="W406" s="187">
        <f>model_eui_end_uses!W406*base_building_arch_areas!$N$18</f>
        <v>667495.23645517824</v>
      </c>
      <c r="X406" s="187">
        <f>model_eui_end_uses!X406*base_building_arch_areas!$N$18</f>
        <v>202034.43932257179</v>
      </c>
      <c r="Y406" s="187">
        <f>model_eui_end_uses!Y406*base_building_arch_areas!$N$18</f>
        <v>0</v>
      </c>
      <c r="Z406" s="187">
        <f>model_eui_end_uses!Z406*base_building_arch_areas!$N$18</f>
        <v>478865.58545166528</v>
      </c>
      <c r="AA406" s="187">
        <f>model_eui_end_uses!AA406*base_building_arch_areas!$N$18</f>
        <v>147898.05990517378</v>
      </c>
      <c r="AB406" s="187">
        <f>model_eui_end_uses!AB406*base_building_arch_areas!$N$18</f>
        <v>0</v>
      </c>
      <c r="AC406" s="187">
        <f>model_eui_end_uses!AC406*base_building_arch_areas!$N$18</f>
        <v>7234275.4153470807</v>
      </c>
      <c r="AD406" s="187">
        <f>model_eui_end_uses!AD406*base_building_arch_areas!$N$18</f>
        <v>-191517.49915854243</v>
      </c>
      <c r="AE406" s="187">
        <f>model_eui_end_uses!AE406*base_building_arch_areas!$N$18</f>
        <v>168084.26282356953</v>
      </c>
      <c r="AF406" s="187">
        <f t="shared" si="71"/>
        <v>-23433.236334972898</v>
      </c>
      <c r="AG406" s="187">
        <f>model_eui_end_uses!AH406*base_building_arch_areas!$N$18</f>
        <v>-3102.5834863683872</v>
      </c>
      <c r="AH406" s="187">
        <f>model_eui_end_uses!AI406*base_building_arch_areas!$N$18</f>
        <v>18993.521699063356</v>
      </c>
      <c r="AI406" s="187">
        <f t="shared" si="72"/>
        <v>15890.938212694969</v>
      </c>
      <c r="AJ406" s="200">
        <f>sim_annual_output!F406/sim_annual_output!H406*base_building_arch_areas!$N$18</f>
        <v>528704.05625166628</v>
      </c>
      <c r="AK406">
        <f t="shared" si="73"/>
        <v>33.270789249516724</v>
      </c>
    </row>
    <row r="407" spans="1:37">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f>model_eui_end_uses!G407*base_scenario_arch_measures!$F407</f>
        <v>0</v>
      </c>
      <c r="H407">
        <f>model_eui_end_uses!H407*base_scenario_arch_measures!$F407</f>
        <v>11.245993573137721</v>
      </c>
      <c r="I407">
        <f>model_eui_end_uses!I407*base_scenario_arch_measures!$F407</f>
        <v>1.1089671606251696</v>
      </c>
      <c r="J407">
        <f>model_eui_end_uses!J407*base_scenario_arch_measures!$F407</f>
        <v>0</v>
      </c>
      <c r="K407">
        <f>model_eui_end_uses!K407*base_scenario_arch_measures!$F407</f>
        <v>3.4678892455087031</v>
      </c>
      <c r="L407">
        <f>model_eui_end_uses!L407*base_scenario_arch_measures!$F407</f>
        <v>2.8842582605105638</v>
      </c>
      <c r="M407">
        <f>model_eui_end_uses!M407*base_scenario_arch_measures!$F407</f>
        <v>0.87299424579920137</v>
      </c>
      <c r="N407">
        <f>model_eui_end_uses!N407*base_scenario_arch_measures!$F407</f>
        <v>0</v>
      </c>
      <c r="O407">
        <f>model_eui_end_uses!O407*base_scenario_arch_measures!$F407</f>
        <v>2.0555283372501463</v>
      </c>
      <c r="P407">
        <f>model_eui_end_uses!P407*base_scenario_arch_measures!$F407</f>
        <v>0.56612391746856183</v>
      </c>
      <c r="Q407">
        <f>model_eui_end_uses!Q407*base_scenario_arch_measures!$F407</f>
        <v>0</v>
      </c>
      <c r="R407" s="187">
        <f>model_eui_end_uses!R407*base_building_arch_areas!$N$18</f>
        <v>0</v>
      </c>
      <c r="S407" s="187">
        <f>model_eui_end_uses!S407*base_building_arch_areas!$N$18</f>
        <v>4762306.0351265986</v>
      </c>
      <c r="T407" s="187">
        <f>model_eui_end_uses!T407*base_building_arch_areas!$N$18</f>
        <v>173084.11965005135</v>
      </c>
      <c r="U407" s="187">
        <f>model_eui_end_uses!U407*base_building_arch_areas!$N$18</f>
        <v>0</v>
      </c>
      <c r="V407" s="187">
        <f>model_eui_end_uses!V407*base_building_arch_areas!$N$18</f>
        <v>802591.93943584128</v>
      </c>
      <c r="W407" s="187">
        <f>model_eui_end_uses!W407*base_building_arch_areas!$N$18</f>
        <v>667495.23645517824</v>
      </c>
      <c r="X407" s="187">
        <f>model_eui_end_uses!X407*base_building_arch_areas!$N$18</f>
        <v>202034.43932257179</v>
      </c>
      <c r="Y407" s="187">
        <f>model_eui_end_uses!Y407*base_building_arch_areas!$N$18</f>
        <v>0</v>
      </c>
      <c r="Z407" s="187">
        <f>model_eui_end_uses!Z407*base_building_arch_areas!$N$18</f>
        <v>478865.58545166528</v>
      </c>
      <c r="AA407" s="187">
        <f>model_eui_end_uses!AA407*base_building_arch_areas!$N$18</f>
        <v>147898.05990517378</v>
      </c>
      <c r="AB407" s="187">
        <f>model_eui_end_uses!AB407*base_building_arch_areas!$N$18</f>
        <v>0</v>
      </c>
      <c r="AC407" s="187">
        <f>model_eui_end_uses!AC407*base_building_arch_areas!$N$18</f>
        <v>7234275.4153470807</v>
      </c>
      <c r="AD407" s="187">
        <f>model_eui_end_uses!AD407*base_building_arch_areas!$N$18</f>
        <v>2159708.2154915538</v>
      </c>
      <c r="AE407" s="187">
        <f>model_eui_end_uses!AE407*base_building_arch_areas!$N$18</f>
        <v>-63518.294427897425</v>
      </c>
      <c r="AF407" s="187">
        <f t="shared" si="71"/>
        <v>2096189.9210636565</v>
      </c>
      <c r="AG407" s="187">
        <f>model_eui_end_uses!AH407*base_building_arch_areas!$N$18</f>
        <v>34987.273090963172</v>
      </c>
      <c r="AH407" s="187">
        <f>model_eui_end_uses!AI407*base_building_arch_areas!$N$18</f>
        <v>-7177.5672703524087</v>
      </c>
      <c r="AI407" s="187">
        <f t="shared" si="72"/>
        <v>27809.705820610761</v>
      </c>
      <c r="AJ407" s="200">
        <f>sim_annual_output!F407/sim_annual_output!H407*base_building_arch_areas!$N$18</f>
        <v>482365.53876743984</v>
      </c>
      <c r="AK407">
        <f t="shared" si="73"/>
        <v>17.345222631227607</v>
      </c>
    </row>
    <row r="408" spans="1:37">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f>model_eui_end_uses!G408*base_scenario_arch_measures!$F408</f>
        <v>0</v>
      </c>
      <c r="H408">
        <f>model_eui_end_uses!H408*base_scenario_arch_measures!$F408</f>
        <v>19.923166503918385</v>
      </c>
      <c r="I408">
        <f>model_eui_end_uses!I408*base_scenario_arch_measures!$F408</f>
        <v>1.1164169764237726</v>
      </c>
      <c r="J408">
        <f>model_eui_end_uses!J408*base_scenario_arch_measures!$F408</f>
        <v>0</v>
      </c>
      <c r="K408">
        <f>model_eui_end_uses!K408*base_scenario_arch_measures!$F408</f>
        <v>3.4678892455670316</v>
      </c>
      <c r="L408">
        <f>model_eui_end_uses!L408*base_scenario_arch_measures!$F408</f>
        <v>2.8842582610060643</v>
      </c>
      <c r="M408">
        <f>model_eui_end_uses!M408*base_scenario_arch_measures!$F408</f>
        <v>0.87299424581388474</v>
      </c>
      <c r="N408">
        <f>model_eui_end_uses!N408*base_scenario_arch_measures!$F408</f>
        <v>0</v>
      </c>
      <c r="O408">
        <f>model_eui_end_uses!O408*base_scenario_arch_measures!$F408</f>
        <v>2.1164926630839824</v>
      </c>
      <c r="P408">
        <f>model_eui_end_uses!P408*base_scenario_arch_measures!$F408</f>
        <v>0.70580796335215867</v>
      </c>
      <c r="Q408">
        <f>model_eui_end_uses!Q408*base_scenario_arch_measures!$F408</f>
        <v>0</v>
      </c>
      <c r="R408" s="187">
        <f>model_eui_end_uses!R408*base_building_arch_areas!$N$18</f>
        <v>0</v>
      </c>
      <c r="S408" s="187">
        <f>model_eui_end_uses!S408*base_building_arch_areas!$N$18</f>
        <v>4762306.0351265986</v>
      </c>
      <c r="T408" s="187">
        <f>model_eui_end_uses!T408*base_building_arch_areas!$N$18</f>
        <v>173084.11965005135</v>
      </c>
      <c r="U408" s="187">
        <f>model_eui_end_uses!U408*base_building_arch_areas!$N$18</f>
        <v>0</v>
      </c>
      <c r="V408" s="187">
        <f>model_eui_end_uses!V408*base_building_arch_areas!$N$18</f>
        <v>802591.93943584128</v>
      </c>
      <c r="W408" s="187">
        <f>model_eui_end_uses!W408*base_building_arch_areas!$N$18</f>
        <v>667495.23645517824</v>
      </c>
      <c r="X408" s="187">
        <f>model_eui_end_uses!X408*base_building_arch_areas!$N$18</f>
        <v>202034.43932257179</v>
      </c>
      <c r="Y408" s="187">
        <f>model_eui_end_uses!Y408*base_building_arch_areas!$N$18</f>
        <v>0</v>
      </c>
      <c r="Z408" s="187">
        <f>model_eui_end_uses!Z408*base_building_arch_areas!$N$18</f>
        <v>478865.58545166528</v>
      </c>
      <c r="AA408" s="187">
        <f>model_eui_end_uses!AA408*base_building_arch_areas!$N$18</f>
        <v>147898.05990517378</v>
      </c>
      <c r="AB408" s="187">
        <f>model_eui_end_uses!AB408*base_building_arch_areas!$N$18</f>
        <v>0</v>
      </c>
      <c r="AC408" s="187">
        <f>model_eui_end_uses!AC408*base_building_arch_areas!$N$18</f>
        <v>7234275.4153470807</v>
      </c>
      <c r="AD408" s="187">
        <f>model_eui_end_uses!AD408*base_building_arch_areas!$N$18</f>
        <v>151576.11562627819</v>
      </c>
      <c r="AE408" s="187">
        <f>model_eui_end_uses!AE408*base_building_arch_areas!$N$18</f>
        <v>-111677.83378824154</v>
      </c>
      <c r="AF408" s="187">
        <f t="shared" si="71"/>
        <v>39898.281838036652</v>
      </c>
      <c r="AG408" s="187">
        <f>model_eui_end_uses!AH408*base_building_arch_areas!$N$18</f>
        <v>2455.5330731457066</v>
      </c>
      <c r="AH408" s="187">
        <f>model_eui_end_uses!AI408*base_building_arch_areas!$N$18</f>
        <v>-12619.595218071294</v>
      </c>
      <c r="AI408" s="187">
        <f t="shared" si="72"/>
        <v>-10164.062144925587</v>
      </c>
      <c r="AJ408" s="200">
        <f>sim_annual_output!F408/sim_annual_output!H408*base_building_arch_areas!$N$18</f>
        <v>159089.22378476849</v>
      </c>
      <c r="AK408">
        <f t="shared" si="73"/>
        <v>-15.652130173583586</v>
      </c>
    </row>
    <row r="409" spans="1:37">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f>model_eui_end_uses!G409*base_scenario_arch_measures!$F409</f>
        <v>0</v>
      </c>
      <c r="H409">
        <f>model_eui_end_uses!H409*base_scenario_arch_measures!$F409</f>
        <v>5.1181476052303276</v>
      </c>
      <c r="I409">
        <f>model_eui_end_uses!I409*base_scenario_arch_measures!$F409</f>
        <v>0.16221973860569716</v>
      </c>
      <c r="J409">
        <f>model_eui_end_uses!J409*base_scenario_arch_measures!$F409</f>
        <v>0</v>
      </c>
      <c r="K409">
        <f>model_eui_end_uses!K409*base_scenario_arch_measures!$F409</f>
        <v>3.4678892455087031</v>
      </c>
      <c r="L409">
        <f>model_eui_end_uses!L409*base_scenario_arch_measures!$F409</f>
        <v>2.0190242399290024</v>
      </c>
      <c r="M409">
        <f>model_eui_end_uses!M409*base_scenario_arch_measures!$F409</f>
        <v>0.87299424579920137</v>
      </c>
      <c r="N409">
        <f>model_eui_end_uses!N409*base_scenario_arch_measures!$F409</f>
        <v>0</v>
      </c>
      <c r="O409">
        <f>model_eui_end_uses!O409*base_scenario_arch_measures!$F409</f>
        <v>0.79396411673488743</v>
      </c>
      <c r="P409">
        <f>model_eui_end_uses!P409*base_scenario_arch_measures!$F409</f>
        <v>1.1609296256894512E-2</v>
      </c>
      <c r="Q409">
        <f>model_eui_end_uses!Q409*base_scenario_arch_measures!$F409</f>
        <v>0</v>
      </c>
      <c r="R409" s="187">
        <f>model_eui_end_uses!R409*base_building_arch_areas!$N$18</f>
        <v>0</v>
      </c>
      <c r="S409" s="187">
        <f>model_eui_end_uses!S409*base_building_arch_areas!$N$18</f>
        <v>4762306.0351265986</v>
      </c>
      <c r="T409" s="187">
        <f>model_eui_end_uses!T409*base_building_arch_areas!$N$18</f>
        <v>173084.11965005135</v>
      </c>
      <c r="U409" s="187">
        <f>model_eui_end_uses!U409*base_building_arch_areas!$N$18</f>
        <v>0</v>
      </c>
      <c r="V409" s="187">
        <f>model_eui_end_uses!V409*base_building_arch_areas!$N$18</f>
        <v>802591.93943584128</v>
      </c>
      <c r="W409" s="187">
        <f>model_eui_end_uses!W409*base_building_arch_areas!$N$18</f>
        <v>667495.23645517824</v>
      </c>
      <c r="X409" s="187">
        <f>model_eui_end_uses!X409*base_building_arch_areas!$N$18</f>
        <v>202034.43932257179</v>
      </c>
      <c r="Y409" s="187">
        <f>model_eui_end_uses!Y409*base_building_arch_areas!$N$18</f>
        <v>0</v>
      </c>
      <c r="Z409" s="187">
        <f>model_eui_end_uses!Z409*base_building_arch_areas!$N$18</f>
        <v>478865.58545166528</v>
      </c>
      <c r="AA409" s="187">
        <f>model_eui_end_uses!AA409*base_building_arch_areas!$N$18</f>
        <v>147898.05990517378</v>
      </c>
      <c r="AB409" s="187">
        <f>model_eui_end_uses!AB409*base_building_arch_areas!$N$18</f>
        <v>0</v>
      </c>
      <c r="AC409" s="187">
        <f>model_eui_end_uses!AC409*base_building_arch_areas!$N$18</f>
        <v>7234275.4153470807</v>
      </c>
      <c r="AD409" s="187">
        <f>model_eui_end_uses!AD409*base_building_arch_areas!$N$18</f>
        <v>3577857.2243064581</v>
      </c>
      <c r="AE409" s="187">
        <f>model_eui_end_uses!AE409*base_building_arch_areas!$N$18</f>
        <v>776112.81299326941</v>
      </c>
      <c r="AF409" s="187">
        <f t="shared" si="71"/>
        <v>4353970.037299728</v>
      </c>
      <c r="AG409" s="187">
        <f>model_eui_end_uses!AH409*base_building_arch_areas!$N$18</f>
        <v>57961.287033764616</v>
      </c>
      <c r="AH409" s="187">
        <f>model_eui_end_uses!AI409*base_building_arch_areas!$N$18</f>
        <v>87700.747868239443</v>
      </c>
      <c r="AI409" s="187">
        <f t="shared" si="72"/>
        <v>145662.03490200406</v>
      </c>
      <c r="AJ409" s="200">
        <f>sim_annual_output!F409/sim_annual_output!H409*base_building_arch_areas!$N$18</f>
        <v>1767963.7790811341</v>
      </c>
      <c r="AK409">
        <f t="shared" si="73"/>
        <v>12.137437049197848</v>
      </c>
    </row>
    <row r="410" spans="1:37">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f>model_eui_end_uses!G410*base_scenario_arch_measures!$F410</f>
        <v>0</v>
      </c>
      <c r="H410">
        <f>model_eui_end_uses!H410*base_scenario_arch_measures!$F410</f>
        <v>22.043942811075834</v>
      </c>
      <c r="I410">
        <f>model_eui_end_uses!I410*base_scenario_arch_measures!$F410</f>
        <v>1.1246117737817183</v>
      </c>
      <c r="J410">
        <f>model_eui_end_uses!J410*base_scenario_arch_measures!$F410</f>
        <v>0</v>
      </c>
      <c r="K410">
        <f>model_eui_end_uses!K410*base_scenario_arch_measures!$F410</f>
        <v>3.4680134091633645</v>
      </c>
      <c r="L410">
        <f>model_eui_end_uses!L410*base_scenario_arch_measures!$F410</f>
        <v>2.8842582610060643</v>
      </c>
      <c r="M410">
        <f>model_eui_end_uses!M410*base_scenario_arch_measures!$F410</f>
        <v>0.87299424581388474</v>
      </c>
      <c r="N410">
        <f>model_eui_end_uses!N410*base_scenario_arch_measures!$F410</f>
        <v>0</v>
      </c>
      <c r="O410">
        <f>model_eui_end_uses!O410*base_scenario_arch_measures!$F410</f>
        <v>2.1010342953405852</v>
      </c>
      <c r="P410">
        <f>model_eui_end_uses!P410*base_scenario_arch_measures!$F410</f>
        <v>0.67787115417734389</v>
      </c>
      <c r="Q410">
        <f>model_eui_end_uses!Q410*base_scenario_arch_measures!$F410</f>
        <v>0</v>
      </c>
      <c r="R410" s="187">
        <f>model_eui_end_uses!R410*base_building_arch_areas!$N$18</f>
        <v>0</v>
      </c>
      <c r="S410" s="187">
        <f>model_eui_end_uses!S410*base_building_arch_areas!$N$18</f>
        <v>4762306.0351265986</v>
      </c>
      <c r="T410" s="187">
        <f>model_eui_end_uses!T410*base_building_arch_areas!$N$18</f>
        <v>173084.11965005135</v>
      </c>
      <c r="U410" s="187">
        <f>model_eui_end_uses!U410*base_building_arch_areas!$N$18</f>
        <v>0</v>
      </c>
      <c r="V410" s="187">
        <f>model_eui_end_uses!V410*base_building_arch_areas!$N$18</f>
        <v>802591.93943584128</v>
      </c>
      <c r="W410" s="187">
        <f>model_eui_end_uses!W410*base_building_arch_areas!$N$18</f>
        <v>667495.23645517824</v>
      </c>
      <c r="X410" s="187">
        <f>model_eui_end_uses!X410*base_building_arch_areas!$N$18</f>
        <v>202034.43932257179</v>
      </c>
      <c r="Y410" s="187">
        <f>model_eui_end_uses!Y410*base_building_arch_areas!$N$18</f>
        <v>0</v>
      </c>
      <c r="Z410" s="187">
        <f>model_eui_end_uses!Z410*base_building_arch_areas!$N$18</f>
        <v>478865.58545166528</v>
      </c>
      <c r="AA410" s="187">
        <f>model_eui_end_uses!AA410*base_building_arch_areas!$N$18</f>
        <v>147898.05990517378</v>
      </c>
      <c r="AB410" s="187">
        <f>model_eui_end_uses!AB410*base_building_arch_areas!$N$18</f>
        <v>0</v>
      </c>
      <c r="AC410" s="187">
        <f>model_eui_end_uses!AC410*base_building_arch_areas!$N$18</f>
        <v>7234275.4153470807</v>
      </c>
      <c r="AD410" s="187">
        <f>model_eui_end_uses!AD410*base_building_arch_areas!$N$18</f>
        <v>-339257.51761885796</v>
      </c>
      <c r="AE410" s="187">
        <f>model_eui_end_uses!AE410*base_building_arch_areas!$N$18</f>
        <v>-103531.51554774772</v>
      </c>
      <c r="AF410" s="187">
        <f t="shared" si="71"/>
        <v>-442789.03316660569</v>
      </c>
      <c r="AG410" s="187">
        <f>model_eui_end_uses!AH410*base_building_arch_areas!$N$18</f>
        <v>-5495.9717854254986</v>
      </c>
      <c r="AH410" s="187">
        <f>model_eui_end_uses!AI410*base_building_arch_areas!$N$18</f>
        <v>-11699.061256895493</v>
      </c>
      <c r="AI410" s="187">
        <f t="shared" si="72"/>
        <v>-17195.033042320993</v>
      </c>
      <c r="AJ410" s="200">
        <f>sim_annual_output!F410/sim_annual_output!H410*base_building_arch_areas!$N$18</f>
        <v>91984.15082644629</v>
      </c>
      <c r="AK410">
        <f t="shared" si="73"/>
        <v>-5.3494605448010368</v>
      </c>
    </row>
    <row r="411" spans="1:37">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f>model_eui_end_uses!G411*base_scenario_arch_measures!$F411</f>
        <v>0</v>
      </c>
      <c r="H411">
        <f>model_eui_end_uses!H411*base_scenario_arch_measures!$F411</f>
        <v>22.609259665177756</v>
      </c>
      <c r="I411">
        <f>model_eui_end_uses!I411*base_scenario_arch_measures!$F411</f>
        <v>1.1329928165341629</v>
      </c>
      <c r="J411">
        <f>model_eui_end_uses!J411*base_scenario_arch_measures!$F411</f>
        <v>0</v>
      </c>
      <c r="K411">
        <f>model_eui_end_uses!K411*base_scenario_arch_measures!$F411</f>
        <v>3.4680134091633645</v>
      </c>
      <c r="L411">
        <f>model_eui_end_uses!L411*base_scenario_arch_measures!$F411</f>
        <v>2.8842582610060643</v>
      </c>
      <c r="M411">
        <f>model_eui_end_uses!M411*base_scenario_arch_measures!$F411</f>
        <v>0.87299424581388474</v>
      </c>
      <c r="N411">
        <f>model_eui_end_uses!N411*base_scenario_arch_measures!$F411</f>
        <v>0</v>
      </c>
      <c r="O411">
        <f>model_eui_end_uses!O411*base_scenario_arch_measures!$F411</f>
        <v>2.1015930315240809</v>
      </c>
      <c r="P411">
        <f>model_eui_end_uses!P411*base_scenario_arch_measures!$F411</f>
        <v>0.13211006649779172</v>
      </c>
      <c r="Q411">
        <f>model_eui_end_uses!Q411*base_scenario_arch_measures!$F411</f>
        <v>0</v>
      </c>
      <c r="R411" s="187">
        <f>model_eui_end_uses!R411*base_building_arch_areas!$N$18</f>
        <v>0</v>
      </c>
      <c r="S411" s="187">
        <f>model_eui_end_uses!S411*base_building_arch_areas!$N$18</f>
        <v>4762306.0351265986</v>
      </c>
      <c r="T411" s="187">
        <f>model_eui_end_uses!T411*base_building_arch_areas!$N$18</f>
        <v>173084.11965005135</v>
      </c>
      <c r="U411" s="187">
        <f>model_eui_end_uses!U411*base_building_arch_areas!$N$18</f>
        <v>0</v>
      </c>
      <c r="V411" s="187">
        <f>model_eui_end_uses!V411*base_building_arch_areas!$N$18</f>
        <v>802591.93943584128</v>
      </c>
      <c r="W411" s="187">
        <f>model_eui_end_uses!W411*base_building_arch_areas!$N$18</f>
        <v>667495.23645517824</v>
      </c>
      <c r="X411" s="187">
        <f>model_eui_end_uses!X411*base_building_arch_areas!$N$18</f>
        <v>202034.43932257179</v>
      </c>
      <c r="Y411" s="187">
        <f>model_eui_end_uses!Y411*base_building_arch_areas!$N$18</f>
        <v>0</v>
      </c>
      <c r="Z411" s="187">
        <f>model_eui_end_uses!Z411*base_building_arch_areas!$N$18</f>
        <v>478865.58545166528</v>
      </c>
      <c r="AA411" s="187">
        <f>model_eui_end_uses!AA411*base_building_arch_areas!$N$18</f>
        <v>147898.05990517378</v>
      </c>
      <c r="AB411" s="187">
        <f>model_eui_end_uses!AB411*base_building_arch_areas!$N$18</f>
        <v>0</v>
      </c>
      <c r="AC411" s="187">
        <f>model_eui_end_uses!AC411*base_building_arch_areas!$N$18</f>
        <v>7234275.4153470807</v>
      </c>
      <c r="AD411" s="187">
        <f>model_eui_end_uses!AD411*base_building_arch_areas!$N$18</f>
        <v>-470087.10121310351</v>
      </c>
      <c r="AE411" s="187">
        <f>model_eui_end_uses!AE411*base_building_arch_areas!$N$18</f>
        <v>20703.429470860508</v>
      </c>
      <c r="AF411" s="187">
        <f t="shared" si="71"/>
        <v>-449383.67174224299</v>
      </c>
      <c r="AG411" s="187">
        <f>model_eui_end_uses!AH411*base_building_arch_areas!$N$18</f>
        <v>-7615.4110396522756</v>
      </c>
      <c r="AH411" s="187">
        <f>model_eui_end_uses!AI411*base_building_arch_areas!$N$18</f>
        <v>2339.4875302072378</v>
      </c>
      <c r="AI411" s="187">
        <f t="shared" si="72"/>
        <v>-5275.9235094450378</v>
      </c>
      <c r="AJ411" s="200">
        <f>sim_annual_output!F411/sim_annual_output!H411*base_building_arch_areas!$N$18</f>
        <v>22425.536034835157</v>
      </c>
      <c r="AK411">
        <f t="shared" si="73"/>
        <v>-4.2505422974174332</v>
      </c>
    </row>
    <row r="412" spans="1:37">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f>model_eui_end_uses!G412*base_scenario_arch_measures!$F412</f>
        <v>0</v>
      </c>
      <c r="H412">
        <f>model_eui_end_uses!H412*base_scenario_arch_measures!$F412</f>
        <v>22.066664749204687</v>
      </c>
      <c r="I412">
        <f>model_eui_end_uses!I412*base_scenario_arch_measures!$F412</f>
        <v>1.1329928165341629</v>
      </c>
      <c r="J412">
        <f>model_eui_end_uses!J412*base_scenario_arch_measures!$F412</f>
        <v>0</v>
      </c>
      <c r="K412">
        <f>model_eui_end_uses!K412*base_scenario_arch_measures!$F412</f>
        <v>3.4680134091633645</v>
      </c>
      <c r="L412">
        <f>model_eui_end_uses!L412*base_scenario_arch_measures!$F412</f>
        <v>2.8842582610060643</v>
      </c>
      <c r="M412">
        <f>model_eui_end_uses!M412*base_scenario_arch_measures!$F412</f>
        <v>0.87299424581388474</v>
      </c>
      <c r="N412">
        <f>model_eui_end_uses!N412*base_scenario_arch_measures!$F412</f>
        <v>0</v>
      </c>
      <c r="O412">
        <f>model_eui_end_uses!O412*base_scenario_arch_measures!$F412</f>
        <v>2.1015930315240809</v>
      </c>
      <c r="P412">
        <f>model_eui_end_uses!P412*base_scenario_arch_measures!$F412</f>
        <v>0.53048896533065326</v>
      </c>
      <c r="Q412">
        <f>model_eui_end_uses!Q412*base_scenario_arch_measures!$F412</f>
        <v>0</v>
      </c>
      <c r="R412" s="187">
        <f>model_eui_end_uses!R412*base_building_arch_areas!$N$18</f>
        <v>0</v>
      </c>
      <c r="S412" s="187">
        <f>model_eui_end_uses!S412*base_building_arch_areas!$N$18</f>
        <v>4762306.0351265986</v>
      </c>
      <c r="T412" s="187">
        <f>model_eui_end_uses!T412*base_building_arch_areas!$N$18</f>
        <v>173084.11965005135</v>
      </c>
      <c r="U412" s="187">
        <f>model_eui_end_uses!U412*base_building_arch_areas!$N$18</f>
        <v>0</v>
      </c>
      <c r="V412" s="187">
        <f>model_eui_end_uses!V412*base_building_arch_areas!$N$18</f>
        <v>802591.93943584128</v>
      </c>
      <c r="W412" s="187">
        <f>model_eui_end_uses!W412*base_building_arch_areas!$N$18</f>
        <v>667495.23645517824</v>
      </c>
      <c r="X412" s="187">
        <f>model_eui_end_uses!X412*base_building_arch_areas!$N$18</f>
        <v>202034.43932257179</v>
      </c>
      <c r="Y412" s="187">
        <f>model_eui_end_uses!Y412*base_building_arch_areas!$N$18</f>
        <v>0</v>
      </c>
      <c r="Z412" s="187">
        <f>model_eui_end_uses!Z412*base_building_arch_areas!$N$18</f>
        <v>478865.58545166528</v>
      </c>
      <c r="AA412" s="187">
        <f>model_eui_end_uses!AA412*base_building_arch_areas!$N$18</f>
        <v>147898.05990517378</v>
      </c>
      <c r="AB412" s="187">
        <f>model_eui_end_uses!AB412*base_building_arch_areas!$N$18</f>
        <v>0</v>
      </c>
      <c r="AC412" s="187">
        <f>model_eui_end_uses!AC412*base_building_arch_areas!$N$18</f>
        <v>7234275.4153470807</v>
      </c>
      <c r="AD412" s="187">
        <f>model_eui_end_uses!AD412*base_building_arch_areas!$N$18</f>
        <v>-344515.98759420344</v>
      </c>
      <c r="AE412" s="187">
        <f>model_eui_end_uses!AE412*base_building_arch_areas!$N$18</f>
        <v>-71492.203949332252</v>
      </c>
      <c r="AF412" s="187">
        <f t="shared" si="71"/>
        <v>-416008.19154353568</v>
      </c>
      <c r="AG412" s="187">
        <f>model_eui_end_uses!AH412*base_building_arch_areas!$N$18</f>
        <v>-5581.1589990260954</v>
      </c>
      <c r="AH412" s="187">
        <f>model_eui_end_uses!AI412*base_building_arch_areas!$N$18</f>
        <v>-8078.6190462745444</v>
      </c>
      <c r="AI412" s="187">
        <f t="shared" si="72"/>
        <v>-13659.77804530064</v>
      </c>
      <c r="AJ412" s="200">
        <f>sim_annual_output!F412/sim_annual_output!H412*base_building_arch_areas!$N$18</f>
        <v>52605.966520039103</v>
      </c>
      <c r="AK412">
        <f t="shared" si="73"/>
        <v>-3.8511582212814273</v>
      </c>
    </row>
    <row r="413" spans="1:37">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f>model_eui_end_uses!G413*base_scenario_arch_measures!$F413</f>
        <v>0.59492069049418117</v>
      </c>
      <c r="H413">
        <f>model_eui_end_uses!H413*base_scenario_arch_measures!$F413</f>
        <v>28.461310758531599</v>
      </c>
      <c r="I413">
        <f>model_eui_end_uses!I413*base_scenario_arch_measures!$F413</f>
        <v>0.10667865505303495</v>
      </c>
      <c r="J413">
        <f>model_eui_end_uses!J413*base_scenario_arch_measures!$F413</f>
        <v>0</v>
      </c>
      <c r="K413">
        <f>model_eui_end_uses!K413*base_scenario_arch_measures!$F413</f>
        <v>1.600209956753031</v>
      </c>
      <c r="L413">
        <f>model_eui_end_uses!L413*base_scenario_arch_measures!$F413</f>
        <v>3.6431190066755907</v>
      </c>
      <c r="M413">
        <f>model_eui_end_uses!M413*base_scenario_arch_measures!$F413</f>
        <v>0.45203968999665495</v>
      </c>
      <c r="N413">
        <f>model_eui_end_uses!N413*base_scenario_arch_measures!$F413</f>
        <v>0.34781670798042902</v>
      </c>
      <c r="O413">
        <f>model_eui_end_uses!O413*base_scenario_arch_measures!$F413</f>
        <v>1.1393418962068664</v>
      </c>
      <c r="P413">
        <f>model_eui_end_uses!P413*base_scenario_arch_measures!$F413</f>
        <v>0.28678645355028576</v>
      </c>
      <c r="Q413">
        <f>model_eui_end_uses!Q413*base_scenario_arch_measures!$F413</f>
        <v>0</v>
      </c>
      <c r="R413" s="187">
        <f>model_eui_end_uses!R413*base_building_arch_areas!$N$15</f>
        <v>194469.77632533939</v>
      </c>
      <c r="S413" s="187">
        <f>model_eui_end_uses!S413*base_building_arch_areas!$N$15</f>
        <v>5577524.4190746117</v>
      </c>
      <c r="T413" s="187">
        <f>model_eui_end_uses!T413*base_building_arch_areas!$N$15</f>
        <v>21306.359308032865</v>
      </c>
      <c r="U413" s="187">
        <f>model_eui_end_uses!U413*base_building_arch_areas!$N$15</f>
        <v>0</v>
      </c>
      <c r="V413" s="187">
        <f>model_eui_end_uses!V413*base_building_arch_areas!$N$15</f>
        <v>370359.68212989549</v>
      </c>
      <c r="W413" s="187">
        <f>model_eui_end_uses!W413*base_building_arch_areas!$N$15</f>
        <v>843116.10235791188</v>
      </c>
      <c r="X413" s="187">
        <f>model_eui_end_uses!X413*base_building_arch_areas!$N$15</f>
        <v>104614.18933685585</v>
      </c>
      <c r="Y413" s="187">
        <f>model_eui_end_uses!Y413*base_building_arch_areas!$N$15</f>
        <v>80494.177277786745</v>
      </c>
      <c r="Z413" s="187">
        <f>model_eui_end_uses!Z413*base_building_arch_areas!$N$15</f>
        <v>263674.47701346641</v>
      </c>
      <c r="AA413" s="187">
        <f>model_eui_end_uses!AA413*base_building_arch_areas!$N$15</f>
        <v>65951.74155960558</v>
      </c>
      <c r="AB413" s="187">
        <f>model_eui_end_uses!AB413*base_building_arch_areas!$N$15</f>
        <v>0</v>
      </c>
      <c r="AC413" s="187">
        <f>model_eui_end_uses!AC413*base_building_arch_areas!$N$15</f>
        <v>7521510.9243835062</v>
      </c>
      <c r="AD413" s="187">
        <f>model_eui_end_uses!AD413*base_building_arch_areas!$N$15</f>
        <v>-1009163.4533716679</v>
      </c>
      <c r="AE413" s="187">
        <f>model_eui_end_uses!AE413*base_building_arch_areas!$N$15</f>
        <v>52988.716865240378</v>
      </c>
      <c r="AF413" s="187">
        <f t="shared" si="68"/>
        <v>-956174.73650642752</v>
      </c>
      <c r="AG413" s="187">
        <f>model_eui_end_uses!AH413*base_building_arch_areas!$N$15</f>
        <v>-16348.447944621017</v>
      </c>
      <c r="AH413" s="187">
        <f>model_eui_end_uses!AI413*base_building_arch_areas!$N$15</f>
        <v>5987.7250057721631</v>
      </c>
      <c r="AI413" s="187">
        <f t="shared" si="69"/>
        <v>-10360.722938848854</v>
      </c>
      <c r="AJ413" s="200">
        <f>sim_annual_output!F413/sim_annual_output!H413*base_building_arch_areas!$N$15</f>
        <v>40364.266257050767</v>
      </c>
      <c r="AK413">
        <f t="shared" si="70"/>
        <v>-3.8958928344372374</v>
      </c>
    </row>
    <row r="414" spans="1:37">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f>model_eui_end_uses!G414*base_scenario_arch_measures!$F414</f>
        <v>0.84030720843004236</v>
      </c>
      <c r="H414">
        <f>model_eui_end_uses!H414*base_scenario_arch_measures!$F414</f>
        <v>24.100577802393897</v>
      </c>
      <c r="I414">
        <f>model_eui_end_uses!I414*base_scenario_arch_measures!$F414</f>
        <v>9.2065140662208236E-2</v>
      </c>
      <c r="J414">
        <f>model_eui_end_uses!J414*base_scenario_arch_measures!$F414</f>
        <v>0</v>
      </c>
      <c r="K414">
        <f>model_eui_end_uses!K414*base_scenario_arch_measures!$F414</f>
        <v>1.6003304805830587</v>
      </c>
      <c r="L414">
        <f>model_eui_end_uses!L414*base_scenario_arch_measures!$F414</f>
        <v>3.6431190066755907</v>
      </c>
      <c r="M414">
        <f>model_eui_end_uses!M414*base_scenario_arch_measures!$F414</f>
        <v>0.45203968999665495</v>
      </c>
      <c r="N414">
        <f>model_eui_end_uses!N414*base_scenario_arch_measures!$F414</f>
        <v>0.34781670798042902</v>
      </c>
      <c r="O414">
        <f>model_eui_end_uses!O414*base_scenario_arch_measures!$F414</f>
        <v>1.1393418962068664</v>
      </c>
      <c r="P414">
        <f>model_eui_end_uses!P414*base_scenario_arch_measures!$F414</f>
        <v>0.28497859609987419</v>
      </c>
      <c r="Q414">
        <f>model_eui_end_uses!Q414*base_scenario_arch_measures!$F414</f>
        <v>0</v>
      </c>
      <c r="R414" s="187">
        <f>model_eui_end_uses!R414*base_building_arch_areas!$N$15</f>
        <v>194469.77632533939</v>
      </c>
      <c r="S414" s="187">
        <f>model_eui_end_uses!S414*base_building_arch_areas!$N$15</f>
        <v>5577524.4190746117</v>
      </c>
      <c r="T414" s="187">
        <f>model_eui_end_uses!T414*base_building_arch_areas!$N$15</f>
        <v>21306.359308032865</v>
      </c>
      <c r="U414" s="187">
        <f>model_eui_end_uses!U414*base_building_arch_areas!$N$15</f>
        <v>0</v>
      </c>
      <c r="V414" s="187">
        <f>model_eui_end_uses!V414*base_building_arch_areas!$N$15</f>
        <v>370359.68212989549</v>
      </c>
      <c r="W414" s="187">
        <f>model_eui_end_uses!W414*base_building_arch_areas!$N$15</f>
        <v>843116.10235791188</v>
      </c>
      <c r="X414" s="187">
        <f>model_eui_end_uses!X414*base_building_arch_areas!$N$15</f>
        <v>104614.18933685585</v>
      </c>
      <c r="Y414" s="187">
        <f>model_eui_end_uses!Y414*base_building_arch_areas!$N$15</f>
        <v>80494.177277786745</v>
      </c>
      <c r="Z414" s="187">
        <f>model_eui_end_uses!Z414*base_building_arch_areas!$N$15</f>
        <v>263674.47701346641</v>
      </c>
      <c r="AA414" s="187">
        <f>model_eui_end_uses!AA414*base_building_arch_areas!$N$15</f>
        <v>65951.74155960558</v>
      </c>
      <c r="AB414" s="187">
        <f>model_eui_end_uses!AB414*base_building_arch_areas!$N$15</f>
        <v>0</v>
      </c>
      <c r="AC414" s="187">
        <f>model_eui_end_uses!AC414*base_building_arch_areas!$N$15</f>
        <v>7521510.9243835062</v>
      </c>
      <c r="AD414" s="187">
        <f>model_eui_end_uses!AD414*base_building_arch_areas!$N$15</f>
        <v>0</v>
      </c>
      <c r="AE414" s="187">
        <f>model_eui_end_uses!AE414*base_building_arch_areas!$N$15</f>
        <v>0</v>
      </c>
      <c r="AF414" s="187">
        <f t="shared" ref="AF414:AF435" si="74">SUM(AD414:AE414)</f>
        <v>0</v>
      </c>
      <c r="AG414" s="187">
        <f>model_eui_end_uses!AH414*base_building_arch_areas!$N$15</f>
        <v>0</v>
      </c>
      <c r="AH414" s="187">
        <f>model_eui_end_uses!AI414*base_building_arch_areas!$N$15</f>
        <v>0</v>
      </c>
      <c r="AI414" s="187">
        <f t="shared" ref="AI414:AI435" si="75">SUM(AG414:AH414)</f>
        <v>0</v>
      </c>
      <c r="AJ414" s="200">
        <f>sim_annual_output!F414/sim_annual_output!H414*base_building_arch_areas!$N$15</f>
        <v>0</v>
      </c>
      <c r="AK414">
        <f t="shared" ref="AK414:AK435" si="76">IF(AI414=0,0,AJ414/AI414)</f>
        <v>0</v>
      </c>
    </row>
    <row r="415" spans="1:37">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f>model_eui_end_uses!G415*base_scenario_arch_measures!$F415</f>
        <v>0.83324149889468391</v>
      </c>
      <c r="H415">
        <f>model_eui_end_uses!H415*base_scenario_arch_measures!$F415</f>
        <v>23.695241096532868</v>
      </c>
      <c r="I415">
        <f>model_eui_end_uses!I415*base_scenario_arch_measures!$F415</f>
        <v>0.10024569562532051</v>
      </c>
      <c r="J415">
        <f>model_eui_end_uses!J415*base_scenario_arch_measures!$F415</f>
        <v>0</v>
      </c>
      <c r="K415">
        <f>model_eui_end_uses!K415*base_scenario_arch_measures!$F415</f>
        <v>1.6003003496255519</v>
      </c>
      <c r="L415">
        <f>model_eui_end_uses!L415*base_scenario_arch_measures!$F415</f>
        <v>3.6431190066755907</v>
      </c>
      <c r="M415">
        <f>model_eui_end_uses!M415*base_scenario_arch_measures!$F415</f>
        <v>0.45203968999665495</v>
      </c>
      <c r="N415">
        <f>model_eui_end_uses!N415*base_scenario_arch_measures!$F415</f>
        <v>0.34781670798042902</v>
      </c>
      <c r="O415">
        <f>model_eui_end_uses!O415*base_scenario_arch_measures!$F415</f>
        <v>1.1393418962068664</v>
      </c>
      <c r="P415">
        <f>model_eui_end_uses!P415*base_scenario_arch_measures!$F415</f>
        <v>0.28663579876275141</v>
      </c>
      <c r="Q415">
        <f>model_eui_end_uses!Q415*base_scenario_arch_measures!$F415</f>
        <v>0</v>
      </c>
      <c r="R415" s="187">
        <f>model_eui_end_uses!R415*base_building_arch_areas!$N$15</f>
        <v>194469.77632533939</v>
      </c>
      <c r="S415" s="187">
        <f>model_eui_end_uses!S415*base_building_arch_areas!$N$15</f>
        <v>5577524.4190746117</v>
      </c>
      <c r="T415" s="187">
        <f>model_eui_end_uses!T415*base_building_arch_areas!$N$15</f>
        <v>21306.359308032865</v>
      </c>
      <c r="U415" s="187">
        <f>model_eui_end_uses!U415*base_building_arch_areas!$N$15</f>
        <v>0</v>
      </c>
      <c r="V415" s="187">
        <f>model_eui_end_uses!V415*base_building_arch_areas!$N$15</f>
        <v>370359.68212989549</v>
      </c>
      <c r="W415" s="187">
        <f>model_eui_end_uses!W415*base_building_arch_areas!$N$15</f>
        <v>843116.10235791188</v>
      </c>
      <c r="X415" s="187">
        <f>model_eui_end_uses!X415*base_building_arch_areas!$N$15</f>
        <v>104614.18933685585</v>
      </c>
      <c r="Y415" s="187">
        <f>model_eui_end_uses!Y415*base_building_arch_areas!$N$15</f>
        <v>80494.177277786745</v>
      </c>
      <c r="Z415" s="187">
        <f>model_eui_end_uses!Z415*base_building_arch_areas!$N$15</f>
        <v>263674.47701346641</v>
      </c>
      <c r="AA415" s="187">
        <f>model_eui_end_uses!AA415*base_building_arch_areas!$N$15</f>
        <v>65951.74155960558</v>
      </c>
      <c r="AB415" s="187">
        <f>model_eui_end_uses!AB415*base_building_arch_areas!$N$15</f>
        <v>0</v>
      </c>
      <c r="AC415" s="187">
        <f>model_eui_end_uses!AC415*base_building_arch_areas!$N$15</f>
        <v>7521510.9243835062</v>
      </c>
      <c r="AD415" s="187">
        <f>model_eui_end_uses!AD415*base_building_arch_areas!$N$15</f>
        <v>93812.830944402638</v>
      </c>
      <c r="AE415" s="187">
        <f>model_eui_end_uses!AE415*base_building_arch_areas!$N$15</f>
        <v>-641.52677347053077</v>
      </c>
      <c r="AF415" s="187">
        <f t="shared" si="74"/>
        <v>93171.304170932111</v>
      </c>
      <c r="AG415" s="187">
        <f>model_eui_end_uses!AH415*base_building_arch_areas!$N$15</f>
        <v>1519.7678612993225</v>
      </c>
      <c r="AH415" s="187">
        <f>model_eui_end_uses!AI415*base_building_arch_areas!$N$15</f>
        <v>-72.492525402169974</v>
      </c>
      <c r="AI415" s="187">
        <f t="shared" si="75"/>
        <v>1447.2753358971524</v>
      </c>
      <c r="AJ415" s="200">
        <f>sim_annual_output!F415/sim_annual_output!H415*base_building_arch_areas!$N$15</f>
        <v>83341.782855761485</v>
      </c>
      <c r="AK415">
        <f t="shared" si="76"/>
        <v>57.585298932838299</v>
      </c>
    </row>
    <row r="416" spans="1:37">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f>model_eui_end_uses!G416*base_scenario_arch_measures!$F416</f>
        <v>0.83324149889468391</v>
      </c>
      <c r="H416">
        <f>model_eui_end_uses!H416*base_scenario_arch_measures!$F416</f>
        <v>21.887941068835197</v>
      </c>
      <c r="I416">
        <f>model_eui_end_uses!I416*base_scenario_arch_measures!$F416</f>
        <v>0.10024569562532051</v>
      </c>
      <c r="J416">
        <f>model_eui_end_uses!J416*base_scenario_arch_measures!$F416</f>
        <v>0</v>
      </c>
      <c r="K416">
        <f>model_eui_end_uses!K416*base_scenario_arch_measures!$F416</f>
        <v>1.6003003496255519</v>
      </c>
      <c r="L416">
        <f>model_eui_end_uses!L416*base_scenario_arch_measures!$F416</f>
        <v>3.6431190066755907</v>
      </c>
      <c r="M416">
        <f>model_eui_end_uses!M416*base_scenario_arch_measures!$F416</f>
        <v>0.45203968999665495</v>
      </c>
      <c r="N416">
        <f>model_eui_end_uses!N416*base_scenario_arch_measures!$F416</f>
        <v>0.34781670798042902</v>
      </c>
      <c r="O416">
        <f>model_eui_end_uses!O416*base_scenario_arch_measures!$F416</f>
        <v>1.1393418962068664</v>
      </c>
      <c r="P416">
        <f>model_eui_end_uses!P416*base_scenario_arch_measures!$F416</f>
        <v>0.28663579876275141</v>
      </c>
      <c r="Q416">
        <f>model_eui_end_uses!Q416*base_scenario_arch_measures!$F416</f>
        <v>0</v>
      </c>
      <c r="R416" s="187">
        <f>model_eui_end_uses!R416*base_building_arch_areas!$N$15</f>
        <v>194469.77632533939</v>
      </c>
      <c r="S416" s="187">
        <f>model_eui_end_uses!S416*base_building_arch_areas!$N$15</f>
        <v>5577524.4190746117</v>
      </c>
      <c r="T416" s="187">
        <f>model_eui_end_uses!T416*base_building_arch_areas!$N$15</f>
        <v>21306.359308032865</v>
      </c>
      <c r="U416" s="187">
        <f>model_eui_end_uses!U416*base_building_arch_areas!$N$15</f>
        <v>0</v>
      </c>
      <c r="V416" s="187">
        <f>model_eui_end_uses!V416*base_building_arch_areas!$N$15</f>
        <v>370359.68212989549</v>
      </c>
      <c r="W416" s="187">
        <f>model_eui_end_uses!W416*base_building_arch_areas!$N$15</f>
        <v>843116.10235791188</v>
      </c>
      <c r="X416" s="187">
        <f>model_eui_end_uses!X416*base_building_arch_areas!$N$15</f>
        <v>104614.18933685585</v>
      </c>
      <c r="Y416" s="187">
        <f>model_eui_end_uses!Y416*base_building_arch_areas!$N$15</f>
        <v>80494.177277786745</v>
      </c>
      <c r="Z416" s="187">
        <f>model_eui_end_uses!Z416*base_building_arch_areas!$N$15</f>
        <v>263674.47701346641</v>
      </c>
      <c r="AA416" s="187">
        <f>model_eui_end_uses!AA416*base_building_arch_areas!$N$15</f>
        <v>65951.74155960558</v>
      </c>
      <c r="AB416" s="187">
        <f>model_eui_end_uses!AB416*base_building_arch_areas!$N$15</f>
        <v>0</v>
      </c>
      <c r="AC416" s="187">
        <f>model_eui_end_uses!AC416*base_building_arch_areas!$N$15</f>
        <v>7521510.9243835062</v>
      </c>
      <c r="AD416" s="187">
        <f>model_eui_end_uses!AD416*base_building_arch_areas!$N$15</f>
        <v>512070.8544543921</v>
      </c>
      <c r="AE416" s="187">
        <f>model_eui_end_uses!AE416*base_building_arch_areas!$N$15</f>
        <v>-641.52677347053077</v>
      </c>
      <c r="AF416" s="187">
        <f t="shared" si="74"/>
        <v>511429.32768092159</v>
      </c>
      <c r="AG416" s="187">
        <f>model_eui_end_uses!AH416*base_building_arch_areas!$N$15</f>
        <v>8295.5478421611515</v>
      </c>
      <c r="AH416" s="187">
        <f>model_eui_end_uses!AI416*base_building_arch_areas!$N$15</f>
        <v>-72.492525402169974</v>
      </c>
      <c r="AI416" s="187">
        <f t="shared" si="75"/>
        <v>8223.0553167589824</v>
      </c>
      <c r="AJ416" s="200">
        <f>sim_annual_output!F416/sim_annual_output!H416*base_building_arch_areas!$N$15</f>
        <v>1185.2584230459306</v>
      </c>
      <c r="AK416">
        <f t="shared" si="76"/>
        <v>0.14413844701133371</v>
      </c>
    </row>
    <row r="417" spans="1:37">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f>model_eui_end_uses!G417*base_scenario_arch_measures!$F417</f>
        <v>0.83324149889468391</v>
      </c>
      <c r="H417">
        <f>model_eui_end_uses!H417*base_scenario_arch_measures!$F417</f>
        <v>23.695241096532868</v>
      </c>
      <c r="I417">
        <f>model_eui_end_uses!I417*base_scenario_arch_measures!$F417</f>
        <v>8.5933490809562391E-2</v>
      </c>
      <c r="J417">
        <f>model_eui_end_uses!J417*base_scenario_arch_measures!$F417</f>
        <v>0</v>
      </c>
      <c r="K417">
        <f>model_eui_end_uses!K417*base_scenario_arch_measures!$F417</f>
        <v>1.6003003496255519</v>
      </c>
      <c r="L417">
        <f>model_eui_end_uses!L417*base_scenario_arch_measures!$F417</f>
        <v>3.6431190066755907</v>
      </c>
      <c r="M417">
        <f>model_eui_end_uses!M417*base_scenario_arch_measures!$F417</f>
        <v>0.45203968999665495</v>
      </c>
      <c r="N417">
        <f>model_eui_end_uses!N417*base_scenario_arch_measures!$F417</f>
        <v>0.34781670798042902</v>
      </c>
      <c r="O417">
        <f>model_eui_end_uses!O417*base_scenario_arch_measures!$F417</f>
        <v>1.1393418962068664</v>
      </c>
      <c r="P417">
        <f>model_eui_end_uses!P417*base_scenario_arch_measures!$F417</f>
        <v>0.28663579876275141</v>
      </c>
      <c r="Q417">
        <f>model_eui_end_uses!Q417*base_scenario_arch_measures!$F417</f>
        <v>0</v>
      </c>
      <c r="R417" s="187">
        <f>model_eui_end_uses!R417*base_building_arch_areas!$N$15</f>
        <v>194469.77632533939</v>
      </c>
      <c r="S417" s="187">
        <f>model_eui_end_uses!S417*base_building_arch_areas!$N$15</f>
        <v>5577524.4190746117</v>
      </c>
      <c r="T417" s="187">
        <f>model_eui_end_uses!T417*base_building_arch_areas!$N$15</f>
        <v>21306.359308032865</v>
      </c>
      <c r="U417" s="187">
        <f>model_eui_end_uses!U417*base_building_arch_areas!$N$15</f>
        <v>0</v>
      </c>
      <c r="V417" s="187">
        <f>model_eui_end_uses!V417*base_building_arch_areas!$N$15</f>
        <v>370359.68212989549</v>
      </c>
      <c r="W417" s="187">
        <f>model_eui_end_uses!W417*base_building_arch_areas!$N$15</f>
        <v>843116.10235791188</v>
      </c>
      <c r="X417" s="187">
        <f>model_eui_end_uses!X417*base_building_arch_areas!$N$15</f>
        <v>104614.18933685585</v>
      </c>
      <c r="Y417" s="187">
        <f>model_eui_end_uses!Y417*base_building_arch_areas!$N$15</f>
        <v>80494.177277786745</v>
      </c>
      <c r="Z417" s="187">
        <f>model_eui_end_uses!Z417*base_building_arch_areas!$N$15</f>
        <v>263674.47701346641</v>
      </c>
      <c r="AA417" s="187">
        <f>model_eui_end_uses!AA417*base_building_arch_areas!$N$15</f>
        <v>65951.74155960558</v>
      </c>
      <c r="AB417" s="187">
        <f>model_eui_end_uses!AB417*base_building_arch_areas!$N$15</f>
        <v>0</v>
      </c>
      <c r="AC417" s="187">
        <f>model_eui_end_uses!AC417*base_building_arch_areas!$N$15</f>
        <v>7521510.9243835062</v>
      </c>
      <c r="AD417" s="187">
        <f>model_eui_end_uses!AD417*base_building_arch_areas!$N$15</f>
        <v>93812.830944402638</v>
      </c>
      <c r="AE417" s="187">
        <f>model_eui_end_uses!AE417*base_building_arch_areas!$N$15</f>
        <v>2670.7038504257616</v>
      </c>
      <c r="AF417" s="187">
        <f t="shared" si="74"/>
        <v>96483.534794828403</v>
      </c>
      <c r="AG417" s="187">
        <f>model_eui_end_uses!AH417*base_building_arch_areas!$N$15</f>
        <v>1519.7678612993225</v>
      </c>
      <c r="AH417" s="187">
        <f>model_eui_end_uses!AI417*base_building_arch_areas!$N$15</f>
        <v>301.78953509811106</v>
      </c>
      <c r="AI417" s="187">
        <f t="shared" si="75"/>
        <v>1821.5573963974334</v>
      </c>
      <c r="AJ417" s="200">
        <f>sim_annual_output!F417/sim_annual_output!H417*base_building_arch_areas!$N$15</f>
        <v>55330.416558420628</v>
      </c>
      <c r="AK417">
        <f t="shared" si="76"/>
        <v>30.375335231187222</v>
      </c>
    </row>
    <row r="418" spans="1:37">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f>model_eui_end_uses!G418*base_scenario_arch_measures!$F418</f>
        <v>0.80886555427163498</v>
      </c>
      <c r="H418">
        <f>model_eui_end_uses!H418*base_scenario_arch_measures!$F418</f>
        <v>17.244760517028197</v>
      </c>
      <c r="I418">
        <f>model_eui_end_uses!I418*base_scenario_arch_measures!$F418</f>
        <v>0.16763358208941107</v>
      </c>
      <c r="J418">
        <f>model_eui_end_uses!J418*base_scenario_arch_measures!$F418</f>
        <v>0</v>
      </c>
      <c r="K418">
        <f>model_eui_end_uses!K418*base_scenario_arch_measures!$F418</f>
        <v>1.6002702186680446</v>
      </c>
      <c r="L418">
        <f>model_eui_end_uses!L418*base_scenario_arch_measures!$F418</f>
        <v>3.6431190066755907</v>
      </c>
      <c r="M418">
        <f>model_eui_end_uses!M418*base_scenario_arch_measures!$F418</f>
        <v>0.45203968999665495</v>
      </c>
      <c r="N418">
        <f>model_eui_end_uses!N418*base_scenario_arch_measures!$F418</f>
        <v>0.34781670798042902</v>
      </c>
      <c r="O418">
        <f>model_eui_end_uses!O418*base_scenario_arch_measures!$F418</f>
        <v>1.1393418962068664</v>
      </c>
      <c r="P418">
        <f>model_eui_end_uses!P418*base_scenario_arch_measures!$F418</f>
        <v>0.28640981658144998</v>
      </c>
      <c r="Q418">
        <f>model_eui_end_uses!Q418*base_scenario_arch_measures!$F418</f>
        <v>0</v>
      </c>
      <c r="R418" s="187">
        <f>model_eui_end_uses!R418*base_building_arch_areas!$N$15</f>
        <v>194469.77632533939</v>
      </c>
      <c r="S418" s="187">
        <f>model_eui_end_uses!S418*base_building_arch_areas!$N$15</f>
        <v>5577524.4190746117</v>
      </c>
      <c r="T418" s="187">
        <f>model_eui_end_uses!T418*base_building_arch_areas!$N$15</f>
        <v>21306.359308032865</v>
      </c>
      <c r="U418" s="187">
        <f>model_eui_end_uses!U418*base_building_arch_areas!$N$15</f>
        <v>0</v>
      </c>
      <c r="V418" s="187">
        <f>model_eui_end_uses!V418*base_building_arch_areas!$N$15</f>
        <v>370359.68212989549</v>
      </c>
      <c r="W418" s="187">
        <f>model_eui_end_uses!W418*base_building_arch_areas!$N$15</f>
        <v>843116.10235791188</v>
      </c>
      <c r="X418" s="187">
        <f>model_eui_end_uses!X418*base_building_arch_areas!$N$15</f>
        <v>104614.18933685585</v>
      </c>
      <c r="Y418" s="187">
        <f>model_eui_end_uses!Y418*base_building_arch_areas!$N$15</f>
        <v>80494.177277786745</v>
      </c>
      <c r="Z418" s="187">
        <f>model_eui_end_uses!Z418*base_building_arch_areas!$N$15</f>
        <v>263674.47701346641</v>
      </c>
      <c r="AA418" s="187">
        <f>model_eui_end_uses!AA418*base_building_arch_areas!$N$15</f>
        <v>65951.74155960558</v>
      </c>
      <c r="AB418" s="187">
        <f>model_eui_end_uses!AB418*base_building_arch_areas!$N$15</f>
        <v>0</v>
      </c>
      <c r="AC418" s="187">
        <f>model_eui_end_uses!AC418*base_building_arch_areas!$N$15</f>
        <v>7521510.9243835062</v>
      </c>
      <c r="AD418" s="187">
        <f>model_eui_end_uses!AD418*base_building_arch_areas!$N$15</f>
        <v>1586635.1731345339</v>
      </c>
      <c r="AE418" s="187">
        <f>model_eui_end_uses!AE418*base_building_arch_areas!$N$15</f>
        <v>-10543.353059645086</v>
      </c>
      <c r="AF418" s="187">
        <f t="shared" si="74"/>
        <v>1576091.8200748889</v>
      </c>
      <c r="AG418" s="187">
        <f>model_eui_end_uses!AH418*base_building_arch_areas!$N$15</f>
        <v>25703.489804779449</v>
      </c>
      <c r="AH418" s="187">
        <f>model_eui_end_uses!AI418*base_building_arch_areas!$N$15</f>
        <v>-1191.3988957398949</v>
      </c>
      <c r="AI418" s="187">
        <f t="shared" si="75"/>
        <v>24512.090909039554</v>
      </c>
      <c r="AJ418" s="200">
        <f>sim_annual_output!F418/sim_annual_output!H418*base_building_arch_areas!$N$15</f>
        <v>33964.88109911362</v>
      </c>
      <c r="AK418">
        <f t="shared" si="76"/>
        <v>1.3856378562380443</v>
      </c>
    </row>
    <row r="419" spans="1:37">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f>model_eui_end_uses!G419*base_scenario_arch_measures!$F419</f>
        <v>0.84637859636767454</v>
      </c>
      <c r="H419">
        <f>model_eui_end_uses!H419*base_scenario_arch_measures!$F419</f>
        <v>23.583545637054947</v>
      </c>
      <c r="I419">
        <f>model_eui_end_uses!I419*base_scenario_arch_measures!$F419</f>
        <v>9.5469938860483328E-2</v>
      </c>
      <c r="J419">
        <f>model_eui_end_uses!J419*base_scenario_arch_measures!$F419</f>
        <v>0</v>
      </c>
      <c r="K419">
        <f>model_eui_end_uses!K419*base_scenario_arch_measures!$F419</f>
        <v>1.6002852841467983</v>
      </c>
      <c r="L419">
        <f>model_eui_end_uses!L419*base_scenario_arch_measures!$F419</f>
        <v>3.6431190066755907</v>
      </c>
      <c r="M419">
        <f>model_eui_end_uses!M419*base_scenario_arch_measures!$F419</f>
        <v>0.45203968999665495</v>
      </c>
      <c r="N419">
        <f>model_eui_end_uses!N419*base_scenario_arch_measures!$F419</f>
        <v>0.34781670798042902</v>
      </c>
      <c r="O419">
        <f>model_eui_end_uses!O419*base_scenario_arch_measures!$F419</f>
        <v>1.1393418962068664</v>
      </c>
      <c r="P419">
        <f>model_eui_end_uses!P419*base_scenario_arch_measures!$F419</f>
        <v>0.28659060232649114</v>
      </c>
      <c r="Q419">
        <f>model_eui_end_uses!Q419*base_scenario_arch_measures!$F419</f>
        <v>0</v>
      </c>
      <c r="R419" s="187">
        <f>model_eui_end_uses!R419*base_building_arch_areas!$N$15</f>
        <v>194469.77632533939</v>
      </c>
      <c r="S419" s="187">
        <f>model_eui_end_uses!S419*base_building_arch_areas!$N$15</f>
        <v>5577524.4190746117</v>
      </c>
      <c r="T419" s="187">
        <f>model_eui_end_uses!T419*base_building_arch_areas!$N$15</f>
        <v>21306.359308032865</v>
      </c>
      <c r="U419" s="187">
        <f>model_eui_end_uses!U419*base_building_arch_areas!$N$15</f>
        <v>0</v>
      </c>
      <c r="V419" s="187">
        <f>model_eui_end_uses!V419*base_building_arch_areas!$N$15</f>
        <v>370359.68212989549</v>
      </c>
      <c r="W419" s="187">
        <f>model_eui_end_uses!W419*base_building_arch_areas!$N$15</f>
        <v>843116.10235791188</v>
      </c>
      <c r="X419" s="187">
        <f>model_eui_end_uses!X419*base_building_arch_areas!$N$15</f>
        <v>104614.18933685585</v>
      </c>
      <c r="Y419" s="187">
        <f>model_eui_end_uses!Y419*base_building_arch_areas!$N$15</f>
        <v>80494.177277786745</v>
      </c>
      <c r="Z419" s="187">
        <f>model_eui_end_uses!Z419*base_building_arch_areas!$N$15</f>
        <v>263674.47701346641</v>
      </c>
      <c r="AA419" s="187">
        <f>model_eui_end_uses!AA419*base_building_arch_areas!$N$15</f>
        <v>65951.74155960558</v>
      </c>
      <c r="AB419" s="187">
        <f>model_eui_end_uses!AB419*base_building_arch_areas!$N$15</f>
        <v>0</v>
      </c>
      <c r="AC419" s="187">
        <f>model_eui_end_uses!AC419*base_building_arch_areas!$N$15</f>
        <v>7521510.9243835062</v>
      </c>
      <c r="AD419" s="187">
        <f>model_eui_end_uses!AD419*base_building_arch_areas!$N$15</f>
        <v>119665.66260355106</v>
      </c>
      <c r="AE419" s="187">
        <f>model_eui_end_uses!AE419*base_building_arch_areas!$N$15</f>
        <v>-2566.1070938821231</v>
      </c>
      <c r="AF419" s="187">
        <f t="shared" si="74"/>
        <v>117099.55550966893</v>
      </c>
      <c r="AG419" s="187">
        <f>model_eui_end_uses!AH419*base_building_arch_areas!$N$15</f>
        <v>1938.583734177527</v>
      </c>
      <c r="AH419" s="187">
        <f>model_eui_end_uses!AI419*base_building_arch_areas!$N$15</f>
        <v>-289.9701016086799</v>
      </c>
      <c r="AI419" s="187">
        <f t="shared" si="75"/>
        <v>1648.6136325688472</v>
      </c>
      <c r="AJ419" s="200">
        <f>sim_annual_output!F419/sim_annual_output!H419*base_building_arch_areas!$N$15</f>
        <v>40364.266257050767</v>
      </c>
      <c r="AK419">
        <f t="shared" si="76"/>
        <v>24.483763484447064</v>
      </c>
    </row>
    <row r="420" spans="1:37">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f>model_eui_end_uses!G420*base_scenario_arch_measures!$F420</f>
        <v>0.83346748107598534</v>
      </c>
      <c r="H420">
        <f>model_eui_end_uses!H420*base_scenario_arch_measures!$F420</f>
        <v>23.701945234578151</v>
      </c>
      <c r="I420">
        <f>model_eui_end_uses!I420*base_scenario_arch_measures!$F420</f>
        <v>9.8166659557347241E-2</v>
      </c>
      <c r="J420">
        <f>model_eui_end_uses!J420*base_scenario_arch_measures!$F420</f>
        <v>0</v>
      </c>
      <c r="K420">
        <f>model_eui_end_uses!K420*base_scenario_arch_measures!$F420</f>
        <v>1.6003003496255519</v>
      </c>
      <c r="L420">
        <f>model_eui_end_uses!L420*base_scenario_arch_measures!$F420</f>
        <v>3.6431190066755907</v>
      </c>
      <c r="M420">
        <f>model_eui_end_uses!M420*base_scenario_arch_measures!$F420</f>
        <v>0.45203968999665495</v>
      </c>
      <c r="N420">
        <f>model_eui_end_uses!N420*base_scenario_arch_measures!$F420</f>
        <v>0.34781670798042902</v>
      </c>
      <c r="O420">
        <f>model_eui_end_uses!O420*base_scenario_arch_measures!$F420</f>
        <v>1.1393418962068664</v>
      </c>
      <c r="P420">
        <f>model_eui_end_uses!P420*base_scenario_arch_measures!$F420</f>
        <v>0.28540042950497019</v>
      </c>
      <c r="Q420">
        <f>model_eui_end_uses!Q420*base_scenario_arch_measures!$F420</f>
        <v>0</v>
      </c>
      <c r="R420" s="187">
        <f>model_eui_end_uses!R420*base_building_arch_areas!$N$15</f>
        <v>194469.77632533939</v>
      </c>
      <c r="S420" s="187">
        <f>model_eui_end_uses!S420*base_building_arch_areas!$N$15</f>
        <v>5577524.4190746117</v>
      </c>
      <c r="T420" s="187">
        <f>model_eui_end_uses!T420*base_building_arch_areas!$N$15</f>
        <v>21306.359308032865</v>
      </c>
      <c r="U420" s="187">
        <f>model_eui_end_uses!U420*base_building_arch_areas!$N$15</f>
        <v>0</v>
      </c>
      <c r="V420" s="187">
        <f>model_eui_end_uses!V420*base_building_arch_areas!$N$15</f>
        <v>370359.68212989549</v>
      </c>
      <c r="W420" s="187">
        <f>model_eui_end_uses!W420*base_building_arch_areas!$N$15</f>
        <v>843116.10235791188</v>
      </c>
      <c r="X420" s="187">
        <f>model_eui_end_uses!X420*base_building_arch_areas!$N$15</f>
        <v>104614.18933685585</v>
      </c>
      <c r="Y420" s="187">
        <f>model_eui_end_uses!Y420*base_building_arch_areas!$N$15</f>
        <v>80494.177277786745</v>
      </c>
      <c r="Z420" s="187">
        <f>model_eui_end_uses!Z420*base_building_arch_areas!$N$15</f>
        <v>263674.47701346641</v>
      </c>
      <c r="AA420" s="187">
        <f>model_eui_end_uses!AA420*base_building_arch_areas!$N$15</f>
        <v>65951.74155960558</v>
      </c>
      <c r="AB420" s="187">
        <f>model_eui_end_uses!AB420*base_building_arch_areas!$N$15</f>
        <v>0</v>
      </c>
      <c r="AC420" s="187">
        <f>model_eui_end_uses!AC420*base_building_arch_areas!$N$15</f>
        <v>7521510.9243835062</v>
      </c>
      <c r="AD420" s="187">
        <f>model_eui_end_uses!AD420*base_building_arch_areas!$N$15</f>
        <v>92261.312388997569</v>
      </c>
      <c r="AE420" s="187">
        <f>model_eui_end_uses!AE420*base_building_arch_areas!$N$15</f>
        <v>73.217729580704614</v>
      </c>
      <c r="AF420" s="187">
        <f t="shared" si="74"/>
        <v>92334.530118578274</v>
      </c>
      <c r="AG420" s="187">
        <f>model_eui_end_uses!AH420*base_building_arch_areas!$N$15</f>
        <v>1494.6332607017605</v>
      </c>
      <c r="AH420" s="187">
        <f>model_eui_end_uses!AI420*base_building_arch_areas!$N$15</f>
        <v>8.2736034426196206</v>
      </c>
      <c r="AI420" s="187">
        <f t="shared" si="75"/>
        <v>1502.9068641443801</v>
      </c>
      <c r="AJ420" s="200">
        <f>sim_annual_output!F420/sim_annual_output!H420*base_building_arch_areas!$N$15</f>
        <v>10514.947648670426</v>
      </c>
      <c r="AK420">
        <f t="shared" si="76"/>
        <v>6.9964066966030467</v>
      </c>
    </row>
    <row r="421" spans="1:37">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f>model_eui_end_uses!G421*base_scenario_arch_measures!$F421</f>
        <v>0.88172220952322022</v>
      </c>
      <c r="H421">
        <f>model_eui_end_uses!H421*base_scenario_arch_measures!$F421</f>
        <v>18.020692934744837</v>
      </c>
      <c r="I421">
        <f>model_eui_end_uses!I421*base_scenario_arch_measures!$F421</f>
        <v>0.14837990024252806</v>
      </c>
      <c r="J421">
        <f>model_eui_end_uses!J421*base_scenario_arch_measures!$F421</f>
        <v>0</v>
      </c>
      <c r="K421">
        <f>model_eui_end_uses!K421*base_scenario_arch_measures!$F421</f>
        <v>1.6003455460618119</v>
      </c>
      <c r="L421">
        <f>model_eui_end_uses!L421*base_scenario_arch_measures!$F421</f>
        <v>2.5501787850292876</v>
      </c>
      <c r="M421">
        <f>model_eui_end_uses!M421*base_scenario_arch_measures!$F421</f>
        <v>0.45203968999665495</v>
      </c>
      <c r="N421">
        <f>model_eui_end_uses!N421*base_scenario_arch_measures!$F421</f>
        <v>0.34781670798042902</v>
      </c>
      <c r="O421">
        <f>model_eui_end_uses!O421*base_scenario_arch_measures!$F421</f>
        <v>1.1366451755100027</v>
      </c>
      <c r="P421">
        <f>model_eui_end_uses!P421*base_scenario_arch_measures!$F421</f>
        <v>0.22361690113715543</v>
      </c>
      <c r="Q421">
        <f>model_eui_end_uses!Q421*base_scenario_arch_measures!$F421</f>
        <v>0</v>
      </c>
      <c r="R421" s="187">
        <f>model_eui_end_uses!R421*base_building_arch_areas!$N$15</f>
        <v>194469.77632533939</v>
      </c>
      <c r="S421" s="187">
        <f>model_eui_end_uses!S421*base_building_arch_areas!$N$15</f>
        <v>5577524.4190746117</v>
      </c>
      <c r="T421" s="187">
        <f>model_eui_end_uses!T421*base_building_arch_areas!$N$15</f>
        <v>21306.359308032865</v>
      </c>
      <c r="U421" s="187">
        <f>model_eui_end_uses!U421*base_building_arch_areas!$N$15</f>
        <v>0</v>
      </c>
      <c r="V421" s="187">
        <f>model_eui_end_uses!V421*base_building_arch_areas!$N$15</f>
        <v>370359.68212989549</v>
      </c>
      <c r="W421" s="187">
        <f>model_eui_end_uses!W421*base_building_arch_areas!$N$15</f>
        <v>843116.10235791188</v>
      </c>
      <c r="X421" s="187">
        <f>model_eui_end_uses!X421*base_building_arch_areas!$N$15</f>
        <v>104614.18933685585</v>
      </c>
      <c r="Y421" s="187">
        <f>model_eui_end_uses!Y421*base_building_arch_areas!$N$15</f>
        <v>80494.177277786745</v>
      </c>
      <c r="Z421" s="187">
        <f>model_eui_end_uses!Z421*base_building_arch_areas!$N$15</f>
        <v>263674.47701346641</v>
      </c>
      <c r="AA421" s="187">
        <f>model_eui_end_uses!AA421*base_building_arch_areas!$N$15</f>
        <v>65951.74155960558</v>
      </c>
      <c r="AB421" s="187">
        <f>model_eui_end_uses!AB421*base_building_arch_areas!$N$15</f>
        <v>0</v>
      </c>
      <c r="AC421" s="187">
        <f>model_eui_end_uses!AC421*base_building_arch_areas!$N$15</f>
        <v>7521510.9243835062</v>
      </c>
      <c r="AD421" s="187">
        <f>model_eui_end_uses!AD421*base_building_arch_areas!$N$15</f>
        <v>1407046.0287068677</v>
      </c>
      <c r="AE421" s="187">
        <f>model_eui_end_uses!AE421*base_building_arch_areas!$N$15</f>
        <v>245143.41831240326</v>
      </c>
      <c r="AF421" s="187">
        <f t="shared" si="74"/>
        <v>1652189.4470192711</v>
      </c>
      <c r="AG421" s="187">
        <f>model_eui_end_uses!AH421*base_building_arch_areas!$N$15</f>
        <v>22794.145665051255</v>
      </c>
      <c r="AH421" s="187">
        <f>model_eui_end_uses!AI421*base_building_arch_areas!$N$15</f>
        <v>27701.206269301569</v>
      </c>
      <c r="AI421" s="187">
        <f t="shared" si="75"/>
        <v>50495.351934352824</v>
      </c>
      <c r="AJ421" s="200">
        <f>sim_annual_output!F421/sim_annual_output!H421*base_building_arch_areas!$N$15</f>
        <v>384274.81816680095</v>
      </c>
      <c r="AK421">
        <f t="shared" si="76"/>
        <v>7.6101027806753914</v>
      </c>
    </row>
    <row r="422" spans="1:37">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f>model_eui_end_uses!G422*base_scenario_arch_measures!$F422</f>
        <v>0.79884701090060417</v>
      </c>
      <c r="H422">
        <f>model_eui_end_uses!H422*base_scenario_arch_measures!$F422</f>
        <v>24.142640619073472</v>
      </c>
      <c r="I422">
        <f>model_eui_end_uses!I422*base_scenario_arch_measures!$F422</f>
        <v>0.10601577398788405</v>
      </c>
      <c r="J422">
        <f>model_eui_end_uses!J422*base_scenario_arch_measures!$F422</f>
        <v>0</v>
      </c>
      <c r="K422">
        <f>model_eui_end_uses!K422*base_scenario_arch_measures!$F422</f>
        <v>1.6001346293592582</v>
      </c>
      <c r="L422">
        <f>model_eui_end_uses!L422*base_scenario_arch_measures!$F422</f>
        <v>3.6431190066755907</v>
      </c>
      <c r="M422">
        <f>model_eui_end_uses!M422*base_scenario_arch_measures!$F422</f>
        <v>0.45203968999665495</v>
      </c>
      <c r="N422">
        <f>model_eui_end_uses!N422*base_scenario_arch_measures!$F422</f>
        <v>0.34781670798042902</v>
      </c>
      <c r="O422">
        <f>model_eui_end_uses!O422*base_scenario_arch_measures!$F422</f>
        <v>1.0045359923211783</v>
      </c>
      <c r="P422">
        <f>model_eui_end_uses!P422*base_scenario_arch_measures!$F422</f>
        <v>0.29629277064369985</v>
      </c>
      <c r="Q422">
        <f>model_eui_end_uses!Q422*base_scenario_arch_measures!$F422</f>
        <v>0</v>
      </c>
      <c r="R422" s="187">
        <f>model_eui_end_uses!R422*base_building_arch_areas!$N$15</f>
        <v>194469.77632533939</v>
      </c>
      <c r="S422" s="187">
        <f>model_eui_end_uses!S422*base_building_arch_areas!$N$15</f>
        <v>5577524.4190746117</v>
      </c>
      <c r="T422" s="187">
        <f>model_eui_end_uses!T422*base_building_arch_areas!$N$15</f>
        <v>21306.359308032865</v>
      </c>
      <c r="U422" s="187">
        <f>model_eui_end_uses!U422*base_building_arch_areas!$N$15</f>
        <v>0</v>
      </c>
      <c r="V422" s="187">
        <f>model_eui_end_uses!V422*base_building_arch_areas!$N$15</f>
        <v>370359.68212989549</v>
      </c>
      <c r="W422" s="187">
        <f>model_eui_end_uses!W422*base_building_arch_areas!$N$15</f>
        <v>843116.10235791188</v>
      </c>
      <c r="X422" s="187">
        <f>model_eui_end_uses!X422*base_building_arch_areas!$N$15</f>
        <v>104614.18933685585</v>
      </c>
      <c r="Y422" s="187">
        <f>model_eui_end_uses!Y422*base_building_arch_areas!$N$15</f>
        <v>80494.177277786745</v>
      </c>
      <c r="Z422" s="187">
        <f>model_eui_end_uses!Z422*base_building_arch_areas!$N$15</f>
        <v>263674.47701346641</v>
      </c>
      <c r="AA422" s="187">
        <f>model_eui_end_uses!AA422*base_building_arch_areas!$N$15</f>
        <v>65951.74155960558</v>
      </c>
      <c r="AB422" s="187">
        <f>model_eui_end_uses!AB422*base_building_arch_areas!$N$15</f>
        <v>0</v>
      </c>
      <c r="AC422" s="187">
        <f>model_eui_end_uses!AC422*base_building_arch_areas!$N$15</f>
        <v>7521510.9243835062</v>
      </c>
      <c r="AD422" s="187">
        <f>model_eui_end_uses!AD422*base_building_arch_areas!$N$15</f>
        <v>-9689.1462145334172</v>
      </c>
      <c r="AE422" s="187">
        <f>model_eui_end_uses!AE422*base_building_arch_areas!$N$15</f>
        <v>34945.776361383163</v>
      </c>
      <c r="AF422" s="187">
        <f t="shared" si="74"/>
        <v>25256.630146849748</v>
      </c>
      <c r="AG422" s="187">
        <f>model_eui_end_uses!AH422*base_building_arch_areas!$N$15</f>
        <v>-156.96416867544136</v>
      </c>
      <c r="AH422" s="187">
        <f>model_eui_end_uses!AI422*base_building_arch_areas!$N$15</f>
        <v>3948.8727288362975</v>
      </c>
      <c r="AI422" s="187">
        <f t="shared" si="75"/>
        <v>3791.9085601608563</v>
      </c>
      <c r="AJ422" s="200">
        <f>sim_annual_output!F422/sim_annual_output!H422*base_building_arch_areas!$N$15</f>
        <v>1839061.5143279615</v>
      </c>
      <c r="AK422">
        <f t="shared" si="76"/>
        <v>484.99627170596824</v>
      </c>
    </row>
    <row r="423" spans="1:37">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f>model_eui_end_uses!G423*base_scenario_arch_measures!$F423</f>
        <v>0.90453134435591287</v>
      </c>
      <c r="H423">
        <f>model_eui_end_uses!H423*base_scenario_arch_measures!$F423</f>
        <v>24.897345777226526</v>
      </c>
      <c r="I423">
        <f>model_eui_end_uses!I423*base_scenario_arch_measures!$F423</f>
        <v>0.11398541224844828</v>
      </c>
      <c r="J423">
        <f>model_eui_end_uses!J423*base_scenario_arch_measures!$F423</f>
        <v>0</v>
      </c>
      <c r="K423">
        <f>model_eui_end_uses!K423*base_scenario_arch_measures!$F423</f>
        <v>1.6001496948380174</v>
      </c>
      <c r="L423">
        <f>model_eui_end_uses!L423*base_scenario_arch_measures!$F423</f>
        <v>3.6431190066755907</v>
      </c>
      <c r="M423">
        <f>model_eui_end_uses!M423*base_scenario_arch_measures!$F423</f>
        <v>0.45203968999665495</v>
      </c>
      <c r="N423">
        <f>model_eui_end_uses!N423*base_scenario_arch_measures!$F423</f>
        <v>0.34781670798042902</v>
      </c>
      <c r="O423">
        <f>model_eui_end_uses!O423*base_scenario_arch_measures!$F423</f>
        <v>1.0947782100542216</v>
      </c>
      <c r="P423">
        <f>model_eui_end_uses!P423*base_scenario_arch_measures!$F423</f>
        <v>0.31971959010528278</v>
      </c>
      <c r="Q423">
        <f>model_eui_end_uses!Q423*base_scenario_arch_measures!$F423</f>
        <v>0</v>
      </c>
      <c r="R423" s="187">
        <f>model_eui_end_uses!R423*base_building_arch_areas!$N$15</f>
        <v>194469.77632533939</v>
      </c>
      <c r="S423" s="187">
        <f>model_eui_end_uses!S423*base_building_arch_areas!$N$15</f>
        <v>5577524.4190746117</v>
      </c>
      <c r="T423" s="187">
        <f>model_eui_end_uses!T423*base_building_arch_areas!$N$15</f>
        <v>21306.359308032865</v>
      </c>
      <c r="U423" s="187">
        <f>model_eui_end_uses!U423*base_building_arch_areas!$N$15</f>
        <v>0</v>
      </c>
      <c r="V423" s="187">
        <f>model_eui_end_uses!V423*base_building_arch_areas!$N$15</f>
        <v>370359.68212989549</v>
      </c>
      <c r="W423" s="187">
        <f>model_eui_end_uses!W423*base_building_arch_areas!$N$15</f>
        <v>843116.10235791188</v>
      </c>
      <c r="X423" s="187">
        <f>model_eui_end_uses!X423*base_building_arch_areas!$N$15</f>
        <v>104614.18933685585</v>
      </c>
      <c r="Y423" s="187">
        <f>model_eui_end_uses!Y423*base_building_arch_areas!$N$15</f>
        <v>80494.177277786745</v>
      </c>
      <c r="Z423" s="187">
        <f>model_eui_end_uses!Z423*base_building_arch_areas!$N$15</f>
        <v>263674.47701346641</v>
      </c>
      <c r="AA423" s="187">
        <f>model_eui_end_uses!AA423*base_building_arch_areas!$N$15</f>
        <v>65951.74155960558</v>
      </c>
      <c r="AB423" s="187">
        <f>model_eui_end_uses!AB423*base_building_arch_areas!$N$15</f>
        <v>0</v>
      </c>
      <c r="AC423" s="187">
        <f>model_eui_end_uses!AC423*base_building_arch_areas!$N$15</f>
        <v>7521510.9243835062</v>
      </c>
      <c r="AD423" s="187">
        <f>model_eui_end_uses!AD423*base_building_arch_areas!$N$15</f>
        <v>-184351.78340897354</v>
      </c>
      <c r="AE423" s="187">
        <f>model_eui_end_uses!AE423*base_building_arch_areas!$N$15</f>
        <v>-17662.905621746791</v>
      </c>
      <c r="AF423" s="187">
        <f t="shared" si="74"/>
        <v>-202014.68903072033</v>
      </c>
      <c r="AG423" s="187">
        <f>model_eui_end_uses!AH423*base_building_arch_areas!$N$15</f>
        <v>-2986.4988912253716</v>
      </c>
      <c r="AH423" s="187">
        <f>model_eui_end_uses!AI423*base_building_arch_areas!$N$15</f>
        <v>-1995.9083352573875</v>
      </c>
      <c r="AI423" s="187">
        <f t="shared" si="75"/>
        <v>-4982.4072264827591</v>
      </c>
      <c r="AJ423" s="200">
        <f>sim_annual_output!F423/sim_annual_output!H423*base_building_arch_areas!$N$15</f>
        <v>1688513.258451249</v>
      </c>
      <c r="AK423">
        <f t="shared" si="76"/>
        <v>-338.89507254171684</v>
      </c>
    </row>
    <row r="424" spans="1:37">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f>model_eui_end_uses!G424*base_scenario_arch_measures!$F424</f>
        <v>0.95732078190793002</v>
      </c>
      <c r="H424">
        <f>model_eui_end_uses!H424*base_scenario_arch_measures!$F424</f>
        <v>25.019059780075484</v>
      </c>
      <c r="I424">
        <f>model_eui_end_uses!I424*base_scenario_arch_measures!$F424</f>
        <v>0.11380462650340714</v>
      </c>
      <c r="J424">
        <f>model_eui_end_uses!J424*base_scenario_arch_measures!$F424</f>
        <v>0</v>
      </c>
      <c r="K424">
        <f>model_eui_end_uses!K424*base_scenario_arch_measures!$F424</f>
        <v>1.6001496948380174</v>
      </c>
      <c r="L424">
        <f>model_eui_end_uses!L424*base_scenario_arch_measures!$F424</f>
        <v>3.6431190066755907</v>
      </c>
      <c r="M424">
        <f>model_eui_end_uses!M424*base_scenario_arch_measures!$F424</f>
        <v>0.45203968999665495</v>
      </c>
      <c r="N424">
        <f>model_eui_end_uses!N424*base_scenario_arch_measures!$F424</f>
        <v>0.34781670798042902</v>
      </c>
      <c r="O424">
        <f>model_eui_end_uses!O424*base_scenario_arch_measures!$F424</f>
        <v>1.1147550348812694</v>
      </c>
      <c r="P424">
        <f>model_eui_end_uses!P424*base_scenario_arch_measures!$F424</f>
        <v>0.32185888808826985</v>
      </c>
      <c r="Q424">
        <f>model_eui_end_uses!Q424*base_scenario_arch_measures!$F424</f>
        <v>0</v>
      </c>
      <c r="R424" s="187">
        <f>model_eui_end_uses!R424*base_building_arch_areas!$N$15</f>
        <v>194469.77632533939</v>
      </c>
      <c r="S424" s="187">
        <f>model_eui_end_uses!S424*base_building_arch_areas!$N$15</f>
        <v>5577524.4190746117</v>
      </c>
      <c r="T424" s="187">
        <f>model_eui_end_uses!T424*base_building_arch_areas!$N$15</f>
        <v>21306.359308032865</v>
      </c>
      <c r="U424" s="187">
        <f>model_eui_end_uses!U424*base_building_arch_areas!$N$15</f>
        <v>0</v>
      </c>
      <c r="V424" s="187">
        <f>model_eui_end_uses!V424*base_building_arch_areas!$N$15</f>
        <v>370359.68212989549</v>
      </c>
      <c r="W424" s="187">
        <f>model_eui_end_uses!W424*base_building_arch_areas!$N$15</f>
        <v>843116.10235791188</v>
      </c>
      <c r="X424" s="187">
        <f>model_eui_end_uses!X424*base_building_arch_areas!$N$15</f>
        <v>104614.18933685585</v>
      </c>
      <c r="Y424" s="187">
        <f>model_eui_end_uses!Y424*base_building_arch_areas!$N$15</f>
        <v>80494.177277786745</v>
      </c>
      <c r="Z424" s="187">
        <f>model_eui_end_uses!Z424*base_building_arch_areas!$N$15</f>
        <v>263674.47701346641</v>
      </c>
      <c r="AA424" s="187">
        <f>model_eui_end_uses!AA424*base_building_arch_areas!$N$15</f>
        <v>65951.74155960558</v>
      </c>
      <c r="AB424" s="187">
        <f>model_eui_end_uses!AB424*base_building_arch_areas!$N$15</f>
        <v>0</v>
      </c>
      <c r="AC424" s="187">
        <f>model_eui_end_uses!AC424*base_building_arch_areas!$N$15</f>
        <v>7521510.9243835062</v>
      </c>
      <c r="AD424" s="187">
        <f>model_eui_end_uses!AD424*base_building_arch_areas!$N$15</f>
        <v>-212519.68994629884</v>
      </c>
      <c r="AE424" s="187">
        <f>model_eui_end_uses!AE424*base_building_arch_areas!$N$15</f>
        <v>-34956.236037037772</v>
      </c>
      <c r="AF424" s="187">
        <f t="shared" si="74"/>
        <v>-247475.92598333661</v>
      </c>
      <c r="AG424" s="187">
        <f>model_eui_end_uses!AH424*base_building_arch_areas!$N$15</f>
        <v>-3442.8189771300404</v>
      </c>
      <c r="AH424" s="187">
        <f>model_eui_end_uses!AI424*base_building_arch_areas!$N$15</f>
        <v>-3950.0546721852688</v>
      </c>
      <c r="AI424" s="187">
        <f t="shared" si="75"/>
        <v>-7392.8736493153092</v>
      </c>
      <c r="AJ424" s="200">
        <f>sim_annual_output!F424/sim_annual_output!H424*base_building_arch_areas!$N$15</f>
        <v>301414.81563094282</v>
      </c>
      <c r="AK424">
        <f t="shared" si="76"/>
        <v>-40.770995140551108</v>
      </c>
    </row>
    <row r="425" spans="1:37">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f>model_eui_end_uses!G425*base_scenario_arch_measures!$F425</f>
        <v>0.83327162985219083</v>
      </c>
      <c r="H425">
        <f>model_eui_end_uses!H425*base_scenario_arch_measures!$F425</f>
        <v>23.704581693359998</v>
      </c>
      <c r="I425">
        <f>model_eui_end_uses!I425*base_scenario_arch_measures!$F425</f>
        <v>0.10015530275279994</v>
      </c>
      <c r="J425">
        <f>model_eui_end_uses!J425*base_scenario_arch_measures!$F425</f>
        <v>0</v>
      </c>
      <c r="K425">
        <f>model_eui_end_uses!K425*base_scenario_arch_measures!$F425</f>
        <v>1.6003003496255519</v>
      </c>
      <c r="L425">
        <f>model_eui_end_uses!L425*base_scenario_arch_measures!$F425</f>
        <v>3.6431190066755907</v>
      </c>
      <c r="M425">
        <f>model_eui_end_uses!M425*base_scenario_arch_measures!$F425</f>
        <v>0.45203968999665495</v>
      </c>
      <c r="N425">
        <f>model_eui_end_uses!N425*base_scenario_arch_measures!$F425</f>
        <v>0.34781670798042902</v>
      </c>
      <c r="O425">
        <f>model_eui_end_uses!O425*base_scenario_arch_measures!$F425</f>
        <v>1.127756543045479</v>
      </c>
      <c r="P425">
        <f>model_eui_end_uses!P425*base_scenario_arch_measures!$F425</f>
        <v>0.28663579876275141</v>
      </c>
      <c r="Q425">
        <f>model_eui_end_uses!Q425*base_scenario_arch_measures!$F425</f>
        <v>0</v>
      </c>
      <c r="R425" s="187">
        <f>model_eui_end_uses!R425*base_building_arch_areas!$N$15</f>
        <v>194469.77632533939</v>
      </c>
      <c r="S425" s="187">
        <f>model_eui_end_uses!S425*base_building_arch_areas!$N$15</f>
        <v>5577524.4190746117</v>
      </c>
      <c r="T425" s="187">
        <f>model_eui_end_uses!T425*base_building_arch_areas!$N$15</f>
        <v>21306.359308032865</v>
      </c>
      <c r="U425" s="187">
        <f>model_eui_end_uses!U425*base_building_arch_areas!$N$15</f>
        <v>0</v>
      </c>
      <c r="V425" s="187">
        <f>model_eui_end_uses!V425*base_building_arch_areas!$N$15</f>
        <v>370359.68212989549</v>
      </c>
      <c r="W425" s="187">
        <f>model_eui_end_uses!W425*base_building_arch_areas!$N$15</f>
        <v>843116.10235791188</v>
      </c>
      <c r="X425" s="187">
        <f>model_eui_end_uses!X425*base_building_arch_areas!$N$15</f>
        <v>104614.18933685585</v>
      </c>
      <c r="Y425" s="187">
        <f>model_eui_end_uses!Y425*base_building_arch_areas!$N$15</f>
        <v>80494.177277786745</v>
      </c>
      <c r="Z425" s="187">
        <f>model_eui_end_uses!Z425*base_building_arch_areas!$N$15</f>
        <v>263674.47701346641</v>
      </c>
      <c r="AA425" s="187">
        <f>model_eui_end_uses!AA425*base_building_arch_areas!$N$15</f>
        <v>65951.74155960558</v>
      </c>
      <c r="AB425" s="187">
        <f>model_eui_end_uses!AB425*base_building_arch_areas!$N$15</f>
        <v>0</v>
      </c>
      <c r="AC425" s="187">
        <f>model_eui_end_uses!AC425*base_building_arch_areas!$N$15</f>
        <v>7521510.9243835062</v>
      </c>
      <c r="AD425" s="187">
        <f>model_eui_end_uses!AD425*base_building_arch_areas!$N$15</f>
        <v>91651.164642490417</v>
      </c>
      <c r="AE425" s="187">
        <f>model_eui_end_uses!AE425*base_building_arch_areas!$N$15</f>
        <v>2053.5829868156156</v>
      </c>
      <c r="AF425" s="187">
        <f t="shared" si="74"/>
        <v>93704.747629306032</v>
      </c>
      <c r="AG425" s="187">
        <f>model_eui_end_uses!AH425*base_building_arch_areas!$N$15</f>
        <v>1484.7488672083448</v>
      </c>
      <c r="AH425" s="187">
        <f>model_eui_end_uses!AI425*base_building_arch_areas!$N$15</f>
        <v>232.0548775101646</v>
      </c>
      <c r="AI425" s="187">
        <f t="shared" si="75"/>
        <v>1716.8037447185093</v>
      </c>
      <c r="AJ425" s="200">
        <f>sim_annual_output!F425/sim_annual_output!H425*base_building_arch_areas!$N$15</f>
        <v>14754.364433521354</v>
      </c>
      <c r="AK425">
        <f t="shared" si="76"/>
        <v>8.594089149042782</v>
      </c>
    </row>
    <row r="426" spans="1:37">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f>model_eui_end_uses!G426*base_scenario_arch_measures!$F426</f>
        <v>0.7796837219262418</v>
      </c>
      <c r="H426">
        <f>model_eui_end_uses!H426*base_scenario_arch_measures!$F426</f>
        <v>15.188503452930101</v>
      </c>
      <c r="I426">
        <f>model_eui_end_uses!I426*base_scenario_arch_measures!$F426</f>
        <v>0.2174400548482493</v>
      </c>
      <c r="J426">
        <f>model_eui_end_uses!J426*base_scenario_arch_measures!$F426</f>
        <v>0</v>
      </c>
      <c r="K426">
        <f>model_eui_end_uses!K426*base_scenario_arch_measures!$F426</f>
        <v>1.6002702186680446</v>
      </c>
      <c r="L426">
        <f>model_eui_end_uses!L426*base_scenario_arch_measures!$F426</f>
        <v>3.6431190066755907</v>
      </c>
      <c r="M426">
        <f>model_eui_end_uses!M426*base_scenario_arch_measures!$F426</f>
        <v>0.45203968999665495</v>
      </c>
      <c r="N426">
        <f>model_eui_end_uses!N426*base_scenario_arch_measures!$F426</f>
        <v>0.34781670798042902</v>
      </c>
      <c r="O426">
        <f>model_eui_end_uses!O426*base_scenario_arch_measures!$F426</f>
        <v>1.1393418962068664</v>
      </c>
      <c r="P426">
        <f>model_eui_end_uses!P426*base_scenario_arch_measures!$F426</f>
        <v>0.28668099519901175</v>
      </c>
      <c r="Q426">
        <f>model_eui_end_uses!Q426*base_scenario_arch_measures!$F426</f>
        <v>0.21299573861598761</v>
      </c>
      <c r="R426" s="187">
        <f>model_eui_end_uses!R426*base_building_arch_areas!$N$15</f>
        <v>194469.77632533939</v>
      </c>
      <c r="S426" s="187">
        <f>model_eui_end_uses!S426*base_building_arch_areas!$N$15</f>
        <v>5577524.4190746117</v>
      </c>
      <c r="T426" s="187">
        <f>model_eui_end_uses!T426*base_building_arch_areas!$N$15</f>
        <v>21306.359308032865</v>
      </c>
      <c r="U426" s="187">
        <f>model_eui_end_uses!U426*base_building_arch_areas!$N$15</f>
        <v>0</v>
      </c>
      <c r="V426" s="187">
        <f>model_eui_end_uses!V426*base_building_arch_areas!$N$15</f>
        <v>370359.68212989549</v>
      </c>
      <c r="W426" s="187">
        <f>model_eui_end_uses!W426*base_building_arch_areas!$N$15</f>
        <v>843116.10235791188</v>
      </c>
      <c r="X426" s="187">
        <f>model_eui_end_uses!X426*base_building_arch_areas!$N$15</f>
        <v>104614.18933685585</v>
      </c>
      <c r="Y426" s="187">
        <f>model_eui_end_uses!Y426*base_building_arch_areas!$N$15</f>
        <v>80494.177277786745</v>
      </c>
      <c r="Z426" s="187">
        <f>model_eui_end_uses!Z426*base_building_arch_areas!$N$15</f>
        <v>263674.47701346641</v>
      </c>
      <c r="AA426" s="187">
        <f>model_eui_end_uses!AA426*base_building_arch_areas!$N$15</f>
        <v>65951.74155960558</v>
      </c>
      <c r="AB426" s="187">
        <f>model_eui_end_uses!AB426*base_building_arch_areas!$N$15</f>
        <v>0</v>
      </c>
      <c r="AC426" s="187">
        <f>model_eui_end_uses!AC426*base_building_arch_areas!$N$15</f>
        <v>7521510.9243835062</v>
      </c>
      <c r="AD426" s="187">
        <f>model_eui_end_uses!AD426*base_building_arch_areas!$N$15</f>
        <v>2062508.5767075641</v>
      </c>
      <c r="AE426" s="187">
        <f>model_eui_end_uses!AE426*base_building_arch_areas!$N$15</f>
        <v>-64672.174571216055</v>
      </c>
      <c r="AF426" s="187">
        <f t="shared" si="74"/>
        <v>1997836.402136348</v>
      </c>
      <c r="AG426" s="187">
        <f>model_eui_end_uses!AH426*base_building_arch_areas!$N$15</f>
        <v>33412.638942662539</v>
      </c>
      <c r="AH426" s="187">
        <f>model_eui_end_uses!AI426*base_building_arch_areas!$N$15</f>
        <v>-7307.9557265474141</v>
      </c>
      <c r="AI426" s="187">
        <f t="shared" si="75"/>
        <v>26104.683216115125</v>
      </c>
      <c r="AJ426" s="200">
        <f>sim_annual_output!F426/sim_annual_output!H426*base_building_arch_areas!$N$15</f>
        <v>986217.68380902498</v>
      </c>
      <c r="AK426">
        <f t="shared" si="76"/>
        <v>37.779339271974244</v>
      </c>
    </row>
    <row r="427" spans="1:37">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f>model_eui_end_uses!G427*base_scenario_arch_measures!$F427</f>
        <v>0.57098164475498148</v>
      </c>
      <c r="H427">
        <f>model_eui_end_uses!H427*base_scenario_arch_measures!$F427</f>
        <v>21.528222632639558</v>
      </c>
      <c r="I427">
        <f>model_eui_end_uses!I427*base_scenario_arch_measures!$F427</f>
        <v>9.5515135296743617E-2</v>
      </c>
      <c r="J427">
        <f>model_eui_end_uses!J427*base_scenario_arch_measures!$F427</f>
        <v>0</v>
      </c>
      <c r="K427">
        <f>model_eui_end_uses!K427*base_scenario_arch_measures!$F427</f>
        <v>1.6002250222317844</v>
      </c>
      <c r="L427">
        <f>model_eui_end_uses!L427*base_scenario_arch_measures!$F427</f>
        <v>3.6431190066755907</v>
      </c>
      <c r="M427">
        <f>model_eui_end_uses!M427*base_scenario_arch_measures!$F427</f>
        <v>0.45203968999665495</v>
      </c>
      <c r="N427">
        <f>model_eui_end_uses!N427*base_scenario_arch_measures!$F427</f>
        <v>0.34781670798042902</v>
      </c>
      <c r="O427">
        <f>model_eui_end_uses!O427*base_scenario_arch_measures!$F427</f>
        <v>0.97428451098429181</v>
      </c>
      <c r="P427">
        <f>model_eui_end_uses!P427*base_scenario_arch_measures!$F427</f>
        <v>0.22678065167537564</v>
      </c>
      <c r="Q427">
        <f>model_eui_end_uses!Q427*base_scenario_arch_measures!$F427</f>
        <v>0</v>
      </c>
      <c r="R427" s="187">
        <f>model_eui_end_uses!R427*base_building_arch_areas!$N$15</f>
        <v>194469.77632533939</v>
      </c>
      <c r="S427" s="187">
        <f>model_eui_end_uses!S427*base_building_arch_areas!$N$15</f>
        <v>5577524.4190746117</v>
      </c>
      <c r="T427" s="187">
        <f>model_eui_end_uses!T427*base_building_arch_areas!$N$15</f>
        <v>21306.359308032865</v>
      </c>
      <c r="U427" s="187">
        <f>model_eui_end_uses!U427*base_building_arch_areas!$N$15</f>
        <v>0</v>
      </c>
      <c r="V427" s="187">
        <f>model_eui_end_uses!V427*base_building_arch_areas!$N$15</f>
        <v>370359.68212989549</v>
      </c>
      <c r="W427" s="187">
        <f>model_eui_end_uses!W427*base_building_arch_areas!$N$15</f>
        <v>843116.10235791188</v>
      </c>
      <c r="X427" s="187">
        <f>model_eui_end_uses!X427*base_building_arch_areas!$N$15</f>
        <v>104614.18933685585</v>
      </c>
      <c r="Y427" s="187">
        <f>model_eui_end_uses!Y427*base_building_arch_areas!$N$15</f>
        <v>80494.177277786745</v>
      </c>
      <c r="Z427" s="187">
        <f>model_eui_end_uses!Z427*base_building_arch_areas!$N$15</f>
        <v>263674.47701346641</v>
      </c>
      <c r="AA427" s="187">
        <f>model_eui_end_uses!AA427*base_building_arch_areas!$N$15</f>
        <v>65951.74155960558</v>
      </c>
      <c r="AB427" s="187">
        <f>model_eui_end_uses!AB427*base_building_arch_areas!$N$15</f>
        <v>0</v>
      </c>
      <c r="AC427" s="187">
        <f>model_eui_end_uses!AC427*base_building_arch_areas!$N$15</f>
        <v>7521510.9243835062</v>
      </c>
      <c r="AD427" s="187">
        <f>model_eui_end_uses!AD427*base_building_arch_areas!$N$15</f>
        <v>595336.84578059765</v>
      </c>
      <c r="AE427" s="187">
        <f>model_eui_end_uses!AE427*base_building_arch_areas!$N$15</f>
        <v>113198.09649057471</v>
      </c>
      <c r="AF427" s="187">
        <f t="shared" si="74"/>
        <v>708534.9422711723</v>
      </c>
      <c r="AG427" s="187">
        <f>model_eui_end_uses!AH427*base_building_arch_areas!$N$15</f>
        <v>9644.4569016456808</v>
      </c>
      <c r="AH427" s="187">
        <f>model_eui_end_uses!AI427*base_building_arch_areas!$N$15</f>
        <v>12791.384903434942</v>
      </c>
      <c r="AI427" s="187">
        <f t="shared" si="75"/>
        <v>22435.841805080621</v>
      </c>
      <c r="AJ427" s="200">
        <f>sim_annual_output!F427/sim_annual_output!H427*base_building_arch_areas!$N$15</f>
        <v>139765.80132232071</v>
      </c>
      <c r="AK427">
        <f t="shared" si="76"/>
        <v>6.229576876882355</v>
      </c>
    </row>
    <row r="428" spans="1:37">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f>model_eui_end_uses!G428*base_scenario_arch_measures!$F428</f>
        <v>0.66535180366646463</v>
      </c>
      <c r="H428">
        <f>model_eui_end_uses!H428*base_scenario_arch_measures!$F428</f>
        <v>26.829478361875118</v>
      </c>
      <c r="I428">
        <f>model_eui_end_uses!I428*base_scenario_arch_measures!$F428</f>
        <v>0.24440726181688827</v>
      </c>
      <c r="J428">
        <f>model_eui_end_uses!J428*base_scenario_arch_measures!$F428</f>
        <v>0</v>
      </c>
      <c r="K428">
        <f>model_eui_end_uses!K428*base_scenario_arch_measures!$F428</f>
        <v>1.5998634507417022</v>
      </c>
      <c r="L428">
        <f>model_eui_end_uses!L428*base_scenario_arch_measures!$F428</f>
        <v>3.6431190066755907</v>
      </c>
      <c r="M428">
        <f>model_eui_end_uses!M428*base_scenario_arch_measures!$F428</f>
        <v>0.45203968999665495</v>
      </c>
      <c r="N428">
        <f>model_eui_end_uses!N428*base_scenario_arch_measures!$F428</f>
        <v>0.34781670798042902</v>
      </c>
      <c r="O428">
        <f>model_eui_end_uses!O428*base_scenario_arch_measures!$F428</f>
        <v>0.74200495956391421</v>
      </c>
      <c r="P428">
        <f>model_eui_end_uses!P428*base_scenario_arch_measures!$F428</f>
        <v>0.23655814738635147</v>
      </c>
      <c r="Q428">
        <f>model_eui_end_uses!Q428*base_scenario_arch_measures!$F428</f>
        <v>0</v>
      </c>
      <c r="R428" s="187">
        <f>model_eui_end_uses!R428*base_building_arch_areas!$N$15</f>
        <v>194469.77632533939</v>
      </c>
      <c r="S428" s="187">
        <f>model_eui_end_uses!S428*base_building_arch_areas!$N$15</f>
        <v>5577524.4190746117</v>
      </c>
      <c r="T428" s="187">
        <f>model_eui_end_uses!T428*base_building_arch_areas!$N$15</f>
        <v>21306.359308032865</v>
      </c>
      <c r="U428" s="187">
        <f>model_eui_end_uses!U428*base_building_arch_areas!$N$15</f>
        <v>0</v>
      </c>
      <c r="V428" s="187">
        <f>model_eui_end_uses!V428*base_building_arch_areas!$N$15</f>
        <v>370359.68212989549</v>
      </c>
      <c r="W428" s="187">
        <f>model_eui_end_uses!W428*base_building_arch_areas!$N$15</f>
        <v>843116.10235791188</v>
      </c>
      <c r="X428" s="187">
        <f>model_eui_end_uses!X428*base_building_arch_areas!$N$15</f>
        <v>104614.18933685585</v>
      </c>
      <c r="Y428" s="187">
        <f>model_eui_end_uses!Y428*base_building_arch_areas!$N$15</f>
        <v>80494.177277786745</v>
      </c>
      <c r="Z428" s="187">
        <f>model_eui_end_uses!Z428*base_building_arch_areas!$N$15</f>
        <v>263674.47701346641</v>
      </c>
      <c r="AA428" s="187">
        <f>model_eui_end_uses!AA428*base_building_arch_areas!$N$15</f>
        <v>65951.74155960558</v>
      </c>
      <c r="AB428" s="187">
        <f>model_eui_end_uses!AB428*base_building_arch_areas!$N$15</f>
        <v>0</v>
      </c>
      <c r="AC428" s="187">
        <f>model_eui_end_uses!AC428*base_building_arch_areas!$N$15</f>
        <v>7521510.9243835062</v>
      </c>
      <c r="AD428" s="187">
        <f>model_eui_end_uses!AD428*base_building_arch_areas!$N$15</f>
        <v>-631433.18646396534</v>
      </c>
      <c r="AE428" s="187">
        <f>model_eui_end_uses!AE428*base_building_arch_areas!$N$15</f>
        <v>108393.61880664896</v>
      </c>
      <c r="AF428" s="187">
        <f t="shared" si="74"/>
        <v>-523039.56765731639</v>
      </c>
      <c r="AG428" s="187">
        <f>model_eui_end_uses!AH428*base_building_arch_areas!$N$15</f>
        <v>-10229.217620716237</v>
      </c>
      <c r="AH428" s="187">
        <f>model_eui_end_uses!AI428*base_building_arch_areas!$N$15</f>
        <v>12248.478925151332</v>
      </c>
      <c r="AI428" s="187">
        <f t="shared" si="75"/>
        <v>2019.2613044350946</v>
      </c>
      <c r="AJ428" s="200">
        <f>sim_annual_output!F428/sim_annual_output!H428*base_building_arch_areas!$N$15</f>
        <v>159215.35205560032</v>
      </c>
      <c r="AK428">
        <f t="shared" si="76"/>
        <v>78.84831532496591</v>
      </c>
    </row>
    <row r="429" spans="1:37">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f>model_eui_end_uses!G429*base_scenario_arch_measures!$F429</f>
        <v>0.89876126599334916</v>
      </c>
      <c r="H429">
        <f>model_eui_end_uses!H429*base_scenario_arch_measures!$F429</f>
        <v>24.429803709592594</v>
      </c>
      <c r="I429">
        <f>model_eui_end_uses!I429*base_scenario_arch_measures!$F429</f>
        <v>8.9609467625399217E-2</v>
      </c>
      <c r="J429">
        <f>model_eui_end_uses!J429*base_scenario_arch_measures!$F429</f>
        <v>0</v>
      </c>
      <c r="K429">
        <f>model_eui_end_uses!K429*base_scenario_arch_measures!$F429</f>
        <v>1.6003606115405655</v>
      </c>
      <c r="L429">
        <f>model_eui_end_uses!L429*base_scenario_arch_measures!$F429</f>
        <v>2.5501787850292876</v>
      </c>
      <c r="M429">
        <f>model_eui_end_uses!M429*base_scenario_arch_measures!$F429</f>
        <v>0.45203968999665495</v>
      </c>
      <c r="N429">
        <f>model_eui_end_uses!N429*base_scenario_arch_measures!$F429</f>
        <v>0.34781670798042902</v>
      </c>
      <c r="O429">
        <f>model_eui_end_uses!O429*base_scenario_arch_measures!$F429</f>
        <v>1.1372929910964</v>
      </c>
      <c r="P429">
        <f>model_eui_end_uses!P429*base_scenario_arch_measures!$F429</f>
        <v>0.28615370344264163</v>
      </c>
      <c r="Q429">
        <f>model_eui_end_uses!Q429*base_scenario_arch_measures!$F429</f>
        <v>0</v>
      </c>
      <c r="R429" s="187">
        <f>model_eui_end_uses!R429*base_building_arch_areas!$N$15</f>
        <v>194469.77632533939</v>
      </c>
      <c r="S429" s="187">
        <f>model_eui_end_uses!S429*base_building_arch_areas!$N$15</f>
        <v>5577524.4190746117</v>
      </c>
      <c r="T429" s="187">
        <f>model_eui_end_uses!T429*base_building_arch_areas!$N$15</f>
        <v>21306.359308032865</v>
      </c>
      <c r="U429" s="187">
        <f>model_eui_end_uses!U429*base_building_arch_areas!$N$15</f>
        <v>0</v>
      </c>
      <c r="V429" s="187">
        <f>model_eui_end_uses!V429*base_building_arch_areas!$N$15</f>
        <v>370359.68212989549</v>
      </c>
      <c r="W429" s="187">
        <f>model_eui_end_uses!W429*base_building_arch_areas!$N$15</f>
        <v>843116.10235791188</v>
      </c>
      <c r="X429" s="187">
        <f>model_eui_end_uses!X429*base_building_arch_areas!$N$15</f>
        <v>104614.18933685585</v>
      </c>
      <c r="Y429" s="187">
        <f>model_eui_end_uses!Y429*base_building_arch_areas!$N$15</f>
        <v>80494.177277786745</v>
      </c>
      <c r="Z429" s="187">
        <f>model_eui_end_uses!Z429*base_building_arch_areas!$N$15</f>
        <v>263674.47701346641</v>
      </c>
      <c r="AA429" s="187">
        <f>model_eui_end_uses!AA429*base_building_arch_areas!$N$15</f>
        <v>65951.74155960558</v>
      </c>
      <c r="AB429" s="187">
        <f>model_eui_end_uses!AB429*base_building_arch_areas!$N$15</f>
        <v>0</v>
      </c>
      <c r="AC429" s="187">
        <f>model_eui_end_uses!AC429*base_building_arch_areas!$N$15</f>
        <v>7521510.9243835062</v>
      </c>
      <c r="AD429" s="187">
        <f>model_eui_end_uses!AD429*base_building_arch_areas!$N$15</f>
        <v>-76198.737142375481</v>
      </c>
      <c r="AE429" s="187">
        <f>model_eui_end_uses!AE429*base_building_arch_areas!$N$15</f>
        <v>240178.55893511011</v>
      </c>
      <c r="AF429" s="187">
        <f t="shared" si="74"/>
        <v>163979.82179273461</v>
      </c>
      <c r="AG429" s="187">
        <f>model_eui_end_uses!AH429*base_building_arch_areas!$N$15</f>
        <v>-1234.4195417064827</v>
      </c>
      <c r="AH429" s="187">
        <f>model_eui_end_uses!AI429*base_building_arch_areas!$N$15</f>
        <v>27140.177159667441</v>
      </c>
      <c r="AI429" s="187">
        <f t="shared" si="75"/>
        <v>25905.757617960957</v>
      </c>
      <c r="AJ429" s="200">
        <f>sim_annual_output!F429/sim_annual_output!H429*base_building_arch_areas!$N$15</f>
        <v>287755.30325705075</v>
      </c>
      <c r="AK429">
        <f t="shared" si="76"/>
        <v>11.107774090248745</v>
      </c>
    </row>
    <row r="430" spans="1:37">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f>model_eui_end_uses!G430*base_scenario_arch_measures!$F430</f>
        <v>0.66535180366646463</v>
      </c>
      <c r="H430">
        <f>model_eui_end_uses!H430*base_scenario_arch_measures!$F430</f>
        <v>24.787473240677766</v>
      </c>
      <c r="I430">
        <f>model_eui_end_uses!I430*base_scenario_arch_measures!$F430</f>
        <v>0.24440726181688827</v>
      </c>
      <c r="J430">
        <f>model_eui_end_uses!J430*base_scenario_arch_measures!$F430</f>
        <v>0</v>
      </c>
      <c r="K430">
        <f>model_eui_end_uses!K430*base_scenario_arch_measures!$F430</f>
        <v>1.5998634507417022</v>
      </c>
      <c r="L430">
        <f>model_eui_end_uses!L430*base_scenario_arch_measures!$F430</f>
        <v>3.6431190066755907</v>
      </c>
      <c r="M430">
        <f>model_eui_end_uses!M430*base_scenario_arch_measures!$F430</f>
        <v>0.45203968999665495</v>
      </c>
      <c r="N430">
        <f>model_eui_end_uses!N430*base_scenario_arch_measures!$F430</f>
        <v>0.34781670798042902</v>
      </c>
      <c r="O430">
        <f>model_eui_end_uses!O430*base_scenario_arch_measures!$F430</f>
        <v>0.74200495956391421</v>
      </c>
      <c r="P430">
        <f>model_eui_end_uses!P430*base_scenario_arch_measures!$F430</f>
        <v>0.23655814738635147</v>
      </c>
      <c r="Q430">
        <f>model_eui_end_uses!Q430*base_scenario_arch_measures!$F430</f>
        <v>0</v>
      </c>
      <c r="R430" s="187">
        <f>model_eui_end_uses!R430*base_building_arch_areas!$N$15</f>
        <v>194469.77632533939</v>
      </c>
      <c r="S430" s="187">
        <f>model_eui_end_uses!S430*base_building_arch_areas!$N$15</f>
        <v>5577524.4190746117</v>
      </c>
      <c r="T430" s="187">
        <f>model_eui_end_uses!T430*base_building_arch_areas!$N$15</f>
        <v>21306.359308032865</v>
      </c>
      <c r="U430" s="187">
        <f>model_eui_end_uses!U430*base_building_arch_areas!$N$15</f>
        <v>0</v>
      </c>
      <c r="V430" s="187">
        <f>model_eui_end_uses!V430*base_building_arch_areas!$N$15</f>
        <v>370359.68212989549</v>
      </c>
      <c r="W430" s="187">
        <f>model_eui_end_uses!W430*base_building_arch_areas!$N$15</f>
        <v>843116.10235791188</v>
      </c>
      <c r="X430" s="187">
        <f>model_eui_end_uses!X430*base_building_arch_areas!$N$15</f>
        <v>104614.18933685585</v>
      </c>
      <c r="Y430" s="187">
        <f>model_eui_end_uses!Y430*base_building_arch_areas!$N$15</f>
        <v>80494.177277786745</v>
      </c>
      <c r="Z430" s="187">
        <f>model_eui_end_uses!Z430*base_building_arch_areas!$N$15</f>
        <v>263674.47701346641</v>
      </c>
      <c r="AA430" s="187">
        <f>model_eui_end_uses!AA430*base_building_arch_areas!$N$15</f>
        <v>65951.74155960558</v>
      </c>
      <c r="AB430" s="187">
        <f>model_eui_end_uses!AB430*base_building_arch_areas!$N$15</f>
        <v>0</v>
      </c>
      <c r="AC430" s="187">
        <f>model_eui_end_uses!AC430*base_building_arch_areas!$N$15</f>
        <v>7521510.9243835062</v>
      </c>
      <c r="AD430" s="187">
        <f>model_eui_end_uses!AD430*base_building_arch_areas!$N$15</f>
        <v>-158858.0672806252</v>
      </c>
      <c r="AE430" s="187">
        <f>model_eui_end_uses!AE430*base_building_arch_areas!$N$15</f>
        <v>108393.61880664896</v>
      </c>
      <c r="AF430" s="187">
        <f t="shared" si="74"/>
        <v>-50464.448473976241</v>
      </c>
      <c r="AG430" s="187">
        <f>model_eui_end_uses!AH430*base_building_arch_areas!$N$15</f>
        <v>-2573.5006899461282</v>
      </c>
      <c r="AH430" s="187">
        <f>model_eui_end_uses!AI430*base_building_arch_areas!$N$15</f>
        <v>12248.478925151332</v>
      </c>
      <c r="AI430" s="187">
        <f t="shared" si="75"/>
        <v>9674.9782352052043</v>
      </c>
      <c r="AJ430" s="200">
        <f>sim_annual_output!F430/sim_annual_output!H430*base_building_arch_areas!$N$15</f>
        <v>160400.59772199841</v>
      </c>
      <c r="AK430">
        <f t="shared" si="76"/>
        <v>16.578910445331491</v>
      </c>
    </row>
    <row r="431" spans="1:37">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f>model_eui_end_uses!G431*base_scenario_arch_measures!$F431</f>
        <v>1.0952301744168247</v>
      </c>
      <c r="H431">
        <f>model_eui_end_uses!H431*base_scenario_arch_measures!$F431</f>
        <v>29.362874203573085</v>
      </c>
      <c r="I431">
        <f>model_eui_end_uses!I431*base_scenario_arch_measures!$F431</f>
        <v>0.24397036293303881</v>
      </c>
      <c r="J431">
        <f>model_eui_end_uses!J431*base_scenario_arch_measures!$F431</f>
        <v>0</v>
      </c>
      <c r="K431">
        <f>model_eui_end_uses!K431*base_scenario_arch_measures!$F431</f>
        <v>1.5999237126567161</v>
      </c>
      <c r="L431">
        <f>model_eui_end_uses!L431*base_scenario_arch_measures!$F431</f>
        <v>3.6431190066755907</v>
      </c>
      <c r="M431">
        <f>model_eui_end_uses!M431*base_scenario_arch_measures!$F431</f>
        <v>0.45203968999665495</v>
      </c>
      <c r="N431">
        <f>model_eui_end_uses!N431*base_scenario_arch_measures!$F431</f>
        <v>0.34781670798042902</v>
      </c>
      <c r="O431">
        <f>model_eui_end_uses!O431*base_scenario_arch_measures!$F431</f>
        <v>0.85586984798233512</v>
      </c>
      <c r="P431">
        <f>model_eui_end_uses!P431*base_scenario_arch_measures!$F431</f>
        <v>0.28329126247949005</v>
      </c>
      <c r="Q431">
        <f>model_eui_end_uses!Q431*base_scenario_arch_measures!$F431</f>
        <v>0</v>
      </c>
      <c r="R431" s="187">
        <f>model_eui_end_uses!R431*base_building_arch_areas!$N$15</f>
        <v>194469.77632533939</v>
      </c>
      <c r="S431" s="187">
        <f>model_eui_end_uses!S431*base_building_arch_areas!$N$15</f>
        <v>5577524.4190746117</v>
      </c>
      <c r="T431" s="187">
        <f>model_eui_end_uses!T431*base_building_arch_areas!$N$15</f>
        <v>21306.359308032865</v>
      </c>
      <c r="U431" s="187">
        <f>model_eui_end_uses!U431*base_building_arch_areas!$N$15</f>
        <v>0</v>
      </c>
      <c r="V431" s="187">
        <f>model_eui_end_uses!V431*base_building_arch_areas!$N$15</f>
        <v>370359.68212989549</v>
      </c>
      <c r="W431" s="187">
        <f>model_eui_end_uses!W431*base_building_arch_areas!$N$15</f>
        <v>843116.10235791188</v>
      </c>
      <c r="X431" s="187">
        <f>model_eui_end_uses!X431*base_building_arch_areas!$N$15</f>
        <v>104614.18933685585</v>
      </c>
      <c r="Y431" s="187">
        <f>model_eui_end_uses!Y431*base_building_arch_areas!$N$15</f>
        <v>80494.177277786745</v>
      </c>
      <c r="Z431" s="187">
        <f>model_eui_end_uses!Z431*base_building_arch_areas!$N$15</f>
        <v>263674.47701346641</v>
      </c>
      <c r="AA431" s="187">
        <f>model_eui_end_uses!AA431*base_building_arch_areas!$N$15</f>
        <v>65951.74155960558</v>
      </c>
      <c r="AB431" s="187">
        <f>model_eui_end_uses!AB431*base_building_arch_areas!$N$15</f>
        <v>0</v>
      </c>
      <c r="AC431" s="187">
        <f>model_eui_end_uses!AC431*base_building_arch_areas!$N$15</f>
        <v>7521510.9243835062</v>
      </c>
      <c r="AD431" s="187">
        <f>model_eui_end_uses!AD431*base_building_arch_areas!$N$15</f>
        <v>-1217743.3321548055</v>
      </c>
      <c r="AE431" s="187">
        <f>model_eui_end_uses!AE431*base_building_arch_areas!$N$15</f>
        <v>-28157.44686167156</v>
      </c>
      <c r="AF431" s="187">
        <f t="shared" si="74"/>
        <v>-1245900.7790164771</v>
      </c>
      <c r="AG431" s="187">
        <f>model_eui_end_uses!AH431*base_building_arch_areas!$N$15</f>
        <v>-19727.44198090785</v>
      </c>
      <c r="AH431" s="187">
        <f>model_eui_end_uses!AI431*base_building_arch_areas!$N$15</f>
        <v>-3181.7914953688864</v>
      </c>
      <c r="AI431" s="187">
        <f t="shared" si="75"/>
        <v>-22909.233476276735</v>
      </c>
      <c r="AJ431" s="200">
        <f>sim_annual_output!F431/sim_annual_output!H431*base_building_arch_areas!$N$15</f>
        <v>19449.550733279615</v>
      </c>
      <c r="AK431">
        <f t="shared" si="76"/>
        <v>-0.84898304229254395</v>
      </c>
    </row>
    <row r="432" spans="1:37">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f>model_eui_end_uses!G432*base_scenario_arch_measures!$F432</f>
        <v>0.73947395913333802</v>
      </c>
      <c r="H432">
        <f>model_eui_end_uses!H432*base_scenario_arch_measures!$F432</f>
        <v>18.747391367895265</v>
      </c>
      <c r="I432">
        <f>model_eui_end_uses!I432*base_scenario_arch_measures!$F432</f>
        <v>0.34019357573119358</v>
      </c>
      <c r="J432">
        <f>model_eui_end_uses!J432*base_scenario_arch_measures!$F432</f>
        <v>0</v>
      </c>
      <c r="K432">
        <f>model_eui_end_uses!K432*base_scenario_arch_measures!$F432</f>
        <v>1.599893581699209</v>
      </c>
      <c r="L432">
        <f>model_eui_end_uses!L432*base_scenario_arch_measures!$F432</f>
        <v>2.5501787850292876</v>
      </c>
      <c r="M432">
        <f>model_eui_end_uses!M432*base_scenario_arch_measures!$F432</f>
        <v>0.45203968999665495</v>
      </c>
      <c r="N432">
        <f>model_eui_end_uses!N432*base_scenario_arch_measures!$F432</f>
        <v>0.34781670798042902</v>
      </c>
      <c r="O432">
        <f>model_eui_end_uses!O432*base_scenario_arch_measures!$F432</f>
        <v>0.74283356089535291</v>
      </c>
      <c r="P432">
        <f>model_eui_end_uses!P432*base_scenario_arch_measures!$F432</f>
        <v>0.18081587599866197</v>
      </c>
      <c r="Q432">
        <f>model_eui_end_uses!Q432*base_scenario_arch_measures!$F432</f>
        <v>0</v>
      </c>
      <c r="R432" s="187">
        <f>model_eui_end_uses!R432*base_building_arch_areas!$N$15</f>
        <v>194469.77632533939</v>
      </c>
      <c r="S432" s="187">
        <f>model_eui_end_uses!S432*base_building_arch_areas!$N$15</f>
        <v>5577524.4190746117</v>
      </c>
      <c r="T432" s="187">
        <f>model_eui_end_uses!T432*base_building_arch_areas!$N$15</f>
        <v>21306.359308032865</v>
      </c>
      <c r="U432" s="187">
        <f>model_eui_end_uses!U432*base_building_arch_areas!$N$15</f>
        <v>0</v>
      </c>
      <c r="V432" s="187">
        <f>model_eui_end_uses!V432*base_building_arch_areas!$N$15</f>
        <v>370359.68212989549</v>
      </c>
      <c r="W432" s="187">
        <f>model_eui_end_uses!W432*base_building_arch_areas!$N$15</f>
        <v>843116.10235791188</v>
      </c>
      <c r="X432" s="187">
        <f>model_eui_end_uses!X432*base_building_arch_areas!$N$15</f>
        <v>104614.18933685585</v>
      </c>
      <c r="Y432" s="187">
        <f>model_eui_end_uses!Y432*base_building_arch_areas!$N$15</f>
        <v>80494.177277786745</v>
      </c>
      <c r="Z432" s="187">
        <f>model_eui_end_uses!Z432*base_building_arch_areas!$N$15</f>
        <v>263674.47701346641</v>
      </c>
      <c r="AA432" s="187">
        <f>model_eui_end_uses!AA432*base_building_arch_areas!$N$15</f>
        <v>65951.74155960558</v>
      </c>
      <c r="AB432" s="187">
        <f>model_eui_end_uses!AB432*base_building_arch_areas!$N$15</f>
        <v>0</v>
      </c>
      <c r="AC432" s="187">
        <f>model_eui_end_uses!AC432*base_building_arch_areas!$N$15</f>
        <v>7521510.9243835062</v>
      </c>
      <c r="AD432" s="187">
        <f>model_eui_end_uses!AD432*base_building_arch_areas!$N$15</f>
        <v>1238972.9871747077</v>
      </c>
      <c r="AE432" s="187">
        <f>model_eui_end_uses!AE432*base_building_arch_areas!$N$15</f>
        <v>334716.59405821789</v>
      </c>
      <c r="AF432" s="187">
        <f t="shared" si="74"/>
        <v>1573689.5812329256</v>
      </c>
      <c r="AG432" s="187">
        <f>model_eui_end_uses!AH432*base_building_arch_areas!$N$15</f>
        <v>20071.362392230261</v>
      </c>
      <c r="AH432" s="187">
        <f>model_eui_end_uses!AI432*base_building_arch_areas!$N$15</f>
        <v>37822.975128578626</v>
      </c>
      <c r="AI432" s="187">
        <f t="shared" si="75"/>
        <v>57894.337520808884</v>
      </c>
      <c r="AJ432" s="200">
        <f>sim_annual_output!F432/sim_annual_output!H432*base_building_arch_areas!$N$15</f>
        <v>620931.69728122489</v>
      </c>
      <c r="AK432">
        <f t="shared" si="76"/>
        <v>10.725257838178807</v>
      </c>
    </row>
    <row r="433" spans="1:37">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f>model_eui_end_uses!G433*base_scenario_arch_measures!$F433</f>
        <v>0.83306071314964281</v>
      </c>
      <c r="H433">
        <f>model_eui_end_uses!H433*base_scenario_arch_measures!$F433</f>
        <v>23.718080362323072</v>
      </c>
      <c r="I433">
        <f>model_eui_end_uses!I433*base_scenario_arch_measures!$F433</f>
        <v>9.9447225251388729E-2</v>
      </c>
      <c r="J433">
        <f>model_eui_end_uses!J433*base_scenario_arch_measures!$F433</f>
        <v>0</v>
      </c>
      <c r="K433">
        <f>model_eui_end_uses!K433*base_scenario_arch_measures!$F433</f>
        <v>1.6003003496255519</v>
      </c>
      <c r="L433">
        <f>model_eui_end_uses!L433*base_scenario_arch_measures!$F433</f>
        <v>3.6431190066755907</v>
      </c>
      <c r="M433">
        <f>model_eui_end_uses!M433*base_scenario_arch_measures!$F433</f>
        <v>0.45203968999665495</v>
      </c>
      <c r="N433">
        <f>model_eui_end_uses!N433*base_scenario_arch_measures!$F433</f>
        <v>0.34781670798042902</v>
      </c>
      <c r="O433">
        <f>model_eui_end_uses!O433*base_scenario_arch_measures!$F433</f>
        <v>1.1386940806204691</v>
      </c>
      <c r="P433">
        <f>model_eui_end_uses!P433*base_scenario_arch_measures!$F433</f>
        <v>0.28650020945397059</v>
      </c>
      <c r="Q433">
        <f>model_eui_end_uses!Q433*base_scenario_arch_measures!$F433</f>
        <v>0</v>
      </c>
      <c r="R433" s="187">
        <f>model_eui_end_uses!R433*base_building_arch_areas!$N$15</f>
        <v>194469.77632533939</v>
      </c>
      <c r="S433" s="187">
        <f>model_eui_end_uses!S433*base_building_arch_areas!$N$15</f>
        <v>5577524.4190746117</v>
      </c>
      <c r="T433" s="187">
        <f>model_eui_end_uses!T433*base_building_arch_areas!$N$15</f>
        <v>21306.359308032865</v>
      </c>
      <c r="U433" s="187">
        <f>model_eui_end_uses!U433*base_building_arch_areas!$N$15</f>
        <v>0</v>
      </c>
      <c r="V433" s="187">
        <f>model_eui_end_uses!V433*base_building_arch_areas!$N$15</f>
        <v>370359.68212989549</v>
      </c>
      <c r="W433" s="187">
        <f>model_eui_end_uses!W433*base_building_arch_areas!$N$15</f>
        <v>843116.10235791188</v>
      </c>
      <c r="X433" s="187">
        <f>model_eui_end_uses!X433*base_building_arch_areas!$N$15</f>
        <v>104614.18933685585</v>
      </c>
      <c r="Y433" s="187">
        <f>model_eui_end_uses!Y433*base_building_arch_areas!$N$15</f>
        <v>80494.177277786745</v>
      </c>
      <c r="Z433" s="187">
        <f>model_eui_end_uses!Z433*base_building_arch_areas!$N$15</f>
        <v>263674.47701346641</v>
      </c>
      <c r="AA433" s="187">
        <f>model_eui_end_uses!AA433*base_building_arch_areas!$N$15</f>
        <v>65951.74155960558</v>
      </c>
      <c r="AB433" s="187">
        <f>model_eui_end_uses!AB433*base_building_arch_areas!$N$15</f>
        <v>0</v>
      </c>
      <c r="AC433" s="187">
        <f>model_eui_end_uses!AC433*base_building_arch_areas!$N$15</f>
        <v>7521510.9243835062</v>
      </c>
      <c r="AD433" s="187">
        <f>model_eui_end_uses!AD433*base_building_arch_areas!$N$15</f>
        <v>88527.208180373753</v>
      </c>
      <c r="AE433" s="187">
        <f>model_eui_end_uses!AE433*base_building_arch_areas!$N$15</f>
        <v>-233.59942294856228</v>
      </c>
      <c r="AF433" s="187">
        <f t="shared" si="74"/>
        <v>88293.608757425187</v>
      </c>
      <c r="AG433" s="187">
        <f>model_eui_end_uses!AH433*base_building_arch_areas!$N$15</f>
        <v>1434.1407725220547</v>
      </c>
      <c r="AH433" s="187">
        <f>model_eui_end_uses!AI433*base_building_arch_areas!$N$15</f>
        <v>-26.396734793187537</v>
      </c>
      <c r="AI433" s="187">
        <f t="shared" si="75"/>
        <v>1407.7440377288672</v>
      </c>
      <c r="AJ433" s="200">
        <f>sim_annual_output!F433/sim_annual_output!H433*base_building_arch_areas!$N$15</f>
        <v>11245.66119500403</v>
      </c>
      <c r="AK433">
        <f t="shared" si="76"/>
        <v>7.9884275078492317</v>
      </c>
    </row>
    <row r="434" spans="1:37">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f>model_eui_end_uses!G434*base_scenario_arch_measures!$F434</f>
        <v>0.83324149889468391</v>
      </c>
      <c r="H434">
        <f>model_eui_end_uses!H434*base_scenario_arch_measures!$F434</f>
        <v>23.915016300587901</v>
      </c>
      <c r="I434">
        <f>model_eui_end_uses!I434*base_scenario_arch_measures!$F434</f>
        <v>9.9703338390197044E-2</v>
      </c>
      <c r="J434">
        <f>model_eui_end_uses!J434*base_scenario_arch_measures!$F434</f>
        <v>0</v>
      </c>
      <c r="K434">
        <f>model_eui_end_uses!K434*base_scenario_arch_measures!$F434</f>
        <v>1.6033887727700047</v>
      </c>
      <c r="L434">
        <f>model_eui_end_uses!L434*base_scenario_arch_measures!$F434</f>
        <v>3.6431190066755907</v>
      </c>
      <c r="M434">
        <f>model_eui_end_uses!M434*base_scenario_arch_measures!$F434</f>
        <v>0.45203968999665495</v>
      </c>
      <c r="N434">
        <f>model_eui_end_uses!N434*base_scenario_arch_measures!$F434</f>
        <v>0.34781670798042902</v>
      </c>
      <c r="O434">
        <f>model_eui_end_uses!O434*base_scenario_arch_measures!$F434</f>
        <v>1.1393418962068664</v>
      </c>
      <c r="P434">
        <f>model_eui_end_uses!P434*base_scenario_arch_measures!$F434</f>
        <v>3.1953880436024165E-2</v>
      </c>
      <c r="Q434">
        <f>model_eui_end_uses!Q434*base_scenario_arch_measures!$F434</f>
        <v>0</v>
      </c>
      <c r="R434" s="187">
        <f>model_eui_end_uses!R434*base_building_arch_areas!$N$15</f>
        <v>194469.77632533939</v>
      </c>
      <c r="S434" s="187">
        <f>model_eui_end_uses!S434*base_building_arch_areas!$N$15</f>
        <v>5577524.4190746117</v>
      </c>
      <c r="T434" s="187">
        <f>model_eui_end_uses!T434*base_building_arch_areas!$N$15</f>
        <v>21306.359308032865</v>
      </c>
      <c r="U434" s="187">
        <f>model_eui_end_uses!U434*base_building_arch_areas!$N$15</f>
        <v>0</v>
      </c>
      <c r="V434" s="187">
        <f>model_eui_end_uses!V434*base_building_arch_areas!$N$15</f>
        <v>370359.68212989549</v>
      </c>
      <c r="W434" s="187">
        <f>model_eui_end_uses!W434*base_building_arch_areas!$N$15</f>
        <v>843116.10235791188</v>
      </c>
      <c r="X434" s="187">
        <f>model_eui_end_uses!X434*base_building_arch_areas!$N$15</f>
        <v>104614.18933685585</v>
      </c>
      <c r="Y434" s="187">
        <f>model_eui_end_uses!Y434*base_building_arch_areas!$N$15</f>
        <v>80494.177277786745</v>
      </c>
      <c r="Z434" s="187">
        <f>model_eui_end_uses!Z434*base_building_arch_areas!$N$15</f>
        <v>263674.47701346641</v>
      </c>
      <c r="AA434" s="187">
        <f>model_eui_end_uses!AA434*base_building_arch_areas!$N$15</f>
        <v>65951.74155960558</v>
      </c>
      <c r="AB434" s="187">
        <f>model_eui_end_uses!AB434*base_building_arch_areas!$N$15</f>
        <v>0</v>
      </c>
      <c r="AC434" s="187">
        <f>model_eui_end_uses!AC434*base_building_arch_areas!$N$15</f>
        <v>7521510.9243835062</v>
      </c>
      <c r="AD434" s="187">
        <f>model_eui_end_uses!AD434*base_building_arch_areas!$N$15</f>
        <v>42236.170292508017</v>
      </c>
      <c r="AE434" s="187">
        <f>model_eui_end_uses!AE434*base_building_arch_areas!$N$15</f>
        <v>58424.261646981831</v>
      </c>
      <c r="AF434" s="187">
        <f t="shared" si="74"/>
        <v>100660.43193948985</v>
      </c>
      <c r="AG434" s="187">
        <f>model_eui_end_uses!AH434*base_building_arch_areas!$N$15</f>
        <v>684.22595873862974</v>
      </c>
      <c r="AH434" s="187">
        <f>model_eui_end_uses!AI434*base_building_arch_areas!$N$15</f>
        <v>6601.941566108947</v>
      </c>
      <c r="AI434" s="187">
        <f t="shared" si="75"/>
        <v>7286.1675248475767</v>
      </c>
      <c r="AJ434" s="200">
        <f>sim_annual_output!F434/sim_annual_output!H434*base_building_arch_areas!$N$15</f>
        <v>17477.844969379534</v>
      </c>
      <c r="AK434">
        <f t="shared" si="76"/>
        <v>2.3987706719308739</v>
      </c>
    </row>
    <row r="435" spans="1:37">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f>model_eui_end_uses!G435*base_scenario_arch_measures!$F435</f>
        <v>0.83324149889468391</v>
      </c>
      <c r="H435">
        <f>model_eui_end_uses!H435*base_scenario_arch_measures!$F435</f>
        <v>23.695241096532868</v>
      </c>
      <c r="I435">
        <f>model_eui_end_uses!I435*base_scenario_arch_measures!$F435</f>
        <v>0.10024569562532051</v>
      </c>
      <c r="J435">
        <f>model_eui_end_uses!J435*base_scenario_arch_measures!$F435</f>
        <v>0</v>
      </c>
      <c r="K435">
        <f>model_eui_end_uses!K435*base_scenario_arch_measures!$F435</f>
        <v>1.6003003496255519</v>
      </c>
      <c r="L435">
        <f>model_eui_end_uses!L435*base_scenario_arch_measures!$F435</f>
        <v>3.6431190066755907</v>
      </c>
      <c r="M435">
        <f>model_eui_end_uses!M435*base_scenario_arch_measures!$F435</f>
        <v>0.45203968999665495</v>
      </c>
      <c r="N435">
        <f>model_eui_end_uses!N435*base_scenario_arch_measures!$F435</f>
        <v>0.34781670798042902</v>
      </c>
      <c r="O435">
        <f>model_eui_end_uses!O435*base_scenario_arch_measures!$F435</f>
        <v>1.1393418962068664</v>
      </c>
      <c r="P435">
        <f>model_eui_end_uses!P435*base_scenario_arch_measures!$F435</f>
        <v>0.22418938932978577</v>
      </c>
      <c r="Q435">
        <f>model_eui_end_uses!Q435*base_scenario_arch_measures!$F435</f>
        <v>0</v>
      </c>
      <c r="R435" s="187">
        <f>model_eui_end_uses!R435*base_building_arch_areas!$N$15</f>
        <v>194469.77632533939</v>
      </c>
      <c r="S435" s="187">
        <f>model_eui_end_uses!S435*base_building_arch_areas!$N$15</f>
        <v>5577524.4190746117</v>
      </c>
      <c r="T435" s="187">
        <f>model_eui_end_uses!T435*base_building_arch_areas!$N$15</f>
        <v>21306.359308032865</v>
      </c>
      <c r="U435" s="187">
        <f>model_eui_end_uses!U435*base_building_arch_areas!$N$15</f>
        <v>0</v>
      </c>
      <c r="V435" s="187">
        <f>model_eui_end_uses!V435*base_building_arch_areas!$N$15</f>
        <v>370359.68212989549</v>
      </c>
      <c r="W435" s="187">
        <f>model_eui_end_uses!W435*base_building_arch_areas!$N$15</f>
        <v>843116.10235791188</v>
      </c>
      <c r="X435" s="187">
        <f>model_eui_end_uses!X435*base_building_arch_areas!$N$15</f>
        <v>104614.18933685585</v>
      </c>
      <c r="Y435" s="187">
        <f>model_eui_end_uses!Y435*base_building_arch_areas!$N$15</f>
        <v>80494.177277786745</v>
      </c>
      <c r="Z435" s="187">
        <f>model_eui_end_uses!Z435*base_building_arch_areas!$N$15</f>
        <v>263674.47701346641</v>
      </c>
      <c r="AA435" s="187">
        <f>model_eui_end_uses!AA435*base_building_arch_areas!$N$15</f>
        <v>65951.74155960558</v>
      </c>
      <c r="AB435" s="187">
        <f>model_eui_end_uses!AB435*base_building_arch_areas!$N$15</f>
        <v>0</v>
      </c>
      <c r="AC435" s="187">
        <f>model_eui_end_uses!AC435*base_building_arch_areas!$N$15</f>
        <v>7521510.9243835062</v>
      </c>
      <c r="AD435" s="187">
        <f>model_eui_end_uses!AD435*base_building_arch_areas!$N$15</f>
        <v>93812.830944402638</v>
      </c>
      <c r="AE435" s="187">
        <f>model_eui_end_uses!AE435*base_building_arch_areas!$N$15</f>
        <v>13810.258422372446</v>
      </c>
      <c r="AF435" s="187">
        <f t="shared" si="74"/>
        <v>107623.08936677508</v>
      </c>
      <c r="AG435" s="187">
        <f>model_eui_end_uses!AH435*base_building_arch_areas!$N$15</f>
        <v>1519.7678612993225</v>
      </c>
      <c r="AH435" s="187">
        <f>model_eui_end_uses!AI435*base_building_arch_areas!$N$15</f>
        <v>1560.5592017280865</v>
      </c>
      <c r="AI435" s="187">
        <f t="shared" si="75"/>
        <v>3080.3270630274092</v>
      </c>
      <c r="AJ435" s="200">
        <f>sim_annual_output!F435/sim_annual_output!H435*base_building_arch_areas!$N$15</f>
        <v>43840.758959709907</v>
      </c>
      <c r="AK435">
        <f t="shared" si="76"/>
        <v>14.232501309981773</v>
      </c>
    </row>
    <row r="436" spans="1:37">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f>model_eui_end_uses!G436*base_scenario_arch_measures!$F436</f>
        <v>0</v>
      </c>
      <c r="H436">
        <f>model_eui_end_uses!H436*base_scenario_arch_measures!$F436</f>
        <v>0.5668062424146616</v>
      </c>
      <c r="I436">
        <f>model_eui_end_uses!I436*base_scenario_arch_measures!$F436</f>
        <v>0</v>
      </c>
      <c r="J436">
        <f>model_eui_end_uses!J436*base_scenario_arch_measures!$F436</f>
        <v>0</v>
      </c>
      <c r="K436">
        <f>model_eui_end_uses!K436*base_scenario_arch_measures!$F436</f>
        <v>0</v>
      </c>
      <c r="L436">
        <f>model_eui_end_uses!L436*base_scenario_arch_measures!$F436</f>
        <v>4.971722519884391E-2</v>
      </c>
      <c r="M436">
        <f>model_eui_end_uses!M436*base_scenario_arch_measures!$F436</f>
        <v>4.6057519588313086E-3</v>
      </c>
      <c r="N436">
        <f>model_eui_end_uses!N436*base_scenario_arch_measures!$F436</f>
        <v>0</v>
      </c>
      <c r="O436">
        <f>model_eui_end_uses!O436*base_scenario_arch_measures!$F436</f>
        <v>2.3486845394386249E-2</v>
      </c>
      <c r="P436">
        <f>model_eui_end_uses!P436*base_scenario_arch_measures!$F436</f>
        <v>0</v>
      </c>
      <c r="Q436">
        <f>model_eui_end_uses!Q436*base_scenario_arch_measures!$F436</f>
        <v>0</v>
      </c>
      <c r="R436" s="187">
        <f>model_eui_end_uses!R436*base_building_arch_areas!$N$8</f>
        <v>0</v>
      </c>
      <c r="S436" s="187">
        <f>model_eui_end_uses!S436*base_building_arch_areas!$N$8</f>
        <v>131174.26826329788</v>
      </c>
      <c r="T436" s="187">
        <f>model_eui_end_uses!T436*base_building_arch_areas!$N$8</f>
        <v>0</v>
      </c>
      <c r="U436" s="187">
        <f>model_eui_end_uses!U436*base_building_arch_areas!$N$8</f>
        <v>0</v>
      </c>
      <c r="V436" s="187">
        <f>model_eui_end_uses!V436*base_building_arch_areas!$N$8</f>
        <v>0</v>
      </c>
      <c r="W436" s="187">
        <f>model_eui_end_uses!W436*base_building_arch_areas!$N$8</f>
        <v>11505.908276092849</v>
      </c>
      <c r="X436" s="187">
        <f>model_eui_end_uses!X436*base_building_arch_areas!$N$8</f>
        <v>1065.8953585764532</v>
      </c>
      <c r="Y436" s="187">
        <f>model_eui_end_uses!Y436*base_building_arch_areas!$N$8</f>
        <v>0</v>
      </c>
      <c r="Z436" s="187">
        <f>model_eui_end_uses!Z436*base_building_arch_areas!$N$8</f>
        <v>5435.4901690866254</v>
      </c>
      <c r="AA436" s="187">
        <f>model_eui_end_uses!AA436*base_building_arch_areas!$N$8</f>
        <v>0</v>
      </c>
      <c r="AB436" s="187">
        <f>model_eui_end_uses!AB436*base_building_arch_areas!$N$8</f>
        <v>0</v>
      </c>
      <c r="AC436" s="187">
        <f>model_eui_end_uses!AC436*base_building_arch_areas!$N$8</f>
        <v>149181.5620670538</v>
      </c>
      <c r="AD436" s="187">
        <f>model_eui_end_uses!AD436*base_building_arch_areas!$N$8</f>
        <v>0</v>
      </c>
      <c r="AE436" s="187">
        <f>model_eui_end_uses!AE436*base_building_arch_areas!$N$8</f>
        <v>0</v>
      </c>
      <c r="AF436" s="187">
        <f t="shared" si="68"/>
        <v>0</v>
      </c>
      <c r="AG436" s="187">
        <f>model_eui_end_uses!AH436*base_building_arch_areas!$N$8</f>
        <v>0</v>
      </c>
      <c r="AH436" s="187">
        <f>model_eui_end_uses!AI436*base_building_arch_areas!$N$8</f>
        <v>0</v>
      </c>
      <c r="AI436" s="187">
        <f t="shared" si="69"/>
        <v>0</v>
      </c>
      <c r="AJ436" s="200">
        <f>sim_annual_output!F436/sim_annual_output!H436*base_building_arch_areas!$N$8</f>
        <v>0</v>
      </c>
      <c r="AK436">
        <f t="shared" si="70"/>
        <v>0</v>
      </c>
    </row>
    <row r="437" spans="1:37">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f>model_eui_end_uses!G437*base_scenario_arch_measures!$F437</f>
        <v>0</v>
      </c>
      <c r="H437">
        <f>model_eui_end_uses!H437*base_scenario_arch_measures!$F437</f>
        <v>0.56190671816872639</v>
      </c>
      <c r="I437">
        <f>model_eui_end_uses!I437*base_scenario_arch_measures!$F437</f>
        <v>0</v>
      </c>
      <c r="J437">
        <f>model_eui_end_uses!J437*base_scenario_arch_measures!$F437</f>
        <v>0</v>
      </c>
      <c r="K437">
        <f>model_eui_end_uses!K437*base_scenario_arch_measures!$F437</f>
        <v>0</v>
      </c>
      <c r="L437">
        <f>model_eui_end_uses!L437*base_scenario_arch_measures!$F437</f>
        <v>4.971722519884391E-2</v>
      </c>
      <c r="M437">
        <f>model_eui_end_uses!M437*base_scenario_arch_measures!$F437</f>
        <v>4.6057519588313086E-3</v>
      </c>
      <c r="N437">
        <f>model_eui_end_uses!N437*base_scenario_arch_measures!$F437</f>
        <v>0</v>
      </c>
      <c r="O437">
        <f>model_eui_end_uses!O437*base_scenario_arch_measures!$F437</f>
        <v>2.3168177150748197E-2</v>
      </c>
      <c r="P437">
        <f>model_eui_end_uses!P437*base_scenario_arch_measures!$F437</f>
        <v>0</v>
      </c>
      <c r="Q437">
        <f>model_eui_end_uses!Q437*base_scenario_arch_measures!$F437</f>
        <v>0</v>
      </c>
      <c r="R437" s="187">
        <f>model_eui_end_uses!R437*base_building_arch_areas!$N$8</f>
        <v>0</v>
      </c>
      <c r="S437" s="187">
        <f>model_eui_end_uses!S437*base_building_arch_areas!$N$8</f>
        <v>131174.26826329788</v>
      </c>
      <c r="T437" s="187">
        <f>model_eui_end_uses!T437*base_building_arch_areas!$N$8</f>
        <v>0</v>
      </c>
      <c r="U437" s="187">
        <f>model_eui_end_uses!U437*base_building_arch_areas!$N$8</f>
        <v>0</v>
      </c>
      <c r="V437" s="187">
        <f>model_eui_end_uses!V437*base_building_arch_areas!$N$8</f>
        <v>0</v>
      </c>
      <c r="W437" s="187">
        <f>model_eui_end_uses!W437*base_building_arch_areas!$N$8</f>
        <v>11505.908276092849</v>
      </c>
      <c r="X437" s="187">
        <f>model_eui_end_uses!X437*base_building_arch_areas!$N$8</f>
        <v>1065.8953585764532</v>
      </c>
      <c r="Y437" s="187">
        <f>model_eui_end_uses!Y437*base_building_arch_areas!$N$8</f>
        <v>0</v>
      </c>
      <c r="Z437" s="187">
        <f>model_eui_end_uses!Z437*base_building_arch_areas!$N$8</f>
        <v>5435.4901690866254</v>
      </c>
      <c r="AA437" s="187">
        <f>model_eui_end_uses!AA437*base_building_arch_areas!$N$8</f>
        <v>0</v>
      </c>
      <c r="AB437" s="187">
        <f>model_eui_end_uses!AB437*base_building_arch_areas!$N$8</f>
        <v>0</v>
      </c>
      <c r="AC437" s="187">
        <f>model_eui_end_uses!AC437*base_building_arch_areas!$N$8</f>
        <v>149181.5620670538</v>
      </c>
      <c r="AD437" s="187">
        <f>model_eui_end_uses!AD437*base_building_arch_areas!$N$8</f>
        <v>1133.8821976640502</v>
      </c>
      <c r="AE437" s="187">
        <f>model_eui_end_uses!AE437*base_building_arch_areas!$N$8</f>
        <v>73.748435620422299</v>
      </c>
      <c r="AF437" s="187">
        <f t="shared" ref="AF437:AF452" si="77">SUM(AD437:AE437)</f>
        <v>1207.6306332844724</v>
      </c>
      <c r="AG437" s="187">
        <f>model_eui_end_uses!AH437*base_building_arch_areas!$N$8</f>
        <v>18.368891602157614</v>
      </c>
      <c r="AH437" s="187">
        <f>model_eui_end_uses!AI437*base_building_arch_areas!$N$8</f>
        <v>8.3335732251077204</v>
      </c>
      <c r="AI437" s="187">
        <f t="shared" ref="AI437:AI451" si="78">SUM(AG437:AH437)</f>
        <v>26.702464827265334</v>
      </c>
      <c r="AJ437" s="200">
        <f>sim_annual_output!F437/sim_annual_output!H437*base_building_arch_areas!$N$8</f>
        <v>284.48552929730602</v>
      </c>
      <c r="AK437">
        <f t="shared" ref="AK437:AK451" si="79">IF(AI437=0,0,AJ437/AI437)</f>
        <v>10.653905215777074</v>
      </c>
    </row>
    <row r="438" spans="1:37">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f>model_eui_end_uses!G438*base_scenario_arch_measures!$F438</f>
        <v>0</v>
      </c>
      <c r="H438">
        <f>model_eui_end_uses!H438*base_scenario_arch_measures!$F438</f>
        <v>0.56190671816872639</v>
      </c>
      <c r="I438">
        <f>model_eui_end_uses!I438*base_scenario_arch_measures!$F438</f>
        <v>0</v>
      </c>
      <c r="J438">
        <f>model_eui_end_uses!J438*base_scenario_arch_measures!$F438</f>
        <v>0</v>
      </c>
      <c r="K438">
        <f>model_eui_end_uses!K438*base_scenario_arch_measures!$F438</f>
        <v>0</v>
      </c>
      <c r="L438">
        <f>model_eui_end_uses!L438*base_scenario_arch_measures!$F438</f>
        <v>4.971722519884391E-2</v>
      </c>
      <c r="M438">
        <f>model_eui_end_uses!M438*base_scenario_arch_measures!$F438</f>
        <v>4.6057519588313086E-3</v>
      </c>
      <c r="N438">
        <f>model_eui_end_uses!N438*base_scenario_arch_measures!$F438</f>
        <v>0</v>
      </c>
      <c r="O438">
        <f>model_eui_end_uses!O438*base_scenario_arch_measures!$F438</f>
        <v>2.3168177150748197E-2</v>
      </c>
      <c r="P438">
        <f>model_eui_end_uses!P438*base_scenario_arch_measures!$F438</f>
        <v>0</v>
      </c>
      <c r="Q438">
        <f>model_eui_end_uses!Q438*base_scenario_arch_measures!$F438</f>
        <v>0</v>
      </c>
      <c r="R438" s="187">
        <f>model_eui_end_uses!R438*base_building_arch_areas!$N$8</f>
        <v>0</v>
      </c>
      <c r="S438" s="187">
        <f>model_eui_end_uses!S438*base_building_arch_areas!$N$8</f>
        <v>131174.26826329788</v>
      </c>
      <c r="T438" s="187">
        <f>model_eui_end_uses!T438*base_building_arch_areas!$N$8</f>
        <v>0</v>
      </c>
      <c r="U438" s="187">
        <f>model_eui_end_uses!U438*base_building_arch_areas!$N$8</f>
        <v>0</v>
      </c>
      <c r="V438" s="187">
        <f>model_eui_end_uses!V438*base_building_arch_areas!$N$8</f>
        <v>0</v>
      </c>
      <c r="W438" s="187">
        <f>model_eui_end_uses!W438*base_building_arch_areas!$N$8</f>
        <v>11505.908276092849</v>
      </c>
      <c r="X438" s="187">
        <f>model_eui_end_uses!X438*base_building_arch_areas!$N$8</f>
        <v>1065.8953585764532</v>
      </c>
      <c r="Y438" s="187">
        <f>model_eui_end_uses!Y438*base_building_arch_areas!$N$8</f>
        <v>0</v>
      </c>
      <c r="Z438" s="187">
        <f>model_eui_end_uses!Z438*base_building_arch_areas!$N$8</f>
        <v>5435.4901690866254</v>
      </c>
      <c r="AA438" s="187">
        <f>model_eui_end_uses!AA438*base_building_arch_areas!$N$8</f>
        <v>0</v>
      </c>
      <c r="AB438" s="187">
        <f>model_eui_end_uses!AB438*base_building_arch_areas!$N$8</f>
        <v>0</v>
      </c>
      <c r="AC438" s="187">
        <f>model_eui_end_uses!AC438*base_building_arch_areas!$N$8</f>
        <v>149181.5620670538</v>
      </c>
      <c r="AD438" s="187">
        <f>model_eui_end_uses!AD438*base_building_arch_areas!$N$8</f>
        <v>1133.8821976640502</v>
      </c>
      <c r="AE438" s="187">
        <f>model_eui_end_uses!AE438*base_building_arch_areas!$N$8</f>
        <v>73.748435620422299</v>
      </c>
      <c r="AF438" s="187">
        <f t="shared" si="77"/>
        <v>1207.6306332844724</v>
      </c>
      <c r="AG438" s="187">
        <f>model_eui_end_uses!AH438*base_building_arch_areas!$N$8</f>
        <v>18.368891602157614</v>
      </c>
      <c r="AH438" s="187">
        <f>model_eui_end_uses!AI438*base_building_arch_areas!$N$8</f>
        <v>8.3335732251077204</v>
      </c>
      <c r="AI438" s="187">
        <f t="shared" si="78"/>
        <v>26.702464827265334</v>
      </c>
      <c r="AJ438" s="200">
        <f>sim_annual_output!F438/sim_annual_output!H438*base_building_arch_areas!$N$8</f>
        <v>0</v>
      </c>
      <c r="AK438">
        <f t="shared" si="79"/>
        <v>0</v>
      </c>
    </row>
    <row r="439" spans="1:37">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f>model_eui_end_uses!G439*base_scenario_arch_measures!$F439</f>
        <v>0</v>
      </c>
      <c r="H439">
        <f>model_eui_end_uses!H439*base_scenario_arch_measures!$F439</f>
        <v>0.57728246092426272</v>
      </c>
      <c r="I439">
        <f>model_eui_end_uses!I439*base_scenario_arch_measures!$F439</f>
        <v>0</v>
      </c>
      <c r="J439">
        <f>model_eui_end_uses!J439*base_scenario_arch_measures!$F439</f>
        <v>0</v>
      </c>
      <c r="K439">
        <f>model_eui_end_uses!K439*base_scenario_arch_measures!$F439</f>
        <v>0</v>
      </c>
      <c r="L439">
        <f>model_eui_end_uses!L439*base_scenario_arch_measures!$F439</f>
        <v>3.4804547234844156E-2</v>
      </c>
      <c r="M439">
        <f>model_eui_end_uses!M439*base_scenario_arch_measures!$F439</f>
        <v>4.6057519588313086E-3</v>
      </c>
      <c r="N439">
        <f>model_eui_end_uses!N439*base_scenario_arch_measures!$F439</f>
        <v>0</v>
      </c>
      <c r="O439">
        <f>model_eui_end_uses!O439*base_scenario_arch_measures!$F439</f>
        <v>2.3720867385807948E-2</v>
      </c>
      <c r="P439">
        <f>model_eui_end_uses!P439*base_scenario_arch_measures!$F439</f>
        <v>0</v>
      </c>
      <c r="Q439">
        <f>model_eui_end_uses!Q439*base_scenario_arch_measures!$F439</f>
        <v>0</v>
      </c>
      <c r="R439" s="187">
        <f>model_eui_end_uses!R439*base_building_arch_areas!$N$8</f>
        <v>0</v>
      </c>
      <c r="S439" s="187">
        <f>model_eui_end_uses!S439*base_building_arch_areas!$N$8</f>
        <v>131174.26826329788</v>
      </c>
      <c r="T439" s="187">
        <f>model_eui_end_uses!T439*base_building_arch_areas!$N$8</f>
        <v>0</v>
      </c>
      <c r="U439" s="187">
        <f>model_eui_end_uses!U439*base_building_arch_areas!$N$8</f>
        <v>0</v>
      </c>
      <c r="V439" s="187">
        <f>model_eui_end_uses!V439*base_building_arch_areas!$N$8</f>
        <v>0</v>
      </c>
      <c r="W439" s="187">
        <f>model_eui_end_uses!W439*base_building_arch_areas!$N$8</f>
        <v>11505.908276092849</v>
      </c>
      <c r="X439" s="187">
        <f>model_eui_end_uses!X439*base_building_arch_areas!$N$8</f>
        <v>1065.8953585764532</v>
      </c>
      <c r="Y439" s="187">
        <f>model_eui_end_uses!Y439*base_building_arch_areas!$N$8</f>
        <v>0</v>
      </c>
      <c r="Z439" s="187">
        <f>model_eui_end_uses!Z439*base_building_arch_areas!$N$8</f>
        <v>5435.4901690866254</v>
      </c>
      <c r="AA439" s="187">
        <f>model_eui_end_uses!AA439*base_building_arch_areas!$N$8</f>
        <v>0</v>
      </c>
      <c r="AB439" s="187">
        <f>model_eui_end_uses!AB439*base_building_arch_areas!$N$8</f>
        <v>0</v>
      </c>
      <c r="AC439" s="187">
        <f>model_eui_end_uses!AC439*base_building_arch_areas!$N$8</f>
        <v>149181.5620670538</v>
      </c>
      <c r="AD439" s="187">
        <f>model_eui_end_uses!AD439*base_building_arch_areas!$N$8</f>
        <v>-2424.4798210214453</v>
      </c>
      <c r="AE439" s="187">
        <f>model_eui_end_uses!AE439*base_building_arch_areas!$N$8</f>
        <v>3397.0373157658209</v>
      </c>
      <c r="AF439" s="187">
        <f t="shared" si="77"/>
        <v>972.55749474437562</v>
      </c>
      <c r="AG439" s="187">
        <f>model_eui_end_uses!AH439*base_building_arch_areas!$N$8</f>
        <v>-39.276573100547409</v>
      </c>
      <c r="AH439" s="187">
        <f>model_eui_end_uses!AI439*base_building_arch_areas!$N$8</f>
        <v>383.86521668153779</v>
      </c>
      <c r="AI439" s="187">
        <f t="shared" si="78"/>
        <v>344.58864358099038</v>
      </c>
      <c r="AJ439" s="200">
        <f>sim_annual_output!F439/sim_annual_output!H439*base_building_arch_areas!$N$8</f>
        <v>15390.744407386568</v>
      </c>
      <c r="AK439">
        <f t="shared" si="79"/>
        <v>44.664108043273934</v>
      </c>
    </row>
    <row r="440" spans="1:37">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f>model_eui_end_uses!G440*base_scenario_arch_measures!$F440</f>
        <v>0</v>
      </c>
      <c r="H440">
        <f>model_eui_end_uses!H440*base_scenario_arch_measures!$F440</f>
        <v>0.5240748226193207</v>
      </c>
      <c r="I440">
        <f>model_eui_end_uses!I440*base_scenario_arch_measures!$F440</f>
        <v>0</v>
      </c>
      <c r="J440">
        <f>model_eui_end_uses!J440*base_scenario_arch_measures!$F440</f>
        <v>0</v>
      </c>
      <c r="K440">
        <f>model_eui_end_uses!K440*base_scenario_arch_measures!$F440</f>
        <v>0</v>
      </c>
      <c r="L440">
        <f>model_eui_end_uses!L440*base_scenario_arch_measures!$F440</f>
        <v>4.971722519884391E-2</v>
      </c>
      <c r="M440">
        <f>model_eui_end_uses!M440*base_scenario_arch_measures!$F440</f>
        <v>4.6057519588313086E-3</v>
      </c>
      <c r="N440">
        <f>model_eui_end_uses!N440*base_scenario_arch_measures!$F440</f>
        <v>0</v>
      </c>
      <c r="O440">
        <f>model_eui_end_uses!O440*base_scenario_arch_measures!$F440</f>
        <v>2.1609690271705811E-2</v>
      </c>
      <c r="P440">
        <f>model_eui_end_uses!P440*base_scenario_arch_measures!$F440</f>
        <v>0</v>
      </c>
      <c r="Q440">
        <f>model_eui_end_uses!Q440*base_scenario_arch_measures!$F440</f>
        <v>0</v>
      </c>
      <c r="R440" s="187">
        <f>model_eui_end_uses!R440*base_building_arch_areas!$N$8</f>
        <v>0</v>
      </c>
      <c r="S440" s="187">
        <f>model_eui_end_uses!S440*base_building_arch_areas!$N$8</f>
        <v>131174.26826329788</v>
      </c>
      <c r="T440" s="187">
        <f>model_eui_end_uses!T440*base_building_arch_areas!$N$8</f>
        <v>0</v>
      </c>
      <c r="U440" s="187">
        <f>model_eui_end_uses!U440*base_building_arch_areas!$N$8</f>
        <v>0</v>
      </c>
      <c r="V440" s="187">
        <f>model_eui_end_uses!V440*base_building_arch_areas!$N$8</f>
        <v>0</v>
      </c>
      <c r="W440" s="187">
        <f>model_eui_end_uses!W440*base_building_arch_areas!$N$8</f>
        <v>11505.908276092849</v>
      </c>
      <c r="X440" s="187">
        <f>model_eui_end_uses!X440*base_building_arch_areas!$N$8</f>
        <v>1065.8953585764532</v>
      </c>
      <c r="Y440" s="187">
        <f>model_eui_end_uses!Y440*base_building_arch_areas!$N$8</f>
        <v>0</v>
      </c>
      <c r="Z440" s="187">
        <f>model_eui_end_uses!Z440*base_building_arch_areas!$N$8</f>
        <v>5435.4901690866254</v>
      </c>
      <c r="AA440" s="187">
        <f>model_eui_end_uses!AA440*base_building_arch_areas!$N$8</f>
        <v>0</v>
      </c>
      <c r="AB440" s="187">
        <f>model_eui_end_uses!AB440*base_building_arch_areas!$N$8</f>
        <v>0</v>
      </c>
      <c r="AC440" s="187">
        <f>model_eui_end_uses!AC440*base_building_arch_areas!$N$8</f>
        <v>149181.5620670538</v>
      </c>
      <c r="AD440" s="187">
        <f>model_eui_end_uses!AD440*base_building_arch_areas!$N$8</f>
        <v>9889.2042889763579</v>
      </c>
      <c r="AE440" s="187">
        <f>model_eui_end_uses!AE440*base_building_arch_areas!$N$8</f>
        <v>434.4243785765658</v>
      </c>
      <c r="AF440" s="187">
        <f t="shared" si="77"/>
        <v>10323.628667552925</v>
      </c>
      <c r="AG440" s="187">
        <f>model_eui_end_uses!AH440*base_building_arch_areas!$N$8</f>
        <v>160.20510948141697</v>
      </c>
      <c r="AH440" s="187">
        <f>model_eui_end_uses!AI440*base_building_arch_areas!$N$8</f>
        <v>49.089954779151938</v>
      </c>
      <c r="AI440" s="187">
        <f t="shared" si="78"/>
        <v>209.29506426056889</v>
      </c>
      <c r="AJ440" s="200">
        <f>sim_annual_output!F440/sim_annual_output!H440*base_building_arch_areas!$N$8</f>
        <v>95647.752230984173</v>
      </c>
      <c r="AK440">
        <f t="shared" si="79"/>
        <v>456.99955977893632</v>
      </c>
    </row>
    <row r="441" spans="1:37">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f>model_eui_end_uses!G441*base_scenario_arch_measures!$F441</f>
        <v>0</v>
      </c>
      <c r="H441">
        <f>model_eui_end_uses!H441*base_scenario_arch_measures!$F441</f>
        <v>0.54472352896880549</v>
      </c>
      <c r="I441">
        <f>model_eui_end_uses!I441*base_scenario_arch_measures!$F441</f>
        <v>0</v>
      </c>
      <c r="J441">
        <f>model_eui_end_uses!J441*base_scenario_arch_measures!$F441</f>
        <v>0</v>
      </c>
      <c r="K441">
        <f>model_eui_end_uses!K441*base_scenario_arch_measures!$F441</f>
        <v>0</v>
      </c>
      <c r="L441">
        <f>model_eui_end_uses!L441*base_scenario_arch_measures!$F441</f>
        <v>4.971722519884391E-2</v>
      </c>
      <c r="M441">
        <f>model_eui_end_uses!M441*base_scenario_arch_measures!$F441</f>
        <v>4.6057519588313086E-3</v>
      </c>
      <c r="N441">
        <f>model_eui_end_uses!N441*base_scenario_arch_measures!$F441</f>
        <v>0</v>
      </c>
      <c r="O441">
        <f>model_eui_end_uses!O441*base_scenario_arch_measures!$F441</f>
        <v>2.2426277646028336E-2</v>
      </c>
      <c r="P441">
        <f>model_eui_end_uses!P441*base_scenario_arch_measures!$F441</f>
        <v>0</v>
      </c>
      <c r="Q441">
        <f>model_eui_end_uses!Q441*base_scenario_arch_measures!$F441</f>
        <v>0</v>
      </c>
      <c r="R441" s="187">
        <f>model_eui_end_uses!R441*base_building_arch_areas!$N$8</f>
        <v>0</v>
      </c>
      <c r="S441" s="187">
        <f>model_eui_end_uses!S441*base_building_arch_areas!$N$8</f>
        <v>131174.26826329788</v>
      </c>
      <c r="T441" s="187">
        <f>model_eui_end_uses!T441*base_building_arch_areas!$N$8</f>
        <v>0</v>
      </c>
      <c r="U441" s="187">
        <f>model_eui_end_uses!U441*base_building_arch_areas!$N$8</f>
        <v>0</v>
      </c>
      <c r="V441" s="187">
        <f>model_eui_end_uses!V441*base_building_arch_areas!$N$8</f>
        <v>0</v>
      </c>
      <c r="W441" s="187">
        <f>model_eui_end_uses!W441*base_building_arch_areas!$N$8</f>
        <v>11505.908276092849</v>
      </c>
      <c r="X441" s="187">
        <f>model_eui_end_uses!X441*base_building_arch_areas!$N$8</f>
        <v>1065.8953585764532</v>
      </c>
      <c r="Y441" s="187">
        <f>model_eui_end_uses!Y441*base_building_arch_areas!$N$8</f>
        <v>0</v>
      </c>
      <c r="Z441" s="187">
        <f>model_eui_end_uses!Z441*base_building_arch_areas!$N$8</f>
        <v>5435.4901690866254</v>
      </c>
      <c r="AA441" s="187">
        <f>model_eui_end_uses!AA441*base_building_arch_areas!$N$8</f>
        <v>0</v>
      </c>
      <c r="AB441" s="187">
        <f>model_eui_end_uses!AB441*base_building_arch_areas!$N$8</f>
        <v>0</v>
      </c>
      <c r="AC441" s="187">
        <f>model_eui_end_uses!AC441*base_building_arch_areas!$N$8</f>
        <v>149181.5620670538</v>
      </c>
      <c r="AD441" s="187">
        <f>model_eui_end_uses!AD441*base_building_arch_areas!$N$8</f>
        <v>5110.5361246341545</v>
      </c>
      <c r="AE441" s="187">
        <f>model_eui_end_uses!AE441*base_building_arch_areas!$N$8</f>
        <v>245.44401229922485</v>
      </c>
      <c r="AF441" s="187">
        <f t="shared" si="77"/>
        <v>5355.9801369333791</v>
      </c>
      <c r="AG441" s="187">
        <f>model_eui_end_uses!AH441*base_building_arch_areas!$N$8</f>
        <v>82.790685219073296</v>
      </c>
      <c r="AH441" s="187">
        <f>model_eui_end_uses!AI441*base_building_arch_areas!$N$8</f>
        <v>27.735173389812406</v>
      </c>
      <c r="AI441" s="187">
        <f t="shared" si="78"/>
        <v>110.5258586088857</v>
      </c>
      <c r="AJ441" s="200">
        <f>sim_annual_output!F441/sim_annual_output!H441*base_building_arch_areas!$N$8</f>
        <v>53416.148253600186</v>
      </c>
      <c r="AK441">
        <f t="shared" si="79"/>
        <v>483.29095947240899</v>
      </c>
    </row>
    <row r="442" spans="1:37">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f>model_eui_end_uses!G442*base_scenario_arch_measures!$F442</f>
        <v>0</v>
      </c>
      <c r="H442">
        <f>model_eui_end_uses!H442*base_scenario_arch_measures!$F442</f>
        <v>0.56190671816872639</v>
      </c>
      <c r="I442">
        <f>model_eui_end_uses!I442*base_scenario_arch_measures!$F442</f>
        <v>0</v>
      </c>
      <c r="J442">
        <f>model_eui_end_uses!J442*base_scenario_arch_measures!$F442</f>
        <v>0</v>
      </c>
      <c r="K442">
        <f>model_eui_end_uses!K442*base_scenario_arch_measures!$F442</f>
        <v>0</v>
      </c>
      <c r="L442">
        <f>model_eui_end_uses!L442*base_scenario_arch_measures!$F442</f>
        <v>4.971722519884391E-2</v>
      </c>
      <c r="M442">
        <f>model_eui_end_uses!M442*base_scenario_arch_measures!$F442</f>
        <v>4.6057519588313086E-3</v>
      </c>
      <c r="N442">
        <f>model_eui_end_uses!N442*base_scenario_arch_measures!$F442</f>
        <v>0</v>
      </c>
      <c r="O442">
        <f>model_eui_end_uses!O442*base_scenario_arch_measures!$F442</f>
        <v>2.3168177150748197E-2</v>
      </c>
      <c r="P442">
        <f>model_eui_end_uses!P442*base_scenario_arch_measures!$F442</f>
        <v>0</v>
      </c>
      <c r="Q442">
        <f>model_eui_end_uses!Q442*base_scenario_arch_measures!$F442</f>
        <v>0</v>
      </c>
      <c r="R442" s="187">
        <f>model_eui_end_uses!R442*base_building_arch_areas!$N$8</f>
        <v>0</v>
      </c>
      <c r="S442" s="187">
        <f>model_eui_end_uses!S442*base_building_arch_areas!$N$8</f>
        <v>131174.26826329788</v>
      </c>
      <c r="T442" s="187">
        <f>model_eui_end_uses!T442*base_building_arch_areas!$N$8</f>
        <v>0</v>
      </c>
      <c r="U442" s="187">
        <f>model_eui_end_uses!U442*base_building_arch_areas!$N$8</f>
        <v>0</v>
      </c>
      <c r="V442" s="187">
        <f>model_eui_end_uses!V442*base_building_arch_areas!$N$8</f>
        <v>0</v>
      </c>
      <c r="W442" s="187">
        <f>model_eui_end_uses!W442*base_building_arch_areas!$N$8</f>
        <v>11505.908276092849</v>
      </c>
      <c r="X442" s="187">
        <f>model_eui_end_uses!X442*base_building_arch_areas!$N$8</f>
        <v>1065.8953585764532</v>
      </c>
      <c r="Y442" s="187">
        <f>model_eui_end_uses!Y442*base_building_arch_areas!$N$8</f>
        <v>0</v>
      </c>
      <c r="Z442" s="187">
        <f>model_eui_end_uses!Z442*base_building_arch_areas!$N$8</f>
        <v>5435.4901690866254</v>
      </c>
      <c r="AA442" s="187">
        <f>model_eui_end_uses!AA442*base_building_arch_areas!$N$8</f>
        <v>0</v>
      </c>
      <c r="AB442" s="187">
        <f>model_eui_end_uses!AB442*base_building_arch_areas!$N$8</f>
        <v>0</v>
      </c>
      <c r="AC442" s="187">
        <f>model_eui_end_uses!AC442*base_building_arch_areas!$N$8</f>
        <v>149181.5620670538</v>
      </c>
      <c r="AD442" s="187">
        <f>model_eui_end_uses!AD442*base_building_arch_areas!$N$8</f>
        <v>1133.8821976640502</v>
      </c>
      <c r="AE442" s="187">
        <f>model_eui_end_uses!AE442*base_building_arch_areas!$N$8</f>
        <v>73.748435620422299</v>
      </c>
      <c r="AF442" s="187">
        <f t="shared" si="77"/>
        <v>1207.6306332844724</v>
      </c>
      <c r="AG442" s="187">
        <f>model_eui_end_uses!AH442*base_building_arch_areas!$N$8</f>
        <v>18.368891602157614</v>
      </c>
      <c r="AH442" s="187">
        <f>model_eui_end_uses!AI442*base_building_arch_areas!$N$8</f>
        <v>8.3335732251077204</v>
      </c>
      <c r="AI442" s="187">
        <f t="shared" si="78"/>
        <v>26.702464827265334</v>
      </c>
      <c r="AJ442" s="200">
        <f>sim_annual_output!F442/sim_annual_output!H442*base_building_arch_areas!$N$8</f>
        <v>0</v>
      </c>
      <c r="AK442">
        <f t="shared" si="79"/>
        <v>0</v>
      </c>
    </row>
    <row r="443" spans="1:37">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f>model_eui_end_uses!G443*base_scenario_arch_measures!$F443</f>
        <v>0</v>
      </c>
      <c r="H443">
        <f>model_eui_end_uses!H443*base_scenario_arch_measures!$F443</f>
        <v>0.56190671816872639</v>
      </c>
      <c r="I443">
        <f>model_eui_end_uses!I443*base_scenario_arch_measures!$F443</f>
        <v>0</v>
      </c>
      <c r="J443">
        <f>model_eui_end_uses!J443*base_scenario_arch_measures!$F443</f>
        <v>0</v>
      </c>
      <c r="K443">
        <f>model_eui_end_uses!K443*base_scenario_arch_measures!$F443</f>
        <v>0</v>
      </c>
      <c r="L443">
        <f>model_eui_end_uses!L443*base_scenario_arch_measures!$F443</f>
        <v>4.971722519884391E-2</v>
      </c>
      <c r="M443">
        <f>model_eui_end_uses!M443*base_scenario_arch_measures!$F443</f>
        <v>4.6057519588313086E-3</v>
      </c>
      <c r="N443">
        <f>model_eui_end_uses!N443*base_scenario_arch_measures!$F443</f>
        <v>0</v>
      </c>
      <c r="O443">
        <f>model_eui_end_uses!O443*base_scenario_arch_measures!$F443</f>
        <v>2.3168177150748197E-2</v>
      </c>
      <c r="P443">
        <f>model_eui_end_uses!P443*base_scenario_arch_measures!$F443</f>
        <v>0</v>
      </c>
      <c r="Q443">
        <f>model_eui_end_uses!Q443*base_scenario_arch_measures!$F443</f>
        <v>0</v>
      </c>
      <c r="R443" s="187">
        <f>model_eui_end_uses!R443*base_building_arch_areas!$N$8</f>
        <v>0</v>
      </c>
      <c r="S443" s="187">
        <f>model_eui_end_uses!S443*base_building_arch_areas!$N$8</f>
        <v>131174.26826329788</v>
      </c>
      <c r="T443" s="187">
        <f>model_eui_end_uses!T443*base_building_arch_areas!$N$8</f>
        <v>0</v>
      </c>
      <c r="U443" s="187">
        <f>model_eui_end_uses!U443*base_building_arch_areas!$N$8</f>
        <v>0</v>
      </c>
      <c r="V443" s="187">
        <f>model_eui_end_uses!V443*base_building_arch_areas!$N$8</f>
        <v>0</v>
      </c>
      <c r="W443" s="187">
        <f>model_eui_end_uses!W443*base_building_arch_areas!$N$8</f>
        <v>11505.908276092849</v>
      </c>
      <c r="X443" s="187">
        <f>model_eui_end_uses!X443*base_building_arch_areas!$N$8</f>
        <v>1065.8953585764532</v>
      </c>
      <c r="Y443" s="187">
        <f>model_eui_end_uses!Y443*base_building_arch_areas!$N$8</f>
        <v>0</v>
      </c>
      <c r="Z443" s="187">
        <f>model_eui_end_uses!Z443*base_building_arch_areas!$N$8</f>
        <v>5435.4901690866254</v>
      </c>
      <c r="AA443" s="187">
        <f>model_eui_end_uses!AA443*base_building_arch_areas!$N$8</f>
        <v>0</v>
      </c>
      <c r="AB443" s="187">
        <f>model_eui_end_uses!AB443*base_building_arch_areas!$N$8</f>
        <v>0</v>
      </c>
      <c r="AC443" s="187">
        <f>model_eui_end_uses!AC443*base_building_arch_areas!$N$8</f>
        <v>149181.5620670538</v>
      </c>
      <c r="AD443" s="187">
        <f>model_eui_end_uses!AD443*base_building_arch_areas!$N$8</f>
        <v>1133.8821976640502</v>
      </c>
      <c r="AE443" s="187">
        <f>model_eui_end_uses!AE443*base_building_arch_areas!$N$8</f>
        <v>73.748435620422299</v>
      </c>
      <c r="AF443" s="187">
        <f t="shared" si="77"/>
        <v>1207.6306332844724</v>
      </c>
      <c r="AG443" s="187">
        <f>model_eui_end_uses!AH443*base_building_arch_areas!$N$8</f>
        <v>18.368891602157614</v>
      </c>
      <c r="AH443" s="187">
        <f>model_eui_end_uses!AI443*base_building_arch_areas!$N$8</f>
        <v>8.3335732251077204</v>
      </c>
      <c r="AI443" s="187">
        <f t="shared" si="78"/>
        <v>26.702464827265334</v>
      </c>
      <c r="AJ443" s="200">
        <f>sim_annual_output!F443/sim_annual_output!H443*base_building_arch_areas!$N$8</f>
        <v>250.29420083986335</v>
      </c>
      <c r="AK443">
        <f t="shared" si="79"/>
        <v>9.3734493223372066</v>
      </c>
    </row>
    <row r="444" spans="1:37">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f>model_eui_end_uses!G444*base_scenario_arch_measures!$F444</f>
        <v>0</v>
      </c>
      <c r="H444">
        <f>model_eui_end_uses!H444*base_scenario_arch_measures!$F444</f>
        <v>0.56190671816872639</v>
      </c>
      <c r="I444">
        <f>model_eui_end_uses!I444*base_scenario_arch_measures!$F444</f>
        <v>0</v>
      </c>
      <c r="J444">
        <f>model_eui_end_uses!J444*base_scenario_arch_measures!$F444</f>
        <v>0</v>
      </c>
      <c r="K444">
        <f>model_eui_end_uses!K444*base_scenario_arch_measures!$F444</f>
        <v>0</v>
      </c>
      <c r="L444">
        <f>model_eui_end_uses!L444*base_scenario_arch_measures!$F444</f>
        <v>4.971722519884391E-2</v>
      </c>
      <c r="M444">
        <f>model_eui_end_uses!M444*base_scenario_arch_measures!$F444</f>
        <v>4.6057519588313086E-3</v>
      </c>
      <c r="N444">
        <f>model_eui_end_uses!N444*base_scenario_arch_measures!$F444</f>
        <v>0</v>
      </c>
      <c r="O444">
        <f>model_eui_end_uses!O444*base_scenario_arch_measures!$F444</f>
        <v>2.3168177150748197E-2</v>
      </c>
      <c r="P444">
        <f>model_eui_end_uses!P444*base_scenario_arch_measures!$F444</f>
        <v>0</v>
      </c>
      <c r="Q444">
        <f>model_eui_end_uses!Q444*base_scenario_arch_measures!$F444</f>
        <v>0</v>
      </c>
      <c r="R444" s="187">
        <f>model_eui_end_uses!R444*base_building_arch_areas!$N$8</f>
        <v>0</v>
      </c>
      <c r="S444" s="187">
        <f>model_eui_end_uses!S444*base_building_arch_areas!$N$8</f>
        <v>131174.26826329788</v>
      </c>
      <c r="T444" s="187">
        <f>model_eui_end_uses!T444*base_building_arch_areas!$N$8</f>
        <v>0</v>
      </c>
      <c r="U444" s="187">
        <f>model_eui_end_uses!U444*base_building_arch_areas!$N$8</f>
        <v>0</v>
      </c>
      <c r="V444" s="187">
        <f>model_eui_end_uses!V444*base_building_arch_areas!$N$8</f>
        <v>0</v>
      </c>
      <c r="W444" s="187">
        <f>model_eui_end_uses!W444*base_building_arch_areas!$N$8</f>
        <v>11505.908276092849</v>
      </c>
      <c r="X444" s="187">
        <f>model_eui_end_uses!X444*base_building_arch_areas!$N$8</f>
        <v>1065.8953585764532</v>
      </c>
      <c r="Y444" s="187">
        <f>model_eui_end_uses!Y444*base_building_arch_areas!$N$8</f>
        <v>0</v>
      </c>
      <c r="Z444" s="187">
        <f>model_eui_end_uses!Z444*base_building_arch_areas!$N$8</f>
        <v>5435.4901690866254</v>
      </c>
      <c r="AA444" s="187">
        <f>model_eui_end_uses!AA444*base_building_arch_areas!$N$8</f>
        <v>0</v>
      </c>
      <c r="AB444" s="187">
        <f>model_eui_end_uses!AB444*base_building_arch_areas!$N$8</f>
        <v>0</v>
      </c>
      <c r="AC444" s="187">
        <f>model_eui_end_uses!AC444*base_building_arch_areas!$N$8</f>
        <v>149181.5620670538</v>
      </c>
      <c r="AD444" s="187">
        <f>model_eui_end_uses!AD444*base_building_arch_areas!$N$8</f>
        <v>1133.8821976640502</v>
      </c>
      <c r="AE444" s="187">
        <f>model_eui_end_uses!AE444*base_building_arch_areas!$N$8</f>
        <v>73.748435620422299</v>
      </c>
      <c r="AF444" s="187">
        <f t="shared" si="77"/>
        <v>1207.6306332844724</v>
      </c>
      <c r="AG444" s="187">
        <f>model_eui_end_uses!AH444*base_building_arch_areas!$N$8</f>
        <v>18.368891602157614</v>
      </c>
      <c r="AH444" s="187">
        <f>model_eui_end_uses!AI444*base_building_arch_areas!$N$8</f>
        <v>8.3335732251077204</v>
      </c>
      <c r="AI444" s="187">
        <f t="shared" si="78"/>
        <v>26.702464827265334</v>
      </c>
      <c r="AJ444" s="200">
        <f>sim_annual_output!F444/sim_annual_output!H444*base_building_arch_areas!$N$8</f>
        <v>0</v>
      </c>
      <c r="AK444">
        <f t="shared" si="79"/>
        <v>0</v>
      </c>
    </row>
    <row r="445" spans="1:37">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f>model_eui_end_uses!G445*base_scenario_arch_measures!$F445</f>
        <v>0</v>
      </c>
      <c r="H445">
        <f>model_eui_end_uses!H445*base_scenario_arch_measures!$F445</f>
        <v>0.29226359213786085</v>
      </c>
      <c r="I445">
        <f>model_eui_end_uses!I445*base_scenario_arch_measures!$F445</f>
        <v>0</v>
      </c>
      <c r="J445">
        <f>model_eui_end_uses!J445*base_scenario_arch_measures!$F445</f>
        <v>0</v>
      </c>
      <c r="K445">
        <f>model_eui_end_uses!K445*base_scenario_arch_measures!$F445</f>
        <v>0</v>
      </c>
      <c r="L445">
        <f>model_eui_end_uses!L445*base_scenario_arch_measures!$F445</f>
        <v>4.971722519884391E-2</v>
      </c>
      <c r="M445">
        <f>model_eui_end_uses!M445*base_scenario_arch_measures!$F445</f>
        <v>4.6057519588313086E-3</v>
      </c>
      <c r="N445">
        <f>model_eui_end_uses!N445*base_scenario_arch_measures!$F445</f>
        <v>0</v>
      </c>
      <c r="O445">
        <f>model_eui_end_uses!O445*base_scenario_arch_measures!$F445</f>
        <v>1.2323498484440528E-2</v>
      </c>
      <c r="P445">
        <f>model_eui_end_uses!P445*base_scenario_arch_measures!$F445</f>
        <v>0</v>
      </c>
      <c r="Q445">
        <f>model_eui_end_uses!Q445*base_scenario_arch_measures!$F445</f>
        <v>0</v>
      </c>
      <c r="R445" s="187">
        <f>model_eui_end_uses!R445*base_building_arch_areas!$N$8</f>
        <v>0</v>
      </c>
      <c r="S445" s="187">
        <f>model_eui_end_uses!S445*base_building_arch_areas!$N$8</f>
        <v>131174.26826329788</v>
      </c>
      <c r="T445" s="187">
        <f>model_eui_end_uses!T445*base_building_arch_areas!$N$8</f>
        <v>0</v>
      </c>
      <c r="U445" s="187">
        <f>model_eui_end_uses!U445*base_building_arch_areas!$N$8</f>
        <v>0</v>
      </c>
      <c r="V445" s="187">
        <f>model_eui_end_uses!V445*base_building_arch_areas!$N$8</f>
        <v>0</v>
      </c>
      <c r="W445" s="187">
        <f>model_eui_end_uses!W445*base_building_arch_areas!$N$8</f>
        <v>11505.908276092849</v>
      </c>
      <c r="X445" s="187">
        <f>model_eui_end_uses!X445*base_building_arch_areas!$N$8</f>
        <v>1065.8953585764532</v>
      </c>
      <c r="Y445" s="187">
        <f>model_eui_end_uses!Y445*base_building_arch_areas!$N$8</f>
        <v>0</v>
      </c>
      <c r="Z445" s="187">
        <f>model_eui_end_uses!Z445*base_building_arch_areas!$N$8</f>
        <v>5435.4901690866254</v>
      </c>
      <c r="AA445" s="187">
        <f>model_eui_end_uses!AA445*base_building_arch_areas!$N$8</f>
        <v>0</v>
      </c>
      <c r="AB445" s="187">
        <f>model_eui_end_uses!AB445*base_building_arch_areas!$N$8</f>
        <v>0</v>
      </c>
      <c r="AC445" s="187">
        <f>model_eui_end_uses!AC445*base_building_arch_areas!$N$8</f>
        <v>149181.5620670538</v>
      </c>
      <c r="AD445" s="187">
        <f>model_eui_end_uses!AD445*base_building_arch_areas!$N$8</f>
        <v>63536.581925609171</v>
      </c>
      <c r="AE445" s="187">
        <f>model_eui_end_uses!AE445*base_building_arch_areas!$N$8</f>
        <v>2583.4998853280085</v>
      </c>
      <c r="AF445" s="187">
        <f t="shared" si="77"/>
        <v>66120.081810937176</v>
      </c>
      <c r="AG445" s="187">
        <f>model_eui_end_uses!AH445*base_building_arch_areas!$N$8</f>
        <v>1029.2926271948684</v>
      </c>
      <c r="AH445" s="187">
        <f>model_eui_end_uses!AI445*base_building_arch_areas!$N$8</f>
        <v>291.93548704206501</v>
      </c>
      <c r="AI445" s="187">
        <f t="shared" si="78"/>
        <v>1321.2281142369334</v>
      </c>
      <c r="AJ445" s="200">
        <f>sim_annual_output!F445/sim_annual_output!H445*base_building_arch_areas!$N$8</f>
        <v>12401.49229607204</v>
      </c>
      <c r="AK445">
        <f t="shared" si="79"/>
        <v>9.3863369712159361</v>
      </c>
    </row>
    <row r="446" spans="1:37">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f>model_eui_end_uses!G446*base_scenario_arch_measures!$F446</f>
        <v>0</v>
      </c>
      <c r="H446">
        <f>model_eui_end_uses!H446*base_scenario_arch_measures!$F446</f>
        <v>0.2534906294314615</v>
      </c>
      <c r="I446">
        <f>model_eui_end_uses!I446*base_scenario_arch_measures!$F446</f>
        <v>0</v>
      </c>
      <c r="J446">
        <f>model_eui_end_uses!J446*base_scenario_arch_measures!$F446</f>
        <v>0</v>
      </c>
      <c r="K446">
        <f>model_eui_end_uses!K446*base_scenario_arch_measures!$F446</f>
        <v>0</v>
      </c>
      <c r="L446">
        <f>model_eui_end_uses!L446*base_scenario_arch_measures!$F446</f>
        <v>4.971722519884391E-2</v>
      </c>
      <c r="M446">
        <f>model_eui_end_uses!M446*base_scenario_arch_measures!$F446</f>
        <v>4.6057519588313086E-3</v>
      </c>
      <c r="N446">
        <f>model_eui_end_uses!N446*base_scenario_arch_measures!$F446</f>
        <v>0</v>
      </c>
      <c r="O446">
        <f>model_eui_end_uses!O446*base_scenario_arch_measures!$F446</f>
        <v>1.2677021067226499E-2</v>
      </c>
      <c r="P446">
        <f>model_eui_end_uses!P446*base_scenario_arch_measures!$F446</f>
        <v>0</v>
      </c>
      <c r="Q446">
        <f>model_eui_end_uses!Q446*base_scenario_arch_measures!$F446</f>
        <v>0</v>
      </c>
      <c r="R446" s="187">
        <f>model_eui_end_uses!R446*base_building_arch_areas!$N$8</f>
        <v>0</v>
      </c>
      <c r="S446" s="187">
        <f>model_eui_end_uses!S446*base_building_arch_areas!$N$8</f>
        <v>131174.26826329788</v>
      </c>
      <c r="T446" s="187">
        <f>model_eui_end_uses!T446*base_building_arch_areas!$N$8</f>
        <v>0</v>
      </c>
      <c r="U446" s="187">
        <f>model_eui_end_uses!U446*base_building_arch_areas!$N$8</f>
        <v>0</v>
      </c>
      <c r="V446" s="187">
        <f>model_eui_end_uses!V446*base_building_arch_areas!$N$8</f>
        <v>0</v>
      </c>
      <c r="W446" s="187">
        <f>model_eui_end_uses!W446*base_building_arch_areas!$N$8</f>
        <v>11505.908276092849</v>
      </c>
      <c r="X446" s="187">
        <f>model_eui_end_uses!X446*base_building_arch_areas!$N$8</f>
        <v>1065.8953585764532</v>
      </c>
      <c r="Y446" s="187">
        <f>model_eui_end_uses!Y446*base_building_arch_areas!$N$8</f>
        <v>0</v>
      </c>
      <c r="Z446" s="187">
        <f>model_eui_end_uses!Z446*base_building_arch_areas!$N$8</f>
        <v>5435.4901690866254</v>
      </c>
      <c r="AA446" s="187">
        <f>model_eui_end_uses!AA446*base_building_arch_areas!$N$8</f>
        <v>0</v>
      </c>
      <c r="AB446" s="187">
        <f>model_eui_end_uses!AB446*base_building_arch_areas!$N$8</f>
        <v>0</v>
      </c>
      <c r="AC446" s="187">
        <f>model_eui_end_uses!AC446*base_building_arch_areas!$N$8</f>
        <v>149181.5620670538</v>
      </c>
      <c r="AD446" s="187">
        <f>model_eui_end_uses!AD446*base_building_arch_areas!$N$8</f>
        <v>72509.692365863055</v>
      </c>
      <c r="AE446" s="187">
        <f>model_eui_end_uses!AE446*base_building_arch_areas!$N$8</f>
        <v>2501.6852145615994</v>
      </c>
      <c r="AF446" s="187">
        <f t="shared" si="77"/>
        <v>75011.377580424654</v>
      </c>
      <c r="AG446" s="187">
        <f>model_eui_end_uses!AH446*base_building_arch_areas!$N$8</f>
        <v>1174.6570163269816</v>
      </c>
      <c r="AH446" s="187">
        <f>model_eui_end_uses!AI446*base_building_arch_areas!$N$8</f>
        <v>282.69042924546073</v>
      </c>
      <c r="AI446" s="187">
        <f t="shared" si="78"/>
        <v>1457.3474455724424</v>
      </c>
      <c r="AJ446" s="200">
        <f>sim_annual_output!F446/sim_annual_output!H446*base_building_arch_areas!$N$8</f>
        <v>12564.482358828667</v>
      </c>
      <c r="AK446">
        <f t="shared" si="79"/>
        <v>8.6214734838975691</v>
      </c>
    </row>
    <row r="447" spans="1:37">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f>model_eui_end_uses!G447*base_scenario_arch_measures!$F447</f>
        <v>0</v>
      </c>
      <c r="H447">
        <f>model_eui_end_uses!H447*base_scenario_arch_measures!$F447</f>
        <v>0.5770534181241479</v>
      </c>
      <c r="I447">
        <f>model_eui_end_uses!I447*base_scenario_arch_measures!$F447</f>
        <v>0</v>
      </c>
      <c r="J447">
        <f>model_eui_end_uses!J447*base_scenario_arch_measures!$F447</f>
        <v>0</v>
      </c>
      <c r="K447">
        <f>model_eui_end_uses!K447*base_scenario_arch_measures!$F447</f>
        <v>0</v>
      </c>
      <c r="L447">
        <f>model_eui_end_uses!L447*base_scenario_arch_measures!$F447</f>
        <v>3.4804547234844156E-2</v>
      </c>
      <c r="M447">
        <f>model_eui_end_uses!M447*base_scenario_arch_measures!$F447</f>
        <v>4.6057519588313086E-3</v>
      </c>
      <c r="N447">
        <f>model_eui_end_uses!N447*base_scenario_arch_measures!$F447</f>
        <v>0</v>
      </c>
      <c r="O447">
        <f>model_eui_end_uses!O447*base_scenario_arch_measures!$F447</f>
        <v>2.3695971429273724E-2</v>
      </c>
      <c r="P447">
        <f>model_eui_end_uses!P447*base_scenario_arch_measures!$F447</f>
        <v>0</v>
      </c>
      <c r="Q447">
        <f>model_eui_end_uses!Q447*base_scenario_arch_measures!$F447</f>
        <v>0</v>
      </c>
      <c r="R447" s="187">
        <f>model_eui_end_uses!R447*base_building_arch_areas!$N$8</f>
        <v>0</v>
      </c>
      <c r="S447" s="187">
        <f>model_eui_end_uses!S447*base_building_arch_areas!$N$8</f>
        <v>131174.26826329788</v>
      </c>
      <c r="T447" s="187">
        <f>model_eui_end_uses!T447*base_building_arch_areas!$N$8</f>
        <v>0</v>
      </c>
      <c r="U447" s="187">
        <f>model_eui_end_uses!U447*base_building_arch_areas!$N$8</f>
        <v>0</v>
      </c>
      <c r="V447" s="187">
        <f>model_eui_end_uses!V447*base_building_arch_areas!$N$8</f>
        <v>0</v>
      </c>
      <c r="W447" s="187">
        <f>model_eui_end_uses!W447*base_building_arch_areas!$N$8</f>
        <v>11505.908276092849</v>
      </c>
      <c r="X447" s="187">
        <f>model_eui_end_uses!X447*base_building_arch_areas!$N$8</f>
        <v>1065.8953585764532</v>
      </c>
      <c r="Y447" s="187">
        <f>model_eui_end_uses!Y447*base_building_arch_areas!$N$8</f>
        <v>0</v>
      </c>
      <c r="Z447" s="187">
        <f>model_eui_end_uses!Z447*base_building_arch_areas!$N$8</f>
        <v>5435.4901690866254</v>
      </c>
      <c r="AA447" s="187">
        <f>model_eui_end_uses!AA447*base_building_arch_areas!$N$8</f>
        <v>0</v>
      </c>
      <c r="AB447" s="187">
        <f>model_eui_end_uses!AB447*base_building_arch_areas!$N$8</f>
        <v>0</v>
      </c>
      <c r="AC447" s="187">
        <f>model_eui_end_uses!AC447*base_building_arch_areas!$N$8</f>
        <v>149181.5620670538</v>
      </c>
      <c r="AD447" s="187">
        <f>model_eui_end_uses!AD447*base_building_arch_areas!$N$8</f>
        <v>-2371.4731329192887</v>
      </c>
      <c r="AE447" s="187">
        <f>model_eui_end_uses!AE447*base_building_arch_areas!$N$8</f>
        <v>3402.7989122986664</v>
      </c>
      <c r="AF447" s="187">
        <f t="shared" si="77"/>
        <v>1031.3257793793778</v>
      </c>
      <c r="AG447" s="187">
        <f>model_eui_end_uses!AH447*base_building_arch_areas!$N$8</f>
        <v>-38.417864753292477</v>
      </c>
      <c r="AH447" s="187">
        <f>model_eui_end_uses!AI447*base_building_arch_areas!$N$8</f>
        <v>384.51627708974934</v>
      </c>
      <c r="AI447" s="187">
        <f t="shared" si="78"/>
        <v>346.09841233645687</v>
      </c>
      <c r="AJ447" s="200">
        <f>sim_annual_output!F447/sim_annual_output!H447*base_building_arch_areas!$N$8</f>
        <v>8111.6430798305355</v>
      </c>
      <c r="AK447">
        <f t="shared" si="79"/>
        <v>23.437388877545224</v>
      </c>
    </row>
    <row r="448" spans="1:37">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f>model_eui_end_uses!G448*base_scenario_arch_measures!$F448</f>
        <v>0</v>
      </c>
      <c r="H448">
        <f>model_eui_end_uses!H448*base_scenario_arch_measures!$F448</f>
        <v>0.2534906294314615</v>
      </c>
      <c r="I448">
        <f>model_eui_end_uses!I448*base_scenario_arch_measures!$F448</f>
        <v>0</v>
      </c>
      <c r="J448">
        <f>model_eui_end_uses!J448*base_scenario_arch_measures!$F448</f>
        <v>0</v>
      </c>
      <c r="K448">
        <f>model_eui_end_uses!K448*base_scenario_arch_measures!$F448</f>
        <v>0</v>
      </c>
      <c r="L448">
        <f>model_eui_end_uses!L448*base_scenario_arch_measures!$F448</f>
        <v>4.971722519884391E-2</v>
      </c>
      <c r="M448">
        <f>model_eui_end_uses!M448*base_scenario_arch_measures!$F448</f>
        <v>4.6057519588313086E-3</v>
      </c>
      <c r="N448">
        <f>model_eui_end_uses!N448*base_scenario_arch_measures!$F448</f>
        <v>0</v>
      </c>
      <c r="O448">
        <f>model_eui_end_uses!O448*base_scenario_arch_measures!$F448</f>
        <v>1.2677021067226499E-2</v>
      </c>
      <c r="P448">
        <f>model_eui_end_uses!P448*base_scenario_arch_measures!$F448</f>
        <v>0</v>
      </c>
      <c r="Q448">
        <f>model_eui_end_uses!Q448*base_scenario_arch_measures!$F448</f>
        <v>0</v>
      </c>
      <c r="R448" s="187">
        <f>model_eui_end_uses!R448*base_building_arch_areas!$N$8</f>
        <v>0</v>
      </c>
      <c r="S448" s="187">
        <f>model_eui_end_uses!S448*base_building_arch_areas!$N$8</f>
        <v>131174.26826329788</v>
      </c>
      <c r="T448" s="187">
        <f>model_eui_end_uses!T448*base_building_arch_areas!$N$8</f>
        <v>0</v>
      </c>
      <c r="U448" s="187">
        <f>model_eui_end_uses!U448*base_building_arch_areas!$N$8</f>
        <v>0</v>
      </c>
      <c r="V448" s="187">
        <f>model_eui_end_uses!V448*base_building_arch_areas!$N$8</f>
        <v>0</v>
      </c>
      <c r="W448" s="187">
        <f>model_eui_end_uses!W448*base_building_arch_areas!$N$8</f>
        <v>11505.908276092849</v>
      </c>
      <c r="X448" s="187">
        <f>model_eui_end_uses!X448*base_building_arch_areas!$N$8</f>
        <v>1065.8953585764532</v>
      </c>
      <c r="Y448" s="187">
        <f>model_eui_end_uses!Y448*base_building_arch_areas!$N$8</f>
        <v>0</v>
      </c>
      <c r="Z448" s="187">
        <f>model_eui_end_uses!Z448*base_building_arch_areas!$N$8</f>
        <v>5435.4901690866254</v>
      </c>
      <c r="AA448" s="187">
        <f>model_eui_end_uses!AA448*base_building_arch_areas!$N$8</f>
        <v>0</v>
      </c>
      <c r="AB448" s="187">
        <f>model_eui_end_uses!AB448*base_building_arch_areas!$N$8</f>
        <v>0</v>
      </c>
      <c r="AC448" s="187">
        <f>model_eui_end_uses!AC448*base_building_arch_areas!$N$8</f>
        <v>149181.5620670538</v>
      </c>
      <c r="AD448" s="187">
        <f>model_eui_end_uses!AD448*base_building_arch_areas!$N$8</f>
        <v>72509.692365863055</v>
      </c>
      <c r="AE448" s="187">
        <f>model_eui_end_uses!AE448*base_building_arch_areas!$N$8</f>
        <v>2501.6852145615994</v>
      </c>
      <c r="AF448" s="187">
        <f t="shared" si="77"/>
        <v>75011.377580424654</v>
      </c>
      <c r="AG448" s="187">
        <f>model_eui_end_uses!AH448*base_building_arch_areas!$N$8</f>
        <v>1174.6570163269816</v>
      </c>
      <c r="AH448" s="187">
        <f>model_eui_end_uses!AI448*base_building_arch_areas!$N$8</f>
        <v>282.69042924546073</v>
      </c>
      <c r="AI448" s="187">
        <f t="shared" si="78"/>
        <v>1457.3474455724424</v>
      </c>
      <c r="AJ448" s="200">
        <f>sim_annual_output!F448/sim_annual_output!H448*base_building_arch_areas!$N$8</f>
        <v>12564.482358828667</v>
      </c>
      <c r="AK448">
        <f t="shared" si="79"/>
        <v>8.6214734838975691</v>
      </c>
    </row>
    <row r="449" spans="1:37">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f>model_eui_end_uses!G449*base_scenario_arch_measures!$F449</f>
        <v>0</v>
      </c>
      <c r="H449">
        <f>model_eui_end_uses!H449*base_scenario_arch_measures!$F449</f>
        <v>0.49483701126552893</v>
      </c>
      <c r="I449">
        <f>model_eui_end_uses!I449*base_scenario_arch_measures!$F449</f>
        <v>0</v>
      </c>
      <c r="J449">
        <f>model_eui_end_uses!J449*base_scenario_arch_measures!$F449</f>
        <v>0</v>
      </c>
      <c r="K449">
        <f>model_eui_end_uses!K449*base_scenario_arch_measures!$F449</f>
        <v>0</v>
      </c>
      <c r="L449">
        <f>model_eui_end_uses!L449*base_scenario_arch_measures!$F449</f>
        <v>4.971722519884391E-2</v>
      </c>
      <c r="M449">
        <f>model_eui_end_uses!M449*base_scenario_arch_measures!$F449</f>
        <v>4.6057519588313086E-3</v>
      </c>
      <c r="N449">
        <f>model_eui_end_uses!N449*base_scenario_arch_measures!$F449</f>
        <v>0</v>
      </c>
      <c r="O449">
        <f>model_eui_end_uses!O449*base_scenario_arch_measures!$F449</f>
        <v>2.4821268664620616E-2</v>
      </c>
      <c r="P449">
        <f>model_eui_end_uses!P449*base_scenario_arch_measures!$F449</f>
        <v>0</v>
      </c>
      <c r="Q449">
        <f>model_eui_end_uses!Q449*base_scenario_arch_measures!$F449</f>
        <v>0</v>
      </c>
      <c r="R449" s="187">
        <f>model_eui_end_uses!R449*base_building_arch_areas!$N$8</f>
        <v>0</v>
      </c>
      <c r="S449" s="187">
        <f>model_eui_end_uses!S449*base_building_arch_areas!$N$8</f>
        <v>131174.26826329788</v>
      </c>
      <c r="T449" s="187">
        <f>model_eui_end_uses!T449*base_building_arch_areas!$N$8</f>
        <v>0</v>
      </c>
      <c r="U449" s="187">
        <f>model_eui_end_uses!U449*base_building_arch_areas!$N$8</f>
        <v>0</v>
      </c>
      <c r="V449" s="187">
        <f>model_eui_end_uses!V449*base_building_arch_areas!$N$8</f>
        <v>0</v>
      </c>
      <c r="W449" s="187">
        <f>model_eui_end_uses!W449*base_building_arch_areas!$N$8</f>
        <v>11505.908276092849</v>
      </c>
      <c r="X449" s="187">
        <f>model_eui_end_uses!X449*base_building_arch_areas!$N$8</f>
        <v>1065.8953585764532</v>
      </c>
      <c r="Y449" s="187">
        <f>model_eui_end_uses!Y449*base_building_arch_areas!$N$8</f>
        <v>0</v>
      </c>
      <c r="Z449" s="187">
        <f>model_eui_end_uses!Z449*base_building_arch_areas!$N$8</f>
        <v>5435.4901690866254</v>
      </c>
      <c r="AA449" s="187">
        <f>model_eui_end_uses!AA449*base_building_arch_areas!$N$8</f>
        <v>0</v>
      </c>
      <c r="AB449" s="187">
        <f>model_eui_end_uses!AB449*base_building_arch_areas!$N$8</f>
        <v>0</v>
      </c>
      <c r="AC449" s="187">
        <f>model_eui_end_uses!AC449*base_building_arch_areas!$N$8</f>
        <v>149181.5620670538</v>
      </c>
      <c r="AD449" s="187">
        <f>model_eui_end_uses!AD449*base_building_arch_areas!$N$8</f>
        <v>16655.623257150339</v>
      </c>
      <c r="AE449" s="187">
        <f>model_eui_end_uses!AE449*base_building_arch_areas!$N$8</f>
        <v>-308.82157416052837</v>
      </c>
      <c r="AF449" s="187">
        <f t="shared" si="77"/>
        <v>16346.80168298981</v>
      </c>
      <c r="AG449" s="187">
        <f>model_eui_end_uses!AH449*base_building_arch_areas!$N$8</f>
        <v>269.82109676583548</v>
      </c>
      <c r="AH449" s="187">
        <f>model_eui_end_uses!AI449*base_building_arch_areas!$N$8</f>
        <v>-34.896837880139707</v>
      </c>
      <c r="AI449" s="187">
        <f t="shared" si="78"/>
        <v>234.92425888569576</v>
      </c>
      <c r="AJ449" s="200">
        <f>sim_annual_output!F449/sim_annual_output!H449*base_building_arch_areas!$N$8</f>
        <v>162.99006275662921</v>
      </c>
      <c r="AK449">
        <f t="shared" si="79"/>
        <v>0.69379834815583397</v>
      </c>
    </row>
    <row r="450" spans="1:37">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f>model_eui_end_uses!G450*base_scenario_arch_measures!$F450</f>
        <v>0</v>
      </c>
      <c r="H450">
        <f>model_eui_end_uses!H450*base_scenario_arch_measures!$F450</f>
        <v>0.26912031094364686</v>
      </c>
      <c r="I450">
        <f>model_eui_end_uses!I450*base_scenario_arch_measures!$F450</f>
        <v>0</v>
      </c>
      <c r="J450">
        <f>model_eui_end_uses!J450*base_scenario_arch_measures!$F450</f>
        <v>0</v>
      </c>
      <c r="K450">
        <f>model_eui_end_uses!K450*base_scenario_arch_measures!$F450</f>
        <v>0</v>
      </c>
      <c r="L450">
        <f>model_eui_end_uses!L450*base_scenario_arch_measures!$F450</f>
        <v>3.4804547234844156E-2</v>
      </c>
      <c r="M450">
        <f>model_eui_end_uses!M450*base_scenario_arch_measures!$F450</f>
        <v>4.6057519588313086E-3</v>
      </c>
      <c r="N450">
        <f>model_eui_end_uses!N450*base_scenario_arch_measures!$F450</f>
        <v>0</v>
      </c>
      <c r="O450">
        <f>model_eui_end_uses!O450*base_scenario_arch_measures!$F450</f>
        <v>1.3080335563080917E-2</v>
      </c>
      <c r="P450">
        <f>model_eui_end_uses!P450*base_scenario_arch_measures!$F450</f>
        <v>0</v>
      </c>
      <c r="Q450">
        <f>model_eui_end_uses!Q450*base_scenario_arch_measures!$F450</f>
        <v>0</v>
      </c>
      <c r="R450" s="187">
        <f>model_eui_end_uses!R450*base_building_arch_areas!$N$8</f>
        <v>0</v>
      </c>
      <c r="S450" s="187">
        <f>model_eui_end_uses!S450*base_building_arch_areas!$N$8</f>
        <v>131174.26826329788</v>
      </c>
      <c r="T450" s="187">
        <f>model_eui_end_uses!T450*base_building_arch_areas!$N$8</f>
        <v>0</v>
      </c>
      <c r="U450" s="187">
        <f>model_eui_end_uses!U450*base_building_arch_areas!$N$8</f>
        <v>0</v>
      </c>
      <c r="V450" s="187">
        <f>model_eui_end_uses!V450*base_building_arch_areas!$N$8</f>
        <v>0</v>
      </c>
      <c r="W450" s="187">
        <f>model_eui_end_uses!W450*base_building_arch_areas!$N$8</f>
        <v>11505.908276092849</v>
      </c>
      <c r="X450" s="187">
        <f>model_eui_end_uses!X450*base_building_arch_areas!$N$8</f>
        <v>1065.8953585764532</v>
      </c>
      <c r="Y450" s="187">
        <f>model_eui_end_uses!Y450*base_building_arch_areas!$N$8</f>
        <v>0</v>
      </c>
      <c r="Z450" s="187">
        <f>model_eui_end_uses!Z450*base_building_arch_areas!$N$8</f>
        <v>5435.4901690866254</v>
      </c>
      <c r="AA450" s="187">
        <f>model_eui_end_uses!AA450*base_building_arch_areas!$N$8</f>
        <v>0</v>
      </c>
      <c r="AB450" s="187">
        <f>model_eui_end_uses!AB450*base_building_arch_areas!$N$8</f>
        <v>0</v>
      </c>
      <c r="AC450" s="187">
        <f>model_eui_end_uses!AC450*base_building_arch_areas!$N$8</f>
        <v>149181.5620670538</v>
      </c>
      <c r="AD450" s="187">
        <f>model_eui_end_uses!AD450*base_building_arch_areas!$N$8</f>
        <v>68892.562062542522</v>
      </c>
      <c r="AE450" s="187">
        <f>model_eui_end_uses!AE450*base_building_arch_areas!$N$8</f>
        <v>5859.5436739040679</v>
      </c>
      <c r="AF450" s="187">
        <f t="shared" si="77"/>
        <v>74752.105736446596</v>
      </c>
      <c r="AG450" s="187">
        <f>model_eui_end_uses!AH450*base_building_arch_areas!$N$8</f>
        <v>1116.0595054131888</v>
      </c>
      <c r="AH450" s="187">
        <f>model_eui_end_uses!AI450*base_building_arch_areas!$N$8</f>
        <v>662.12843515115981</v>
      </c>
      <c r="AI450" s="187">
        <f t="shared" si="78"/>
        <v>1778.1879405643485</v>
      </c>
      <c r="AJ450" s="200">
        <f>sim_annual_output!F450/sim_annual_output!H450*base_building_arch_areas!$N$8</f>
        <v>21708.836904254957</v>
      </c>
      <c r="AK450">
        <f t="shared" si="79"/>
        <v>12.208404077560644</v>
      </c>
    </row>
    <row r="451" spans="1:37">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f>model_eui_end_uses!G451*base_scenario_arch_measures!$F451</f>
        <v>0</v>
      </c>
      <c r="H451">
        <f>model_eui_end_uses!H451*base_scenario_arch_measures!$F451</f>
        <v>0.56210588582100018</v>
      </c>
      <c r="I451">
        <f>model_eui_end_uses!I451*base_scenario_arch_measures!$F451</f>
        <v>0</v>
      </c>
      <c r="J451">
        <f>model_eui_end_uses!J451*base_scenario_arch_measures!$F451</f>
        <v>0</v>
      </c>
      <c r="K451">
        <f>model_eui_end_uses!K451*base_scenario_arch_measures!$F451</f>
        <v>0</v>
      </c>
      <c r="L451">
        <f>model_eui_end_uses!L451*base_scenario_arch_measures!$F451</f>
        <v>4.971722519884391E-2</v>
      </c>
      <c r="M451">
        <f>model_eui_end_uses!M451*base_scenario_arch_measures!$F451</f>
        <v>4.6057519588313086E-3</v>
      </c>
      <c r="N451">
        <f>model_eui_end_uses!N451*base_scenario_arch_measures!$F451</f>
        <v>0</v>
      </c>
      <c r="O451">
        <f>model_eui_end_uses!O451*base_scenario_arch_measures!$F451</f>
        <v>2.318809391597557E-2</v>
      </c>
      <c r="P451">
        <f>model_eui_end_uses!P451*base_scenario_arch_measures!$F451</f>
        <v>0</v>
      </c>
      <c r="Q451">
        <f>model_eui_end_uses!Q451*base_scenario_arch_measures!$F451</f>
        <v>0</v>
      </c>
      <c r="R451" s="187">
        <f>model_eui_end_uses!R451*base_building_arch_areas!$N$8</f>
        <v>0</v>
      </c>
      <c r="S451" s="187">
        <f>model_eui_end_uses!S451*base_building_arch_areas!$N$8</f>
        <v>131174.26826329788</v>
      </c>
      <c r="T451" s="187">
        <f>model_eui_end_uses!T451*base_building_arch_areas!$N$8</f>
        <v>0</v>
      </c>
      <c r="U451" s="187">
        <f>model_eui_end_uses!U451*base_building_arch_areas!$N$8</f>
        <v>0</v>
      </c>
      <c r="V451" s="187">
        <f>model_eui_end_uses!V451*base_building_arch_areas!$N$8</f>
        <v>0</v>
      </c>
      <c r="W451" s="187">
        <f>model_eui_end_uses!W451*base_building_arch_areas!$N$8</f>
        <v>11505.908276092849</v>
      </c>
      <c r="X451" s="187">
        <f>model_eui_end_uses!X451*base_building_arch_areas!$N$8</f>
        <v>1065.8953585764532</v>
      </c>
      <c r="Y451" s="187">
        <f>model_eui_end_uses!Y451*base_building_arch_areas!$N$8</f>
        <v>0</v>
      </c>
      <c r="Z451" s="187">
        <f>model_eui_end_uses!Z451*base_building_arch_areas!$N$8</f>
        <v>5435.4901690866254</v>
      </c>
      <c r="AA451" s="187">
        <f>model_eui_end_uses!AA451*base_building_arch_areas!$N$8</f>
        <v>0</v>
      </c>
      <c r="AB451" s="187">
        <f>model_eui_end_uses!AB451*base_building_arch_areas!$N$8</f>
        <v>0</v>
      </c>
      <c r="AC451" s="187">
        <f>model_eui_end_uses!AC451*base_building_arch_areas!$N$8</f>
        <v>149181.5620670538</v>
      </c>
      <c r="AD451" s="187">
        <f>model_eui_end_uses!AD451*base_building_arch_areas!$N$8</f>
        <v>1087.7894254012876</v>
      </c>
      <c r="AE451" s="187">
        <f>model_eui_end_uses!AE451*base_building_arch_areas!$N$8</f>
        <v>69.139158394148836</v>
      </c>
      <c r="AF451" s="187">
        <f t="shared" si="77"/>
        <v>1156.9285837954365</v>
      </c>
      <c r="AG451" s="187">
        <f>model_eui_end_uses!AH451*base_building_arch_areas!$N$8</f>
        <v>17.622188691500856</v>
      </c>
      <c r="AH451" s="187">
        <f>model_eui_end_uses!AI451*base_building_arch_areas!$N$8</f>
        <v>7.8127248985388196</v>
      </c>
      <c r="AI451" s="187">
        <f t="shared" si="78"/>
        <v>25.434913590039677</v>
      </c>
      <c r="AJ451" s="200">
        <f>sim_annual_output!F451/sim_annual_output!H451*base_building_arch_areas!$N$8</f>
        <v>94.275749955706701</v>
      </c>
      <c r="AK451">
        <f t="shared" si="79"/>
        <v>3.7065488593845712</v>
      </c>
    </row>
    <row r="452" spans="1:37">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f>model_eui_end_uses!G452*base_scenario_arch_measures!$F452</f>
        <v>0</v>
      </c>
      <c r="H452">
        <f>model_eui_end_uses!H452*base_scenario_arch_measures!$F452</f>
        <v>1.3041179202643889</v>
      </c>
      <c r="I452">
        <f>model_eui_end_uses!I452*base_scenario_arch_measures!$F452</f>
        <v>0</v>
      </c>
      <c r="J452">
        <f>model_eui_end_uses!J452*base_scenario_arch_measures!$F452</f>
        <v>0</v>
      </c>
      <c r="K452">
        <f>model_eui_end_uses!K452*base_scenario_arch_measures!$F452</f>
        <v>0</v>
      </c>
      <c r="L452">
        <f>model_eui_end_uses!L452*base_scenario_arch_measures!$F452</f>
        <v>0.12534767080435799</v>
      </c>
      <c r="M452">
        <f>model_eui_end_uses!M452*base_scenario_arch_measures!$F452</f>
        <v>1.1612077665901964E-2</v>
      </c>
      <c r="N452">
        <f>model_eui_end_uses!N452*base_scenario_arch_measures!$F452</f>
        <v>0</v>
      </c>
      <c r="O452">
        <f>model_eui_end_uses!O452*base_scenario_arch_measures!$F452</f>
        <v>5.3980469149598323E-2</v>
      </c>
      <c r="P452">
        <f>model_eui_end_uses!P452*base_scenario_arch_measures!$F452</f>
        <v>0</v>
      </c>
      <c r="Q452">
        <f>model_eui_end_uses!Q452*base_scenario_arch_measures!$F452</f>
        <v>0</v>
      </c>
      <c r="R452" s="187">
        <f>model_eui_end_uses!R452*base_building_arch_areas!$N$9</f>
        <v>0</v>
      </c>
      <c r="S452" s="187">
        <f>model_eui_end_uses!S452*base_building_arch_areas!$N$9</f>
        <v>301808.09793302673</v>
      </c>
      <c r="T452" s="187">
        <f>model_eui_end_uses!T452*base_building_arch_areas!$N$9</f>
        <v>0</v>
      </c>
      <c r="U452" s="187">
        <f>model_eui_end_uses!U452*base_building_arch_areas!$N$9</f>
        <v>0</v>
      </c>
      <c r="V452" s="187">
        <f>model_eui_end_uses!V452*base_building_arch_areas!$N$9</f>
        <v>0</v>
      </c>
      <c r="W452" s="187">
        <f>model_eui_end_uses!W452*base_building_arch_areas!$N$9</f>
        <v>29008.835411240154</v>
      </c>
      <c r="X452" s="187">
        <f>model_eui_end_uses!X452*base_building_arch_areas!$N$9</f>
        <v>2687.348297986694</v>
      </c>
      <c r="Y452" s="187">
        <f>model_eui_end_uses!Y452*base_building_arch_areas!$N$9</f>
        <v>0</v>
      </c>
      <c r="Z452" s="187">
        <f>model_eui_end_uses!Z452*base_building_arch_areas!$N$9</f>
        <v>12492.538033884091</v>
      </c>
      <c r="AA452" s="187">
        <f>model_eui_end_uses!AA452*base_building_arch_areas!$N$9</f>
        <v>0</v>
      </c>
      <c r="AB452" s="187">
        <f>model_eui_end_uses!AB452*base_building_arch_areas!$N$9</f>
        <v>0</v>
      </c>
      <c r="AC452" s="187">
        <f>model_eui_end_uses!AC452*base_building_arch_areas!$N$9</f>
        <v>345996.81967613765</v>
      </c>
      <c r="AD452" s="187">
        <f>model_eui_end_uses!AD452*base_building_arch_areas!$N$9</f>
        <v>0</v>
      </c>
      <c r="AE452" s="187">
        <f>model_eui_end_uses!AE452*base_building_arch_areas!$N$9</f>
        <v>0</v>
      </c>
      <c r="AF452" s="187">
        <f t="shared" si="77"/>
        <v>0</v>
      </c>
      <c r="AG452" s="187">
        <f>model_eui_end_uses!AH452*base_building_arch_areas!$N$9</f>
        <v>0</v>
      </c>
      <c r="AH452" s="187">
        <f>model_eui_end_uses!AI452*base_building_arch_areas!$N$9</f>
        <v>0</v>
      </c>
      <c r="AI452" s="187">
        <f t="shared" ref="AI452:AI498" si="80">SUM(AG452:AH452)</f>
        <v>0</v>
      </c>
      <c r="AJ452" s="200">
        <f>sim_annual_output!F452/sim_annual_output!H452*base_building_arch_areas!$N$9</f>
        <v>0</v>
      </c>
      <c r="AK452">
        <f t="shared" ref="AK452:AK498" si="81">IF(AI452=0,0,AJ452/AI452)</f>
        <v>0</v>
      </c>
    </row>
    <row r="453" spans="1:37">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f>model_eui_end_uses!G453*base_scenario_arch_measures!$F453</f>
        <v>0</v>
      </c>
      <c r="H453">
        <f>model_eui_end_uses!H453*base_scenario_arch_measures!$F453</f>
        <v>1.2862792582500682</v>
      </c>
      <c r="I453">
        <f>model_eui_end_uses!I453*base_scenario_arch_measures!$F453</f>
        <v>0</v>
      </c>
      <c r="J453">
        <f>model_eui_end_uses!J453*base_scenario_arch_measures!$F453</f>
        <v>0</v>
      </c>
      <c r="K453">
        <f>model_eui_end_uses!K453*base_scenario_arch_measures!$F453</f>
        <v>0</v>
      </c>
      <c r="L453">
        <f>model_eui_end_uses!L453*base_scenario_arch_measures!$F453</f>
        <v>0.12534767080435799</v>
      </c>
      <c r="M453">
        <f>model_eui_end_uses!M453*base_scenario_arch_measures!$F453</f>
        <v>1.1612077665901964E-2</v>
      </c>
      <c r="N453">
        <f>model_eui_end_uses!N453*base_scenario_arch_measures!$F453</f>
        <v>0</v>
      </c>
      <c r="O453">
        <f>model_eui_end_uses!O453*base_scenario_arch_measures!$F453</f>
        <v>5.311427092370942E-2</v>
      </c>
      <c r="P453">
        <f>model_eui_end_uses!P453*base_scenario_arch_measures!$F453</f>
        <v>0</v>
      </c>
      <c r="Q453">
        <f>model_eui_end_uses!Q453*base_scenario_arch_measures!$F453</f>
        <v>0</v>
      </c>
      <c r="R453" s="187">
        <f>model_eui_end_uses!R453*base_building_arch_areas!$N$9</f>
        <v>0</v>
      </c>
      <c r="S453" s="187">
        <f>model_eui_end_uses!S453*base_building_arch_areas!$N$9</f>
        <v>301808.09793302673</v>
      </c>
      <c r="T453" s="187">
        <f>model_eui_end_uses!T453*base_building_arch_areas!$N$9</f>
        <v>0</v>
      </c>
      <c r="U453" s="187">
        <f>model_eui_end_uses!U453*base_building_arch_areas!$N$9</f>
        <v>0</v>
      </c>
      <c r="V453" s="187">
        <f>model_eui_end_uses!V453*base_building_arch_areas!$N$9</f>
        <v>0</v>
      </c>
      <c r="W453" s="187">
        <f>model_eui_end_uses!W453*base_building_arch_areas!$N$9</f>
        <v>29008.835411240154</v>
      </c>
      <c r="X453" s="187">
        <f>model_eui_end_uses!X453*base_building_arch_areas!$N$9</f>
        <v>2687.348297986694</v>
      </c>
      <c r="Y453" s="187">
        <f>model_eui_end_uses!Y453*base_building_arch_areas!$N$9</f>
        <v>0</v>
      </c>
      <c r="Z453" s="187">
        <f>model_eui_end_uses!Z453*base_building_arch_areas!$N$9</f>
        <v>12492.538033884091</v>
      </c>
      <c r="AA453" s="187">
        <f>model_eui_end_uses!AA453*base_building_arch_areas!$N$9</f>
        <v>0</v>
      </c>
      <c r="AB453" s="187">
        <f>model_eui_end_uses!AB453*base_building_arch_areas!$N$9</f>
        <v>0</v>
      </c>
      <c r="AC453" s="187">
        <f>model_eui_end_uses!AC453*base_building_arch_areas!$N$9</f>
        <v>345996.81967613765</v>
      </c>
      <c r="AD453" s="187">
        <f>model_eui_end_uses!AD453*base_building_arch_areas!$N$9</f>
        <v>4128.3480339882262</v>
      </c>
      <c r="AE453" s="187">
        <f>model_eui_end_uses!AE453*base_building_arch_areas!$N$9</f>
        <v>200.46165682278979</v>
      </c>
      <c r="AF453" s="187">
        <f t="shared" ref="AF453:AF467" si="82">SUM(AD453:AE453)</f>
        <v>4328.8096908110165</v>
      </c>
      <c r="AG453" s="187">
        <f>model_eui_end_uses!AH453*base_building_arch_areas!$N$9</f>
        <v>66.879238150609254</v>
      </c>
      <c r="AH453" s="187">
        <f>model_eui_end_uses!AI453*base_building_arch_areas!$N$9</f>
        <v>22.652167220975247</v>
      </c>
      <c r="AI453" s="187">
        <f t="shared" ref="AI453:AI467" si="83">SUM(AG453:AH453)</f>
        <v>89.531405371584498</v>
      </c>
      <c r="AJ453" s="200">
        <f>sim_annual_output!F453/sim_annual_output!H453*base_building_arch_areas!$N$9</f>
        <v>717.24836477381393</v>
      </c>
      <c r="AK453">
        <f t="shared" ref="AK453:AK467" si="84">IF(AI453=0,0,AJ453/AI453)</f>
        <v>8.0111371177186328</v>
      </c>
    </row>
    <row r="454" spans="1:37">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f>model_eui_end_uses!G454*base_scenario_arch_measures!$F454</f>
        <v>0</v>
      </c>
      <c r="H454">
        <f>model_eui_end_uses!H454*base_scenario_arch_measures!$F454</f>
        <v>1.2862792582500682</v>
      </c>
      <c r="I454">
        <f>model_eui_end_uses!I454*base_scenario_arch_measures!$F454</f>
        <v>0</v>
      </c>
      <c r="J454">
        <f>model_eui_end_uses!J454*base_scenario_arch_measures!$F454</f>
        <v>0</v>
      </c>
      <c r="K454">
        <f>model_eui_end_uses!K454*base_scenario_arch_measures!$F454</f>
        <v>0</v>
      </c>
      <c r="L454">
        <f>model_eui_end_uses!L454*base_scenario_arch_measures!$F454</f>
        <v>0.12534767080435799</v>
      </c>
      <c r="M454">
        <f>model_eui_end_uses!M454*base_scenario_arch_measures!$F454</f>
        <v>1.1612077665901964E-2</v>
      </c>
      <c r="N454">
        <f>model_eui_end_uses!N454*base_scenario_arch_measures!$F454</f>
        <v>0</v>
      </c>
      <c r="O454">
        <f>model_eui_end_uses!O454*base_scenario_arch_measures!$F454</f>
        <v>5.311427092370942E-2</v>
      </c>
      <c r="P454">
        <f>model_eui_end_uses!P454*base_scenario_arch_measures!$F454</f>
        <v>0</v>
      </c>
      <c r="Q454">
        <f>model_eui_end_uses!Q454*base_scenario_arch_measures!$F454</f>
        <v>0</v>
      </c>
      <c r="R454" s="187">
        <f>model_eui_end_uses!R454*base_building_arch_areas!$N$9</f>
        <v>0</v>
      </c>
      <c r="S454" s="187">
        <f>model_eui_end_uses!S454*base_building_arch_areas!$N$9</f>
        <v>301808.09793302673</v>
      </c>
      <c r="T454" s="187">
        <f>model_eui_end_uses!T454*base_building_arch_areas!$N$9</f>
        <v>0</v>
      </c>
      <c r="U454" s="187">
        <f>model_eui_end_uses!U454*base_building_arch_areas!$N$9</f>
        <v>0</v>
      </c>
      <c r="V454" s="187">
        <f>model_eui_end_uses!V454*base_building_arch_areas!$N$9</f>
        <v>0</v>
      </c>
      <c r="W454" s="187">
        <f>model_eui_end_uses!W454*base_building_arch_areas!$N$9</f>
        <v>29008.835411240154</v>
      </c>
      <c r="X454" s="187">
        <f>model_eui_end_uses!X454*base_building_arch_areas!$N$9</f>
        <v>2687.348297986694</v>
      </c>
      <c r="Y454" s="187">
        <f>model_eui_end_uses!Y454*base_building_arch_areas!$N$9</f>
        <v>0</v>
      </c>
      <c r="Z454" s="187">
        <f>model_eui_end_uses!Z454*base_building_arch_areas!$N$9</f>
        <v>12492.538033884091</v>
      </c>
      <c r="AA454" s="187">
        <f>model_eui_end_uses!AA454*base_building_arch_areas!$N$9</f>
        <v>0</v>
      </c>
      <c r="AB454" s="187">
        <f>model_eui_end_uses!AB454*base_building_arch_areas!$N$9</f>
        <v>0</v>
      </c>
      <c r="AC454" s="187">
        <f>model_eui_end_uses!AC454*base_building_arch_areas!$N$9</f>
        <v>345996.81967613765</v>
      </c>
      <c r="AD454" s="187">
        <f>model_eui_end_uses!AD454*base_building_arch_areas!$N$9</f>
        <v>4128.3480339882262</v>
      </c>
      <c r="AE454" s="187">
        <f>model_eui_end_uses!AE454*base_building_arch_areas!$N$9</f>
        <v>200.46165682278979</v>
      </c>
      <c r="AF454" s="187">
        <f t="shared" si="82"/>
        <v>4328.8096908110165</v>
      </c>
      <c r="AG454" s="187">
        <f>model_eui_end_uses!AH454*base_building_arch_areas!$N$9</f>
        <v>66.879238150609254</v>
      </c>
      <c r="AH454" s="187">
        <f>model_eui_end_uses!AI454*base_building_arch_areas!$N$9</f>
        <v>22.652167220975247</v>
      </c>
      <c r="AI454" s="187">
        <f t="shared" si="83"/>
        <v>89.531405371584498</v>
      </c>
      <c r="AJ454" s="200">
        <f>sim_annual_output!F454/sim_annual_output!H454*base_building_arch_areas!$N$9</f>
        <v>0</v>
      </c>
      <c r="AK454">
        <f t="shared" si="84"/>
        <v>0</v>
      </c>
    </row>
    <row r="455" spans="1:37">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f>model_eui_end_uses!G455*base_scenario_arch_measures!$F455</f>
        <v>0</v>
      </c>
      <c r="H455">
        <f>model_eui_end_uses!H455*base_scenario_arch_measures!$F455</f>
        <v>1.3241534618371236</v>
      </c>
      <c r="I455">
        <f>model_eui_end_uses!I455*base_scenario_arch_measures!$F455</f>
        <v>0</v>
      </c>
      <c r="J455">
        <f>model_eui_end_uses!J455*base_scenario_arch_measures!$F455</f>
        <v>0</v>
      </c>
      <c r="K455">
        <f>model_eui_end_uses!K455*base_scenario_arch_measures!$F455</f>
        <v>0</v>
      </c>
      <c r="L455">
        <f>model_eui_end_uses!L455*base_scenario_arch_measures!$F455</f>
        <v>8.7749646361788905E-2</v>
      </c>
      <c r="M455">
        <f>model_eui_end_uses!M455*base_scenario_arch_measures!$F455</f>
        <v>1.1612077665901964E-2</v>
      </c>
      <c r="N455">
        <f>model_eui_end_uses!N455*base_scenario_arch_measures!$F455</f>
        <v>0</v>
      </c>
      <c r="O455">
        <f>model_eui_end_uses!O455*base_scenario_arch_measures!$F455</f>
        <v>5.44198450612811E-2</v>
      </c>
      <c r="P455">
        <f>model_eui_end_uses!P455*base_scenario_arch_measures!$F455</f>
        <v>0</v>
      </c>
      <c r="Q455">
        <f>model_eui_end_uses!Q455*base_scenario_arch_measures!$F455</f>
        <v>0</v>
      </c>
      <c r="R455" s="187">
        <f>model_eui_end_uses!R455*base_building_arch_areas!$N$9</f>
        <v>0</v>
      </c>
      <c r="S455" s="187">
        <f>model_eui_end_uses!S455*base_building_arch_areas!$N$9</f>
        <v>301808.09793302673</v>
      </c>
      <c r="T455" s="187">
        <f>model_eui_end_uses!T455*base_building_arch_areas!$N$9</f>
        <v>0</v>
      </c>
      <c r="U455" s="187">
        <f>model_eui_end_uses!U455*base_building_arch_areas!$N$9</f>
        <v>0</v>
      </c>
      <c r="V455" s="187">
        <f>model_eui_end_uses!V455*base_building_arch_areas!$N$9</f>
        <v>0</v>
      </c>
      <c r="W455" s="187">
        <f>model_eui_end_uses!W455*base_building_arch_areas!$N$9</f>
        <v>29008.835411240154</v>
      </c>
      <c r="X455" s="187">
        <f>model_eui_end_uses!X455*base_building_arch_areas!$N$9</f>
        <v>2687.348297986694</v>
      </c>
      <c r="Y455" s="187">
        <f>model_eui_end_uses!Y455*base_building_arch_areas!$N$9</f>
        <v>0</v>
      </c>
      <c r="Z455" s="187">
        <f>model_eui_end_uses!Z455*base_building_arch_areas!$N$9</f>
        <v>12492.538033884091</v>
      </c>
      <c r="AA455" s="187">
        <f>model_eui_end_uses!AA455*base_building_arch_areas!$N$9</f>
        <v>0</v>
      </c>
      <c r="AB455" s="187">
        <f>model_eui_end_uses!AB455*base_building_arch_areas!$N$9</f>
        <v>0</v>
      </c>
      <c r="AC455" s="187">
        <f>model_eui_end_uses!AC455*base_building_arch_areas!$N$9</f>
        <v>345996.81967613765</v>
      </c>
      <c r="AD455" s="187">
        <f>model_eui_end_uses!AD455*base_building_arch_areas!$N$9</f>
        <v>-4636.7652795532813</v>
      </c>
      <c r="AE455" s="187">
        <f>model_eui_end_uses!AE455*base_building_arch_areas!$N$9</f>
        <v>8599.5145535574175</v>
      </c>
      <c r="AF455" s="187">
        <f t="shared" si="82"/>
        <v>3962.7492740041362</v>
      </c>
      <c r="AG455" s="187">
        <f>model_eui_end_uses!AH455*base_building_arch_areas!$N$9</f>
        <v>-75.115597528763146</v>
      </c>
      <c r="AH455" s="187">
        <f>model_eui_end_uses!AI455*base_building_arch_areas!$N$9</f>
        <v>971.74514455198801</v>
      </c>
      <c r="AI455" s="187">
        <f t="shared" si="83"/>
        <v>896.62954702322486</v>
      </c>
      <c r="AJ455" s="200">
        <f>sim_annual_output!F455/sim_annual_output!H455*base_building_arch_areas!$N$9</f>
        <v>38803.33135438068</v>
      </c>
      <c r="AK455">
        <f t="shared" si="84"/>
        <v>43.276882278981581</v>
      </c>
    </row>
    <row r="456" spans="1:37">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f>model_eui_end_uses!G456*base_scenario_arch_measures!$F456</f>
        <v>0</v>
      </c>
      <c r="H456">
        <f>model_eui_end_uses!H456*base_scenario_arch_measures!$F456</f>
        <v>1.0108156688199201</v>
      </c>
      <c r="I456">
        <f>model_eui_end_uses!I456*base_scenario_arch_measures!$F456</f>
        <v>0</v>
      </c>
      <c r="J456">
        <f>model_eui_end_uses!J456*base_scenario_arch_measures!$F456</f>
        <v>0</v>
      </c>
      <c r="K456">
        <f>model_eui_end_uses!K456*base_scenario_arch_measures!$F456</f>
        <v>0</v>
      </c>
      <c r="L456">
        <f>model_eui_end_uses!L456*base_scenario_arch_measures!$F456</f>
        <v>0.12534767080435799</v>
      </c>
      <c r="M456">
        <f>model_eui_end_uses!M456*base_scenario_arch_measures!$F456</f>
        <v>1.1612077665901964E-2</v>
      </c>
      <c r="N456">
        <f>model_eui_end_uses!N456*base_scenario_arch_measures!$F456</f>
        <v>0</v>
      </c>
      <c r="O456">
        <f>model_eui_end_uses!O456*base_scenario_arch_measures!$F456</f>
        <v>4.2016890754350139E-2</v>
      </c>
      <c r="P456">
        <f>model_eui_end_uses!P456*base_scenario_arch_measures!$F456</f>
        <v>0</v>
      </c>
      <c r="Q456">
        <f>model_eui_end_uses!Q456*base_scenario_arch_measures!$F456</f>
        <v>0</v>
      </c>
      <c r="R456" s="187">
        <f>model_eui_end_uses!R456*base_building_arch_areas!$N$9</f>
        <v>0</v>
      </c>
      <c r="S456" s="187">
        <f>model_eui_end_uses!S456*base_building_arch_areas!$N$9</f>
        <v>301808.09793302673</v>
      </c>
      <c r="T456" s="187">
        <f>model_eui_end_uses!T456*base_building_arch_areas!$N$9</f>
        <v>0</v>
      </c>
      <c r="U456" s="187">
        <f>model_eui_end_uses!U456*base_building_arch_areas!$N$9</f>
        <v>0</v>
      </c>
      <c r="V456" s="187">
        <f>model_eui_end_uses!V456*base_building_arch_areas!$N$9</f>
        <v>0</v>
      </c>
      <c r="W456" s="187">
        <f>model_eui_end_uses!W456*base_building_arch_areas!$N$9</f>
        <v>29008.835411240154</v>
      </c>
      <c r="X456" s="187">
        <f>model_eui_end_uses!X456*base_building_arch_areas!$N$9</f>
        <v>2687.348297986694</v>
      </c>
      <c r="Y456" s="187">
        <f>model_eui_end_uses!Y456*base_building_arch_areas!$N$9</f>
        <v>0</v>
      </c>
      <c r="Z456" s="187">
        <f>model_eui_end_uses!Z456*base_building_arch_areas!$N$9</f>
        <v>12492.538033884091</v>
      </c>
      <c r="AA456" s="187">
        <f>model_eui_end_uses!AA456*base_building_arch_areas!$N$9</f>
        <v>0</v>
      </c>
      <c r="AB456" s="187">
        <f>model_eui_end_uses!AB456*base_building_arch_areas!$N$9</f>
        <v>0</v>
      </c>
      <c r="AC456" s="187">
        <f>model_eui_end_uses!AC456*base_building_arch_areas!$N$9</f>
        <v>345996.81967613765</v>
      </c>
      <c r="AD456" s="187">
        <f>model_eui_end_uses!AD456*base_building_arch_areas!$N$9</f>
        <v>67878.060145039053</v>
      </c>
      <c r="AE456" s="187">
        <f>model_eui_end_uses!AE456*base_building_arch_areas!$N$9</f>
        <v>2768.6950572770984</v>
      </c>
      <c r="AF456" s="187">
        <f t="shared" si="82"/>
        <v>70646.755202316155</v>
      </c>
      <c r="AG456" s="187">
        <f>model_eui_end_uses!AH456*base_building_arch_areas!$N$9</f>
        <v>1099.6245743496327</v>
      </c>
      <c r="AH456" s="187">
        <f>model_eui_end_uses!AI456*base_building_arch_areas!$N$9</f>
        <v>312.8625414723121</v>
      </c>
      <c r="AI456" s="187">
        <f t="shared" si="83"/>
        <v>1412.4871158219448</v>
      </c>
      <c r="AJ456" s="200">
        <f>sim_annual_output!F456/sim_annual_output!H456*base_building_arch_areas!$N$9</f>
        <v>157992.77058551097</v>
      </c>
      <c r="AK456">
        <f t="shared" si="84"/>
        <v>111.85430919387389</v>
      </c>
    </row>
    <row r="457" spans="1:37">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f>model_eui_end_uses!G457*base_scenario_arch_measures!$F457</f>
        <v>0</v>
      </c>
      <c r="H457">
        <f>model_eui_end_uses!H457*base_scenario_arch_measures!$F457</f>
        <v>1.2711145124982741</v>
      </c>
      <c r="I457">
        <f>model_eui_end_uses!I457*base_scenario_arch_measures!$F457</f>
        <v>0</v>
      </c>
      <c r="J457">
        <f>model_eui_end_uses!J457*base_scenario_arch_measures!$F457</f>
        <v>0</v>
      </c>
      <c r="K457">
        <f>model_eui_end_uses!K457*base_scenario_arch_measures!$F457</f>
        <v>0</v>
      </c>
      <c r="L457">
        <f>model_eui_end_uses!L457*base_scenario_arch_measures!$F457</f>
        <v>0.12534767080435799</v>
      </c>
      <c r="M457">
        <f>model_eui_end_uses!M457*base_scenario_arch_measures!$F457</f>
        <v>1.1612077665901964E-2</v>
      </c>
      <c r="N457">
        <f>model_eui_end_uses!N457*base_scenario_arch_measures!$F457</f>
        <v>0</v>
      </c>
      <c r="O457">
        <f>model_eui_end_uses!O457*base_scenario_arch_measures!$F457</f>
        <v>5.244893025744693E-2</v>
      </c>
      <c r="P457">
        <f>model_eui_end_uses!P457*base_scenario_arch_measures!$F457</f>
        <v>0</v>
      </c>
      <c r="Q457">
        <f>model_eui_end_uses!Q457*base_scenario_arch_measures!$F457</f>
        <v>0</v>
      </c>
      <c r="R457" s="187">
        <f>model_eui_end_uses!R457*base_building_arch_areas!$N$9</f>
        <v>0</v>
      </c>
      <c r="S457" s="187">
        <f>model_eui_end_uses!S457*base_building_arch_areas!$N$9</f>
        <v>301808.09793302673</v>
      </c>
      <c r="T457" s="187">
        <f>model_eui_end_uses!T457*base_building_arch_areas!$N$9</f>
        <v>0</v>
      </c>
      <c r="U457" s="187">
        <f>model_eui_end_uses!U457*base_building_arch_areas!$N$9</f>
        <v>0</v>
      </c>
      <c r="V457" s="187">
        <f>model_eui_end_uses!V457*base_building_arch_areas!$N$9</f>
        <v>0</v>
      </c>
      <c r="W457" s="187">
        <f>model_eui_end_uses!W457*base_building_arch_areas!$N$9</f>
        <v>29008.835411240154</v>
      </c>
      <c r="X457" s="187">
        <f>model_eui_end_uses!X457*base_building_arch_areas!$N$9</f>
        <v>2687.348297986694</v>
      </c>
      <c r="Y457" s="187">
        <f>model_eui_end_uses!Y457*base_building_arch_areas!$N$9</f>
        <v>0</v>
      </c>
      <c r="Z457" s="187">
        <f>model_eui_end_uses!Z457*base_building_arch_areas!$N$9</f>
        <v>12492.538033884091</v>
      </c>
      <c r="AA457" s="187">
        <f>model_eui_end_uses!AA457*base_building_arch_areas!$N$9</f>
        <v>0</v>
      </c>
      <c r="AB457" s="187">
        <f>model_eui_end_uses!AB457*base_building_arch_areas!$N$9</f>
        <v>0</v>
      </c>
      <c r="AC457" s="187">
        <f>model_eui_end_uses!AC457*base_building_arch_areas!$N$9</f>
        <v>345996.81967613765</v>
      </c>
      <c r="AD457" s="187">
        <f>model_eui_end_uses!AD457*base_building_arch_areas!$N$9</f>
        <v>7637.8796490886743</v>
      </c>
      <c r="AE457" s="187">
        <f>model_eui_end_uses!AE457*base_building_arch_areas!$N$9</f>
        <v>354.43945119391947</v>
      </c>
      <c r="AF457" s="187">
        <f t="shared" si="82"/>
        <v>7992.3191002825934</v>
      </c>
      <c r="AG457" s="187">
        <f>model_eui_end_uses!AH457*base_building_arch_areas!$N$9</f>
        <v>123.7336503152365</v>
      </c>
      <c r="AH457" s="187">
        <f>model_eui_end_uses!AI457*base_building_arch_areas!$N$9</f>
        <v>40.0516579849129</v>
      </c>
      <c r="AI457" s="187">
        <f t="shared" si="83"/>
        <v>163.78530830014941</v>
      </c>
      <c r="AJ457" s="200">
        <f>sim_annual_output!F457/sim_annual_output!H457*base_building_arch_areas!$N$9</f>
        <v>134673.44044544047</v>
      </c>
      <c r="AK457">
        <f t="shared" si="84"/>
        <v>822.25592663440148</v>
      </c>
    </row>
    <row r="458" spans="1:37">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f>model_eui_end_uses!G458*base_scenario_arch_measures!$F458</f>
        <v>0</v>
      </c>
      <c r="H458">
        <f>model_eui_end_uses!H458*base_scenario_arch_measures!$F458</f>
        <v>1.2862792582500682</v>
      </c>
      <c r="I458">
        <f>model_eui_end_uses!I458*base_scenario_arch_measures!$F458</f>
        <v>0</v>
      </c>
      <c r="J458">
        <f>model_eui_end_uses!J458*base_scenario_arch_measures!$F458</f>
        <v>0</v>
      </c>
      <c r="K458">
        <f>model_eui_end_uses!K458*base_scenario_arch_measures!$F458</f>
        <v>0</v>
      </c>
      <c r="L458">
        <f>model_eui_end_uses!L458*base_scenario_arch_measures!$F458</f>
        <v>0.12534767080435799</v>
      </c>
      <c r="M458">
        <f>model_eui_end_uses!M458*base_scenario_arch_measures!$F458</f>
        <v>1.1612077665901964E-2</v>
      </c>
      <c r="N458">
        <f>model_eui_end_uses!N458*base_scenario_arch_measures!$F458</f>
        <v>0</v>
      </c>
      <c r="O458">
        <f>model_eui_end_uses!O458*base_scenario_arch_measures!$F458</f>
        <v>5.311427092370942E-2</v>
      </c>
      <c r="P458">
        <f>model_eui_end_uses!P458*base_scenario_arch_measures!$F458</f>
        <v>0</v>
      </c>
      <c r="Q458">
        <f>model_eui_end_uses!Q458*base_scenario_arch_measures!$F458</f>
        <v>0</v>
      </c>
      <c r="R458" s="187">
        <f>model_eui_end_uses!R458*base_building_arch_areas!$N$9</f>
        <v>0</v>
      </c>
      <c r="S458" s="187">
        <f>model_eui_end_uses!S458*base_building_arch_areas!$N$9</f>
        <v>301808.09793302673</v>
      </c>
      <c r="T458" s="187">
        <f>model_eui_end_uses!T458*base_building_arch_areas!$N$9</f>
        <v>0</v>
      </c>
      <c r="U458" s="187">
        <f>model_eui_end_uses!U458*base_building_arch_areas!$N$9</f>
        <v>0</v>
      </c>
      <c r="V458" s="187">
        <f>model_eui_end_uses!V458*base_building_arch_areas!$N$9</f>
        <v>0</v>
      </c>
      <c r="W458" s="187">
        <f>model_eui_end_uses!W458*base_building_arch_areas!$N$9</f>
        <v>29008.835411240154</v>
      </c>
      <c r="X458" s="187">
        <f>model_eui_end_uses!X458*base_building_arch_areas!$N$9</f>
        <v>2687.348297986694</v>
      </c>
      <c r="Y458" s="187">
        <f>model_eui_end_uses!Y458*base_building_arch_areas!$N$9</f>
        <v>0</v>
      </c>
      <c r="Z458" s="187">
        <f>model_eui_end_uses!Z458*base_building_arch_areas!$N$9</f>
        <v>12492.538033884091</v>
      </c>
      <c r="AA458" s="187">
        <f>model_eui_end_uses!AA458*base_building_arch_areas!$N$9</f>
        <v>0</v>
      </c>
      <c r="AB458" s="187">
        <f>model_eui_end_uses!AB458*base_building_arch_areas!$N$9</f>
        <v>0</v>
      </c>
      <c r="AC458" s="187">
        <f>model_eui_end_uses!AC458*base_building_arch_areas!$N$9</f>
        <v>345996.81967613765</v>
      </c>
      <c r="AD458" s="187">
        <f>model_eui_end_uses!AD458*base_building_arch_areas!$N$9</f>
        <v>4128.3480339882262</v>
      </c>
      <c r="AE458" s="187">
        <f>model_eui_end_uses!AE458*base_building_arch_areas!$N$9</f>
        <v>200.46165682278979</v>
      </c>
      <c r="AF458" s="187">
        <f t="shared" si="82"/>
        <v>4328.8096908110165</v>
      </c>
      <c r="AG458" s="187">
        <f>model_eui_end_uses!AH458*base_building_arch_areas!$N$9</f>
        <v>66.879238150609254</v>
      </c>
      <c r="AH458" s="187">
        <f>model_eui_end_uses!AI458*base_building_arch_areas!$N$9</f>
        <v>22.652167220975247</v>
      </c>
      <c r="AI458" s="187">
        <f t="shared" si="83"/>
        <v>89.531405371584498</v>
      </c>
      <c r="AJ458" s="200">
        <f>sim_annual_output!F458/sim_annual_output!H458*base_building_arch_areas!$N$9</f>
        <v>0</v>
      </c>
      <c r="AK458">
        <f t="shared" si="84"/>
        <v>0</v>
      </c>
    </row>
    <row r="459" spans="1:37">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f>model_eui_end_uses!G459*base_scenario_arch_measures!$F459</f>
        <v>0</v>
      </c>
      <c r="H459">
        <f>model_eui_end_uses!H459*base_scenario_arch_measures!$F459</f>
        <v>1.2862792582500682</v>
      </c>
      <c r="I459">
        <f>model_eui_end_uses!I459*base_scenario_arch_measures!$F459</f>
        <v>0</v>
      </c>
      <c r="J459">
        <f>model_eui_end_uses!J459*base_scenario_arch_measures!$F459</f>
        <v>0</v>
      </c>
      <c r="K459">
        <f>model_eui_end_uses!K459*base_scenario_arch_measures!$F459</f>
        <v>0</v>
      </c>
      <c r="L459">
        <f>model_eui_end_uses!L459*base_scenario_arch_measures!$F459</f>
        <v>0.12534767080435799</v>
      </c>
      <c r="M459">
        <f>model_eui_end_uses!M459*base_scenario_arch_measures!$F459</f>
        <v>1.1612077665901964E-2</v>
      </c>
      <c r="N459">
        <f>model_eui_end_uses!N459*base_scenario_arch_measures!$F459</f>
        <v>0</v>
      </c>
      <c r="O459">
        <f>model_eui_end_uses!O459*base_scenario_arch_measures!$F459</f>
        <v>5.311427092370942E-2</v>
      </c>
      <c r="P459">
        <f>model_eui_end_uses!P459*base_scenario_arch_measures!$F459</f>
        <v>0</v>
      </c>
      <c r="Q459">
        <f>model_eui_end_uses!Q459*base_scenario_arch_measures!$F459</f>
        <v>0</v>
      </c>
      <c r="R459" s="187">
        <f>model_eui_end_uses!R459*base_building_arch_areas!$N$9</f>
        <v>0</v>
      </c>
      <c r="S459" s="187">
        <f>model_eui_end_uses!S459*base_building_arch_areas!$N$9</f>
        <v>301808.09793302673</v>
      </c>
      <c r="T459" s="187">
        <f>model_eui_end_uses!T459*base_building_arch_areas!$N$9</f>
        <v>0</v>
      </c>
      <c r="U459" s="187">
        <f>model_eui_end_uses!U459*base_building_arch_areas!$N$9</f>
        <v>0</v>
      </c>
      <c r="V459" s="187">
        <f>model_eui_end_uses!V459*base_building_arch_areas!$N$9</f>
        <v>0</v>
      </c>
      <c r="W459" s="187">
        <f>model_eui_end_uses!W459*base_building_arch_areas!$N$9</f>
        <v>29008.835411240154</v>
      </c>
      <c r="X459" s="187">
        <f>model_eui_end_uses!X459*base_building_arch_areas!$N$9</f>
        <v>2687.348297986694</v>
      </c>
      <c r="Y459" s="187">
        <f>model_eui_end_uses!Y459*base_building_arch_areas!$N$9</f>
        <v>0</v>
      </c>
      <c r="Z459" s="187">
        <f>model_eui_end_uses!Z459*base_building_arch_areas!$N$9</f>
        <v>12492.538033884091</v>
      </c>
      <c r="AA459" s="187">
        <f>model_eui_end_uses!AA459*base_building_arch_areas!$N$9</f>
        <v>0</v>
      </c>
      <c r="AB459" s="187">
        <f>model_eui_end_uses!AB459*base_building_arch_areas!$N$9</f>
        <v>0</v>
      </c>
      <c r="AC459" s="187">
        <f>model_eui_end_uses!AC459*base_building_arch_areas!$N$9</f>
        <v>345996.81967613765</v>
      </c>
      <c r="AD459" s="187">
        <f>model_eui_end_uses!AD459*base_building_arch_areas!$N$9</f>
        <v>4128.3480339882262</v>
      </c>
      <c r="AE459" s="187">
        <f>model_eui_end_uses!AE459*base_building_arch_areas!$N$9</f>
        <v>200.46165682278979</v>
      </c>
      <c r="AF459" s="187">
        <f t="shared" si="82"/>
        <v>4328.8096908110165</v>
      </c>
      <c r="AG459" s="187">
        <f>model_eui_end_uses!AH459*base_building_arch_areas!$N$9</f>
        <v>66.879238150609254</v>
      </c>
      <c r="AH459" s="187">
        <f>model_eui_end_uses!AI459*base_building_arch_areas!$N$9</f>
        <v>22.652167220975247</v>
      </c>
      <c r="AI459" s="187">
        <f t="shared" si="83"/>
        <v>89.531405371584498</v>
      </c>
      <c r="AJ459" s="200">
        <f>sim_annual_output!F459/sim_annual_output!H459*base_building_arch_areas!$N$9</f>
        <v>631.0447730265646</v>
      </c>
      <c r="AK459">
        <f t="shared" si="84"/>
        <v>7.0483063502412726</v>
      </c>
    </row>
    <row r="460" spans="1:37">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f>model_eui_end_uses!G460*base_scenario_arch_measures!$F460</f>
        <v>0</v>
      </c>
      <c r="H460">
        <f>model_eui_end_uses!H460*base_scenario_arch_measures!$F460</f>
        <v>1.2862792582500682</v>
      </c>
      <c r="I460">
        <f>model_eui_end_uses!I460*base_scenario_arch_measures!$F460</f>
        <v>0</v>
      </c>
      <c r="J460">
        <f>model_eui_end_uses!J460*base_scenario_arch_measures!$F460</f>
        <v>0</v>
      </c>
      <c r="K460">
        <f>model_eui_end_uses!K460*base_scenario_arch_measures!$F460</f>
        <v>0</v>
      </c>
      <c r="L460">
        <f>model_eui_end_uses!L460*base_scenario_arch_measures!$F460</f>
        <v>0.12534767080435799</v>
      </c>
      <c r="M460">
        <f>model_eui_end_uses!M460*base_scenario_arch_measures!$F460</f>
        <v>1.1612077665901964E-2</v>
      </c>
      <c r="N460">
        <f>model_eui_end_uses!N460*base_scenario_arch_measures!$F460</f>
        <v>0</v>
      </c>
      <c r="O460">
        <f>model_eui_end_uses!O460*base_scenario_arch_measures!$F460</f>
        <v>5.311427092370942E-2</v>
      </c>
      <c r="P460">
        <f>model_eui_end_uses!P460*base_scenario_arch_measures!$F460</f>
        <v>0</v>
      </c>
      <c r="Q460">
        <f>model_eui_end_uses!Q460*base_scenario_arch_measures!$F460</f>
        <v>0</v>
      </c>
      <c r="R460" s="187">
        <f>model_eui_end_uses!R460*base_building_arch_areas!$N$9</f>
        <v>0</v>
      </c>
      <c r="S460" s="187">
        <f>model_eui_end_uses!S460*base_building_arch_areas!$N$9</f>
        <v>301808.09793302673</v>
      </c>
      <c r="T460" s="187">
        <f>model_eui_end_uses!T460*base_building_arch_areas!$N$9</f>
        <v>0</v>
      </c>
      <c r="U460" s="187">
        <f>model_eui_end_uses!U460*base_building_arch_areas!$N$9</f>
        <v>0</v>
      </c>
      <c r="V460" s="187">
        <f>model_eui_end_uses!V460*base_building_arch_areas!$N$9</f>
        <v>0</v>
      </c>
      <c r="W460" s="187">
        <f>model_eui_end_uses!W460*base_building_arch_areas!$N$9</f>
        <v>29008.835411240154</v>
      </c>
      <c r="X460" s="187">
        <f>model_eui_end_uses!X460*base_building_arch_areas!$N$9</f>
        <v>2687.348297986694</v>
      </c>
      <c r="Y460" s="187">
        <f>model_eui_end_uses!Y460*base_building_arch_areas!$N$9</f>
        <v>0</v>
      </c>
      <c r="Z460" s="187">
        <f>model_eui_end_uses!Z460*base_building_arch_areas!$N$9</f>
        <v>12492.538033884091</v>
      </c>
      <c r="AA460" s="187">
        <f>model_eui_end_uses!AA460*base_building_arch_areas!$N$9</f>
        <v>0</v>
      </c>
      <c r="AB460" s="187">
        <f>model_eui_end_uses!AB460*base_building_arch_areas!$N$9</f>
        <v>0</v>
      </c>
      <c r="AC460" s="187">
        <f>model_eui_end_uses!AC460*base_building_arch_areas!$N$9</f>
        <v>345996.81967613765</v>
      </c>
      <c r="AD460" s="187">
        <f>model_eui_end_uses!AD460*base_building_arch_areas!$N$9</f>
        <v>4128.3480339882262</v>
      </c>
      <c r="AE460" s="187">
        <f>model_eui_end_uses!AE460*base_building_arch_areas!$N$9</f>
        <v>200.46165682278979</v>
      </c>
      <c r="AF460" s="187">
        <f t="shared" si="82"/>
        <v>4328.8096908110165</v>
      </c>
      <c r="AG460" s="187">
        <f>model_eui_end_uses!AH460*base_building_arch_areas!$N$9</f>
        <v>66.879238150609254</v>
      </c>
      <c r="AH460" s="187">
        <f>model_eui_end_uses!AI460*base_building_arch_areas!$N$9</f>
        <v>22.652167220975247</v>
      </c>
      <c r="AI460" s="187">
        <f t="shared" si="83"/>
        <v>89.531405371584498</v>
      </c>
      <c r="AJ460" s="200">
        <f>sim_annual_output!F460/sim_annual_output!H460*base_building_arch_areas!$N$9</f>
        <v>0</v>
      </c>
      <c r="AK460">
        <f t="shared" si="84"/>
        <v>0</v>
      </c>
    </row>
    <row r="461" spans="1:37">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f>model_eui_end_uses!G461*base_scenario_arch_measures!$F461</f>
        <v>0</v>
      </c>
      <c r="H461">
        <f>model_eui_end_uses!H461*base_scenario_arch_measures!$F461</f>
        <v>0.9474953231476938</v>
      </c>
      <c r="I461">
        <f>model_eui_end_uses!I461*base_scenario_arch_measures!$F461</f>
        <v>0</v>
      </c>
      <c r="J461">
        <f>model_eui_end_uses!J461*base_scenario_arch_measures!$F461</f>
        <v>0</v>
      </c>
      <c r="K461">
        <f>model_eui_end_uses!K461*base_scenario_arch_measures!$F461</f>
        <v>0</v>
      </c>
      <c r="L461">
        <f>model_eui_end_uses!L461*base_scenario_arch_measures!$F461</f>
        <v>0.12534767080435799</v>
      </c>
      <c r="M461">
        <f>model_eui_end_uses!M461*base_scenario_arch_measures!$F461</f>
        <v>1.1612077665901964E-2</v>
      </c>
      <c r="N461">
        <f>model_eui_end_uses!N461*base_scenario_arch_measures!$F461</f>
        <v>0</v>
      </c>
      <c r="O461">
        <f>model_eui_end_uses!O461*base_scenario_arch_measures!$F461</f>
        <v>3.9342974491823522E-2</v>
      </c>
      <c r="P461">
        <f>model_eui_end_uses!P461*base_scenario_arch_measures!$F461</f>
        <v>0</v>
      </c>
      <c r="Q461">
        <f>model_eui_end_uses!Q461*base_scenario_arch_measures!$F461</f>
        <v>0</v>
      </c>
      <c r="R461" s="187">
        <f>model_eui_end_uses!R461*base_building_arch_areas!$N$9</f>
        <v>0</v>
      </c>
      <c r="S461" s="187">
        <f>model_eui_end_uses!S461*base_building_arch_areas!$N$9</f>
        <v>301808.09793302673</v>
      </c>
      <c r="T461" s="187">
        <f>model_eui_end_uses!T461*base_building_arch_areas!$N$9</f>
        <v>0</v>
      </c>
      <c r="U461" s="187">
        <f>model_eui_end_uses!U461*base_building_arch_areas!$N$9</f>
        <v>0</v>
      </c>
      <c r="V461" s="187">
        <f>model_eui_end_uses!V461*base_building_arch_areas!$N$9</f>
        <v>0</v>
      </c>
      <c r="W461" s="187">
        <f>model_eui_end_uses!W461*base_building_arch_areas!$N$9</f>
        <v>29008.835411240154</v>
      </c>
      <c r="X461" s="187">
        <f>model_eui_end_uses!X461*base_building_arch_areas!$N$9</f>
        <v>2687.348297986694</v>
      </c>
      <c r="Y461" s="187">
        <f>model_eui_end_uses!Y461*base_building_arch_areas!$N$9</f>
        <v>0</v>
      </c>
      <c r="Z461" s="187">
        <f>model_eui_end_uses!Z461*base_building_arch_areas!$N$9</f>
        <v>12492.538033884091</v>
      </c>
      <c r="AA461" s="187">
        <f>model_eui_end_uses!AA461*base_building_arch_areas!$N$9</f>
        <v>0</v>
      </c>
      <c r="AB461" s="187">
        <f>model_eui_end_uses!AB461*base_building_arch_areas!$N$9</f>
        <v>0</v>
      </c>
      <c r="AC461" s="187">
        <f>model_eui_end_uses!AC461*base_building_arch_areas!$N$9</f>
        <v>345996.81967613765</v>
      </c>
      <c r="AD461" s="187">
        <f>model_eui_end_uses!AD461*base_building_arch_areas!$N$9</f>
        <v>82532.097782925412</v>
      </c>
      <c r="AE461" s="187">
        <f>model_eui_end_uses!AE461*base_building_arch_areas!$N$9</f>
        <v>3387.511476164847</v>
      </c>
      <c r="AF461" s="187">
        <f t="shared" si="82"/>
        <v>85919.609259090255</v>
      </c>
      <c r="AG461" s="187">
        <f>model_eui_end_uses!AH461*base_building_arch_areas!$N$9</f>
        <v>1337.0199840833916</v>
      </c>
      <c r="AH461" s="187">
        <f>model_eui_end_uses!AI461*base_building_arch_areas!$N$9</f>
        <v>382.78879680662772</v>
      </c>
      <c r="AI461" s="187">
        <f t="shared" si="83"/>
        <v>1719.8087808900193</v>
      </c>
      <c r="AJ461" s="200">
        <f>sim_annual_output!F461/sim_annual_output!H461*base_building_arch_areas!$N$9</f>
        <v>31266.792697975565</v>
      </c>
      <c r="AK461">
        <f t="shared" si="84"/>
        <v>18.1803890324334</v>
      </c>
    </row>
    <row r="462" spans="1:37">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f>model_eui_end_uses!G462*base_scenario_arch_measures!$F462</f>
        <v>0</v>
      </c>
      <c r="H462">
        <f>model_eui_end_uses!H462*base_scenario_arch_measures!$F462</f>
        <v>0.8224112778903454</v>
      </c>
      <c r="I462">
        <f>model_eui_end_uses!I462*base_scenario_arch_measures!$F462</f>
        <v>0</v>
      </c>
      <c r="J462">
        <f>model_eui_end_uses!J462*base_scenario_arch_measures!$F462</f>
        <v>0</v>
      </c>
      <c r="K462">
        <f>model_eui_end_uses!K462*base_scenario_arch_measures!$F462</f>
        <v>0</v>
      </c>
      <c r="L462">
        <f>model_eui_end_uses!L462*base_scenario_arch_measures!$F462</f>
        <v>0.12534767080435799</v>
      </c>
      <c r="M462">
        <f>model_eui_end_uses!M462*base_scenario_arch_measures!$F462</f>
        <v>1.1612077665901964E-2</v>
      </c>
      <c r="N462">
        <f>model_eui_end_uses!N462*base_scenario_arch_measures!$F462</f>
        <v>0</v>
      </c>
      <c r="O462">
        <f>model_eui_end_uses!O462*base_scenario_arch_measures!$F462</f>
        <v>4.1251121308274435E-2</v>
      </c>
      <c r="P462">
        <f>model_eui_end_uses!P462*base_scenario_arch_measures!$F462</f>
        <v>0</v>
      </c>
      <c r="Q462">
        <f>model_eui_end_uses!Q462*base_scenario_arch_measures!$F462</f>
        <v>0</v>
      </c>
      <c r="R462" s="187">
        <f>model_eui_end_uses!R462*base_building_arch_areas!$N$9</f>
        <v>0</v>
      </c>
      <c r="S462" s="187">
        <f>model_eui_end_uses!S462*base_building_arch_areas!$N$9</f>
        <v>301808.09793302673</v>
      </c>
      <c r="T462" s="187">
        <f>model_eui_end_uses!T462*base_building_arch_areas!$N$9</f>
        <v>0</v>
      </c>
      <c r="U462" s="187">
        <f>model_eui_end_uses!U462*base_building_arch_areas!$N$9</f>
        <v>0</v>
      </c>
      <c r="V462" s="187">
        <f>model_eui_end_uses!V462*base_building_arch_areas!$N$9</f>
        <v>0</v>
      </c>
      <c r="W462" s="187">
        <f>model_eui_end_uses!W462*base_building_arch_areas!$N$9</f>
        <v>29008.835411240154</v>
      </c>
      <c r="X462" s="187">
        <f>model_eui_end_uses!X462*base_building_arch_areas!$N$9</f>
        <v>2687.348297986694</v>
      </c>
      <c r="Y462" s="187">
        <f>model_eui_end_uses!Y462*base_building_arch_areas!$N$9</f>
        <v>0</v>
      </c>
      <c r="Z462" s="187">
        <f>model_eui_end_uses!Z462*base_building_arch_areas!$N$9</f>
        <v>12492.538033884091</v>
      </c>
      <c r="AA462" s="187">
        <f>model_eui_end_uses!AA462*base_building_arch_areas!$N$9</f>
        <v>0</v>
      </c>
      <c r="AB462" s="187">
        <f>model_eui_end_uses!AB462*base_building_arch_areas!$N$9</f>
        <v>0</v>
      </c>
      <c r="AC462" s="187">
        <f>model_eui_end_uses!AC462*base_building_arch_areas!$N$9</f>
        <v>345996.81967613765</v>
      </c>
      <c r="AD462" s="187">
        <f>model_eui_end_uses!AD462*base_building_arch_areas!$N$9</f>
        <v>111479.92312469777</v>
      </c>
      <c r="AE462" s="187">
        <f>model_eui_end_uses!AE462*base_building_arch_areas!$N$9</f>
        <v>2945.9147828740611</v>
      </c>
      <c r="AF462" s="187">
        <f t="shared" si="82"/>
        <v>114425.83790757184</v>
      </c>
      <c r="AG462" s="187">
        <f>model_eui_end_uses!AH462*base_building_arch_areas!$N$9</f>
        <v>1805.9747546201038</v>
      </c>
      <c r="AH462" s="187">
        <f>model_eui_end_uses!AI462*base_building_arch_areas!$N$9</f>
        <v>332.88837046476891</v>
      </c>
      <c r="AI462" s="187">
        <f t="shared" si="83"/>
        <v>2138.8631250848725</v>
      </c>
      <c r="AJ462" s="200">
        <f>sim_annual_output!F462/sim_annual_output!H462*base_building_arch_areas!$N$9</f>
        <v>31677.725219834698</v>
      </c>
      <c r="AK462">
        <f t="shared" si="84"/>
        <v>14.810543436984865</v>
      </c>
    </row>
    <row r="463" spans="1:37">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f>model_eui_end_uses!G463*base_scenario_arch_measures!$F463</f>
        <v>0</v>
      </c>
      <c r="H463">
        <f>model_eui_end_uses!H463*base_scenario_arch_measures!$F463</f>
        <v>1.3233625851960946</v>
      </c>
      <c r="I463">
        <f>model_eui_end_uses!I463*base_scenario_arch_measures!$F463</f>
        <v>0</v>
      </c>
      <c r="J463">
        <f>model_eui_end_uses!J463*base_scenario_arch_measures!$F463</f>
        <v>0</v>
      </c>
      <c r="K463">
        <f>model_eui_end_uses!K463*base_scenario_arch_measures!$F463</f>
        <v>0</v>
      </c>
      <c r="L463">
        <f>model_eui_end_uses!L463*base_scenario_arch_measures!$F463</f>
        <v>8.7749646361788905E-2</v>
      </c>
      <c r="M463">
        <f>model_eui_end_uses!M463*base_scenario_arch_measures!$F463</f>
        <v>1.1612077665901964E-2</v>
      </c>
      <c r="N463">
        <f>model_eui_end_uses!N463*base_scenario_arch_measures!$F463</f>
        <v>0</v>
      </c>
      <c r="O463">
        <f>model_eui_end_uses!O463*base_scenario_arch_measures!$F463</f>
        <v>5.43696306713745E-2</v>
      </c>
      <c r="P463">
        <f>model_eui_end_uses!P463*base_scenario_arch_measures!$F463</f>
        <v>0</v>
      </c>
      <c r="Q463">
        <f>model_eui_end_uses!Q463*base_scenario_arch_measures!$F463</f>
        <v>0</v>
      </c>
      <c r="R463" s="187">
        <f>model_eui_end_uses!R463*base_building_arch_areas!$N$9</f>
        <v>0</v>
      </c>
      <c r="S463" s="187">
        <f>model_eui_end_uses!S463*base_building_arch_areas!$N$9</f>
        <v>301808.09793302673</v>
      </c>
      <c r="T463" s="187">
        <f>model_eui_end_uses!T463*base_building_arch_areas!$N$9</f>
        <v>0</v>
      </c>
      <c r="U463" s="187">
        <f>model_eui_end_uses!U463*base_building_arch_areas!$N$9</f>
        <v>0</v>
      </c>
      <c r="V463" s="187">
        <f>model_eui_end_uses!V463*base_building_arch_areas!$N$9</f>
        <v>0</v>
      </c>
      <c r="W463" s="187">
        <f>model_eui_end_uses!W463*base_building_arch_areas!$N$9</f>
        <v>29008.835411240154</v>
      </c>
      <c r="X463" s="187">
        <f>model_eui_end_uses!X463*base_building_arch_areas!$N$9</f>
        <v>2687.348297986694</v>
      </c>
      <c r="Y463" s="187">
        <f>model_eui_end_uses!Y463*base_building_arch_areas!$N$9</f>
        <v>0</v>
      </c>
      <c r="Z463" s="187">
        <f>model_eui_end_uses!Z463*base_building_arch_areas!$N$9</f>
        <v>12492.538033884091</v>
      </c>
      <c r="AA463" s="187">
        <f>model_eui_end_uses!AA463*base_building_arch_areas!$N$9</f>
        <v>0</v>
      </c>
      <c r="AB463" s="187">
        <f>model_eui_end_uses!AB463*base_building_arch_areas!$N$9</f>
        <v>0</v>
      </c>
      <c r="AC463" s="187">
        <f>model_eui_end_uses!AC463*base_building_arch_areas!$N$9</f>
        <v>345996.81967613765</v>
      </c>
      <c r="AD463" s="187">
        <f>model_eui_end_uses!AD463*base_building_arch_areas!$N$9</f>
        <v>-4453.7350711498293</v>
      </c>
      <c r="AE463" s="187">
        <f>model_eui_end_uses!AE463*base_building_arch_areas!$N$9</f>
        <v>8611.1355191703296</v>
      </c>
      <c r="AF463" s="187">
        <f t="shared" si="82"/>
        <v>4157.4004480205003</v>
      </c>
      <c r="AG463" s="187">
        <f>model_eui_end_uses!AH463*base_building_arch_areas!$N$9</f>
        <v>-72.150508152627225</v>
      </c>
      <c r="AH463" s="187">
        <f>model_eui_end_uses!AI463*base_building_arch_areas!$N$9</f>
        <v>973.05831366624739</v>
      </c>
      <c r="AI463" s="187">
        <f t="shared" si="83"/>
        <v>900.90780551362013</v>
      </c>
      <c r="AJ463" s="200">
        <f>sim_annual_output!F463/sim_annual_output!H463*base_building_arch_areas!$N$9</f>
        <v>20451.17285581517</v>
      </c>
      <c r="AK463">
        <f t="shared" si="84"/>
        <v>22.70062788961593</v>
      </c>
    </row>
    <row r="464" spans="1:37">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f>model_eui_end_uses!G464*base_scenario_arch_measures!$F464</f>
        <v>0</v>
      </c>
      <c r="H464">
        <f>model_eui_end_uses!H464*base_scenario_arch_measures!$F464</f>
        <v>0.8224112778903454</v>
      </c>
      <c r="I464">
        <f>model_eui_end_uses!I464*base_scenario_arch_measures!$F464</f>
        <v>0</v>
      </c>
      <c r="J464">
        <f>model_eui_end_uses!J464*base_scenario_arch_measures!$F464</f>
        <v>0</v>
      </c>
      <c r="K464">
        <f>model_eui_end_uses!K464*base_scenario_arch_measures!$F464</f>
        <v>0</v>
      </c>
      <c r="L464">
        <f>model_eui_end_uses!L464*base_scenario_arch_measures!$F464</f>
        <v>0.12534767080435799</v>
      </c>
      <c r="M464">
        <f>model_eui_end_uses!M464*base_scenario_arch_measures!$F464</f>
        <v>1.1612077665901964E-2</v>
      </c>
      <c r="N464">
        <f>model_eui_end_uses!N464*base_scenario_arch_measures!$F464</f>
        <v>0</v>
      </c>
      <c r="O464">
        <f>model_eui_end_uses!O464*base_scenario_arch_measures!$F464</f>
        <v>4.1251121308274435E-2</v>
      </c>
      <c r="P464">
        <f>model_eui_end_uses!P464*base_scenario_arch_measures!$F464</f>
        <v>0</v>
      </c>
      <c r="Q464">
        <f>model_eui_end_uses!Q464*base_scenario_arch_measures!$F464</f>
        <v>0</v>
      </c>
      <c r="R464" s="187">
        <f>model_eui_end_uses!R464*base_building_arch_areas!$N$9</f>
        <v>0</v>
      </c>
      <c r="S464" s="187">
        <f>model_eui_end_uses!S464*base_building_arch_areas!$N$9</f>
        <v>301808.09793302673</v>
      </c>
      <c r="T464" s="187">
        <f>model_eui_end_uses!T464*base_building_arch_areas!$N$9</f>
        <v>0</v>
      </c>
      <c r="U464" s="187">
        <f>model_eui_end_uses!U464*base_building_arch_areas!$N$9</f>
        <v>0</v>
      </c>
      <c r="V464" s="187">
        <f>model_eui_end_uses!V464*base_building_arch_areas!$N$9</f>
        <v>0</v>
      </c>
      <c r="W464" s="187">
        <f>model_eui_end_uses!W464*base_building_arch_areas!$N$9</f>
        <v>29008.835411240154</v>
      </c>
      <c r="X464" s="187">
        <f>model_eui_end_uses!X464*base_building_arch_areas!$N$9</f>
        <v>2687.348297986694</v>
      </c>
      <c r="Y464" s="187">
        <f>model_eui_end_uses!Y464*base_building_arch_areas!$N$9</f>
        <v>0</v>
      </c>
      <c r="Z464" s="187">
        <f>model_eui_end_uses!Z464*base_building_arch_areas!$N$9</f>
        <v>12492.538033884091</v>
      </c>
      <c r="AA464" s="187">
        <f>model_eui_end_uses!AA464*base_building_arch_areas!$N$9</f>
        <v>0</v>
      </c>
      <c r="AB464" s="187">
        <f>model_eui_end_uses!AB464*base_building_arch_areas!$N$9</f>
        <v>0</v>
      </c>
      <c r="AC464" s="187">
        <f>model_eui_end_uses!AC464*base_building_arch_areas!$N$9</f>
        <v>345996.81967613765</v>
      </c>
      <c r="AD464" s="187">
        <f>model_eui_end_uses!AD464*base_building_arch_areas!$N$9</f>
        <v>111479.92312469777</v>
      </c>
      <c r="AE464" s="187">
        <f>model_eui_end_uses!AE464*base_building_arch_areas!$N$9</f>
        <v>2945.9147828740611</v>
      </c>
      <c r="AF464" s="187">
        <f t="shared" si="82"/>
        <v>114425.83790757184</v>
      </c>
      <c r="AG464" s="187">
        <f>model_eui_end_uses!AH464*base_building_arch_areas!$N$9</f>
        <v>1805.9747546201038</v>
      </c>
      <c r="AH464" s="187">
        <f>model_eui_end_uses!AI464*base_building_arch_areas!$N$9</f>
        <v>332.88837046476891</v>
      </c>
      <c r="AI464" s="187">
        <f t="shared" si="83"/>
        <v>2138.8631250848725</v>
      </c>
      <c r="AJ464" s="200">
        <f>sim_annual_output!F464/sim_annual_output!H464*base_building_arch_areas!$N$9</f>
        <v>31677.725219834698</v>
      </c>
      <c r="AK464">
        <f t="shared" si="84"/>
        <v>14.810543436984865</v>
      </c>
    </row>
    <row r="465" spans="1:37">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f>model_eui_end_uses!G465*base_scenario_arch_measures!$F465</f>
        <v>0</v>
      </c>
      <c r="H465">
        <f>model_eui_end_uses!H465*base_scenario_arch_measures!$F465</f>
        <v>1.1254425673792183</v>
      </c>
      <c r="I465">
        <f>model_eui_end_uses!I465*base_scenario_arch_measures!$F465</f>
        <v>0</v>
      </c>
      <c r="J465">
        <f>model_eui_end_uses!J465*base_scenario_arch_measures!$F465</f>
        <v>0</v>
      </c>
      <c r="K465">
        <f>model_eui_end_uses!K465*base_scenario_arch_measures!$F465</f>
        <v>0</v>
      </c>
      <c r="L465">
        <f>model_eui_end_uses!L465*base_scenario_arch_measures!$F465</f>
        <v>0.12534767080435799</v>
      </c>
      <c r="M465">
        <f>model_eui_end_uses!M465*base_scenario_arch_measures!$F465</f>
        <v>1.1612077665901964E-2</v>
      </c>
      <c r="N465">
        <f>model_eui_end_uses!N465*base_scenario_arch_measures!$F465</f>
        <v>0</v>
      </c>
      <c r="O465">
        <f>model_eui_end_uses!O465*base_scenario_arch_measures!$F465</f>
        <v>5.6767367789414797E-2</v>
      </c>
      <c r="P465">
        <f>model_eui_end_uses!P465*base_scenario_arch_measures!$F465</f>
        <v>0</v>
      </c>
      <c r="Q465">
        <f>model_eui_end_uses!Q465*base_scenario_arch_measures!$F465</f>
        <v>0</v>
      </c>
      <c r="R465" s="187">
        <f>model_eui_end_uses!R465*base_building_arch_areas!$N$9</f>
        <v>0</v>
      </c>
      <c r="S465" s="187">
        <f>model_eui_end_uses!S465*base_building_arch_areas!$N$9</f>
        <v>301808.09793302673</v>
      </c>
      <c r="T465" s="187">
        <f>model_eui_end_uses!T465*base_building_arch_areas!$N$9</f>
        <v>0</v>
      </c>
      <c r="U465" s="187">
        <f>model_eui_end_uses!U465*base_building_arch_areas!$N$9</f>
        <v>0</v>
      </c>
      <c r="V465" s="187">
        <f>model_eui_end_uses!V465*base_building_arch_areas!$N$9</f>
        <v>0</v>
      </c>
      <c r="W465" s="187">
        <f>model_eui_end_uses!W465*base_building_arch_areas!$N$9</f>
        <v>29008.835411240154</v>
      </c>
      <c r="X465" s="187">
        <f>model_eui_end_uses!X465*base_building_arch_areas!$N$9</f>
        <v>2687.348297986694</v>
      </c>
      <c r="Y465" s="187">
        <f>model_eui_end_uses!Y465*base_building_arch_areas!$N$9</f>
        <v>0</v>
      </c>
      <c r="Z465" s="187">
        <f>model_eui_end_uses!Z465*base_building_arch_areas!$N$9</f>
        <v>12492.538033884091</v>
      </c>
      <c r="AA465" s="187">
        <f>model_eui_end_uses!AA465*base_building_arch_areas!$N$9</f>
        <v>0</v>
      </c>
      <c r="AB465" s="187">
        <f>model_eui_end_uses!AB465*base_building_arch_areas!$N$9</f>
        <v>0</v>
      </c>
      <c r="AC465" s="187">
        <f>model_eui_end_uses!AC465*base_building_arch_areas!$N$9</f>
        <v>345996.81967613765</v>
      </c>
      <c r="AD465" s="187">
        <f>model_eui_end_uses!AD465*base_building_arch_areas!$N$9</f>
        <v>41350.300892156374</v>
      </c>
      <c r="AE465" s="187">
        <f>model_eui_end_uses!AE465*base_building_arch_areas!$N$9</f>
        <v>-644.96359151680554</v>
      </c>
      <c r="AF465" s="187">
        <f t="shared" si="82"/>
        <v>40705.33730063957</v>
      </c>
      <c r="AG465" s="187">
        <f>model_eui_end_uses!AH465*base_building_arch_areas!$N$9</f>
        <v>669.87487445293323</v>
      </c>
      <c r="AH465" s="187">
        <f>model_eui_end_uses!AI465*base_building_arch_areas!$N$9</f>
        <v>-72.880885841399021</v>
      </c>
      <c r="AI465" s="187">
        <f t="shared" si="83"/>
        <v>596.99398861153418</v>
      </c>
      <c r="AJ465" s="200">
        <f>sim_annual_output!F465/sim_annual_output!H465*base_building_arch_areas!$N$9</f>
        <v>410.93252185913792</v>
      </c>
      <c r="AK465">
        <f t="shared" si="84"/>
        <v>0.6883361134253112</v>
      </c>
    </row>
    <row r="466" spans="1:37">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f>model_eui_end_uses!G466*base_scenario_arch_measures!$F466</f>
        <v>0</v>
      </c>
      <c r="H466">
        <f>model_eui_end_uses!H466*base_scenario_arch_measures!$F466</f>
        <v>0.86194255634431871</v>
      </c>
      <c r="I466">
        <f>model_eui_end_uses!I466*base_scenario_arch_measures!$F466</f>
        <v>0</v>
      </c>
      <c r="J466">
        <f>model_eui_end_uses!J466*base_scenario_arch_measures!$F466</f>
        <v>0</v>
      </c>
      <c r="K466">
        <f>model_eui_end_uses!K466*base_scenario_arch_measures!$F466</f>
        <v>0</v>
      </c>
      <c r="L466">
        <f>model_eui_end_uses!L466*base_scenario_arch_measures!$F466</f>
        <v>8.7749646361788905E-2</v>
      </c>
      <c r="M466">
        <f>model_eui_end_uses!M466*base_scenario_arch_measures!$F466</f>
        <v>1.1612077665901964E-2</v>
      </c>
      <c r="N466">
        <f>model_eui_end_uses!N466*base_scenario_arch_measures!$F466</f>
        <v>0</v>
      </c>
      <c r="O466">
        <f>model_eui_end_uses!O466*base_scenario_arch_measures!$F466</f>
        <v>4.2393498678649666E-2</v>
      </c>
      <c r="P466">
        <f>model_eui_end_uses!P466*base_scenario_arch_measures!$F466</f>
        <v>0</v>
      </c>
      <c r="Q466">
        <f>model_eui_end_uses!Q466*base_scenario_arch_measures!$F466</f>
        <v>0</v>
      </c>
      <c r="R466" s="187">
        <f>model_eui_end_uses!R466*base_building_arch_areas!$N$9</f>
        <v>0</v>
      </c>
      <c r="S466" s="187">
        <f>model_eui_end_uses!S466*base_building_arch_areas!$N$9</f>
        <v>301808.09793302673</v>
      </c>
      <c r="T466" s="187">
        <f>model_eui_end_uses!T466*base_building_arch_areas!$N$9</f>
        <v>0</v>
      </c>
      <c r="U466" s="187">
        <f>model_eui_end_uses!U466*base_building_arch_areas!$N$9</f>
        <v>0</v>
      </c>
      <c r="V466" s="187">
        <f>model_eui_end_uses!V466*base_building_arch_areas!$N$9</f>
        <v>0</v>
      </c>
      <c r="W466" s="187">
        <f>model_eui_end_uses!W466*base_building_arch_areas!$N$9</f>
        <v>29008.835411240154</v>
      </c>
      <c r="X466" s="187">
        <f>model_eui_end_uses!X466*base_building_arch_areas!$N$9</f>
        <v>2687.348297986694</v>
      </c>
      <c r="Y466" s="187">
        <f>model_eui_end_uses!Y466*base_building_arch_areas!$N$9</f>
        <v>0</v>
      </c>
      <c r="Z466" s="187">
        <f>model_eui_end_uses!Z466*base_building_arch_areas!$N$9</f>
        <v>12492.538033884091</v>
      </c>
      <c r="AA466" s="187">
        <f>model_eui_end_uses!AA466*base_building_arch_areas!$N$9</f>
        <v>0</v>
      </c>
      <c r="AB466" s="187">
        <f>model_eui_end_uses!AB466*base_building_arch_areas!$N$9</f>
        <v>0</v>
      </c>
      <c r="AC466" s="187">
        <f>model_eui_end_uses!AC466*base_building_arch_areas!$N$9</f>
        <v>345996.81967613765</v>
      </c>
      <c r="AD466" s="187">
        <f>model_eui_end_uses!AD466*base_building_arch_areas!$N$9</f>
        <v>102331.31794593009</v>
      </c>
      <c r="AE466" s="187">
        <f>model_eui_end_uses!AE466*base_building_arch_areas!$N$9</f>
        <v>11382.735817850666</v>
      </c>
      <c r="AF466" s="187">
        <f t="shared" si="82"/>
        <v>113714.05376378076</v>
      </c>
      <c r="AG466" s="187">
        <f>model_eui_end_uses!AH466*base_building_arch_areas!$N$9</f>
        <v>1657.7673507240672</v>
      </c>
      <c r="AH466" s="187">
        <f>model_eui_end_uses!AI466*base_building_arch_areas!$N$9</f>
        <v>1286.2491474171252</v>
      </c>
      <c r="AI466" s="187">
        <f t="shared" si="83"/>
        <v>2944.0164981411926</v>
      </c>
      <c r="AJ466" s="200">
        <f>sim_annual_output!F466/sim_annual_output!H466*base_building_arch_areas!$N$9</f>
        <v>54732.582740424616</v>
      </c>
      <c r="AK466">
        <f t="shared" si="84"/>
        <v>18.591126365963621</v>
      </c>
    </row>
    <row r="467" spans="1:37">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f>model_eui_end_uses!G467*base_scenario_arch_measures!$F467</f>
        <v>0</v>
      </c>
      <c r="H467">
        <f>model_eui_end_uses!H467*base_scenario_arch_measures!$F467</f>
        <v>1.2869822597087603</v>
      </c>
      <c r="I467">
        <f>model_eui_end_uses!I467*base_scenario_arch_measures!$F467</f>
        <v>0</v>
      </c>
      <c r="J467">
        <f>model_eui_end_uses!J467*base_scenario_arch_measures!$F467</f>
        <v>0</v>
      </c>
      <c r="K467">
        <f>model_eui_end_uses!K467*base_scenario_arch_measures!$F467</f>
        <v>0</v>
      </c>
      <c r="L467">
        <f>model_eui_end_uses!L467*base_scenario_arch_measures!$F467</f>
        <v>0.12534767080435799</v>
      </c>
      <c r="M467">
        <f>model_eui_end_uses!M467*base_scenario_arch_measures!$F467</f>
        <v>1.1612077665901964E-2</v>
      </c>
      <c r="N467">
        <f>model_eui_end_uses!N467*base_scenario_arch_measures!$F467</f>
        <v>0</v>
      </c>
      <c r="O467">
        <f>model_eui_end_uses!O467*base_scenario_arch_measures!$F467</f>
        <v>5.3177038911092669E-2</v>
      </c>
      <c r="P467">
        <f>model_eui_end_uses!P467*base_scenario_arch_measures!$F467</f>
        <v>0</v>
      </c>
      <c r="Q467">
        <f>model_eui_end_uses!Q467*base_scenario_arch_measures!$F467</f>
        <v>0</v>
      </c>
      <c r="R467" s="187">
        <f>model_eui_end_uses!R467*base_building_arch_areas!$N$9</f>
        <v>0</v>
      </c>
      <c r="S467" s="187">
        <f>model_eui_end_uses!S467*base_building_arch_areas!$N$9</f>
        <v>301808.09793302673</v>
      </c>
      <c r="T467" s="187">
        <f>model_eui_end_uses!T467*base_building_arch_areas!$N$9</f>
        <v>0</v>
      </c>
      <c r="U467" s="187">
        <f>model_eui_end_uses!U467*base_building_arch_areas!$N$9</f>
        <v>0</v>
      </c>
      <c r="V467" s="187">
        <f>model_eui_end_uses!V467*base_building_arch_areas!$N$9</f>
        <v>0</v>
      </c>
      <c r="W467" s="187">
        <f>model_eui_end_uses!W467*base_building_arch_areas!$N$9</f>
        <v>29008.835411240154</v>
      </c>
      <c r="X467" s="187">
        <f>model_eui_end_uses!X467*base_building_arch_areas!$N$9</f>
        <v>2687.348297986694</v>
      </c>
      <c r="Y467" s="187">
        <f>model_eui_end_uses!Y467*base_building_arch_areas!$N$9</f>
        <v>0</v>
      </c>
      <c r="Z467" s="187">
        <f>model_eui_end_uses!Z467*base_building_arch_areas!$N$9</f>
        <v>12492.538033884091</v>
      </c>
      <c r="AA467" s="187">
        <f>model_eui_end_uses!AA467*base_building_arch_areas!$N$9</f>
        <v>0</v>
      </c>
      <c r="AB467" s="187">
        <f>model_eui_end_uses!AB467*base_building_arch_areas!$N$9</f>
        <v>0</v>
      </c>
      <c r="AC467" s="187">
        <f>model_eui_end_uses!AC467*base_building_arch_areas!$N$9</f>
        <v>345996.81967613765</v>
      </c>
      <c r="AD467" s="187">
        <f>model_eui_end_uses!AD467*base_building_arch_areas!$N$9</f>
        <v>3965.6545154074483</v>
      </c>
      <c r="AE467" s="187">
        <f>model_eui_end_uses!AE467*base_building_arch_areas!$N$9</f>
        <v>185.93544980664637</v>
      </c>
      <c r="AF467" s="187">
        <f t="shared" si="82"/>
        <v>4151.5899652140943</v>
      </c>
      <c r="AG467" s="187">
        <f>model_eui_end_uses!AH467*base_building_arch_areas!$N$9</f>
        <v>64.243603149600659</v>
      </c>
      <c r="AH467" s="187">
        <f>model_eui_end_uses!AI467*base_building_arch_areas!$N$9</f>
        <v>21.010705828151043</v>
      </c>
      <c r="AI467" s="187">
        <f t="shared" si="83"/>
        <v>85.254308977751705</v>
      </c>
      <c r="AJ467" s="200">
        <f>sim_annual_output!F467/sim_annual_output!H467*base_building_arch_areas!$N$9</f>
        <v>237.68916352469083</v>
      </c>
      <c r="AK467">
        <f t="shared" si="84"/>
        <v>2.7880017605528784</v>
      </c>
    </row>
    <row r="468" spans="1:37">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f>model_eui_end_uses!G468*base_scenario_arch_measures!$F468</f>
        <v>0</v>
      </c>
      <c r="H468">
        <f>model_eui_end_uses!H468*base_scenario_arch_measures!$F468</f>
        <v>9.62161407416645</v>
      </c>
      <c r="I468">
        <f>model_eui_end_uses!I468*base_scenario_arch_measures!$F468</f>
        <v>0</v>
      </c>
      <c r="J468">
        <f>model_eui_end_uses!J468*base_scenario_arch_measures!$F468</f>
        <v>0</v>
      </c>
      <c r="K468">
        <f>model_eui_end_uses!K468*base_scenario_arch_measures!$F468</f>
        <v>0</v>
      </c>
      <c r="L468">
        <f>model_eui_end_uses!L468*base_scenario_arch_measures!$F468</f>
        <v>1.5252642057972599</v>
      </c>
      <c r="M468">
        <f>model_eui_end_uses!M468*base_scenario_arch_measures!$F468</f>
        <v>0.14129888736729745</v>
      </c>
      <c r="N468">
        <f>model_eui_end_uses!N468*base_scenario_arch_measures!$F468</f>
        <v>0</v>
      </c>
      <c r="O468">
        <f>model_eui_end_uses!O468*base_scenario_arch_measures!$F468</f>
        <v>0.40602426229435318</v>
      </c>
      <c r="P468">
        <f>model_eui_end_uses!P468*base_scenario_arch_measures!$F468</f>
        <v>0</v>
      </c>
      <c r="Q468">
        <f>model_eui_end_uses!Q468*base_scenario_arch_measures!$F468</f>
        <v>0</v>
      </c>
      <c r="R468" s="187">
        <f>model_eui_end_uses!R468*base_building_arch_areas!$N$10</f>
        <v>0</v>
      </c>
      <c r="S468" s="187">
        <f>model_eui_end_uses!S468*base_building_arch_areas!$N$10</f>
        <v>1940775.5924277811</v>
      </c>
      <c r="T468" s="187">
        <f>model_eui_end_uses!T468*base_building_arch_areas!$N$10</f>
        <v>0</v>
      </c>
      <c r="U468" s="187">
        <f>model_eui_end_uses!U468*base_building_arch_areas!$N$10</f>
        <v>0</v>
      </c>
      <c r="V468" s="187">
        <f>model_eui_end_uses!V468*base_building_arch_areas!$N$10</f>
        <v>0</v>
      </c>
      <c r="W468" s="187">
        <f>model_eui_end_uses!W468*base_building_arch_areas!$N$10</f>
        <v>307661.01402497973</v>
      </c>
      <c r="X468" s="187">
        <f>model_eui_end_uses!X468*base_building_arch_areas!$N$10</f>
        <v>28501.395891147342</v>
      </c>
      <c r="Y468" s="187">
        <f>model_eui_end_uses!Y468*base_building_arch_areas!$N$10</f>
        <v>0</v>
      </c>
      <c r="Z468" s="187">
        <f>model_eui_end_uses!Z468*base_building_arch_areas!$N$10</f>
        <v>81899.146247210418</v>
      </c>
      <c r="AA468" s="187">
        <f>model_eui_end_uses!AA468*base_building_arch_areas!$N$10</f>
        <v>0</v>
      </c>
      <c r="AB468" s="187">
        <f>model_eui_end_uses!AB468*base_building_arch_areas!$N$10</f>
        <v>0</v>
      </c>
      <c r="AC468" s="187">
        <f>model_eui_end_uses!AC468*base_building_arch_areas!$N$10</f>
        <v>2358837.1485911184</v>
      </c>
      <c r="AD468" s="187">
        <f>model_eui_end_uses!AD468*base_building_arch_areas!$N$10</f>
        <v>0</v>
      </c>
      <c r="AE468" s="187">
        <f>model_eui_end_uses!AE468*base_building_arch_areas!$N$10</f>
        <v>0</v>
      </c>
      <c r="AF468" s="187">
        <f t="shared" ref="AF468:AF498" si="85">SUM(AD468:AE468)</f>
        <v>0</v>
      </c>
      <c r="AG468" s="187">
        <f>model_eui_end_uses!AH468*base_building_arch_areas!$N$10</f>
        <v>0</v>
      </c>
      <c r="AH468" s="187">
        <f>model_eui_end_uses!AI468*base_building_arch_areas!$N$10</f>
        <v>0</v>
      </c>
      <c r="AI468" s="187">
        <f t="shared" si="80"/>
        <v>0</v>
      </c>
      <c r="AJ468" s="200">
        <f>sim_annual_output!F468/sim_annual_output!H468*base_building_arch_areas!$N$10</f>
        <v>0</v>
      </c>
      <c r="AK468">
        <f t="shared" si="81"/>
        <v>0</v>
      </c>
    </row>
    <row r="469" spans="1:37">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f>model_eui_end_uses!G469*base_scenario_arch_measures!$F469</f>
        <v>0</v>
      </c>
      <c r="H469">
        <f>model_eui_end_uses!H469*base_scenario_arch_measures!$F469</f>
        <v>9.4890222533720561</v>
      </c>
      <c r="I469">
        <f>model_eui_end_uses!I469*base_scenario_arch_measures!$F469</f>
        <v>0</v>
      </c>
      <c r="J469">
        <f>model_eui_end_uses!J469*base_scenario_arch_measures!$F469</f>
        <v>0</v>
      </c>
      <c r="K469">
        <f>model_eui_end_uses!K469*base_scenario_arch_measures!$F469</f>
        <v>0</v>
      </c>
      <c r="L469">
        <f>model_eui_end_uses!L469*base_scenario_arch_measures!$F469</f>
        <v>1.5252642057972599</v>
      </c>
      <c r="M469">
        <f>model_eui_end_uses!M469*base_scenario_arch_measures!$F469</f>
        <v>0.14129888736729745</v>
      </c>
      <c r="N469">
        <f>model_eui_end_uses!N469*base_scenario_arch_measures!$F469</f>
        <v>0</v>
      </c>
      <c r="O469">
        <f>model_eui_end_uses!O469*base_scenario_arch_measures!$F469</f>
        <v>0.39808097349100241</v>
      </c>
      <c r="P469">
        <f>model_eui_end_uses!P469*base_scenario_arch_measures!$F469</f>
        <v>0</v>
      </c>
      <c r="Q469">
        <f>model_eui_end_uses!Q469*base_scenario_arch_measures!$F469</f>
        <v>0</v>
      </c>
      <c r="R469" s="187">
        <f>model_eui_end_uses!R469*base_building_arch_areas!$N$10</f>
        <v>0</v>
      </c>
      <c r="S469" s="187">
        <f>model_eui_end_uses!S469*base_building_arch_areas!$N$10</f>
        <v>1940775.5924277811</v>
      </c>
      <c r="T469" s="187">
        <f>model_eui_end_uses!T469*base_building_arch_areas!$N$10</f>
        <v>0</v>
      </c>
      <c r="U469" s="187">
        <f>model_eui_end_uses!U469*base_building_arch_areas!$N$10</f>
        <v>0</v>
      </c>
      <c r="V469" s="187">
        <f>model_eui_end_uses!V469*base_building_arch_areas!$N$10</f>
        <v>0</v>
      </c>
      <c r="W469" s="187">
        <f>model_eui_end_uses!W469*base_building_arch_areas!$N$10</f>
        <v>307661.01402497973</v>
      </c>
      <c r="X469" s="187">
        <f>model_eui_end_uses!X469*base_building_arch_areas!$N$10</f>
        <v>28501.395891147342</v>
      </c>
      <c r="Y469" s="187">
        <f>model_eui_end_uses!Y469*base_building_arch_areas!$N$10</f>
        <v>0</v>
      </c>
      <c r="Z469" s="187">
        <f>model_eui_end_uses!Z469*base_building_arch_areas!$N$10</f>
        <v>81899.146247210418</v>
      </c>
      <c r="AA469" s="187">
        <f>model_eui_end_uses!AA469*base_building_arch_areas!$N$10</f>
        <v>0</v>
      </c>
      <c r="AB469" s="187">
        <f>model_eui_end_uses!AB469*base_building_arch_areas!$N$10</f>
        <v>0</v>
      </c>
      <c r="AC469" s="187">
        <f>model_eui_end_uses!AC469*base_building_arch_areas!$N$10</f>
        <v>2358837.1485911184</v>
      </c>
      <c r="AD469" s="187">
        <f>model_eui_end_uses!AD469*base_building_arch_areas!$N$10</f>
        <v>26745.093657855014</v>
      </c>
      <c r="AE469" s="187">
        <f>model_eui_end_uses!AE469*base_building_arch_areas!$N$10</f>
        <v>1602.2406338807066</v>
      </c>
      <c r="AF469" s="187">
        <f t="shared" ref="AF469:AF483" si="86">SUM(AD469:AE469)</f>
        <v>28347.334291735719</v>
      </c>
      <c r="AG469" s="187">
        <f>model_eui_end_uses!AH469*base_building_arch_areas!$N$10</f>
        <v>433.27051725725113</v>
      </c>
      <c r="AH469" s="187">
        <f>model_eui_end_uses!AI469*base_building_arch_areas!$N$10</f>
        <v>181.05319162851984</v>
      </c>
      <c r="AI469" s="187">
        <f t="shared" ref="AI469:AI483" si="87">SUM(AG469:AH469)</f>
        <v>614.323708885771</v>
      </c>
      <c r="AJ469" s="200">
        <f>sim_annual_output!F469/sim_annual_output!H469*base_building_arch_areas!$N$10</f>
        <v>7606.9706379376612</v>
      </c>
      <c r="AK469">
        <f t="shared" ref="AK469:AK483" si="88">IF(AI469=0,0,AJ469/AI469)</f>
        <v>12.382674684222748</v>
      </c>
    </row>
    <row r="470" spans="1:37">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f>model_eui_end_uses!G470*base_scenario_arch_measures!$F470</f>
        <v>0</v>
      </c>
      <c r="H470">
        <f>model_eui_end_uses!H470*base_scenario_arch_measures!$F470</f>
        <v>9.4890222533720561</v>
      </c>
      <c r="I470">
        <f>model_eui_end_uses!I470*base_scenario_arch_measures!$F470</f>
        <v>0</v>
      </c>
      <c r="J470">
        <f>model_eui_end_uses!J470*base_scenario_arch_measures!$F470</f>
        <v>0</v>
      </c>
      <c r="K470">
        <f>model_eui_end_uses!K470*base_scenario_arch_measures!$F470</f>
        <v>0</v>
      </c>
      <c r="L470">
        <f>model_eui_end_uses!L470*base_scenario_arch_measures!$F470</f>
        <v>1.5252642057972599</v>
      </c>
      <c r="M470">
        <f>model_eui_end_uses!M470*base_scenario_arch_measures!$F470</f>
        <v>0.14129888736729745</v>
      </c>
      <c r="N470">
        <f>model_eui_end_uses!N470*base_scenario_arch_measures!$F470</f>
        <v>0</v>
      </c>
      <c r="O470">
        <f>model_eui_end_uses!O470*base_scenario_arch_measures!$F470</f>
        <v>0.39808097349100241</v>
      </c>
      <c r="P470">
        <f>model_eui_end_uses!P470*base_scenario_arch_measures!$F470</f>
        <v>0</v>
      </c>
      <c r="Q470">
        <f>model_eui_end_uses!Q470*base_scenario_arch_measures!$F470</f>
        <v>0</v>
      </c>
      <c r="R470" s="187">
        <f>model_eui_end_uses!R470*base_building_arch_areas!$N$10</f>
        <v>0</v>
      </c>
      <c r="S470" s="187">
        <f>model_eui_end_uses!S470*base_building_arch_areas!$N$10</f>
        <v>1940775.5924277811</v>
      </c>
      <c r="T470" s="187">
        <f>model_eui_end_uses!T470*base_building_arch_areas!$N$10</f>
        <v>0</v>
      </c>
      <c r="U470" s="187">
        <f>model_eui_end_uses!U470*base_building_arch_areas!$N$10</f>
        <v>0</v>
      </c>
      <c r="V470" s="187">
        <f>model_eui_end_uses!V470*base_building_arch_areas!$N$10</f>
        <v>0</v>
      </c>
      <c r="W470" s="187">
        <f>model_eui_end_uses!W470*base_building_arch_areas!$N$10</f>
        <v>307661.01402497973</v>
      </c>
      <c r="X470" s="187">
        <f>model_eui_end_uses!X470*base_building_arch_areas!$N$10</f>
        <v>28501.395891147342</v>
      </c>
      <c r="Y470" s="187">
        <f>model_eui_end_uses!Y470*base_building_arch_areas!$N$10</f>
        <v>0</v>
      </c>
      <c r="Z470" s="187">
        <f>model_eui_end_uses!Z470*base_building_arch_areas!$N$10</f>
        <v>81899.146247210418</v>
      </c>
      <c r="AA470" s="187">
        <f>model_eui_end_uses!AA470*base_building_arch_areas!$N$10</f>
        <v>0</v>
      </c>
      <c r="AB470" s="187">
        <f>model_eui_end_uses!AB470*base_building_arch_areas!$N$10</f>
        <v>0</v>
      </c>
      <c r="AC470" s="187">
        <f>model_eui_end_uses!AC470*base_building_arch_areas!$N$10</f>
        <v>2358837.1485911184</v>
      </c>
      <c r="AD470" s="187">
        <f>model_eui_end_uses!AD470*base_building_arch_areas!$N$10</f>
        <v>26745.093657855014</v>
      </c>
      <c r="AE470" s="187">
        <f>model_eui_end_uses!AE470*base_building_arch_areas!$N$10</f>
        <v>1602.2406338807066</v>
      </c>
      <c r="AF470" s="187">
        <f t="shared" si="86"/>
        <v>28347.334291735719</v>
      </c>
      <c r="AG470" s="187">
        <f>model_eui_end_uses!AH470*base_building_arch_areas!$N$10</f>
        <v>433.27051725725113</v>
      </c>
      <c r="AH470" s="187">
        <f>model_eui_end_uses!AI470*base_building_arch_areas!$N$10</f>
        <v>181.05319162851984</v>
      </c>
      <c r="AI470" s="187">
        <f t="shared" si="87"/>
        <v>614.323708885771</v>
      </c>
      <c r="AJ470" s="200">
        <f>sim_annual_output!F470/sim_annual_output!H470*base_building_arch_areas!$N$10</f>
        <v>0</v>
      </c>
      <c r="AK470">
        <f t="shared" si="88"/>
        <v>0</v>
      </c>
    </row>
    <row r="471" spans="1:37">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f>model_eui_end_uses!G471*base_scenario_arch_measures!$F471</f>
        <v>0</v>
      </c>
      <c r="H471">
        <f>model_eui_end_uses!H471*base_scenario_arch_measures!$F471</f>
        <v>9.9327771374823239</v>
      </c>
      <c r="I471">
        <f>model_eui_end_uses!I471*base_scenario_arch_measures!$F471</f>
        <v>0</v>
      </c>
      <c r="J471">
        <f>model_eui_end_uses!J471*base_scenario_arch_measures!$F471</f>
        <v>0</v>
      </c>
      <c r="K471">
        <f>model_eui_end_uses!K471*base_scenario_arch_measures!$F471</f>
        <v>0</v>
      </c>
      <c r="L471">
        <f>model_eui_end_uses!L471*base_scenario_arch_measures!$F471</f>
        <v>1.067761321835037</v>
      </c>
      <c r="M471">
        <f>model_eui_end_uses!M471*base_scenario_arch_measures!$F471</f>
        <v>0.14129888736729745</v>
      </c>
      <c r="N471">
        <f>model_eui_end_uses!N471*base_scenario_arch_measures!$F471</f>
        <v>0</v>
      </c>
      <c r="O471">
        <f>model_eui_end_uses!O471*base_scenario_arch_measures!$F471</f>
        <v>0.41473132886725694</v>
      </c>
      <c r="P471">
        <f>model_eui_end_uses!P471*base_scenario_arch_measures!$F471</f>
        <v>0</v>
      </c>
      <c r="Q471">
        <f>model_eui_end_uses!Q471*base_scenario_arch_measures!$F471</f>
        <v>0</v>
      </c>
      <c r="R471" s="187">
        <f>model_eui_end_uses!R471*base_building_arch_areas!$N$10</f>
        <v>0</v>
      </c>
      <c r="S471" s="187">
        <f>model_eui_end_uses!S471*base_building_arch_areas!$N$10</f>
        <v>1940775.5924277811</v>
      </c>
      <c r="T471" s="187">
        <f>model_eui_end_uses!T471*base_building_arch_areas!$N$10</f>
        <v>0</v>
      </c>
      <c r="U471" s="187">
        <f>model_eui_end_uses!U471*base_building_arch_areas!$N$10</f>
        <v>0</v>
      </c>
      <c r="V471" s="187">
        <f>model_eui_end_uses!V471*base_building_arch_areas!$N$10</f>
        <v>0</v>
      </c>
      <c r="W471" s="187">
        <f>model_eui_end_uses!W471*base_building_arch_areas!$N$10</f>
        <v>307661.01402497973</v>
      </c>
      <c r="X471" s="187">
        <f>model_eui_end_uses!X471*base_building_arch_areas!$N$10</f>
        <v>28501.395891147342</v>
      </c>
      <c r="Y471" s="187">
        <f>model_eui_end_uses!Y471*base_building_arch_areas!$N$10</f>
        <v>0</v>
      </c>
      <c r="Z471" s="187">
        <f>model_eui_end_uses!Z471*base_building_arch_areas!$N$10</f>
        <v>81899.146247210418</v>
      </c>
      <c r="AA471" s="187">
        <f>model_eui_end_uses!AA471*base_building_arch_areas!$N$10</f>
        <v>0</v>
      </c>
      <c r="AB471" s="187">
        <f>model_eui_end_uses!AB471*base_building_arch_areas!$N$10</f>
        <v>0</v>
      </c>
      <c r="AC471" s="187">
        <f>model_eui_end_uses!AC471*base_building_arch_areas!$N$10</f>
        <v>2358837.1485911184</v>
      </c>
      <c r="AD471" s="187">
        <f>model_eui_end_uses!AD471*base_building_arch_areas!$N$10</f>
        <v>-62764.695600288796</v>
      </c>
      <c r="AE471" s="187">
        <f>model_eui_end_uses!AE471*base_building_arch_areas!$N$10</f>
        <v>90526.595814260392</v>
      </c>
      <c r="AF471" s="187">
        <f t="shared" si="86"/>
        <v>27761.900213971596</v>
      </c>
      <c r="AG471" s="187">
        <f>model_eui_end_uses!AH471*base_building_arch_areas!$N$10</f>
        <v>-1016.7880687246784</v>
      </c>
      <c r="AH471" s="187">
        <f>model_eui_end_uses!AI471*base_building_arch_areas!$N$10</f>
        <v>10229.505327011426</v>
      </c>
      <c r="AI471" s="187">
        <f t="shared" si="87"/>
        <v>9212.7172582867479</v>
      </c>
      <c r="AJ471" s="200">
        <f>sim_annual_output!F471/sim_annual_output!H471*base_building_arch_areas!$N$10</f>
        <v>411539.17772963358</v>
      </c>
      <c r="AK471">
        <f t="shared" si="88"/>
        <v>44.670770435232683</v>
      </c>
    </row>
    <row r="472" spans="1:37">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f>model_eui_end_uses!G472*base_scenario_arch_measures!$F472</f>
        <v>0</v>
      </c>
      <c r="H472">
        <f>model_eui_end_uses!H472*base_scenario_arch_measures!$F472</f>
        <v>8.3160123548926208</v>
      </c>
      <c r="I472">
        <f>model_eui_end_uses!I472*base_scenario_arch_measures!$F472</f>
        <v>0</v>
      </c>
      <c r="J472">
        <f>model_eui_end_uses!J472*base_scenario_arch_measures!$F472</f>
        <v>0</v>
      </c>
      <c r="K472">
        <f>model_eui_end_uses!K472*base_scenario_arch_measures!$F472</f>
        <v>0</v>
      </c>
      <c r="L472">
        <f>model_eui_end_uses!L472*base_scenario_arch_measures!$F472</f>
        <v>1.5252642057972599</v>
      </c>
      <c r="M472">
        <f>model_eui_end_uses!M472*base_scenario_arch_measures!$F472</f>
        <v>0.14129888736729745</v>
      </c>
      <c r="N472">
        <f>model_eui_end_uses!N472*base_scenario_arch_measures!$F472</f>
        <v>0</v>
      </c>
      <c r="O472">
        <f>model_eui_end_uses!O472*base_scenario_arch_measures!$F472</f>
        <v>0.35164328510218246</v>
      </c>
      <c r="P472">
        <f>model_eui_end_uses!P472*base_scenario_arch_measures!$F472</f>
        <v>0</v>
      </c>
      <c r="Q472">
        <f>model_eui_end_uses!Q472*base_scenario_arch_measures!$F472</f>
        <v>0</v>
      </c>
      <c r="R472" s="187">
        <f>model_eui_end_uses!R472*base_building_arch_areas!$N$10</f>
        <v>0</v>
      </c>
      <c r="S472" s="187">
        <f>model_eui_end_uses!S472*base_building_arch_areas!$N$10</f>
        <v>1940775.5924277811</v>
      </c>
      <c r="T472" s="187">
        <f>model_eui_end_uses!T472*base_building_arch_areas!$N$10</f>
        <v>0</v>
      </c>
      <c r="U472" s="187">
        <f>model_eui_end_uses!U472*base_building_arch_areas!$N$10</f>
        <v>0</v>
      </c>
      <c r="V472" s="187">
        <f>model_eui_end_uses!V472*base_building_arch_areas!$N$10</f>
        <v>0</v>
      </c>
      <c r="W472" s="187">
        <f>model_eui_end_uses!W472*base_building_arch_areas!$N$10</f>
        <v>307661.01402497973</v>
      </c>
      <c r="X472" s="187">
        <f>model_eui_end_uses!X472*base_building_arch_areas!$N$10</f>
        <v>28501.395891147342</v>
      </c>
      <c r="Y472" s="187">
        <f>model_eui_end_uses!Y472*base_building_arch_areas!$N$10</f>
        <v>0</v>
      </c>
      <c r="Z472" s="187">
        <f>model_eui_end_uses!Z472*base_building_arch_areas!$N$10</f>
        <v>81899.146247210418</v>
      </c>
      <c r="AA472" s="187">
        <f>model_eui_end_uses!AA472*base_building_arch_areas!$N$10</f>
        <v>0</v>
      </c>
      <c r="AB472" s="187">
        <f>model_eui_end_uses!AB472*base_building_arch_areas!$N$10</f>
        <v>0</v>
      </c>
      <c r="AC472" s="187">
        <f>model_eui_end_uses!AC472*base_building_arch_areas!$N$10</f>
        <v>2358837.1485911184</v>
      </c>
      <c r="AD472" s="187">
        <f>model_eui_end_uses!AD472*base_building_arch_areas!$N$10</f>
        <v>263352.89803420141</v>
      </c>
      <c r="AE472" s="187">
        <f>model_eui_end_uses!AE472*base_building_arch_areas!$N$10</f>
        <v>10969.185878106415</v>
      </c>
      <c r="AF472" s="187">
        <f t="shared" si="86"/>
        <v>274322.0839123078</v>
      </c>
      <c r="AG472" s="187">
        <f>model_eui_end_uses!AH472*base_building_arch_areas!$N$10</f>
        <v>4266.3169481540626</v>
      </c>
      <c r="AH472" s="187">
        <f>model_eui_end_uses!AI472*base_building_arch_areas!$N$10</f>
        <v>1239.5180042260249</v>
      </c>
      <c r="AI472" s="187">
        <f t="shared" si="87"/>
        <v>5505.834952380088</v>
      </c>
      <c r="AJ472" s="200">
        <f>sim_annual_output!F472/sim_annual_output!H472*base_building_arch_areas!$N$10</f>
        <v>1453142.401992629</v>
      </c>
      <c r="AK472">
        <f t="shared" si="88"/>
        <v>263.92770843311564</v>
      </c>
    </row>
    <row r="473" spans="1:37">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f>model_eui_end_uses!G473*base_scenario_arch_measures!$F473</f>
        <v>0</v>
      </c>
      <c r="H473">
        <f>model_eui_end_uses!H473*base_scenario_arch_measures!$F473</f>
        <v>9.3616241214106211</v>
      </c>
      <c r="I473">
        <f>model_eui_end_uses!I473*base_scenario_arch_measures!$F473</f>
        <v>0</v>
      </c>
      <c r="J473">
        <f>model_eui_end_uses!J473*base_scenario_arch_measures!$F473</f>
        <v>0</v>
      </c>
      <c r="K473">
        <f>model_eui_end_uses!K473*base_scenario_arch_measures!$F473</f>
        <v>0</v>
      </c>
      <c r="L473">
        <f>model_eui_end_uses!L473*base_scenario_arch_measures!$F473</f>
        <v>1.5252642057972599</v>
      </c>
      <c r="M473">
        <f>model_eui_end_uses!M473*base_scenario_arch_measures!$F473</f>
        <v>0.14129888736729745</v>
      </c>
      <c r="N473">
        <f>model_eui_end_uses!N473*base_scenario_arch_measures!$F473</f>
        <v>0</v>
      </c>
      <c r="O473">
        <f>model_eui_end_uses!O473*base_scenario_arch_measures!$F473</f>
        <v>0.39242901799631047</v>
      </c>
      <c r="P473">
        <f>model_eui_end_uses!P473*base_scenario_arch_measures!$F473</f>
        <v>0</v>
      </c>
      <c r="Q473">
        <f>model_eui_end_uses!Q473*base_scenario_arch_measures!$F473</f>
        <v>0</v>
      </c>
      <c r="R473" s="187">
        <f>model_eui_end_uses!R473*base_building_arch_areas!$N$10</f>
        <v>0</v>
      </c>
      <c r="S473" s="187">
        <f>model_eui_end_uses!S473*base_building_arch_areas!$N$10</f>
        <v>1940775.5924277811</v>
      </c>
      <c r="T473" s="187">
        <f>model_eui_end_uses!T473*base_building_arch_areas!$N$10</f>
        <v>0</v>
      </c>
      <c r="U473" s="187">
        <f>model_eui_end_uses!U473*base_building_arch_areas!$N$10</f>
        <v>0</v>
      </c>
      <c r="V473" s="187">
        <f>model_eui_end_uses!V473*base_building_arch_areas!$N$10</f>
        <v>0</v>
      </c>
      <c r="W473" s="187">
        <f>model_eui_end_uses!W473*base_building_arch_areas!$N$10</f>
        <v>307661.01402497973</v>
      </c>
      <c r="X473" s="187">
        <f>model_eui_end_uses!X473*base_building_arch_areas!$N$10</f>
        <v>28501.395891147342</v>
      </c>
      <c r="Y473" s="187">
        <f>model_eui_end_uses!Y473*base_building_arch_areas!$N$10</f>
        <v>0</v>
      </c>
      <c r="Z473" s="187">
        <f>model_eui_end_uses!Z473*base_building_arch_areas!$N$10</f>
        <v>81899.146247210418</v>
      </c>
      <c r="AA473" s="187">
        <f>model_eui_end_uses!AA473*base_building_arch_areas!$N$10</f>
        <v>0</v>
      </c>
      <c r="AB473" s="187">
        <f>model_eui_end_uses!AB473*base_building_arch_areas!$N$10</f>
        <v>0</v>
      </c>
      <c r="AC473" s="187">
        <f>model_eui_end_uses!AC473*base_building_arch_areas!$N$10</f>
        <v>2358837.1485911184</v>
      </c>
      <c r="AD473" s="187">
        <f>model_eui_end_uses!AD473*base_building_arch_areas!$N$10</f>
        <v>52442.568439711111</v>
      </c>
      <c r="AE473" s="187">
        <f>model_eui_end_uses!AE473*base_building_arch_areas!$N$10</f>
        <v>2742.2964695266191</v>
      </c>
      <c r="AF473" s="187">
        <f t="shared" si="86"/>
        <v>55184.864909237731</v>
      </c>
      <c r="AG473" s="187">
        <f>model_eui_end_uses!AH473*base_building_arch_areas!$N$10</f>
        <v>849.5696087233199</v>
      </c>
      <c r="AH473" s="187">
        <f>model_eui_end_uses!AI473*base_building_arch_areas!$N$10</f>
        <v>309.87950105650799</v>
      </c>
      <c r="AI473" s="187">
        <f t="shared" si="87"/>
        <v>1159.4491097798279</v>
      </c>
      <c r="AJ473" s="200">
        <f>sim_annual_output!F473/sim_annual_output!H473*base_building_arch_areas!$N$10</f>
        <v>1428315.4308780851</v>
      </c>
      <c r="AK473">
        <f t="shared" si="88"/>
        <v>1231.8914377788544</v>
      </c>
    </row>
    <row r="474" spans="1:37">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f>model_eui_end_uses!G474*base_scenario_arch_measures!$F474</f>
        <v>0</v>
      </c>
      <c r="H474">
        <f>model_eui_end_uses!H474*base_scenario_arch_measures!$F474</f>
        <v>9.4890222533720561</v>
      </c>
      <c r="I474">
        <f>model_eui_end_uses!I474*base_scenario_arch_measures!$F474</f>
        <v>0</v>
      </c>
      <c r="J474">
        <f>model_eui_end_uses!J474*base_scenario_arch_measures!$F474</f>
        <v>0</v>
      </c>
      <c r="K474">
        <f>model_eui_end_uses!K474*base_scenario_arch_measures!$F474</f>
        <v>0</v>
      </c>
      <c r="L474">
        <f>model_eui_end_uses!L474*base_scenario_arch_measures!$F474</f>
        <v>1.5252642057972599</v>
      </c>
      <c r="M474">
        <f>model_eui_end_uses!M474*base_scenario_arch_measures!$F474</f>
        <v>0.14129888736729745</v>
      </c>
      <c r="N474">
        <f>model_eui_end_uses!N474*base_scenario_arch_measures!$F474</f>
        <v>0</v>
      </c>
      <c r="O474">
        <f>model_eui_end_uses!O474*base_scenario_arch_measures!$F474</f>
        <v>0.39808097349100241</v>
      </c>
      <c r="P474">
        <f>model_eui_end_uses!P474*base_scenario_arch_measures!$F474</f>
        <v>0</v>
      </c>
      <c r="Q474">
        <f>model_eui_end_uses!Q474*base_scenario_arch_measures!$F474</f>
        <v>0</v>
      </c>
      <c r="R474" s="187">
        <f>model_eui_end_uses!R474*base_building_arch_areas!$N$10</f>
        <v>0</v>
      </c>
      <c r="S474" s="187">
        <f>model_eui_end_uses!S474*base_building_arch_areas!$N$10</f>
        <v>1940775.5924277811</v>
      </c>
      <c r="T474" s="187">
        <f>model_eui_end_uses!T474*base_building_arch_areas!$N$10</f>
        <v>0</v>
      </c>
      <c r="U474" s="187">
        <f>model_eui_end_uses!U474*base_building_arch_areas!$N$10</f>
        <v>0</v>
      </c>
      <c r="V474" s="187">
        <f>model_eui_end_uses!V474*base_building_arch_areas!$N$10</f>
        <v>0</v>
      </c>
      <c r="W474" s="187">
        <f>model_eui_end_uses!W474*base_building_arch_areas!$N$10</f>
        <v>307661.01402497973</v>
      </c>
      <c r="X474" s="187">
        <f>model_eui_end_uses!X474*base_building_arch_areas!$N$10</f>
        <v>28501.395891147342</v>
      </c>
      <c r="Y474" s="187">
        <f>model_eui_end_uses!Y474*base_building_arch_areas!$N$10</f>
        <v>0</v>
      </c>
      <c r="Z474" s="187">
        <f>model_eui_end_uses!Z474*base_building_arch_areas!$N$10</f>
        <v>81899.146247210418</v>
      </c>
      <c r="AA474" s="187">
        <f>model_eui_end_uses!AA474*base_building_arch_areas!$N$10</f>
        <v>0</v>
      </c>
      <c r="AB474" s="187">
        <f>model_eui_end_uses!AB474*base_building_arch_areas!$N$10</f>
        <v>0</v>
      </c>
      <c r="AC474" s="187">
        <f>model_eui_end_uses!AC474*base_building_arch_areas!$N$10</f>
        <v>2358837.1485911184</v>
      </c>
      <c r="AD474" s="187">
        <f>model_eui_end_uses!AD474*base_building_arch_areas!$N$10</f>
        <v>26745.093657855014</v>
      </c>
      <c r="AE474" s="187">
        <f>model_eui_end_uses!AE474*base_building_arch_areas!$N$10</f>
        <v>1602.2406338807066</v>
      </c>
      <c r="AF474" s="187">
        <f t="shared" si="86"/>
        <v>28347.334291735719</v>
      </c>
      <c r="AG474" s="187">
        <f>model_eui_end_uses!AH474*base_building_arch_areas!$N$10</f>
        <v>433.27051725725113</v>
      </c>
      <c r="AH474" s="187">
        <f>model_eui_end_uses!AI474*base_building_arch_areas!$N$10</f>
        <v>181.05319162851984</v>
      </c>
      <c r="AI474" s="187">
        <f t="shared" si="87"/>
        <v>614.323708885771</v>
      </c>
      <c r="AJ474" s="200">
        <f>sim_annual_output!F474/sim_annual_output!H474*base_building_arch_areas!$N$10</f>
        <v>0</v>
      </c>
      <c r="AK474">
        <f t="shared" si="88"/>
        <v>0</v>
      </c>
    </row>
    <row r="475" spans="1:37">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f>model_eui_end_uses!G475*base_scenario_arch_measures!$F475</f>
        <v>0</v>
      </c>
      <c r="H475">
        <f>model_eui_end_uses!H475*base_scenario_arch_measures!$F475</f>
        <v>9.4890222533720561</v>
      </c>
      <c r="I475">
        <f>model_eui_end_uses!I475*base_scenario_arch_measures!$F475</f>
        <v>0</v>
      </c>
      <c r="J475">
        <f>model_eui_end_uses!J475*base_scenario_arch_measures!$F475</f>
        <v>0</v>
      </c>
      <c r="K475">
        <f>model_eui_end_uses!K475*base_scenario_arch_measures!$F475</f>
        <v>0</v>
      </c>
      <c r="L475">
        <f>model_eui_end_uses!L475*base_scenario_arch_measures!$F475</f>
        <v>1.5252642057972599</v>
      </c>
      <c r="M475">
        <f>model_eui_end_uses!M475*base_scenario_arch_measures!$F475</f>
        <v>0.14129888736729745</v>
      </c>
      <c r="N475">
        <f>model_eui_end_uses!N475*base_scenario_arch_measures!$F475</f>
        <v>0</v>
      </c>
      <c r="O475">
        <f>model_eui_end_uses!O475*base_scenario_arch_measures!$F475</f>
        <v>0.39808097349100241</v>
      </c>
      <c r="P475">
        <f>model_eui_end_uses!P475*base_scenario_arch_measures!$F475</f>
        <v>0</v>
      </c>
      <c r="Q475">
        <f>model_eui_end_uses!Q475*base_scenario_arch_measures!$F475</f>
        <v>0</v>
      </c>
      <c r="R475" s="187">
        <f>model_eui_end_uses!R475*base_building_arch_areas!$N$10</f>
        <v>0</v>
      </c>
      <c r="S475" s="187">
        <f>model_eui_end_uses!S475*base_building_arch_areas!$N$10</f>
        <v>1940775.5924277811</v>
      </c>
      <c r="T475" s="187">
        <f>model_eui_end_uses!T475*base_building_arch_areas!$N$10</f>
        <v>0</v>
      </c>
      <c r="U475" s="187">
        <f>model_eui_end_uses!U475*base_building_arch_areas!$N$10</f>
        <v>0</v>
      </c>
      <c r="V475" s="187">
        <f>model_eui_end_uses!V475*base_building_arch_areas!$N$10</f>
        <v>0</v>
      </c>
      <c r="W475" s="187">
        <f>model_eui_end_uses!W475*base_building_arch_areas!$N$10</f>
        <v>307661.01402497973</v>
      </c>
      <c r="X475" s="187">
        <f>model_eui_end_uses!X475*base_building_arch_areas!$N$10</f>
        <v>28501.395891147342</v>
      </c>
      <c r="Y475" s="187">
        <f>model_eui_end_uses!Y475*base_building_arch_areas!$N$10</f>
        <v>0</v>
      </c>
      <c r="Z475" s="187">
        <f>model_eui_end_uses!Z475*base_building_arch_areas!$N$10</f>
        <v>81899.146247210418</v>
      </c>
      <c r="AA475" s="187">
        <f>model_eui_end_uses!AA475*base_building_arch_areas!$N$10</f>
        <v>0</v>
      </c>
      <c r="AB475" s="187">
        <f>model_eui_end_uses!AB475*base_building_arch_areas!$N$10</f>
        <v>0</v>
      </c>
      <c r="AC475" s="187">
        <f>model_eui_end_uses!AC475*base_building_arch_areas!$N$10</f>
        <v>2358837.1485911184</v>
      </c>
      <c r="AD475" s="187">
        <f>model_eui_end_uses!AD475*base_building_arch_areas!$N$10</f>
        <v>26745.093657855014</v>
      </c>
      <c r="AE475" s="187">
        <f>model_eui_end_uses!AE475*base_building_arch_areas!$N$10</f>
        <v>1602.2406338807066</v>
      </c>
      <c r="AF475" s="187">
        <f t="shared" si="86"/>
        <v>28347.334291735719</v>
      </c>
      <c r="AG475" s="187">
        <f>model_eui_end_uses!AH475*base_building_arch_areas!$N$10</f>
        <v>433.27051725725113</v>
      </c>
      <c r="AH475" s="187">
        <f>model_eui_end_uses!AI475*base_building_arch_areas!$N$10</f>
        <v>181.05319162851984</v>
      </c>
      <c r="AI475" s="187">
        <f t="shared" si="87"/>
        <v>614.323708885771</v>
      </c>
      <c r="AJ475" s="200">
        <f>sim_annual_output!F475/sim_annual_output!H475*base_building_arch_areas!$N$10</f>
        <v>6692.7152370028916</v>
      </c>
      <c r="AK475">
        <f t="shared" si="88"/>
        <v>10.894443988075597</v>
      </c>
    </row>
    <row r="476" spans="1:37">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f>model_eui_end_uses!G476*base_scenario_arch_measures!$F476</f>
        <v>0</v>
      </c>
      <c r="H476">
        <f>model_eui_end_uses!H476*base_scenario_arch_measures!$F476</f>
        <v>9.4890222533720561</v>
      </c>
      <c r="I476">
        <f>model_eui_end_uses!I476*base_scenario_arch_measures!$F476</f>
        <v>0</v>
      </c>
      <c r="J476">
        <f>model_eui_end_uses!J476*base_scenario_arch_measures!$F476</f>
        <v>0</v>
      </c>
      <c r="K476">
        <f>model_eui_end_uses!K476*base_scenario_arch_measures!$F476</f>
        <v>0</v>
      </c>
      <c r="L476">
        <f>model_eui_end_uses!L476*base_scenario_arch_measures!$F476</f>
        <v>1.5252642057972599</v>
      </c>
      <c r="M476">
        <f>model_eui_end_uses!M476*base_scenario_arch_measures!$F476</f>
        <v>0.14129888736729745</v>
      </c>
      <c r="N476">
        <f>model_eui_end_uses!N476*base_scenario_arch_measures!$F476</f>
        <v>0</v>
      </c>
      <c r="O476">
        <f>model_eui_end_uses!O476*base_scenario_arch_measures!$F476</f>
        <v>0.39808097349100241</v>
      </c>
      <c r="P476">
        <f>model_eui_end_uses!P476*base_scenario_arch_measures!$F476</f>
        <v>0</v>
      </c>
      <c r="Q476">
        <f>model_eui_end_uses!Q476*base_scenario_arch_measures!$F476</f>
        <v>0</v>
      </c>
      <c r="R476" s="187">
        <f>model_eui_end_uses!R476*base_building_arch_areas!$N$10</f>
        <v>0</v>
      </c>
      <c r="S476" s="187">
        <f>model_eui_end_uses!S476*base_building_arch_areas!$N$10</f>
        <v>1940775.5924277811</v>
      </c>
      <c r="T476" s="187">
        <f>model_eui_end_uses!T476*base_building_arch_areas!$N$10</f>
        <v>0</v>
      </c>
      <c r="U476" s="187">
        <f>model_eui_end_uses!U476*base_building_arch_areas!$N$10</f>
        <v>0</v>
      </c>
      <c r="V476" s="187">
        <f>model_eui_end_uses!V476*base_building_arch_areas!$N$10</f>
        <v>0</v>
      </c>
      <c r="W476" s="187">
        <f>model_eui_end_uses!W476*base_building_arch_areas!$N$10</f>
        <v>307661.01402497973</v>
      </c>
      <c r="X476" s="187">
        <f>model_eui_end_uses!X476*base_building_arch_areas!$N$10</f>
        <v>28501.395891147342</v>
      </c>
      <c r="Y476" s="187">
        <f>model_eui_end_uses!Y476*base_building_arch_areas!$N$10</f>
        <v>0</v>
      </c>
      <c r="Z476" s="187">
        <f>model_eui_end_uses!Z476*base_building_arch_areas!$N$10</f>
        <v>81899.146247210418</v>
      </c>
      <c r="AA476" s="187">
        <f>model_eui_end_uses!AA476*base_building_arch_areas!$N$10</f>
        <v>0</v>
      </c>
      <c r="AB476" s="187">
        <f>model_eui_end_uses!AB476*base_building_arch_areas!$N$10</f>
        <v>0</v>
      </c>
      <c r="AC476" s="187">
        <f>model_eui_end_uses!AC476*base_building_arch_areas!$N$10</f>
        <v>2358837.1485911184</v>
      </c>
      <c r="AD476" s="187">
        <f>model_eui_end_uses!AD476*base_building_arch_areas!$N$10</f>
        <v>26745.093657855014</v>
      </c>
      <c r="AE476" s="187">
        <f>model_eui_end_uses!AE476*base_building_arch_areas!$N$10</f>
        <v>1602.2406338807066</v>
      </c>
      <c r="AF476" s="187">
        <f t="shared" si="86"/>
        <v>28347.334291735719</v>
      </c>
      <c r="AG476" s="187">
        <f>model_eui_end_uses!AH476*base_building_arch_areas!$N$10</f>
        <v>433.27051725725113</v>
      </c>
      <c r="AH476" s="187">
        <f>model_eui_end_uses!AI476*base_building_arch_areas!$N$10</f>
        <v>181.05319162851984</v>
      </c>
      <c r="AI476" s="187">
        <f t="shared" si="87"/>
        <v>614.323708885771</v>
      </c>
      <c r="AJ476" s="200">
        <f>sim_annual_output!F476/sim_annual_output!H476*base_building_arch_areas!$N$10</f>
        <v>0</v>
      </c>
      <c r="AK476">
        <f t="shared" si="88"/>
        <v>0</v>
      </c>
    </row>
    <row r="477" spans="1:37">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f>model_eui_end_uses!G477*base_scenario_arch_measures!$F477</f>
        <v>0</v>
      </c>
      <c r="H477">
        <f>model_eui_end_uses!H477*base_scenario_arch_measures!$F477</f>
        <v>8.4608246199998618</v>
      </c>
      <c r="I477">
        <f>model_eui_end_uses!I477*base_scenario_arch_measures!$F477</f>
        <v>0</v>
      </c>
      <c r="J477">
        <f>model_eui_end_uses!J477*base_scenario_arch_measures!$F477</f>
        <v>0</v>
      </c>
      <c r="K477">
        <f>model_eui_end_uses!K477*base_scenario_arch_measures!$F477</f>
        <v>0</v>
      </c>
      <c r="L477">
        <f>model_eui_end_uses!L477*base_scenario_arch_measures!$F477</f>
        <v>1.5252642057972599</v>
      </c>
      <c r="M477">
        <f>model_eui_end_uses!M477*base_scenario_arch_measures!$F477</f>
        <v>0.14129888736729745</v>
      </c>
      <c r="N477">
        <f>model_eui_end_uses!N477*base_scenario_arch_measures!$F477</f>
        <v>0</v>
      </c>
      <c r="O477">
        <f>model_eui_end_uses!O477*base_scenario_arch_measures!$F477</f>
        <v>0.3571424850429637</v>
      </c>
      <c r="P477">
        <f>model_eui_end_uses!P477*base_scenario_arch_measures!$F477</f>
        <v>0</v>
      </c>
      <c r="Q477">
        <f>model_eui_end_uses!Q477*base_scenario_arch_measures!$F477</f>
        <v>0</v>
      </c>
      <c r="R477" s="187">
        <f>model_eui_end_uses!R477*base_building_arch_areas!$N$10</f>
        <v>0</v>
      </c>
      <c r="S477" s="187">
        <f>model_eui_end_uses!S477*base_building_arch_areas!$N$10</f>
        <v>1940775.5924277811</v>
      </c>
      <c r="T477" s="187">
        <f>model_eui_end_uses!T477*base_building_arch_areas!$N$10</f>
        <v>0</v>
      </c>
      <c r="U477" s="187">
        <f>model_eui_end_uses!U477*base_building_arch_areas!$N$10</f>
        <v>0</v>
      </c>
      <c r="V477" s="187">
        <f>model_eui_end_uses!V477*base_building_arch_areas!$N$10</f>
        <v>0</v>
      </c>
      <c r="W477" s="187">
        <f>model_eui_end_uses!W477*base_building_arch_areas!$N$10</f>
        <v>307661.01402497973</v>
      </c>
      <c r="X477" s="187">
        <f>model_eui_end_uses!X477*base_building_arch_areas!$N$10</f>
        <v>28501.395891147342</v>
      </c>
      <c r="Y477" s="187">
        <f>model_eui_end_uses!Y477*base_building_arch_areas!$N$10</f>
        <v>0</v>
      </c>
      <c r="Z477" s="187">
        <f>model_eui_end_uses!Z477*base_building_arch_areas!$N$10</f>
        <v>81899.146247210418</v>
      </c>
      <c r="AA477" s="187">
        <f>model_eui_end_uses!AA477*base_building_arch_areas!$N$10</f>
        <v>0</v>
      </c>
      <c r="AB477" s="187">
        <f>model_eui_end_uses!AB477*base_building_arch_areas!$N$10</f>
        <v>0</v>
      </c>
      <c r="AC477" s="187">
        <f>model_eui_end_uses!AC477*base_building_arch_areas!$N$10</f>
        <v>2358837.1485911184</v>
      </c>
      <c r="AD477" s="187">
        <f>model_eui_end_uses!AD477*base_building_arch_areas!$N$10</f>
        <v>234142.81878576081</v>
      </c>
      <c r="AE477" s="187">
        <f>model_eui_end_uses!AE477*base_building_arch_areas!$N$10</f>
        <v>9859.9423623428975</v>
      </c>
      <c r="AF477" s="187">
        <f t="shared" si="86"/>
        <v>244002.76114810372</v>
      </c>
      <c r="AG477" s="187">
        <f>model_eui_end_uses!AH477*base_building_arch_areas!$N$10</f>
        <v>3793.1136643293253</v>
      </c>
      <c r="AH477" s="187">
        <f>model_eui_end_uses!AI477*base_building_arch_areas!$N$10</f>
        <v>1114.1734869447473</v>
      </c>
      <c r="AI477" s="187">
        <f t="shared" si="87"/>
        <v>4907.287151274073</v>
      </c>
      <c r="AJ477" s="200">
        <f>sim_annual_output!F477/sim_annual_output!H477*base_building_arch_areas!$N$10</f>
        <v>297576.78487541404</v>
      </c>
      <c r="AK477">
        <f t="shared" si="88"/>
        <v>60.639774217849578</v>
      </c>
    </row>
    <row r="478" spans="1:37">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f>model_eui_end_uses!G478*base_scenario_arch_measures!$F478</f>
        <v>0</v>
      </c>
      <c r="H478">
        <f>model_eui_end_uses!H478*base_scenario_arch_measures!$F478</f>
        <v>7.3168382767634395</v>
      </c>
      <c r="I478">
        <f>model_eui_end_uses!I478*base_scenario_arch_measures!$F478</f>
        <v>0</v>
      </c>
      <c r="J478">
        <f>model_eui_end_uses!J478*base_scenario_arch_measures!$F478</f>
        <v>0</v>
      </c>
      <c r="K478">
        <f>model_eui_end_uses!K478*base_scenario_arch_measures!$F478</f>
        <v>0</v>
      </c>
      <c r="L478">
        <f>model_eui_end_uses!L478*base_scenario_arch_measures!$F478</f>
        <v>1.5252642057972599</v>
      </c>
      <c r="M478">
        <f>model_eui_end_uses!M478*base_scenario_arch_measures!$F478</f>
        <v>0.14129888736729745</v>
      </c>
      <c r="N478">
        <f>model_eui_end_uses!N478*base_scenario_arch_measures!$F478</f>
        <v>0</v>
      </c>
      <c r="O478">
        <f>model_eui_end_uses!O478*base_scenario_arch_measures!$F478</f>
        <v>0.36646057383150987</v>
      </c>
      <c r="P478">
        <f>model_eui_end_uses!P478*base_scenario_arch_measures!$F478</f>
        <v>0</v>
      </c>
      <c r="Q478">
        <f>model_eui_end_uses!Q478*base_scenario_arch_measures!$F478</f>
        <v>0</v>
      </c>
      <c r="R478" s="187">
        <f>model_eui_end_uses!R478*base_building_arch_areas!$N$10</f>
        <v>0</v>
      </c>
      <c r="S478" s="187">
        <f>model_eui_end_uses!S478*base_building_arch_areas!$N$10</f>
        <v>1940775.5924277811</v>
      </c>
      <c r="T478" s="187">
        <f>model_eui_end_uses!T478*base_building_arch_areas!$N$10</f>
        <v>0</v>
      </c>
      <c r="U478" s="187">
        <f>model_eui_end_uses!U478*base_building_arch_areas!$N$10</f>
        <v>0</v>
      </c>
      <c r="V478" s="187">
        <f>model_eui_end_uses!V478*base_building_arch_areas!$N$10</f>
        <v>0</v>
      </c>
      <c r="W478" s="187">
        <f>model_eui_end_uses!W478*base_building_arch_areas!$N$10</f>
        <v>307661.01402497973</v>
      </c>
      <c r="X478" s="187">
        <f>model_eui_end_uses!X478*base_building_arch_areas!$N$10</f>
        <v>28501.395891147342</v>
      </c>
      <c r="Y478" s="187">
        <f>model_eui_end_uses!Y478*base_building_arch_areas!$N$10</f>
        <v>0</v>
      </c>
      <c r="Z478" s="187">
        <f>model_eui_end_uses!Z478*base_building_arch_areas!$N$10</f>
        <v>81899.146247210418</v>
      </c>
      <c r="AA478" s="187">
        <f>model_eui_end_uses!AA478*base_building_arch_areas!$N$10</f>
        <v>0</v>
      </c>
      <c r="AB478" s="187">
        <f>model_eui_end_uses!AB478*base_building_arch_areas!$N$10</f>
        <v>0</v>
      </c>
      <c r="AC478" s="187">
        <f>model_eui_end_uses!AC478*base_building_arch_areas!$N$10</f>
        <v>2358837.1485911184</v>
      </c>
      <c r="AD478" s="187">
        <f>model_eui_end_uses!AD478*base_building_arch_areas!$N$10</f>
        <v>464896.28238446597</v>
      </c>
      <c r="AE478" s="187">
        <f>model_eui_end_uses!AE478*base_building_arch_areas!$N$10</f>
        <v>7980.3908495212636</v>
      </c>
      <c r="AF478" s="187">
        <f t="shared" si="86"/>
        <v>472876.67323398724</v>
      </c>
      <c r="AG478" s="187">
        <f>model_eui_end_uses!AH478*base_building_arch_areas!$N$10</f>
        <v>7531.3197746283477</v>
      </c>
      <c r="AH478" s="187">
        <f>model_eui_end_uses!AI478*base_building_arch_areas!$N$10</f>
        <v>901.78416599590287</v>
      </c>
      <c r="AI478" s="187">
        <f t="shared" si="87"/>
        <v>8433.1039406242508</v>
      </c>
      <c r="AJ478" s="200">
        <f>sim_annual_output!F478/sim_annual_output!H478*base_building_arch_areas!$N$10</f>
        <v>301935.0403716701</v>
      </c>
      <c r="AK478">
        <f t="shared" si="88"/>
        <v>35.803547839269214</v>
      </c>
    </row>
    <row r="479" spans="1:37">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f>model_eui_end_uses!G479*base_scenario_arch_measures!$F479</f>
        <v>0</v>
      </c>
      <c r="H479">
        <f>model_eui_end_uses!H479*base_scenario_arch_measures!$F479</f>
        <v>9.9271251819876323</v>
      </c>
      <c r="I479">
        <f>model_eui_end_uses!I479*base_scenario_arch_measures!$F479</f>
        <v>0</v>
      </c>
      <c r="J479">
        <f>model_eui_end_uses!J479*base_scenario_arch_measures!$F479</f>
        <v>0</v>
      </c>
      <c r="K479">
        <f>model_eui_end_uses!K479*base_scenario_arch_measures!$F479</f>
        <v>0</v>
      </c>
      <c r="L479">
        <f>model_eui_end_uses!L479*base_scenario_arch_measures!$F479</f>
        <v>1.067761321835037</v>
      </c>
      <c r="M479">
        <f>model_eui_end_uses!M479*base_scenario_arch_measures!$F479</f>
        <v>0.14129888736729745</v>
      </c>
      <c r="N479">
        <f>model_eui_end_uses!N479*base_scenario_arch_measures!$F479</f>
        <v>0</v>
      </c>
      <c r="O479">
        <f>model_eui_end_uses!O479*base_scenario_arch_measures!$F479</f>
        <v>0.41412030665161448</v>
      </c>
      <c r="P479">
        <f>model_eui_end_uses!P479*base_scenario_arch_measures!$F479</f>
        <v>0</v>
      </c>
      <c r="Q479">
        <f>model_eui_end_uses!Q479*base_scenario_arch_measures!$F479</f>
        <v>0</v>
      </c>
      <c r="R479" s="187">
        <f>model_eui_end_uses!R479*base_building_arch_areas!$N$10</f>
        <v>0</v>
      </c>
      <c r="S479" s="187">
        <f>model_eui_end_uses!S479*base_building_arch_areas!$N$10</f>
        <v>1940775.5924277811</v>
      </c>
      <c r="T479" s="187">
        <f>model_eui_end_uses!T479*base_building_arch_areas!$N$10</f>
        <v>0</v>
      </c>
      <c r="U479" s="187">
        <f>model_eui_end_uses!U479*base_building_arch_areas!$N$10</f>
        <v>0</v>
      </c>
      <c r="V479" s="187">
        <f>model_eui_end_uses!V479*base_building_arch_areas!$N$10</f>
        <v>0</v>
      </c>
      <c r="W479" s="187">
        <f>model_eui_end_uses!W479*base_building_arch_areas!$N$10</f>
        <v>307661.01402497973</v>
      </c>
      <c r="X479" s="187">
        <f>model_eui_end_uses!X479*base_building_arch_areas!$N$10</f>
        <v>28501.395891147342</v>
      </c>
      <c r="Y479" s="187">
        <f>model_eui_end_uses!Y479*base_building_arch_areas!$N$10</f>
        <v>0</v>
      </c>
      <c r="Z479" s="187">
        <f>model_eui_end_uses!Z479*base_building_arch_areas!$N$10</f>
        <v>81899.146247210418</v>
      </c>
      <c r="AA479" s="187">
        <f>model_eui_end_uses!AA479*base_building_arch_areas!$N$10</f>
        <v>0</v>
      </c>
      <c r="AB479" s="187">
        <f>model_eui_end_uses!AB479*base_building_arch_areas!$N$10</f>
        <v>0</v>
      </c>
      <c r="AC479" s="187">
        <f>model_eui_end_uses!AC479*base_building_arch_areas!$N$10</f>
        <v>2358837.1485911184</v>
      </c>
      <c r="AD479" s="187">
        <f>model_eui_end_uses!AD479*base_building_arch_areas!$N$10</f>
        <v>-61624.639764642699</v>
      </c>
      <c r="AE479" s="187">
        <f>model_eui_end_uses!AE479*base_building_arch_areas!$N$10</f>
        <v>90649.845093789656</v>
      </c>
      <c r="AF479" s="187">
        <f t="shared" si="86"/>
        <v>29025.205329146957</v>
      </c>
      <c r="AG479" s="187">
        <f>model_eui_end_uses!AH479*base_building_arch_areas!$N$10</f>
        <v>-998.31916418721164</v>
      </c>
      <c r="AH479" s="187">
        <f>model_eui_end_uses!AI479*base_building_arch_areas!$N$10</f>
        <v>10243.432495598232</v>
      </c>
      <c r="AI479" s="187">
        <f t="shared" si="87"/>
        <v>9245.1133314110211</v>
      </c>
      <c r="AJ479" s="200">
        <f>sim_annual_output!F479/sim_annual_output!H479*base_building_arch_areas!$N$10</f>
        <v>216900.41980734741</v>
      </c>
      <c r="AK479">
        <f t="shared" si="88"/>
        <v>23.461088256258652</v>
      </c>
    </row>
    <row r="480" spans="1:37">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f>model_eui_end_uses!G480*base_scenario_arch_measures!$F480</f>
        <v>0</v>
      </c>
      <c r="H480">
        <f>model_eui_end_uses!H480*base_scenario_arch_measures!$F480</f>
        <v>7.3168382767634395</v>
      </c>
      <c r="I480">
        <f>model_eui_end_uses!I480*base_scenario_arch_measures!$F480</f>
        <v>0</v>
      </c>
      <c r="J480">
        <f>model_eui_end_uses!J480*base_scenario_arch_measures!$F480</f>
        <v>0</v>
      </c>
      <c r="K480">
        <f>model_eui_end_uses!K480*base_scenario_arch_measures!$F480</f>
        <v>0</v>
      </c>
      <c r="L480">
        <f>model_eui_end_uses!L480*base_scenario_arch_measures!$F480</f>
        <v>1.5252642057972599</v>
      </c>
      <c r="M480">
        <f>model_eui_end_uses!M480*base_scenario_arch_measures!$F480</f>
        <v>0.14129888736729745</v>
      </c>
      <c r="N480">
        <f>model_eui_end_uses!N480*base_scenario_arch_measures!$F480</f>
        <v>0</v>
      </c>
      <c r="O480">
        <f>model_eui_end_uses!O480*base_scenario_arch_measures!$F480</f>
        <v>0.36646057383150987</v>
      </c>
      <c r="P480">
        <f>model_eui_end_uses!P480*base_scenario_arch_measures!$F480</f>
        <v>0</v>
      </c>
      <c r="Q480">
        <f>model_eui_end_uses!Q480*base_scenario_arch_measures!$F480</f>
        <v>0</v>
      </c>
      <c r="R480" s="187">
        <f>model_eui_end_uses!R480*base_building_arch_areas!$N$10</f>
        <v>0</v>
      </c>
      <c r="S480" s="187">
        <f>model_eui_end_uses!S480*base_building_arch_areas!$N$10</f>
        <v>1940775.5924277811</v>
      </c>
      <c r="T480" s="187">
        <f>model_eui_end_uses!T480*base_building_arch_areas!$N$10</f>
        <v>0</v>
      </c>
      <c r="U480" s="187">
        <f>model_eui_end_uses!U480*base_building_arch_areas!$N$10</f>
        <v>0</v>
      </c>
      <c r="V480" s="187">
        <f>model_eui_end_uses!V480*base_building_arch_areas!$N$10</f>
        <v>0</v>
      </c>
      <c r="W480" s="187">
        <f>model_eui_end_uses!W480*base_building_arch_areas!$N$10</f>
        <v>307661.01402497973</v>
      </c>
      <c r="X480" s="187">
        <f>model_eui_end_uses!X480*base_building_arch_areas!$N$10</f>
        <v>28501.395891147342</v>
      </c>
      <c r="Y480" s="187">
        <f>model_eui_end_uses!Y480*base_building_arch_areas!$N$10</f>
        <v>0</v>
      </c>
      <c r="Z480" s="187">
        <f>model_eui_end_uses!Z480*base_building_arch_areas!$N$10</f>
        <v>81899.146247210418</v>
      </c>
      <c r="AA480" s="187">
        <f>model_eui_end_uses!AA480*base_building_arch_areas!$N$10</f>
        <v>0</v>
      </c>
      <c r="AB480" s="187">
        <f>model_eui_end_uses!AB480*base_building_arch_areas!$N$10</f>
        <v>0</v>
      </c>
      <c r="AC480" s="187">
        <f>model_eui_end_uses!AC480*base_building_arch_areas!$N$10</f>
        <v>2358837.1485911184</v>
      </c>
      <c r="AD480" s="187">
        <f>model_eui_end_uses!AD480*base_building_arch_areas!$N$10</f>
        <v>464896.28238446597</v>
      </c>
      <c r="AE480" s="187">
        <f>model_eui_end_uses!AE480*base_building_arch_areas!$N$10</f>
        <v>7980.3908495212636</v>
      </c>
      <c r="AF480" s="187">
        <f t="shared" si="86"/>
        <v>472876.67323398724</v>
      </c>
      <c r="AG480" s="187">
        <f>model_eui_end_uses!AH480*base_building_arch_areas!$N$10</f>
        <v>7531.3197746283477</v>
      </c>
      <c r="AH480" s="187">
        <f>model_eui_end_uses!AI480*base_building_arch_areas!$N$10</f>
        <v>901.78416599590287</v>
      </c>
      <c r="AI480" s="187">
        <f t="shared" si="87"/>
        <v>8433.1039406242508</v>
      </c>
      <c r="AJ480" s="200">
        <f>sim_annual_output!F480/sim_annual_output!H480*base_building_arch_areas!$N$10</f>
        <v>301935.0403716701</v>
      </c>
      <c r="AK480">
        <f t="shared" si="88"/>
        <v>35.803547839269214</v>
      </c>
    </row>
    <row r="481" spans="1:37">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f>model_eui_end_uses!G481*base_scenario_arch_measures!$F481</f>
        <v>0</v>
      </c>
      <c r="H481">
        <f>model_eui_end_uses!H481*base_scenario_arch_measures!$F481</f>
        <v>8.2309275113644205</v>
      </c>
      <c r="I481">
        <f>model_eui_end_uses!I481*base_scenario_arch_measures!$F481</f>
        <v>0</v>
      </c>
      <c r="J481">
        <f>model_eui_end_uses!J481*base_scenario_arch_measures!$F481</f>
        <v>0</v>
      </c>
      <c r="K481">
        <f>model_eui_end_uses!K481*base_scenario_arch_measures!$F481</f>
        <v>0</v>
      </c>
      <c r="L481">
        <f>model_eui_end_uses!L481*base_scenario_arch_measures!$F481</f>
        <v>1.5252642057972599</v>
      </c>
      <c r="M481">
        <f>model_eui_end_uses!M481*base_scenario_arch_measures!$F481</f>
        <v>0.14129888736729745</v>
      </c>
      <c r="N481">
        <f>model_eui_end_uses!N481*base_scenario_arch_measures!$F481</f>
        <v>0</v>
      </c>
      <c r="O481">
        <f>model_eui_end_uses!O481*base_scenario_arch_measures!$F481</f>
        <v>0.41167621778904506</v>
      </c>
      <c r="P481">
        <f>model_eui_end_uses!P481*base_scenario_arch_measures!$F481</f>
        <v>0</v>
      </c>
      <c r="Q481">
        <f>model_eui_end_uses!Q481*base_scenario_arch_measures!$F481</f>
        <v>0</v>
      </c>
      <c r="R481" s="187">
        <f>model_eui_end_uses!R481*base_building_arch_areas!$N$10</f>
        <v>0</v>
      </c>
      <c r="S481" s="187">
        <f>model_eui_end_uses!S481*base_building_arch_areas!$N$10</f>
        <v>1940775.5924277811</v>
      </c>
      <c r="T481" s="187">
        <f>model_eui_end_uses!T481*base_building_arch_areas!$N$10</f>
        <v>0</v>
      </c>
      <c r="U481" s="187">
        <f>model_eui_end_uses!U481*base_building_arch_areas!$N$10</f>
        <v>0</v>
      </c>
      <c r="V481" s="187">
        <f>model_eui_end_uses!V481*base_building_arch_areas!$N$10</f>
        <v>0</v>
      </c>
      <c r="W481" s="187">
        <f>model_eui_end_uses!W481*base_building_arch_areas!$N$10</f>
        <v>307661.01402497973</v>
      </c>
      <c r="X481" s="187">
        <f>model_eui_end_uses!X481*base_building_arch_areas!$N$10</f>
        <v>28501.395891147342</v>
      </c>
      <c r="Y481" s="187">
        <f>model_eui_end_uses!Y481*base_building_arch_areas!$N$10</f>
        <v>0</v>
      </c>
      <c r="Z481" s="187">
        <f>model_eui_end_uses!Z481*base_building_arch_areas!$N$10</f>
        <v>81899.146247210418</v>
      </c>
      <c r="AA481" s="187">
        <f>model_eui_end_uses!AA481*base_building_arch_areas!$N$10</f>
        <v>0</v>
      </c>
      <c r="AB481" s="187">
        <f>model_eui_end_uses!AB481*base_building_arch_areas!$N$10</f>
        <v>0</v>
      </c>
      <c r="AC481" s="187">
        <f>model_eui_end_uses!AC481*base_building_arch_areas!$N$10</f>
        <v>2358837.1485911184</v>
      </c>
      <c r="AD481" s="187">
        <f>model_eui_end_uses!AD481*base_building_arch_areas!$N$10</f>
        <v>280515.36020865443</v>
      </c>
      <c r="AE481" s="187">
        <f>model_eui_end_uses!AE481*base_building_arch_areas!$N$10</f>
        <v>-1140.0558356459128</v>
      </c>
      <c r="AF481" s="187">
        <f t="shared" si="86"/>
        <v>279375.30437300849</v>
      </c>
      <c r="AG481" s="187">
        <f>model_eui_end_uses!AH481*base_building_arch_areas!$N$10</f>
        <v>4544.3488353802013</v>
      </c>
      <c r="AH481" s="187">
        <f>model_eui_end_uses!AI481*base_building_arch_areas!$N$10</f>
        <v>-128.82630942798815</v>
      </c>
      <c r="AI481" s="187">
        <f t="shared" si="87"/>
        <v>4415.5225259522131</v>
      </c>
      <c r="AJ481" s="200">
        <f>sim_annual_output!F481/sim_annual_output!H481*base_building_arch_areas!$N$10</f>
        <v>4358.2554962560489</v>
      </c>
      <c r="AK481">
        <f t="shared" si="88"/>
        <v>0.98703052031564154</v>
      </c>
    </row>
    <row r="482" spans="1:37">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f>model_eui_end_uses!G482*base_scenario_arch_measures!$F482</f>
        <v>0</v>
      </c>
      <c r="H482">
        <f>model_eui_end_uses!H482*base_scenario_arch_measures!$F482</f>
        <v>7.7952686716114137</v>
      </c>
      <c r="I482">
        <f>model_eui_end_uses!I482*base_scenario_arch_measures!$F482</f>
        <v>0</v>
      </c>
      <c r="J482">
        <f>model_eui_end_uses!J482*base_scenario_arch_measures!$F482</f>
        <v>0</v>
      </c>
      <c r="K482">
        <f>model_eui_end_uses!K482*base_scenario_arch_measures!$F482</f>
        <v>0</v>
      </c>
      <c r="L482">
        <f>model_eui_end_uses!L482*base_scenario_arch_measures!$F482</f>
        <v>1.067761321835037</v>
      </c>
      <c r="M482">
        <f>model_eui_end_uses!M482*base_scenario_arch_measures!$F482</f>
        <v>0.14129888736729745</v>
      </c>
      <c r="N482">
        <f>model_eui_end_uses!N482*base_scenario_arch_measures!$F482</f>
        <v>0</v>
      </c>
      <c r="O482">
        <f>model_eui_end_uses!O482*base_scenario_arch_measures!$F482</f>
        <v>0.37883377369826782</v>
      </c>
      <c r="P482">
        <f>model_eui_end_uses!P482*base_scenario_arch_measures!$F482</f>
        <v>0</v>
      </c>
      <c r="Q482">
        <f>model_eui_end_uses!Q482*base_scenario_arch_measures!$F482</f>
        <v>0</v>
      </c>
      <c r="R482" s="187">
        <f>model_eui_end_uses!R482*base_building_arch_areas!$N$10</f>
        <v>0</v>
      </c>
      <c r="S482" s="187">
        <f>model_eui_end_uses!S482*base_building_arch_areas!$N$10</f>
        <v>1940775.5924277811</v>
      </c>
      <c r="T482" s="187">
        <f>model_eui_end_uses!T482*base_building_arch_areas!$N$10</f>
        <v>0</v>
      </c>
      <c r="U482" s="187">
        <f>model_eui_end_uses!U482*base_building_arch_areas!$N$10</f>
        <v>0</v>
      </c>
      <c r="V482" s="187">
        <f>model_eui_end_uses!V482*base_building_arch_areas!$N$10</f>
        <v>0</v>
      </c>
      <c r="W482" s="187">
        <f>model_eui_end_uses!W482*base_building_arch_areas!$N$10</f>
        <v>307661.01402497973</v>
      </c>
      <c r="X482" s="187">
        <f>model_eui_end_uses!X482*base_building_arch_areas!$N$10</f>
        <v>28501.395891147342</v>
      </c>
      <c r="Y482" s="187">
        <f>model_eui_end_uses!Y482*base_building_arch_areas!$N$10</f>
        <v>0</v>
      </c>
      <c r="Z482" s="187">
        <f>model_eui_end_uses!Z482*base_building_arch_areas!$N$10</f>
        <v>81899.146247210418</v>
      </c>
      <c r="AA482" s="187">
        <f>model_eui_end_uses!AA482*base_building_arch_areas!$N$10</f>
        <v>0</v>
      </c>
      <c r="AB482" s="187">
        <f>model_eui_end_uses!AB482*base_building_arch_areas!$N$10</f>
        <v>0</v>
      </c>
      <c r="AC482" s="187">
        <f>model_eui_end_uses!AC482*base_building_arch_areas!$N$10</f>
        <v>2358837.1485911184</v>
      </c>
      <c r="AD482" s="187">
        <f>model_eui_end_uses!AD482*base_building_arch_areas!$N$10</f>
        <v>368392.09651303507</v>
      </c>
      <c r="AE482" s="187">
        <f>model_eui_end_uses!AE482*base_building_arch_areas!$N$10</f>
        <v>97767.490986605932</v>
      </c>
      <c r="AF482" s="187">
        <f t="shared" si="86"/>
        <v>466159.587499641</v>
      </c>
      <c r="AG482" s="187">
        <f>model_eui_end_uses!AH482*base_building_arch_areas!$N$10</f>
        <v>5967.9519635111683</v>
      </c>
      <c r="AH482" s="187">
        <f>model_eui_end_uses!AI482*base_building_arch_areas!$N$10</f>
        <v>11047.72648148647</v>
      </c>
      <c r="AI482" s="187">
        <f t="shared" si="87"/>
        <v>17015.67844499764</v>
      </c>
      <c r="AJ482" s="200">
        <f>sim_annual_output!F482/sim_annual_output!H482*base_building_arch_areas!$N$10</f>
        <v>546449.53888331121</v>
      </c>
      <c r="AK482">
        <f t="shared" si="88"/>
        <v>32.114472581841682</v>
      </c>
    </row>
    <row r="483" spans="1:37">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f>model_eui_end_uses!G483*base_scenario_arch_measures!$F483</f>
        <v>0</v>
      </c>
      <c r="H483">
        <f>model_eui_end_uses!H483*base_scenario_arch_measures!$F483</f>
        <v>9.4939104310971949</v>
      </c>
      <c r="I483">
        <f>model_eui_end_uses!I483*base_scenario_arch_measures!$F483</f>
        <v>0</v>
      </c>
      <c r="J483">
        <f>model_eui_end_uses!J483*base_scenario_arch_measures!$F483</f>
        <v>0</v>
      </c>
      <c r="K483">
        <f>model_eui_end_uses!K483*base_scenario_arch_measures!$F483</f>
        <v>0</v>
      </c>
      <c r="L483">
        <f>model_eui_end_uses!L483*base_scenario_arch_measures!$F483</f>
        <v>1.5252642057972599</v>
      </c>
      <c r="M483">
        <f>model_eui_end_uses!M483*base_scenario_arch_measures!$F483</f>
        <v>0.14129888736729745</v>
      </c>
      <c r="N483">
        <f>model_eui_end_uses!N483*base_scenario_arch_measures!$F483</f>
        <v>0</v>
      </c>
      <c r="O483">
        <f>model_eui_end_uses!O483*base_scenario_arch_measures!$F483</f>
        <v>0.39853924015273412</v>
      </c>
      <c r="P483">
        <f>model_eui_end_uses!P483*base_scenario_arch_measures!$F483</f>
        <v>0</v>
      </c>
      <c r="Q483">
        <f>model_eui_end_uses!Q483*base_scenario_arch_measures!$F483</f>
        <v>0</v>
      </c>
      <c r="R483" s="187">
        <f>model_eui_end_uses!R483*base_building_arch_areas!$N$10</f>
        <v>0</v>
      </c>
      <c r="S483" s="187">
        <f>model_eui_end_uses!S483*base_building_arch_areas!$N$10</f>
        <v>1940775.5924277811</v>
      </c>
      <c r="T483" s="187">
        <f>model_eui_end_uses!T483*base_building_arch_areas!$N$10</f>
        <v>0</v>
      </c>
      <c r="U483" s="187">
        <f>model_eui_end_uses!U483*base_building_arch_areas!$N$10</f>
        <v>0</v>
      </c>
      <c r="V483" s="187">
        <f>model_eui_end_uses!V483*base_building_arch_areas!$N$10</f>
        <v>0</v>
      </c>
      <c r="W483" s="187">
        <f>model_eui_end_uses!W483*base_building_arch_areas!$N$10</f>
        <v>307661.01402497973</v>
      </c>
      <c r="X483" s="187">
        <f>model_eui_end_uses!X483*base_building_arch_areas!$N$10</f>
        <v>28501.395891147342</v>
      </c>
      <c r="Y483" s="187">
        <f>model_eui_end_uses!Y483*base_building_arch_areas!$N$10</f>
        <v>0</v>
      </c>
      <c r="Z483" s="187">
        <f>model_eui_end_uses!Z483*base_building_arch_areas!$N$10</f>
        <v>81899.146247210418</v>
      </c>
      <c r="AA483" s="187">
        <f>model_eui_end_uses!AA483*base_building_arch_areas!$N$10</f>
        <v>0</v>
      </c>
      <c r="AB483" s="187">
        <f>model_eui_end_uses!AB483*base_building_arch_areas!$N$10</f>
        <v>0</v>
      </c>
      <c r="AC483" s="187">
        <f>model_eui_end_uses!AC483*base_building_arch_areas!$N$10</f>
        <v>2358837.1485911184</v>
      </c>
      <c r="AD483" s="187">
        <f>model_eui_end_uses!AD483*base_building_arch_areas!$N$10</f>
        <v>25759.099421620635</v>
      </c>
      <c r="AE483" s="187">
        <f>model_eui_end_uses!AE483*base_building_arch_areas!$N$10</f>
        <v>1509.8036742337729</v>
      </c>
      <c r="AF483" s="187">
        <f t="shared" si="86"/>
        <v>27268.903095854406</v>
      </c>
      <c r="AG483" s="187">
        <f>model_eui_end_uses!AH483*base_building_arch_areas!$N$10</f>
        <v>417.29741063025426</v>
      </c>
      <c r="AH483" s="187">
        <f>model_eui_end_uses!AI483*base_building_arch_areas!$N$10</f>
        <v>170.60781518841634</v>
      </c>
      <c r="AI483" s="187">
        <f t="shared" si="87"/>
        <v>587.9052258186706</v>
      </c>
      <c r="AJ483" s="200">
        <f>sim_annual_output!F483/sim_annual_output!H483*base_building_arch_areas!$N$10</f>
        <v>2520.876416997442</v>
      </c>
      <c r="AK483">
        <f t="shared" si="88"/>
        <v>4.2878959163648656</v>
      </c>
    </row>
    <row r="484" spans="1:37">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f>model_eui_end_uses!G484*base_scenario_arch_measures!$F484</f>
        <v>0</v>
      </c>
      <c r="H484">
        <f>model_eui_end_uses!H484*base_scenario_arch_measures!$F484</f>
        <v>0.28571197221631467</v>
      </c>
      <c r="I484">
        <f>model_eui_end_uses!I484*base_scenario_arch_measures!$F484</f>
        <v>0</v>
      </c>
      <c r="J484">
        <f>model_eui_end_uses!J484*base_scenario_arch_measures!$F484</f>
        <v>0</v>
      </c>
      <c r="K484">
        <f>model_eui_end_uses!K484*base_scenario_arch_measures!$F484</f>
        <v>0</v>
      </c>
      <c r="L484">
        <f>model_eui_end_uses!L484*base_scenario_arch_measures!$F484</f>
        <v>7.5479787347335764E-2</v>
      </c>
      <c r="M484">
        <f>model_eui_end_uses!M484*base_scenario_arch_measures!$F484</f>
        <v>6.9923688829529864E-3</v>
      </c>
      <c r="N484">
        <f>model_eui_end_uses!N484*base_scenario_arch_measures!$F484</f>
        <v>0</v>
      </c>
      <c r="O484">
        <f>model_eui_end_uses!O484*base_scenario_arch_measures!$F484</f>
        <v>1.1580874733712406E-2</v>
      </c>
      <c r="P484">
        <f>model_eui_end_uses!P484*base_scenario_arch_measures!$F484</f>
        <v>0</v>
      </c>
      <c r="Q484">
        <f>model_eui_end_uses!Q484*base_scenario_arch_measures!$F484</f>
        <v>0</v>
      </c>
      <c r="R484" s="187">
        <f>model_eui_end_uses!R484*base_building_arch_areas!$N$11</f>
        <v>0</v>
      </c>
      <c r="S484" s="187">
        <f>model_eui_end_uses!S484*base_building_arch_areas!$N$11</f>
        <v>66121.464594105055</v>
      </c>
      <c r="T484" s="187">
        <f>model_eui_end_uses!T484*base_building_arch_areas!$N$11</f>
        <v>0</v>
      </c>
      <c r="U484" s="187">
        <f>model_eui_end_uses!U484*base_building_arch_areas!$N$11</f>
        <v>0</v>
      </c>
      <c r="V484" s="187">
        <f>model_eui_end_uses!V484*base_building_arch_areas!$N$11</f>
        <v>0</v>
      </c>
      <c r="W484" s="187">
        <f>model_eui_end_uses!W484*base_building_arch_areas!$N$11</f>
        <v>17468.060746431871</v>
      </c>
      <c r="X484" s="187">
        <f>model_eui_end_uses!X484*base_building_arch_areas!$N$11</f>
        <v>1618.2229534751607</v>
      </c>
      <c r="Y484" s="187">
        <f>model_eui_end_uses!Y484*base_building_arch_areas!$N$11</f>
        <v>0</v>
      </c>
      <c r="Z484" s="187">
        <f>model_eui_end_uses!Z484*base_building_arch_areas!$N$11</f>
        <v>2680.1270969988609</v>
      </c>
      <c r="AA484" s="187">
        <f>model_eui_end_uses!AA484*base_building_arch_areas!$N$11</f>
        <v>0</v>
      </c>
      <c r="AB484" s="187">
        <f>model_eui_end_uses!AB484*base_building_arch_areas!$N$11</f>
        <v>0</v>
      </c>
      <c r="AC484" s="187">
        <f>model_eui_end_uses!AC484*base_building_arch_areas!$N$11</f>
        <v>87887.875391010937</v>
      </c>
      <c r="AD484" s="187">
        <f>model_eui_end_uses!AD484*base_building_arch_areas!$N$11</f>
        <v>0</v>
      </c>
      <c r="AE484" s="187">
        <f>model_eui_end_uses!AE484*base_building_arch_areas!$N$11</f>
        <v>0</v>
      </c>
      <c r="AF484" s="187">
        <f t="shared" si="85"/>
        <v>0</v>
      </c>
      <c r="AG484" s="187">
        <f>model_eui_end_uses!AH484*base_building_arch_areas!$N$11</f>
        <v>0</v>
      </c>
      <c r="AH484" s="187">
        <f>model_eui_end_uses!AI484*base_building_arch_areas!$N$11</f>
        <v>0</v>
      </c>
      <c r="AI484" s="187">
        <f t="shared" si="80"/>
        <v>0</v>
      </c>
      <c r="AJ484" s="200">
        <f>sim_annual_output!F484/sim_annual_output!H484*base_building_arch_areas!$N$11</f>
        <v>0</v>
      </c>
      <c r="AK484">
        <f t="shared" si="81"/>
        <v>0</v>
      </c>
    </row>
    <row r="485" spans="1:37">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f>model_eui_end_uses!G485*base_scenario_arch_measures!$F485</f>
        <v>0</v>
      </c>
      <c r="H485">
        <f>model_eui_end_uses!H485*base_scenario_arch_measures!$F485</f>
        <v>0.28043556845382689</v>
      </c>
      <c r="I485">
        <f>model_eui_end_uses!I485*base_scenario_arch_measures!$F485</f>
        <v>0</v>
      </c>
      <c r="J485">
        <f>model_eui_end_uses!J485*base_scenario_arch_measures!$F485</f>
        <v>0</v>
      </c>
      <c r="K485">
        <f>model_eui_end_uses!K485*base_scenario_arch_measures!$F485</f>
        <v>0</v>
      </c>
      <c r="L485">
        <f>model_eui_end_uses!L485*base_scenario_arch_measures!$F485</f>
        <v>7.5479787347335764E-2</v>
      </c>
      <c r="M485">
        <f>model_eui_end_uses!M485*base_scenario_arch_measures!$F485</f>
        <v>6.9923688829529864E-3</v>
      </c>
      <c r="N485">
        <f>model_eui_end_uses!N485*base_scenario_arch_measures!$F485</f>
        <v>0</v>
      </c>
      <c r="O485">
        <f>model_eui_end_uses!O485*base_scenario_arch_measures!$F485</f>
        <v>1.1255824072126483E-2</v>
      </c>
      <c r="P485">
        <f>model_eui_end_uses!P485*base_scenario_arch_measures!$F485</f>
        <v>0</v>
      </c>
      <c r="Q485">
        <f>model_eui_end_uses!Q485*base_scenario_arch_measures!$F485</f>
        <v>0</v>
      </c>
      <c r="R485" s="187">
        <f>model_eui_end_uses!R485*base_building_arch_areas!$N$11</f>
        <v>0</v>
      </c>
      <c r="S485" s="187">
        <f>model_eui_end_uses!S485*base_building_arch_areas!$N$11</f>
        <v>66121.464594105055</v>
      </c>
      <c r="T485" s="187">
        <f>model_eui_end_uses!T485*base_building_arch_areas!$N$11</f>
        <v>0</v>
      </c>
      <c r="U485" s="187">
        <f>model_eui_end_uses!U485*base_building_arch_areas!$N$11</f>
        <v>0</v>
      </c>
      <c r="V485" s="187">
        <f>model_eui_end_uses!V485*base_building_arch_areas!$N$11</f>
        <v>0</v>
      </c>
      <c r="W485" s="187">
        <f>model_eui_end_uses!W485*base_building_arch_areas!$N$11</f>
        <v>17468.060746431871</v>
      </c>
      <c r="X485" s="187">
        <f>model_eui_end_uses!X485*base_building_arch_areas!$N$11</f>
        <v>1618.2229534751607</v>
      </c>
      <c r="Y485" s="187">
        <f>model_eui_end_uses!Y485*base_building_arch_areas!$N$11</f>
        <v>0</v>
      </c>
      <c r="Z485" s="187">
        <f>model_eui_end_uses!Z485*base_building_arch_areas!$N$11</f>
        <v>2680.1270969988609</v>
      </c>
      <c r="AA485" s="187">
        <f>model_eui_end_uses!AA485*base_building_arch_areas!$N$11</f>
        <v>0</v>
      </c>
      <c r="AB485" s="187">
        <f>model_eui_end_uses!AB485*base_building_arch_areas!$N$11</f>
        <v>0</v>
      </c>
      <c r="AC485" s="187">
        <f>model_eui_end_uses!AC485*base_building_arch_areas!$N$11</f>
        <v>87887.875391010937</v>
      </c>
      <c r="AD485" s="187">
        <f>model_eui_end_uses!AD485*base_building_arch_areas!$N$11</f>
        <v>1221.1022935412598</v>
      </c>
      <c r="AE485" s="187">
        <f>model_eui_end_uses!AE485*base_building_arch_areas!$N$11</f>
        <v>75.225499458846471</v>
      </c>
      <c r="AF485" s="187">
        <f t="shared" ref="AF485:AF497" si="89">SUM(AD485:AE485)</f>
        <v>1296.3277930001063</v>
      </c>
      <c r="AG485" s="187">
        <f>model_eui_end_uses!AH485*base_building_arch_areas!$N$11</f>
        <v>19.781857155368407</v>
      </c>
      <c r="AH485" s="187">
        <f>model_eui_end_uses!AI485*base_building_arch_areas!$N$11</f>
        <v>8.5004814388496523</v>
      </c>
      <c r="AI485" s="187">
        <f t="shared" ref="AI485:AI497" si="90">SUM(AG485:AH485)</f>
        <v>28.282338594218061</v>
      </c>
      <c r="AJ485" s="200">
        <f>sim_annual_output!F485/sim_annual_output!H485*base_building_arch_areas!$N$11</f>
        <v>431.90075811500094</v>
      </c>
      <c r="AK485">
        <f t="shared" ref="AK485:AK497" si="91">IF(AI485=0,0,AJ485/AI485)</f>
        <v>15.271041207437392</v>
      </c>
    </row>
    <row r="486" spans="1:37">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f>model_eui_end_uses!G486*base_scenario_arch_measures!$F486</f>
        <v>0</v>
      </c>
      <c r="H486">
        <f>model_eui_end_uses!H486*base_scenario_arch_measures!$F486</f>
        <v>0.28043556845382689</v>
      </c>
      <c r="I486">
        <f>model_eui_end_uses!I486*base_scenario_arch_measures!$F486</f>
        <v>0</v>
      </c>
      <c r="J486">
        <f>model_eui_end_uses!J486*base_scenario_arch_measures!$F486</f>
        <v>0</v>
      </c>
      <c r="K486">
        <f>model_eui_end_uses!K486*base_scenario_arch_measures!$F486</f>
        <v>0</v>
      </c>
      <c r="L486">
        <f>model_eui_end_uses!L486*base_scenario_arch_measures!$F486</f>
        <v>7.5479787347335764E-2</v>
      </c>
      <c r="M486">
        <f>model_eui_end_uses!M486*base_scenario_arch_measures!$F486</f>
        <v>6.9923688829529864E-3</v>
      </c>
      <c r="N486">
        <f>model_eui_end_uses!N486*base_scenario_arch_measures!$F486</f>
        <v>0</v>
      </c>
      <c r="O486">
        <f>model_eui_end_uses!O486*base_scenario_arch_measures!$F486</f>
        <v>1.1255824072126483E-2</v>
      </c>
      <c r="P486">
        <f>model_eui_end_uses!P486*base_scenario_arch_measures!$F486</f>
        <v>0</v>
      </c>
      <c r="Q486">
        <f>model_eui_end_uses!Q486*base_scenario_arch_measures!$F486</f>
        <v>0</v>
      </c>
      <c r="R486" s="187">
        <f>model_eui_end_uses!R486*base_building_arch_areas!$N$11</f>
        <v>0</v>
      </c>
      <c r="S486" s="187">
        <f>model_eui_end_uses!S486*base_building_arch_areas!$N$11</f>
        <v>66121.464594105055</v>
      </c>
      <c r="T486" s="187">
        <f>model_eui_end_uses!T486*base_building_arch_areas!$N$11</f>
        <v>0</v>
      </c>
      <c r="U486" s="187">
        <f>model_eui_end_uses!U486*base_building_arch_areas!$N$11</f>
        <v>0</v>
      </c>
      <c r="V486" s="187">
        <f>model_eui_end_uses!V486*base_building_arch_areas!$N$11</f>
        <v>0</v>
      </c>
      <c r="W486" s="187">
        <f>model_eui_end_uses!W486*base_building_arch_areas!$N$11</f>
        <v>17468.060746431871</v>
      </c>
      <c r="X486" s="187">
        <f>model_eui_end_uses!X486*base_building_arch_areas!$N$11</f>
        <v>1618.2229534751607</v>
      </c>
      <c r="Y486" s="187">
        <f>model_eui_end_uses!Y486*base_building_arch_areas!$N$11</f>
        <v>0</v>
      </c>
      <c r="Z486" s="187">
        <f>model_eui_end_uses!Z486*base_building_arch_areas!$N$11</f>
        <v>2680.1270969988609</v>
      </c>
      <c r="AA486" s="187">
        <f>model_eui_end_uses!AA486*base_building_arch_areas!$N$11</f>
        <v>0</v>
      </c>
      <c r="AB486" s="187">
        <f>model_eui_end_uses!AB486*base_building_arch_areas!$N$11</f>
        <v>0</v>
      </c>
      <c r="AC486" s="187">
        <f>model_eui_end_uses!AC486*base_building_arch_areas!$N$11</f>
        <v>87887.875391010937</v>
      </c>
      <c r="AD486" s="187">
        <f>model_eui_end_uses!AD486*base_building_arch_areas!$N$11</f>
        <v>1221.1022935412598</v>
      </c>
      <c r="AE486" s="187">
        <f>model_eui_end_uses!AE486*base_building_arch_areas!$N$11</f>
        <v>75.225499458846471</v>
      </c>
      <c r="AF486" s="187">
        <f t="shared" si="89"/>
        <v>1296.3277930001063</v>
      </c>
      <c r="AG486" s="187">
        <f>model_eui_end_uses!AH486*base_building_arch_areas!$N$11</f>
        <v>19.781857155368407</v>
      </c>
      <c r="AH486" s="187">
        <f>model_eui_end_uses!AI486*base_building_arch_areas!$N$11</f>
        <v>8.5004814388496523</v>
      </c>
      <c r="AI486" s="187">
        <f t="shared" si="90"/>
        <v>28.282338594218061</v>
      </c>
      <c r="AJ486" s="200">
        <f>sim_annual_output!F486/sim_annual_output!H486*base_building_arch_areas!$N$11</f>
        <v>0</v>
      </c>
      <c r="AK486">
        <f t="shared" si="91"/>
        <v>0</v>
      </c>
    </row>
    <row r="487" spans="1:37">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f>model_eui_end_uses!G487*base_scenario_arch_measures!$F487</f>
        <v>0</v>
      </c>
      <c r="H487">
        <f>model_eui_end_uses!H487*base_scenario_arch_measures!$F487</f>
        <v>0.30112542102965645</v>
      </c>
      <c r="I487">
        <f>model_eui_end_uses!I487*base_scenario_arch_measures!$F487</f>
        <v>0</v>
      </c>
      <c r="J487">
        <f>model_eui_end_uses!J487*base_scenario_arch_measures!$F487</f>
        <v>0</v>
      </c>
      <c r="K487">
        <f>model_eui_end_uses!K487*base_scenario_arch_measures!$F487</f>
        <v>0</v>
      </c>
      <c r="L487">
        <f>model_eui_end_uses!L487*base_scenario_arch_measures!$F487</f>
        <v>5.2839630801990681E-2</v>
      </c>
      <c r="M487">
        <f>model_eui_end_uses!M487*base_scenario_arch_measures!$F487</f>
        <v>6.9923688829529864E-3</v>
      </c>
      <c r="N487">
        <f>model_eui_end_uses!N487*base_scenario_arch_measures!$F487</f>
        <v>0</v>
      </c>
      <c r="O487">
        <f>model_eui_end_uses!O487*base_scenario_arch_measures!$F487</f>
        <v>1.2041993114101738E-2</v>
      </c>
      <c r="P487">
        <f>model_eui_end_uses!P487*base_scenario_arch_measures!$F487</f>
        <v>0</v>
      </c>
      <c r="Q487">
        <f>model_eui_end_uses!Q487*base_scenario_arch_measures!$F487</f>
        <v>0</v>
      </c>
      <c r="R487" s="187">
        <f>model_eui_end_uses!R487*base_building_arch_areas!$N$11</f>
        <v>0</v>
      </c>
      <c r="S487" s="187">
        <f>model_eui_end_uses!S487*base_building_arch_areas!$N$11</f>
        <v>66121.464594105055</v>
      </c>
      <c r="T487" s="187">
        <f>model_eui_end_uses!T487*base_building_arch_areas!$N$11</f>
        <v>0</v>
      </c>
      <c r="U487" s="187">
        <f>model_eui_end_uses!U487*base_building_arch_areas!$N$11</f>
        <v>0</v>
      </c>
      <c r="V487" s="187">
        <f>model_eui_end_uses!V487*base_building_arch_areas!$N$11</f>
        <v>0</v>
      </c>
      <c r="W487" s="187">
        <f>model_eui_end_uses!W487*base_building_arch_areas!$N$11</f>
        <v>17468.060746431871</v>
      </c>
      <c r="X487" s="187">
        <f>model_eui_end_uses!X487*base_building_arch_areas!$N$11</f>
        <v>1618.2229534751607</v>
      </c>
      <c r="Y487" s="187">
        <f>model_eui_end_uses!Y487*base_building_arch_areas!$N$11</f>
        <v>0</v>
      </c>
      <c r="Z487" s="187">
        <f>model_eui_end_uses!Z487*base_building_arch_areas!$N$11</f>
        <v>2680.1270969988609</v>
      </c>
      <c r="AA487" s="187">
        <f>model_eui_end_uses!AA487*base_building_arch_areas!$N$11</f>
        <v>0</v>
      </c>
      <c r="AB487" s="187">
        <f>model_eui_end_uses!AB487*base_building_arch_areas!$N$11</f>
        <v>0</v>
      </c>
      <c r="AC487" s="187">
        <f>model_eui_end_uses!AC487*base_building_arch_areas!$N$11</f>
        <v>87887.875391010937</v>
      </c>
      <c r="AD487" s="187">
        <f>model_eui_end_uses!AD487*base_building_arch_areas!$N$11</f>
        <v>-3567.0882185252403</v>
      </c>
      <c r="AE487" s="187">
        <f>model_eui_end_uses!AE487*base_building_arch_areas!$N$11</f>
        <v>5132.8282654012119</v>
      </c>
      <c r="AF487" s="187">
        <f t="shared" si="89"/>
        <v>1565.7400468759715</v>
      </c>
      <c r="AG487" s="187">
        <f>model_eui_end_uses!AH487*base_building_arch_areas!$N$11</f>
        <v>-57.786829140108892</v>
      </c>
      <c r="AH487" s="187">
        <f>model_eui_end_uses!AI487*base_building_arch_areas!$N$11</f>
        <v>580.00959399033695</v>
      </c>
      <c r="AI487" s="187">
        <f t="shared" si="90"/>
        <v>522.22276485022803</v>
      </c>
      <c r="AJ487" s="200">
        <f>sim_annual_output!F487/sim_annual_output!H487*base_building_arch_areas!$N$11</f>
        <v>14957.753536471268</v>
      </c>
      <c r="AK487">
        <f t="shared" si="91"/>
        <v>28.642477010287188</v>
      </c>
    </row>
    <row r="488" spans="1:37">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f>model_eui_end_uses!G488*base_scenario_arch_measures!$F488</f>
        <v>0</v>
      </c>
      <c r="H488">
        <f>model_eui_end_uses!H488*base_scenario_arch_measures!$F488</f>
        <v>0.2414446076989388</v>
      </c>
      <c r="I488">
        <f>model_eui_end_uses!I488*base_scenario_arch_measures!$F488</f>
        <v>0</v>
      </c>
      <c r="J488">
        <f>model_eui_end_uses!J488*base_scenario_arch_measures!$F488</f>
        <v>0</v>
      </c>
      <c r="K488">
        <f>model_eui_end_uses!K488*base_scenario_arch_measures!$F488</f>
        <v>0</v>
      </c>
      <c r="L488">
        <f>model_eui_end_uses!L488*base_scenario_arch_measures!$F488</f>
        <v>7.5479787347335764E-2</v>
      </c>
      <c r="M488">
        <f>model_eui_end_uses!M488*base_scenario_arch_measures!$F488</f>
        <v>6.9923688829529864E-3</v>
      </c>
      <c r="N488">
        <f>model_eui_end_uses!N488*base_scenario_arch_measures!$F488</f>
        <v>0</v>
      </c>
      <c r="O488">
        <f>model_eui_end_uses!O488*base_scenario_arch_measures!$F488</f>
        <v>9.7741978007115787E-3</v>
      </c>
      <c r="P488">
        <f>model_eui_end_uses!P488*base_scenario_arch_measures!$F488</f>
        <v>0</v>
      </c>
      <c r="Q488">
        <f>model_eui_end_uses!Q488*base_scenario_arch_measures!$F488</f>
        <v>0</v>
      </c>
      <c r="R488" s="187">
        <f>model_eui_end_uses!R488*base_building_arch_areas!$N$11</f>
        <v>0</v>
      </c>
      <c r="S488" s="187">
        <f>model_eui_end_uses!S488*base_building_arch_areas!$N$11</f>
        <v>66121.464594105055</v>
      </c>
      <c r="T488" s="187">
        <f>model_eui_end_uses!T488*base_building_arch_areas!$N$11</f>
        <v>0</v>
      </c>
      <c r="U488" s="187">
        <f>model_eui_end_uses!U488*base_building_arch_areas!$N$11</f>
        <v>0</v>
      </c>
      <c r="V488" s="187">
        <f>model_eui_end_uses!V488*base_building_arch_areas!$N$11</f>
        <v>0</v>
      </c>
      <c r="W488" s="187">
        <f>model_eui_end_uses!W488*base_building_arch_areas!$N$11</f>
        <v>17468.060746431871</v>
      </c>
      <c r="X488" s="187">
        <f>model_eui_end_uses!X488*base_building_arch_areas!$N$11</f>
        <v>1618.2229534751607</v>
      </c>
      <c r="Y488" s="187">
        <f>model_eui_end_uses!Y488*base_building_arch_areas!$N$11</f>
        <v>0</v>
      </c>
      <c r="Z488" s="187">
        <f>model_eui_end_uses!Z488*base_building_arch_areas!$N$11</f>
        <v>2680.1270969988609</v>
      </c>
      <c r="AA488" s="187">
        <f>model_eui_end_uses!AA488*base_building_arch_areas!$N$11</f>
        <v>0</v>
      </c>
      <c r="AB488" s="187">
        <f>model_eui_end_uses!AB488*base_building_arch_areas!$N$11</f>
        <v>0</v>
      </c>
      <c r="AC488" s="187">
        <f>model_eui_end_uses!AC488*base_building_arch_areas!$N$11</f>
        <v>87887.875391010937</v>
      </c>
      <c r="AD488" s="187">
        <f>model_eui_end_uses!AD488*base_building_arch_areas!$N$11</f>
        <v>10244.663368162746</v>
      </c>
      <c r="AE488" s="187">
        <f>model_eui_end_uses!AE488*base_building_arch_areas!$N$11</f>
        <v>418.11382257358105</v>
      </c>
      <c r="AF488" s="187">
        <f t="shared" si="89"/>
        <v>10662.777190736328</v>
      </c>
      <c r="AG488" s="187">
        <f>model_eui_end_uses!AH488*base_building_arch_areas!$N$11</f>
        <v>165.96354656423648</v>
      </c>
      <c r="AH488" s="187">
        <f>model_eui_end_uses!AI488*base_building_arch_areas!$N$11</f>
        <v>47.246861950814662</v>
      </c>
      <c r="AI488" s="187">
        <f t="shared" si="90"/>
        <v>213.21040851505114</v>
      </c>
      <c r="AJ488" s="200">
        <f>sim_annual_output!F488/sim_annual_output!H488*base_building_arch_areas!$N$11</f>
        <v>0</v>
      </c>
      <c r="AK488">
        <f t="shared" si="91"/>
        <v>0</v>
      </c>
    </row>
    <row r="489" spans="1:37">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f>model_eui_end_uses!G489*base_scenario_arch_measures!$F489</f>
        <v>0</v>
      </c>
      <c r="H489">
        <f>model_eui_end_uses!H489*base_scenario_arch_measures!$F489</f>
        <v>0.27824336631754976</v>
      </c>
      <c r="I489">
        <f>model_eui_end_uses!I489*base_scenario_arch_measures!$F489</f>
        <v>0</v>
      </c>
      <c r="J489">
        <f>model_eui_end_uses!J489*base_scenario_arch_measures!$F489</f>
        <v>0</v>
      </c>
      <c r="K489">
        <f>model_eui_end_uses!K489*base_scenario_arch_measures!$F489</f>
        <v>0</v>
      </c>
      <c r="L489">
        <f>model_eui_end_uses!L489*base_scenario_arch_measures!$F489</f>
        <v>7.5479787347335764E-2</v>
      </c>
      <c r="M489">
        <f>model_eui_end_uses!M489*base_scenario_arch_measures!$F489</f>
        <v>6.9923688829529864E-3</v>
      </c>
      <c r="N489">
        <f>model_eui_end_uses!N489*base_scenario_arch_measures!$F489</f>
        <v>0</v>
      </c>
      <c r="O489">
        <f>model_eui_end_uses!O489*base_scenario_arch_measures!$F489</f>
        <v>1.1165112259590878E-2</v>
      </c>
      <c r="P489">
        <f>model_eui_end_uses!P489*base_scenario_arch_measures!$F489</f>
        <v>0</v>
      </c>
      <c r="Q489">
        <f>model_eui_end_uses!Q489*base_scenario_arch_measures!$F489</f>
        <v>0</v>
      </c>
      <c r="R489" s="187">
        <f>model_eui_end_uses!R489*base_building_arch_areas!$N$11</f>
        <v>0</v>
      </c>
      <c r="S489" s="187">
        <f>model_eui_end_uses!S489*base_building_arch_areas!$N$11</f>
        <v>66121.464594105055</v>
      </c>
      <c r="T489" s="187">
        <f>model_eui_end_uses!T489*base_building_arch_areas!$N$11</f>
        <v>0</v>
      </c>
      <c r="U489" s="187">
        <f>model_eui_end_uses!U489*base_building_arch_areas!$N$11</f>
        <v>0</v>
      </c>
      <c r="V489" s="187">
        <f>model_eui_end_uses!V489*base_building_arch_areas!$N$11</f>
        <v>0</v>
      </c>
      <c r="W489" s="187">
        <f>model_eui_end_uses!W489*base_building_arch_areas!$N$11</f>
        <v>17468.060746431871</v>
      </c>
      <c r="X489" s="187">
        <f>model_eui_end_uses!X489*base_building_arch_areas!$N$11</f>
        <v>1618.2229534751607</v>
      </c>
      <c r="Y489" s="187">
        <f>model_eui_end_uses!Y489*base_building_arch_areas!$N$11</f>
        <v>0</v>
      </c>
      <c r="Z489" s="187">
        <f>model_eui_end_uses!Z489*base_building_arch_areas!$N$11</f>
        <v>2680.1270969988609</v>
      </c>
      <c r="AA489" s="187">
        <f>model_eui_end_uses!AA489*base_building_arch_areas!$N$11</f>
        <v>0</v>
      </c>
      <c r="AB489" s="187">
        <f>model_eui_end_uses!AB489*base_building_arch_areas!$N$11</f>
        <v>0</v>
      </c>
      <c r="AC489" s="187">
        <f>model_eui_end_uses!AC489*base_building_arch_areas!$N$11</f>
        <v>87887.875391010937</v>
      </c>
      <c r="AD489" s="187">
        <f>model_eui_end_uses!AD489*base_building_arch_areas!$N$11</f>
        <v>1728.4370573334702</v>
      </c>
      <c r="AE489" s="187">
        <f>model_eui_end_uses!AE489*base_building_arch_areas!$N$11</f>
        <v>96.218662098524391</v>
      </c>
      <c r="AF489" s="187">
        <f t="shared" si="89"/>
        <v>1824.6557194319946</v>
      </c>
      <c r="AG489" s="187">
        <f>model_eui_end_uses!AH489*base_building_arch_areas!$N$11</f>
        <v>28.000680328802215</v>
      </c>
      <c r="AH489" s="187">
        <f>model_eui_end_uses!AI489*base_building_arch_areas!$N$11</f>
        <v>10.872708817133256</v>
      </c>
      <c r="AI489" s="187">
        <f t="shared" si="90"/>
        <v>38.873389145935469</v>
      </c>
      <c r="AJ489" s="200">
        <f>sim_annual_output!F489/sim_annual_output!H489*base_building_arch_areas!$N$11</f>
        <v>0</v>
      </c>
      <c r="AK489">
        <f t="shared" si="91"/>
        <v>0</v>
      </c>
    </row>
    <row r="490" spans="1:37">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f>model_eui_end_uses!G490*base_scenario_arch_measures!$F490</f>
        <v>0</v>
      </c>
      <c r="H490">
        <f>model_eui_end_uses!H490*base_scenario_arch_measures!$F490</f>
        <v>0.28043556845382689</v>
      </c>
      <c r="I490">
        <f>model_eui_end_uses!I490*base_scenario_arch_measures!$F490</f>
        <v>0</v>
      </c>
      <c r="J490">
        <f>model_eui_end_uses!J490*base_scenario_arch_measures!$F490</f>
        <v>0</v>
      </c>
      <c r="K490">
        <f>model_eui_end_uses!K490*base_scenario_arch_measures!$F490</f>
        <v>0</v>
      </c>
      <c r="L490">
        <f>model_eui_end_uses!L490*base_scenario_arch_measures!$F490</f>
        <v>7.5479787347335764E-2</v>
      </c>
      <c r="M490">
        <f>model_eui_end_uses!M490*base_scenario_arch_measures!$F490</f>
        <v>6.9923688829529864E-3</v>
      </c>
      <c r="N490">
        <f>model_eui_end_uses!N490*base_scenario_arch_measures!$F490</f>
        <v>0</v>
      </c>
      <c r="O490">
        <f>model_eui_end_uses!O490*base_scenario_arch_measures!$F490</f>
        <v>1.1255824072126483E-2</v>
      </c>
      <c r="P490">
        <f>model_eui_end_uses!P490*base_scenario_arch_measures!$F490</f>
        <v>0</v>
      </c>
      <c r="Q490">
        <f>model_eui_end_uses!Q490*base_scenario_arch_measures!$F490</f>
        <v>0</v>
      </c>
      <c r="R490" s="187">
        <f>model_eui_end_uses!R490*base_building_arch_areas!$N$11</f>
        <v>0</v>
      </c>
      <c r="S490" s="187">
        <f>model_eui_end_uses!S490*base_building_arch_areas!$N$11</f>
        <v>66121.464594105055</v>
      </c>
      <c r="T490" s="187">
        <f>model_eui_end_uses!T490*base_building_arch_areas!$N$11</f>
        <v>0</v>
      </c>
      <c r="U490" s="187">
        <f>model_eui_end_uses!U490*base_building_arch_areas!$N$11</f>
        <v>0</v>
      </c>
      <c r="V490" s="187">
        <f>model_eui_end_uses!V490*base_building_arch_areas!$N$11</f>
        <v>0</v>
      </c>
      <c r="W490" s="187">
        <f>model_eui_end_uses!W490*base_building_arch_areas!$N$11</f>
        <v>17468.060746431871</v>
      </c>
      <c r="X490" s="187">
        <f>model_eui_end_uses!X490*base_building_arch_areas!$N$11</f>
        <v>1618.2229534751607</v>
      </c>
      <c r="Y490" s="187">
        <f>model_eui_end_uses!Y490*base_building_arch_areas!$N$11</f>
        <v>0</v>
      </c>
      <c r="Z490" s="187">
        <f>model_eui_end_uses!Z490*base_building_arch_areas!$N$11</f>
        <v>2680.1270969988609</v>
      </c>
      <c r="AA490" s="187">
        <f>model_eui_end_uses!AA490*base_building_arch_areas!$N$11</f>
        <v>0</v>
      </c>
      <c r="AB490" s="187">
        <f>model_eui_end_uses!AB490*base_building_arch_areas!$N$11</f>
        <v>0</v>
      </c>
      <c r="AC490" s="187">
        <f>model_eui_end_uses!AC490*base_building_arch_areas!$N$11</f>
        <v>87887.875391010937</v>
      </c>
      <c r="AD490" s="187">
        <f>model_eui_end_uses!AD490*base_building_arch_areas!$N$11</f>
        <v>1221.1022935412598</v>
      </c>
      <c r="AE490" s="187">
        <f>model_eui_end_uses!AE490*base_building_arch_areas!$N$11</f>
        <v>75.225499458846471</v>
      </c>
      <c r="AF490" s="187">
        <f t="shared" si="89"/>
        <v>1296.3277930001063</v>
      </c>
      <c r="AG490" s="187">
        <f>model_eui_end_uses!AH490*base_building_arch_areas!$N$11</f>
        <v>19.781857155368407</v>
      </c>
      <c r="AH490" s="187">
        <f>model_eui_end_uses!AI490*base_building_arch_areas!$N$11</f>
        <v>8.5004814388496523</v>
      </c>
      <c r="AI490" s="187">
        <f t="shared" si="90"/>
        <v>28.282338594218061</v>
      </c>
      <c r="AJ490" s="200">
        <f>sim_annual_output!F490/sim_annual_output!H490*base_building_arch_areas!$N$11</f>
        <v>0</v>
      </c>
      <c r="AK490">
        <f t="shared" si="91"/>
        <v>0</v>
      </c>
    </row>
    <row r="491" spans="1:37">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f>model_eui_end_uses!G491*base_scenario_arch_measures!$F491</f>
        <v>0</v>
      </c>
      <c r="H491">
        <f>model_eui_end_uses!H491*base_scenario_arch_measures!$F491</f>
        <v>0.28043556845382689</v>
      </c>
      <c r="I491">
        <f>model_eui_end_uses!I491*base_scenario_arch_measures!$F491</f>
        <v>0</v>
      </c>
      <c r="J491">
        <f>model_eui_end_uses!J491*base_scenario_arch_measures!$F491</f>
        <v>0</v>
      </c>
      <c r="K491">
        <f>model_eui_end_uses!K491*base_scenario_arch_measures!$F491</f>
        <v>0</v>
      </c>
      <c r="L491">
        <f>model_eui_end_uses!L491*base_scenario_arch_measures!$F491</f>
        <v>7.5479787347335764E-2</v>
      </c>
      <c r="M491">
        <f>model_eui_end_uses!M491*base_scenario_arch_measures!$F491</f>
        <v>6.9923688829529864E-3</v>
      </c>
      <c r="N491">
        <f>model_eui_end_uses!N491*base_scenario_arch_measures!$F491</f>
        <v>0</v>
      </c>
      <c r="O491">
        <f>model_eui_end_uses!O491*base_scenario_arch_measures!$F491</f>
        <v>1.1255824072126483E-2</v>
      </c>
      <c r="P491">
        <f>model_eui_end_uses!P491*base_scenario_arch_measures!$F491</f>
        <v>0</v>
      </c>
      <c r="Q491">
        <f>model_eui_end_uses!Q491*base_scenario_arch_measures!$F491</f>
        <v>0</v>
      </c>
      <c r="R491" s="187">
        <f>model_eui_end_uses!R491*base_building_arch_areas!$N$11</f>
        <v>0</v>
      </c>
      <c r="S491" s="187">
        <f>model_eui_end_uses!S491*base_building_arch_areas!$N$11</f>
        <v>66121.464594105055</v>
      </c>
      <c r="T491" s="187">
        <f>model_eui_end_uses!T491*base_building_arch_areas!$N$11</f>
        <v>0</v>
      </c>
      <c r="U491" s="187">
        <f>model_eui_end_uses!U491*base_building_arch_areas!$N$11</f>
        <v>0</v>
      </c>
      <c r="V491" s="187">
        <f>model_eui_end_uses!V491*base_building_arch_areas!$N$11</f>
        <v>0</v>
      </c>
      <c r="W491" s="187">
        <f>model_eui_end_uses!W491*base_building_arch_areas!$N$11</f>
        <v>17468.060746431871</v>
      </c>
      <c r="X491" s="187">
        <f>model_eui_end_uses!X491*base_building_arch_areas!$N$11</f>
        <v>1618.2229534751607</v>
      </c>
      <c r="Y491" s="187">
        <f>model_eui_end_uses!Y491*base_building_arch_areas!$N$11</f>
        <v>0</v>
      </c>
      <c r="Z491" s="187">
        <f>model_eui_end_uses!Z491*base_building_arch_areas!$N$11</f>
        <v>2680.1270969988609</v>
      </c>
      <c r="AA491" s="187">
        <f>model_eui_end_uses!AA491*base_building_arch_areas!$N$11</f>
        <v>0</v>
      </c>
      <c r="AB491" s="187">
        <f>model_eui_end_uses!AB491*base_building_arch_areas!$N$11</f>
        <v>0</v>
      </c>
      <c r="AC491" s="187">
        <f>model_eui_end_uses!AC491*base_building_arch_areas!$N$11</f>
        <v>87887.875391010937</v>
      </c>
      <c r="AD491" s="187">
        <f>model_eui_end_uses!AD491*base_building_arch_areas!$N$11</f>
        <v>1221.1022935412598</v>
      </c>
      <c r="AE491" s="187">
        <f>model_eui_end_uses!AE491*base_building_arch_areas!$N$11</f>
        <v>75.225499458846471</v>
      </c>
      <c r="AF491" s="187">
        <f t="shared" si="89"/>
        <v>1296.3277930001063</v>
      </c>
      <c r="AG491" s="187">
        <f>model_eui_end_uses!AH491*base_building_arch_areas!$N$11</f>
        <v>19.781857155368407</v>
      </c>
      <c r="AH491" s="187">
        <f>model_eui_end_uses!AI491*base_building_arch_areas!$N$11</f>
        <v>8.5004814388496523</v>
      </c>
      <c r="AI491" s="187">
        <f t="shared" si="90"/>
        <v>28.282338594218061</v>
      </c>
      <c r="AJ491" s="200">
        <f>sim_annual_output!F491/sim_annual_output!H491*base_building_arch_areas!$N$11</f>
        <v>379.9921049114289</v>
      </c>
      <c r="AK491">
        <f t="shared" si="91"/>
        <v>13.435667762959076</v>
      </c>
    </row>
    <row r="492" spans="1:37">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f>model_eui_end_uses!G492*base_scenario_arch_measures!$F492</f>
        <v>0</v>
      </c>
      <c r="H492">
        <f>model_eui_end_uses!H492*base_scenario_arch_measures!$F492</f>
        <v>0.28043556845382689</v>
      </c>
      <c r="I492">
        <f>model_eui_end_uses!I492*base_scenario_arch_measures!$F492</f>
        <v>0</v>
      </c>
      <c r="J492">
        <f>model_eui_end_uses!J492*base_scenario_arch_measures!$F492</f>
        <v>0</v>
      </c>
      <c r="K492">
        <f>model_eui_end_uses!K492*base_scenario_arch_measures!$F492</f>
        <v>0</v>
      </c>
      <c r="L492">
        <f>model_eui_end_uses!L492*base_scenario_arch_measures!$F492</f>
        <v>7.5479787347335764E-2</v>
      </c>
      <c r="M492">
        <f>model_eui_end_uses!M492*base_scenario_arch_measures!$F492</f>
        <v>6.9923688829529864E-3</v>
      </c>
      <c r="N492">
        <f>model_eui_end_uses!N492*base_scenario_arch_measures!$F492</f>
        <v>0</v>
      </c>
      <c r="O492">
        <f>model_eui_end_uses!O492*base_scenario_arch_measures!$F492</f>
        <v>1.1255824072126483E-2</v>
      </c>
      <c r="P492">
        <f>model_eui_end_uses!P492*base_scenario_arch_measures!$F492</f>
        <v>0</v>
      </c>
      <c r="Q492">
        <f>model_eui_end_uses!Q492*base_scenario_arch_measures!$F492</f>
        <v>0</v>
      </c>
      <c r="R492" s="187">
        <f>model_eui_end_uses!R492*base_building_arch_areas!$N$11</f>
        <v>0</v>
      </c>
      <c r="S492" s="187">
        <f>model_eui_end_uses!S492*base_building_arch_areas!$N$11</f>
        <v>66121.464594105055</v>
      </c>
      <c r="T492" s="187">
        <f>model_eui_end_uses!T492*base_building_arch_areas!$N$11</f>
        <v>0</v>
      </c>
      <c r="U492" s="187">
        <f>model_eui_end_uses!U492*base_building_arch_areas!$N$11</f>
        <v>0</v>
      </c>
      <c r="V492" s="187">
        <f>model_eui_end_uses!V492*base_building_arch_areas!$N$11</f>
        <v>0</v>
      </c>
      <c r="W492" s="187">
        <f>model_eui_end_uses!W492*base_building_arch_areas!$N$11</f>
        <v>17468.060746431871</v>
      </c>
      <c r="X492" s="187">
        <f>model_eui_end_uses!X492*base_building_arch_areas!$N$11</f>
        <v>1618.2229534751607</v>
      </c>
      <c r="Y492" s="187">
        <f>model_eui_end_uses!Y492*base_building_arch_areas!$N$11</f>
        <v>0</v>
      </c>
      <c r="Z492" s="187">
        <f>model_eui_end_uses!Z492*base_building_arch_areas!$N$11</f>
        <v>2680.1270969988609</v>
      </c>
      <c r="AA492" s="187">
        <f>model_eui_end_uses!AA492*base_building_arch_areas!$N$11</f>
        <v>0</v>
      </c>
      <c r="AB492" s="187">
        <f>model_eui_end_uses!AB492*base_building_arch_areas!$N$11</f>
        <v>0</v>
      </c>
      <c r="AC492" s="187">
        <f>model_eui_end_uses!AC492*base_building_arch_areas!$N$11</f>
        <v>87887.875391010937</v>
      </c>
      <c r="AD492" s="187">
        <f>model_eui_end_uses!AD492*base_building_arch_areas!$N$11</f>
        <v>1221.1022935412598</v>
      </c>
      <c r="AE492" s="187">
        <f>model_eui_end_uses!AE492*base_building_arch_areas!$N$11</f>
        <v>75.225499458846471</v>
      </c>
      <c r="AF492" s="187">
        <f t="shared" si="89"/>
        <v>1296.3277930001063</v>
      </c>
      <c r="AG492" s="187">
        <f>model_eui_end_uses!AH492*base_building_arch_areas!$N$11</f>
        <v>19.781857155368407</v>
      </c>
      <c r="AH492" s="187">
        <f>model_eui_end_uses!AI492*base_building_arch_areas!$N$11</f>
        <v>8.5004814388496523</v>
      </c>
      <c r="AI492" s="187">
        <f t="shared" si="90"/>
        <v>28.282338594218061</v>
      </c>
      <c r="AJ492" s="200">
        <f>sim_annual_output!F492/sim_annual_output!H492*base_building_arch_areas!$N$11</f>
        <v>0</v>
      </c>
      <c r="AK492">
        <f t="shared" si="91"/>
        <v>0</v>
      </c>
    </row>
    <row r="493" spans="1:37">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f>model_eui_end_uses!G493*base_scenario_arch_measures!$F493</f>
        <v>0</v>
      </c>
      <c r="H493">
        <f>model_eui_end_uses!H493*base_scenario_arch_measures!$F493</f>
        <v>0.30089108218060612</v>
      </c>
      <c r="I493">
        <f>model_eui_end_uses!I493*base_scenario_arch_measures!$F493</f>
        <v>0</v>
      </c>
      <c r="J493">
        <f>model_eui_end_uses!J493*base_scenario_arch_measures!$F493</f>
        <v>0</v>
      </c>
      <c r="K493">
        <f>model_eui_end_uses!K493*base_scenario_arch_measures!$F493</f>
        <v>0</v>
      </c>
      <c r="L493">
        <f>model_eui_end_uses!L493*base_scenario_arch_measures!$F493</f>
        <v>5.2839630801990681E-2</v>
      </c>
      <c r="M493">
        <f>model_eui_end_uses!M493*base_scenario_arch_measures!$F493</f>
        <v>6.9923688829529864E-3</v>
      </c>
      <c r="N493">
        <f>model_eui_end_uses!N493*base_scenario_arch_measures!$F493</f>
        <v>0</v>
      </c>
      <c r="O493">
        <f>model_eui_end_uses!O493*base_scenario_arch_measures!$F493</f>
        <v>1.2019315160967835E-2</v>
      </c>
      <c r="P493">
        <f>model_eui_end_uses!P493*base_scenario_arch_measures!$F493</f>
        <v>0</v>
      </c>
      <c r="Q493">
        <f>model_eui_end_uses!Q493*base_scenario_arch_measures!$F493</f>
        <v>0</v>
      </c>
      <c r="R493" s="187">
        <f>model_eui_end_uses!R493*base_building_arch_areas!$N$11</f>
        <v>0</v>
      </c>
      <c r="S493" s="187">
        <f>model_eui_end_uses!S493*base_building_arch_areas!$N$11</f>
        <v>66121.464594105055</v>
      </c>
      <c r="T493" s="187">
        <f>model_eui_end_uses!T493*base_building_arch_areas!$N$11</f>
        <v>0</v>
      </c>
      <c r="U493" s="187">
        <f>model_eui_end_uses!U493*base_building_arch_areas!$N$11</f>
        <v>0</v>
      </c>
      <c r="V493" s="187">
        <f>model_eui_end_uses!V493*base_building_arch_areas!$N$11</f>
        <v>0</v>
      </c>
      <c r="W493" s="187">
        <f>model_eui_end_uses!W493*base_building_arch_areas!$N$11</f>
        <v>17468.060746431871</v>
      </c>
      <c r="X493" s="187">
        <f>model_eui_end_uses!X493*base_building_arch_areas!$N$11</f>
        <v>1618.2229534751607</v>
      </c>
      <c r="Y493" s="187">
        <f>model_eui_end_uses!Y493*base_building_arch_areas!$N$11</f>
        <v>0</v>
      </c>
      <c r="Z493" s="187">
        <f>model_eui_end_uses!Z493*base_building_arch_areas!$N$11</f>
        <v>2680.1270969988609</v>
      </c>
      <c r="AA493" s="187">
        <f>model_eui_end_uses!AA493*base_building_arch_areas!$N$11</f>
        <v>0</v>
      </c>
      <c r="AB493" s="187">
        <f>model_eui_end_uses!AB493*base_building_arch_areas!$N$11</f>
        <v>0</v>
      </c>
      <c r="AC493" s="187">
        <f>model_eui_end_uses!AC493*base_building_arch_areas!$N$11</f>
        <v>87887.875391010937</v>
      </c>
      <c r="AD493" s="187">
        <f>model_eui_end_uses!AD493*base_building_arch_areas!$N$11</f>
        <v>-3512.8558817060721</v>
      </c>
      <c r="AE493" s="187">
        <f>model_eui_end_uses!AE493*base_building_arch_areas!$N$11</f>
        <v>5138.0765560611298</v>
      </c>
      <c r="AF493" s="187">
        <f t="shared" si="89"/>
        <v>1625.2206743550578</v>
      </c>
      <c r="AG493" s="187">
        <f>model_eui_end_uses!AH493*base_building_arch_areas!$N$11</f>
        <v>-56.908265283638364</v>
      </c>
      <c r="AH493" s="187">
        <f>model_eui_end_uses!AI493*base_building_arch_areas!$N$11</f>
        <v>580.60265083490765</v>
      </c>
      <c r="AI493" s="187">
        <f t="shared" si="90"/>
        <v>523.69438555126931</v>
      </c>
      <c r="AJ493" s="200">
        <f>sim_annual_output!F493/sim_annual_output!H493*base_building_arch_areas!$N$11</f>
        <v>12314.949039379086</v>
      </c>
      <c r="AK493">
        <f t="shared" si="91"/>
        <v>23.515526190749014</v>
      </c>
    </row>
    <row r="494" spans="1:37">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f>model_eui_end_uses!G494*base_scenario_arch_measures!$F494</f>
        <v>0</v>
      </c>
      <c r="H494">
        <f>model_eui_end_uses!H494*base_scenario_arch_measures!$F494</f>
        <v>0.32833140547262707</v>
      </c>
      <c r="I494">
        <f>model_eui_end_uses!I494*base_scenario_arch_measures!$F494</f>
        <v>0</v>
      </c>
      <c r="J494">
        <f>model_eui_end_uses!J494*base_scenario_arch_measures!$F494</f>
        <v>0</v>
      </c>
      <c r="K494">
        <f>model_eui_end_uses!K494*base_scenario_arch_measures!$F494</f>
        <v>0</v>
      </c>
      <c r="L494">
        <f>model_eui_end_uses!L494*base_scenario_arch_measures!$F494</f>
        <v>7.5479787347335764E-2</v>
      </c>
      <c r="M494">
        <f>model_eui_end_uses!M494*base_scenario_arch_measures!$F494</f>
        <v>6.9923688829529864E-3</v>
      </c>
      <c r="N494">
        <f>model_eui_end_uses!N494*base_scenario_arch_measures!$F494</f>
        <v>0</v>
      </c>
      <c r="O494">
        <f>model_eui_end_uses!O494*base_scenario_arch_measures!$F494</f>
        <v>1.5458804719609575E-2</v>
      </c>
      <c r="P494">
        <f>model_eui_end_uses!P494*base_scenario_arch_measures!$F494</f>
        <v>0</v>
      </c>
      <c r="Q494">
        <f>model_eui_end_uses!Q494*base_scenario_arch_measures!$F494</f>
        <v>0</v>
      </c>
      <c r="R494" s="187">
        <f>model_eui_end_uses!R494*base_building_arch_areas!$N$11</f>
        <v>0</v>
      </c>
      <c r="S494" s="187">
        <f>model_eui_end_uses!S494*base_building_arch_areas!$N$11</f>
        <v>66121.464594105055</v>
      </c>
      <c r="T494" s="187">
        <f>model_eui_end_uses!T494*base_building_arch_areas!$N$11</f>
        <v>0</v>
      </c>
      <c r="U494" s="187">
        <f>model_eui_end_uses!U494*base_building_arch_areas!$N$11</f>
        <v>0</v>
      </c>
      <c r="V494" s="187">
        <f>model_eui_end_uses!V494*base_building_arch_areas!$N$11</f>
        <v>0</v>
      </c>
      <c r="W494" s="187">
        <f>model_eui_end_uses!W494*base_building_arch_areas!$N$11</f>
        <v>17468.060746431871</v>
      </c>
      <c r="X494" s="187">
        <f>model_eui_end_uses!X494*base_building_arch_areas!$N$11</f>
        <v>1618.2229534751607</v>
      </c>
      <c r="Y494" s="187">
        <f>model_eui_end_uses!Y494*base_building_arch_areas!$N$11</f>
        <v>0</v>
      </c>
      <c r="Z494" s="187">
        <f>model_eui_end_uses!Z494*base_building_arch_areas!$N$11</f>
        <v>2680.1270969988609</v>
      </c>
      <c r="AA494" s="187">
        <f>model_eui_end_uses!AA494*base_building_arch_areas!$N$11</f>
        <v>0</v>
      </c>
      <c r="AB494" s="187">
        <f>model_eui_end_uses!AB494*base_building_arch_areas!$N$11</f>
        <v>0</v>
      </c>
      <c r="AC494" s="187">
        <f>model_eui_end_uses!AC494*base_building_arch_areas!$N$11</f>
        <v>87887.875391010937</v>
      </c>
      <c r="AD494" s="187">
        <f>model_eui_end_uses!AD494*base_building_arch_areas!$N$11</f>
        <v>-9863.287580208611</v>
      </c>
      <c r="AE494" s="187">
        <f>model_eui_end_uses!AE494*base_building_arch_areas!$N$11</f>
        <v>-897.45770284622574</v>
      </c>
      <c r="AF494" s="187">
        <f t="shared" si="89"/>
        <v>-10760.745283054837</v>
      </c>
      <c r="AG494" s="187">
        <f>model_eui_end_uses!AH494*base_building_arch_areas!$N$11</f>
        <v>-159.78525879937948</v>
      </c>
      <c r="AH494" s="187">
        <f>model_eui_end_uses!AI494*base_building_arch_areas!$N$11</f>
        <v>-101.4127204216235</v>
      </c>
      <c r="AI494" s="187">
        <f t="shared" si="90"/>
        <v>-261.19797922100298</v>
      </c>
      <c r="AJ494" s="200">
        <f>sim_annual_output!F494/sim_annual_output!H494*base_building_arch_areas!$N$11</f>
        <v>247.448549821428</v>
      </c>
      <c r="AK494">
        <f t="shared" si="91"/>
        <v>-0.94736012338004572</v>
      </c>
    </row>
    <row r="495" spans="1:37">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f>model_eui_end_uses!G495*base_scenario_arch_measures!$F495</f>
        <v>0</v>
      </c>
      <c r="H495">
        <f>model_eui_end_uses!H495*base_scenario_arch_measures!$F495</f>
        <v>0.23858718560406722</v>
      </c>
      <c r="I495">
        <f>model_eui_end_uses!I495*base_scenario_arch_measures!$F495</f>
        <v>0</v>
      </c>
      <c r="J495">
        <f>model_eui_end_uses!J495*base_scenario_arch_measures!$F495</f>
        <v>0</v>
      </c>
      <c r="K495">
        <f>model_eui_end_uses!K495*base_scenario_arch_measures!$F495</f>
        <v>0</v>
      </c>
      <c r="L495">
        <f>model_eui_end_uses!L495*base_scenario_arch_measures!$F495</f>
        <v>7.5479787347335764E-2</v>
      </c>
      <c r="M495">
        <f>model_eui_end_uses!M495*base_scenario_arch_measures!$F495</f>
        <v>6.9923688829529864E-3</v>
      </c>
      <c r="N495">
        <f>model_eui_end_uses!N495*base_scenario_arch_measures!$F495</f>
        <v>0</v>
      </c>
      <c r="O495">
        <f>model_eui_end_uses!O495*base_scenario_arch_measures!$F495</f>
        <v>1.136921383779599E-2</v>
      </c>
      <c r="P495">
        <f>model_eui_end_uses!P495*base_scenario_arch_measures!$F495</f>
        <v>0</v>
      </c>
      <c r="Q495">
        <f>model_eui_end_uses!Q495*base_scenario_arch_measures!$F495</f>
        <v>0</v>
      </c>
      <c r="R495" s="187">
        <f>model_eui_end_uses!R495*base_building_arch_areas!$N$11</f>
        <v>0</v>
      </c>
      <c r="S495" s="187">
        <f>model_eui_end_uses!S495*base_building_arch_areas!$N$11</f>
        <v>66121.464594105055</v>
      </c>
      <c r="T495" s="187">
        <f>model_eui_end_uses!T495*base_building_arch_areas!$N$11</f>
        <v>0</v>
      </c>
      <c r="U495" s="187">
        <f>model_eui_end_uses!U495*base_building_arch_areas!$N$11</f>
        <v>0</v>
      </c>
      <c r="V495" s="187">
        <f>model_eui_end_uses!V495*base_building_arch_areas!$N$11</f>
        <v>0</v>
      </c>
      <c r="W495" s="187">
        <f>model_eui_end_uses!W495*base_building_arch_areas!$N$11</f>
        <v>17468.060746431871</v>
      </c>
      <c r="X495" s="187">
        <f>model_eui_end_uses!X495*base_building_arch_areas!$N$11</f>
        <v>1618.2229534751607</v>
      </c>
      <c r="Y495" s="187">
        <f>model_eui_end_uses!Y495*base_building_arch_areas!$N$11</f>
        <v>0</v>
      </c>
      <c r="Z495" s="187">
        <f>model_eui_end_uses!Z495*base_building_arch_areas!$N$11</f>
        <v>2680.1270969988609</v>
      </c>
      <c r="AA495" s="187">
        <f>model_eui_end_uses!AA495*base_building_arch_areas!$N$11</f>
        <v>0</v>
      </c>
      <c r="AB495" s="187">
        <f>model_eui_end_uses!AB495*base_building_arch_areas!$N$11</f>
        <v>0</v>
      </c>
      <c r="AC495" s="187">
        <f>model_eui_end_uses!AC495*base_building_arch_areas!$N$11</f>
        <v>87887.875391010937</v>
      </c>
      <c r="AD495" s="187">
        <f>model_eui_end_uses!AD495*base_building_arch_areas!$N$11</f>
        <v>10905.947991312591</v>
      </c>
      <c r="AE495" s="187">
        <f>model_eui_end_uses!AE495*base_building_arch_areas!$N$11</f>
        <v>48.984046159247292</v>
      </c>
      <c r="AF495" s="187">
        <f t="shared" si="89"/>
        <v>10954.932037471837</v>
      </c>
      <c r="AG495" s="187">
        <f>model_eui_end_uses!AH495*base_building_arch_areas!$N$11</f>
        <v>176.67635745926393</v>
      </c>
      <c r="AH495" s="187">
        <f>model_eui_end_uses!AI495*base_building_arch_areas!$N$11</f>
        <v>5.5351972159949439</v>
      </c>
      <c r="AI495" s="187">
        <f t="shared" si="90"/>
        <v>182.21155467525887</v>
      </c>
      <c r="AJ495" s="200">
        <f>sim_annual_output!F495/sim_annual_output!H495*base_building_arch_areas!$N$11</f>
        <v>247.448549821428</v>
      </c>
      <c r="AK495">
        <f t="shared" si="91"/>
        <v>1.3580288597089016</v>
      </c>
    </row>
    <row r="496" spans="1:37">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f>model_eui_end_uses!G496*base_scenario_arch_measures!$F496</f>
        <v>0</v>
      </c>
      <c r="H496">
        <f>model_eui_end_uses!H496*base_scenario_arch_measures!$F496</f>
        <v>0.35205254445068807</v>
      </c>
      <c r="I496">
        <f>model_eui_end_uses!I496*base_scenario_arch_measures!$F496</f>
        <v>0</v>
      </c>
      <c r="J496">
        <f>model_eui_end_uses!J496*base_scenario_arch_measures!$F496</f>
        <v>0</v>
      </c>
      <c r="K496">
        <f>model_eui_end_uses!K496*base_scenario_arch_measures!$F496</f>
        <v>0</v>
      </c>
      <c r="L496">
        <f>model_eui_end_uses!L496*base_scenario_arch_measures!$F496</f>
        <v>5.2839630801990681E-2</v>
      </c>
      <c r="M496">
        <f>model_eui_end_uses!M496*base_scenario_arch_measures!$F496</f>
        <v>6.9923688829529864E-3</v>
      </c>
      <c r="N496">
        <f>model_eui_end_uses!N496*base_scenario_arch_measures!$F496</f>
        <v>0</v>
      </c>
      <c r="O496">
        <f>model_eui_end_uses!O496*base_scenario_arch_measures!$F496</f>
        <v>1.6033312865668413E-2</v>
      </c>
      <c r="P496">
        <f>model_eui_end_uses!P496*base_scenario_arch_measures!$F496</f>
        <v>0</v>
      </c>
      <c r="Q496">
        <f>model_eui_end_uses!Q496*base_scenario_arch_measures!$F496</f>
        <v>0</v>
      </c>
      <c r="R496" s="187">
        <f>model_eui_end_uses!R496*base_building_arch_areas!$N$11</f>
        <v>0</v>
      </c>
      <c r="S496" s="187">
        <f>model_eui_end_uses!S496*base_building_arch_areas!$N$11</f>
        <v>66121.464594105055</v>
      </c>
      <c r="T496" s="187">
        <f>model_eui_end_uses!T496*base_building_arch_areas!$N$11</f>
        <v>0</v>
      </c>
      <c r="U496" s="187">
        <f>model_eui_end_uses!U496*base_building_arch_areas!$N$11</f>
        <v>0</v>
      </c>
      <c r="V496" s="187">
        <f>model_eui_end_uses!V496*base_building_arch_areas!$N$11</f>
        <v>0</v>
      </c>
      <c r="W496" s="187">
        <f>model_eui_end_uses!W496*base_building_arch_areas!$N$11</f>
        <v>17468.060746431871</v>
      </c>
      <c r="X496" s="187">
        <f>model_eui_end_uses!X496*base_building_arch_areas!$N$11</f>
        <v>1618.2229534751607</v>
      </c>
      <c r="Y496" s="187">
        <f>model_eui_end_uses!Y496*base_building_arch_areas!$N$11</f>
        <v>0</v>
      </c>
      <c r="Z496" s="187">
        <f>model_eui_end_uses!Z496*base_building_arch_areas!$N$11</f>
        <v>2680.1270969988609</v>
      </c>
      <c r="AA496" s="187">
        <f>model_eui_end_uses!AA496*base_building_arch_areas!$N$11</f>
        <v>0</v>
      </c>
      <c r="AB496" s="187">
        <f>model_eui_end_uses!AB496*base_building_arch_areas!$N$11</f>
        <v>0</v>
      </c>
      <c r="AC496" s="187">
        <f>model_eui_end_uses!AC496*base_building_arch_areas!$N$11</f>
        <v>87887.875391010937</v>
      </c>
      <c r="AD496" s="187">
        <f>model_eui_end_uses!AD496*base_building_arch_areas!$N$11</f>
        <v>-15352.999610484334</v>
      </c>
      <c r="AE496" s="187">
        <f>model_eui_end_uses!AE496*base_building_arch_areas!$N$11</f>
        <v>4209.1291092553911</v>
      </c>
      <c r="AF496" s="187">
        <f t="shared" si="89"/>
        <v>-11143.870501228943</v>
      </c>
      <c r="AG496" s="187">
        <f>model_eui_end_uses!AH496*base_building_arch_areas!$N$11</f>
        <v>-248.71859368984619</v>
      </c>
      <c r="AH496" s="187">
        <f>model_eui_end_uses!AI496*base_building_arch_areas!$N$11</f>
        <v>475.6315893458592</v>
      </c>
      <c r="AI496" s="187">
        <f t="shared" si="90"/>
        <v>226.91299565601301</v>
      </c>
      <c r="AJ496" s="200">
        <f>sim_annual_output!F496/sim_annual_output!H496*base_building_arch_areas!$N$11</f>
        <v>14130.241359695883</v>
      </c>
      <c r="AK496">
        <f t="shared" si="91"/>
        <v>62.271626703639804</v>
      </c>
    </row>
    <row r="497" spans="1:37">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f>model_eui_end_uses!G497*base_scenario_arch_measures!$F497</f>
        <v>0</v>
      </c>
      <c r="H497">
        <f>model_eui_end_uses!H497*base_scenario_arch_measures!$F497</f>
        <v>0.28062455139660941</v>
      </c>
      <c r="I497">
        <f>model_eui_end_uses!I497*base_scenario_arch_measures!$F497</f>
        <v>0</v>
      </c>
      <c r="J497">
        <f>model_eui_end_uses!J497*base_scenario_arch_measures!$F497</f>
        <v>0</v>
      </c>
      <c r="K497">
        <f>model_eui_end_uses!K497*base_scenario_arch_measures!$F497</f>
        <v>0</v>
      </c>
      <c r="L497">
        <f>model_eui_end_uses!L497*base_scenario_arch_measures!$F497</f>
        <v>7.5479787347335764E-2</v>
      </c>
      <c r="M497">
        <f>model_eui_end_uses!M497*base_scenario_arch_measures!$F497</f>
        <v>6.9923688829529864E-3</v>
      </c>
      <c r="N497">
        <f>model_eui_end_uses!N497*base_scenario_arch_measures!$F497</f>
        <v>0</v>
      </c>
      <c r="O497">
        <f>model_eui_end_uses!O497*base_scenario_arch_measures!$F497</f>
        <v>1.1278502025260385E-2</v>
      </c>
      <c r="P497">
        <f>model_eui_end_uses!P497*base_scenario_arch_measures!$F497</f>
        <v>0</v>
      </c>
      <c r="Q497">
        <f>model_eui_end_uses!Q497*base_scenario_arch_measures!$F497</f>
        <v>0</v>
      </c>
      <c r="R497" s="187">
        <f>model_eui_end_uses!R497*base_building_arch_areas!$N$11</f>
        <v>0</v>
      </c>
      <c r="S497" s="187">
        <f>model_eui_end_uses!S497*base_building_arch_areas!$N$11</f>
        <v>66121.464594105055</v>
      </c>
      <c r="T497" s="187">
        <f>model_eui_end_uses!T497*base_building_arch_areas!$N$11</f>
        <v>0</v>
      </c>
      <c r="U497" s="187">
        <f>model_eui_end_uses!U497*base_building_arch_areas!$N$11</f>
        <v>0</v>
      </c>
      <c r="V497" s="187">
        <f>model_eui_end_uses!V497*base_building_arch_areas!$N$11</f>
        <v>0</v>
      </c>
      <c r="W497" s="187">
        <f>model_eui_end_uses!W497*base_building_arch_areas!$N$11</f>
        <v>17468.060746431871</v>
      </c>
      <c r="X497" s="187">
        <f>model_eui_end_uses!X497*base_building_arch_areas!$N$11</f>
        <v>1618.2229534751607</v>
      </c>
      <c r="Y497" s="187">
        <f>model_eui_end_uses!Y497*base_building_arch_areas!$N$11</f>
        <v>0</v>
      </c>
      <c r="Z497" s="187">
        <f>model_eui_end_uses!Z497*base_building_arch_areas!$N$11</f>
        <v>2680.1270969988609</v>
      </c>
      <c r="AA497" s="187">
        <f>model_eui_end_uses!AA497*base_building_arch_areas!$N$11</f>
        <v>0</v>
      </c>
      <c r="AB497" s="187">
        <f>model_eui_end_uses!AB497*base_building_arch_areas!$N$11</f>
        <v>0</v>
      </c>
      <c r="AC497" s="187">
        <f>model_eui_end_uses!AC497*base_building_arch_areas!$N$11</f>
        <v>87887.875391010937</v>
      </c>
      <c r="AD497" s="187">
        <f>model_eui_end_uses!AD497*base_building_arch_areas!$N$11</f>
        <v>1177.3665380419266</v>
      </c>
      <c r="AE497" s="187">
        <f>model_eui_end_uses!AE497*base_building_arch_areas!$N$11</f>
        <v>69.977208798925204</v>
      </c>
      <c r="AF497" s="187">
        <f t="shared" si="89"/>
        <v>1247.3437468408517</v>
      </c>
      <c r="AG497" s="187">
        <f>model_eui_end_uses!AH497*base_building_arch_areas!$N$11</f>
        <v>19.073337916279211</v>
      </c>
      <c r="AH497" s="187">
        <f>model_eui_end_uses!AI497*base_building_arch_areas!$N$11</f>
        <v>7.9074245942785497</v>
      </c>
      <c r="AI497" s="187">
        <f t="shared" si="90"/>
        <v>26.98076251055776</v>
      </c>
      <c r="AJ497" s="200">
        <f>sim_annual_output!F497/sim_annual_output!H497*base_building_arch_areas!$N$11</f>
        <v>143.12772947820926</v>
      </c>
      <c r="AK497">
        <f t="shared" si="91"/>
        <v>5.3048066904040381</v>
      </c>
    </row>
    <row r="498" spans="1:37">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f>model_eui_end_uses!G498*base_scenario_arch_measures!$F498</f>
        <v>0</v>
      </c>
      <c r="H498">
        <f>model_eui_end_uses!H498*base_scenario_arch_measures!$F498</f>
        <v>15.976890115591099</v>
      </c>
      <c r="I498">
        <f>model_eui_end_uses!I498*base_scenario_arch_measures!$F498</f>
        <v>0.41814061704349764</v>
      </c>
      <c r="J498">
        <f>model_eui_end_uses!J498*base_scenario_arch_measures!$F498</f>
        <v>0.22764350035268549</v>
      </c>
      <c r="K498">
        <f>model_eui_end_uses!K498*base_scenario_arch_measures!$F498</f>
        <v>0</v>
      </c>
      <c r="L498">
        <f>model_eui_end_uses!L498*base_scenario_arch_measures!$F498</f>
        <v>1.1205751858953779</v>
      </c>
      <c r="M498">
        <f>model_eui_end_uses!M498*base_scenario_arch_measures!$F498</f>
        <v>0.27352238709497528</v>
      </c>
      <c r="N498">
        <f>model_eui_end_uses!N498*base_scenario_arch_measures!$F498</f>
        <v>0</v>
      </c>
      <c r="O498">
        <f>model_eui_end_uses!O498*base_scenario_arch_measures!$F498</f>
        <v>0.8073132606704867</v>
      </c>
      <c r="P498">
        <f>model_eui_end_uses!P498*base_scenario_arch_measures!$F498</f>
        <v>1.5980037362894193E-2</v>
      </c>
      <c r="Q498">
        <f>model_eui_end_uses!Q498*base_scenario_arch_measures!$F498</f>
        <v>0</v>
      </c>
      <c r="R498" s="187">
        <f>model_eui_end_uses!R498*base_building_arch_areas!$N$5</f>
        <v>0</v>
      </c>
      <c r="S498" s="187">
        <f>model_eui_end_uses!S498*base_building_arch_areas!$N$5</f>
        <v>3527191.5962910545</v>
      </c>
      <c r="T498" s="187">
        <f>model_eui_end_uses!T498*base_building_arch_areas!$N$5</f>
        <v>13105.314747336093</v>
      </c>
      <c r="U498" s="187">
        <f>model_eui_end_uses!U498*base_building_arch_areas!$N$5</f>
        <v>52682.852356120951</v>
      </c>
      <c r="V498" s="187">
        <f>model_eui_end_uses!V498*base_building_arch_areas!$N$5</f>
        <v>0</v>
      </c>
      <c r="W498" s="187">
        <f>model_eui_end_uses!W498*base_building_arch_areas!$N$5</f>
        <v>259331.3535462096</v>
      </c>
      <c r="X498" s="187">
        <f>model_eui_end_uses!X498*base_building_arch_areas!$N$5</f>
        <v>63300.465478228849</v>
      </c>
      <c r="Y498" s="187">
        <f>model_eui_end_uses!Y498*base_building_arch_areas!$N$5</f>
        <v>0</v>
      </c>
      <c r="Z498" s="187">
        <f>model_eui_end_uses!Z498*base_building_arch_areas!$N$5</f>
        <v>184802.89042339419</v>
      </c>
      <c r="AA498" s="187">
        <f>model_eui_end_uses!AA498*base_building_arch_areas!$N$5</f>
        <v>5160.0573917104148</v>
      </c>
      <c r="AB498" s="187">
        <f>model_eui_end_uses!AB498*base_building_arch_areas!$N$5</f>
        <v>0</v>
      </c>
      <c r="AC498" s="187">
        <f>model_eui_end_uses!AC498*base_building_arch_areas!$N$5</f>
        <v>4105574.5302340537</v>
      </c>
      <c r="AD498" s="187">
        <f>model_eui_end_uses!AD498*base_building_arch_areas!$N$5</f>
        <v>-170292.15248984704</v>
      </c>
      <c r="AE498" s="187">
        <f>model_eui_end_uses!AE498*base_building_arch_areas!$N$5</f>
        <v>-84233.064102056087</v>
      </c>
      <c r="AF498" s="187">
        <f t="shared" si="85"/>
        <v>-254525.21659190312</v>
      </c>
      <c r="AG498" s="187">
        <f>model_eui_end_uses!AH498*base_building_arch_areas!$N$5</f>
        <v>-2758.732870335522</v>
      </c>
      <c r="AH498" s="187">
        <f>model_eui_end_uses!AI498*base_building_arch_areas!$N$5</f>
        <v>-9518.3362435323379</v>
      </c>
      <c r="AI498" s="187">
        <f t="shared" si="80"/>
        <v>-12277.069113867859</v>
      </c>
      <c r="AJ498" s="200">
        <f>sim_annual_output!F498/sim_annual_output!H498*base_building_arch_areas!$N$5</f>
        <v>26453.8066278263</v>
      </c>
      <c r="AK498">
        <f t="shared" si="81"/>
        <v>-2.1547330541574263</v>
      </c>
    </row>
    <row r="499" spans="1:37">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f>model_eui_end_uses!G499*base_scenario_arch_measures!$F499</f>
        <v>0</v>
      </c>
      <c r="H499">
        <f>model_eui_end_uses!H499*base_scenario_arch_measures!$F499</f>
        <v>15.241054830642295</v>
      </c>
      <c r="I499">
        <f>model_eui_end_uses!I499*base_scenario_arch_measures!$F499</f>
        <v>5.6628287742294947E-2</v>
      </c>
      <c r="J499">
        <f>model_eui_end_uses!J499*base_scenario_arch_measures!$F499</f>
        <v>0.22764350035268549</v>
      </c>
      <c r="K499">
        <f>model_eui_end_uses!K499*base_scenario_arch_measures!$F499</f>
        <v>0</v>
      </c>
      <c r="L499">
        <f>model_eui_end_uses!L499*base_scenario_arch_measures!$F499</f>
        <v>1.1205751858953779</v>
      </c>
      <c r="M499">
        <f>model_eui_end_uses!M499*base_scenario_arch_measures!$F499</f>
        <v>0.27352238709497528</v>
      </c>
      <c r="N499">
        <f>model_eui_end_uses!N499*base_scenario_arch_measures!$F499</f>
        <v>0</v>
      </c>
      <c r="O499">
        <f>model_eui_end_uses!O499*base_scenario_arch_measures!$F499</f>
        <v>0.79853643016326603</v>
      </c>
      <c r="P499">
        <f>model_eui_end_uses!P499*base_scenario_arch_measures!$F499</f>
        <v>2.2296695682484824E-2</v>
      </c>
      <c r="Q499">
        <f>model_eui_end_uses!Q499*base_scenario_arch_measures!$F499</f>
        <v>0</v>
      </c>
      <c r="R499" s="187">
        <f>model_eui_end_uses!R499*base_building_arch_areas!$N$5</f>
        <v>0</v>
      </c>
      <c r="S499" s="187">
        <f>model_eui_end_uses!S499*base_building_arch_areas!$N$5</f>
        <v>3527191.5962910545</v>
      </c>
      <c r="T499" s="187">
        <f>model_eui_end_uses!T499*base_building_arch_areas!$N$5</f>
        <v>13105.314747336093</v>
      </c>
      <c r="U499" s="187">
        <f>model_eui_end_uses!U499*base_building_arch_areas!$N$5</f>
        <v>52682.852356120951</v>
      </c>
      <c r="V499" s="187">
        <f>model_eui_end_uses!V499*base_building_arch_areas!$N$5</f>
        <v>0</v>
      </c>
      <c r="W499" s="187">
        <f>model_eui_end_uses!W499*base_building_arch_areas!$N$5</f>
        <v>259331.3535462096</v>
      </c>
      <c r="X499" s="187">
        <f>model_eui_end_uses!X499*base_building_arch_areas!$N$5</f>
        <v>63300.465478228849</v>
      </c>
      <c r="Y499" s="187">
        <f>model_eui_end_uses!Y499*base_building_arch_areas!$N$5</f>
        <v>0</v>
      </c>
      <c r="Z499" s="187">
        <f>model_eui_end_uses!Z499*base_building_arch_areas!$N$5</f>
        <v>184802.89042339419</v>
      </c>
      <c r="AA499" s="187">
        <f>model_eui_end_uses!AA499*base_building_arch_areas!$N$5</f>
        <v>5160.0573917104148</v>
      </c>
      <c r="AB499" s="187">
        <f>model_eui_end_uses!AB499*base_building_arch_areas!$N$5</f>
        <v>0</v>
      </c>
      <c r="AC499" s="187">
        <f>model_eui_end_uses!AC499*base_building_arch_areas!$N$5</f>
        <v>4105574.5302340537</v>
      </c>
      <c r="AD499" s="187">
        <f>model_eui_end_uses!AD499*base_building_arch_areas!$N$5</f>
        <v>0</v>
      </c>
      <c r="AE499" s="187">
        <f>model_eui_end_uses!AE499*base_building_arch_areas!$N$5</f>
        <v>0</v>
      </c>
      <c r="AF499" s="187">
        <f t="shared" ref="AF499:AF521" si="92">SUM(AD499:AE499)</f>
        <v>0</v>
      </c>
      <c r="AG499" s="187">
        <f>model_eui_end_uses!AH499*base_building_arch_areas!$N$5</f>
        <v>0</v>
      </c>
      <c r="AH499" s="187">
        <f>model_eui_end_uses!AI499*base_building_arch_areas!$N$5</f>
        <v>0</v>
      </c>
      <c r="AI499" s="187">
        <f t="shared" ref="AI499:AI521" si="93">SUM(AG499:AH499)</f>
        <v>0</v>
      </c>
      <c r="AJ499" s="200">
        <f>sim_annual_output!F499/sim_annual_output!H499*base_building_arch_areas!$N$5</f>
        <v>0</v>
      </c>
      <c r="AK499">
        <f t="shared" ref="AK499:AK521" si="94">IF(AI499=0,0,AJ499/AI499)</f>
        <v>0</v>
      </c>
    </row>
    <row r="500" spans="1:37">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f>model_eui_end_uses!G500*base_scenario_arch_measures!$F500</f>
        <v>0</v>
      </c>
      <c r="H500">
        <f>model_eui_end_uses!H500*base_scenario_arch_measures!$F500</f>
        <v>15.144199403075238</v>
      </c>
      <c r="I500">
        <f>model_eui_end_uses!I500*base_scenario_arch_measures!$F500</f>
        <v>9.0073331266022183E-2</v>
      </c>
      <c r="J500">
        <f>model_eui_end_uses!J500*base_scenario_arch_measures!$F500</f>
        <v>0.22764350035268549</v>
      </c>
      <c r="K500">
        <f>model_eui_end_uses!K500*base_scenario_arch_measures!$F500</f>
        <v>0</v>
      </c>
      <c r="L500">
        <f>model_eui_end_uses!L500*base_scenario_arch_measures!$F500</f>
        <v>1.1205751858953779</v>
      </c>
      <c r="M500">
        <f>model_eui_end_uses!M500*base_scenario_arch_measures!$F500</f>
        <v>0.27352238709497528</v>
      </c>
      <c r="N500">
        <f>model_eui_end_uses!N500*base_scenario_arch_measures!$F500</f>
        <v>0</v>
      </c>
      <c r="O500">
        <f>model_eui_end_uses!O500*base_scenario_arch_measures!$F500</f>
        <v>0.8073132606704867</v>
      </c>
      <c r="P500">
        <f>model_eui_end_uses!P500*base_scenario_arch_measures!$F500</f>
        <v>2.198640369485581E-2</v>
      </c>
      <c r="Q500">
        <f>model_eui_end_uses!Q500*base_scenario_arch_measures!$F500</f>
        <v>0</v>
      </c>
      <c r="R500" s="187">
        <f>model_eui_end_uses!R500*base_building_arch_areas!$N$5</f>
        <v>0</v>
      </c>
      <c r="S500" s="187">
        <f>model_eui_end_uses!S500*base_building_arch_areas!$N$5</f>
        <v>3527191.5962910545</v>
      </c>
      <c r="T500" s="187">
        <f>model_eui_end_uses!T500*base_building_arch_areas!$N$5</f>
        <v>13105.314747336093</v>
      </c>
      <c r="U500" s="187">
        <f>model_eui_end_uses!U500*base_building_arch_areas!$N$5</f>
        <v>52682.852356120951</v>
      </c>
      <c r="V500" s="187">
        <f>model_eui_end_uses!V500*base_building_arch_areas!$N$5</f>
        <v>0</v>
      </c>
      <c r="W500" s="187">
        <f>model_eui_end_uses!W500*base_building_arch_areas!$N$5</f>
        <v>259331.3535462096</v>
      </c>
      <c r="X500" s="187">
        <f>model_eui_end_uses!X500*base_building_arch_areas!$N$5</f>
        <v>63300.465478228849</v>
      </c>
      <c r="Y500" s="187">
        <f>model_eui_end_uses!Y500*base_building_arch_areas!$N$5</f>
        <v>0</v>
      </c>
      <c r="Z500" s="187">
        <f>model_eui_end_uses!Z500*base_building_arch_areas!$N$5</f>
        <v>184802.89042339419</v>
      </c>
      <c r="AA500" s="187">
        <f>model_eui_end_uses!AA500*base_building_arch_areas!$N$5</f>
        <v>5160.0573917104148</v>
      </c>
      <c r="AB500" s="187">
        <f>model_eui_end_uses!AB500*base_building_arch_areas!$N$5</f>
        <v>0</v>
      </c>
      <c r="AC500" s="187">
        <f>model_eui_end_uses!AC500*base_building_arch_areas!$N$5</f>
        <v>4105574.5302340537</v>
      </c>
      <c r="AD500" s="187">
        <f>model_eui_end_uses!AD500*base_building_arch_areas!$N$5</f>
        <v>22414.961035561188</v>
      </c>
      <c r="AE500" s="187">
        <f>model_eui_end_uses!AE500*base_building_arch_areas!$N$5</f>
        <v>-9699.4716975390584</v>
      </c>
      <c r="AF500" s="187">
        <f t="shared" si="92"/>
        <v>12715.489338022129</v>
      </c>
      <c r="AG500" s="187">
        <f>model_eui_end_uses!AH500*base_building_arch_areas!$N$5</f>
        <v>363.12236877609121</v>
      </c>
      <c r="AH500" s="187">
        <f>model_eui_end_uses!AI500*base_building_arch_areas!$N$5</f>
        <v>-1096.0403018219135</v>
      </c>
      <c r="AI500" s="187">
        <f t="shared" si="93"/>
        <v>-732.91793304582234</v>
      </c>
      <c r="AJ500" s="200">
        <f>sim_annual_output!F500/sim_annual_output!H500*base_building_arch_areas!$N$5</f>
        <v>122894.66218790958</v>
      </c>
      <c r="AK500">
        <f t="shared" si="94"/>
        <v>-167.67861263428267</v>
      </c>
    </row>
    <row r="501" spans="1:37">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f>model_eui_end_uses!G501*base_scenario_arch_measures!$F501</f>
        <v>0</v>
      </c>
      <c r="H501">
        <f>model_eui_end_uses!H501*base_scenario_arch_measures!$F501</f>
        <v>9.4993897278416277</v>
      </c>
      <c r="I501">
        <f>model_eui_end_uses!I501*base_scenario_arch_measures!$F501</f>
        <v>9.0073331266022183E-2</v>
      </c>
      <c r="J501">
        <f>model_eui_end_uses!J501*base_scenario_arch_measures!$F501</f>
        <v>0.22764350035268549</v>
      </c>
      <c r="K501">
        <f>model_eui_end_uses!K501*base_scenario_arch_measures!$F501</f>
        <v>0</v>
      </c>
      <c r="L501">
        <f>model_eui_end_uses!L501*base_scenario_arch_measures!$F501</f>
        <v>1.1205751858953779</v>
      </c>
      <c r="M501">
        <f>model_eui_end_uses!M501*base_scenario_arch_measures!$F501</f>
        <v>0.27352238709497528</v>
      </c>
      <c r="N501">
        <f>model_eui_end_uses!N501*base_scenario_arch_measures!$F501</f>
        <v>0</v>
      </c>
      <c r="O501">
        <f>model_eui_end_uses!O501*base_scenario_arch_measures!$F501</f>
        <v>0.8073132606704867</v>
      </c>
      <c r="P501">
        <f>model_eui_end_uses!P501*base_scenario_arch_measures!$F501</f>
        <v>2.198640369485581E-2</v>
      </c>
      <c r="Q501">
        <f>model_eui_end_uses!Q501*base_scenario_arch_measures!$F501</f>
        <v>0</v>
      </c>
      <c r="R501" s="187">
        <f>model_eui_end_uses!R501*base_building_arch_areas!$N$5</f>
        <v>0</v>
      </c>
      <c r="S501" s="187">
        <f>model_eui_end_uses!S501*base_building_arch_areas!$N$5</f>
        <v>3527191.5962910545</v>
      </c>
      <c r="T501" s="187">
        <f>model_eui_end_uses!T501*base_building_arch_areas!$N$5</f>
        <v>13105.314747336093</v>
      </c>
      <c r="U501" s="187">
        <f>model_eui_end_uses!U501*base_building_arch_areas!$N$5</f>
        <v>52682.852356120951</v>
      </c>
      <c r="V501" s="187">
        <f>model_eui_end_uses!V501*base_building_arch_areas!$N$5</f>
        <v>0</v>
      </c>
      <c r="W501" s="187">
        <f>model_eui_end_uses!W501*base_building_arch_areas!$N$5</f>
        <v>259331.3535462096</v>
      </c>
      <c r="X501" s="187">
        <f>model_eui_end_uses!X501*base_building_arch_areas!$N$5</f>
        <v>63300.465478228849</v>
      </c>
      <c r="Y501" s="187">
        <f>model_eui_end_uses!Y501*base_building_arch_areas!$N$5</f>
        <v>0</v>
      </c>
      <c r="Z501" s="187">
        <f>model_eui_end_uses!Z501*base_building_arch_areas!$N$5</f>
        <v>184802.89042339419</v>
      </c>
      <c r="AA501" s="187">
        <f>model_eui_end_uses!AA501*base_building_arch_areas!$N$5</f>
        <v>5160.0573917104148</v>
      </c>
      <c r="AB501" s="187">
        <f>model_eui_end_uses!AB501*base_building_arch_areas!$N$5</f>
        <v>0</v>
      </c>
      <c r="AC501" s="187">
        <f>model_eui_end_uses!AC501*base_building_arch_areas!$N$5</f>
        <v>4105574.5302340537</v>
      </c>
      <c r="AD501" s="187">
        <f>model_eui_end_uses!AD501*base_building_arch_areas!$N$5</f>
        <v>1328776.3297458501</v>
      </c>
      <c r="AE501" s="187">
        <f>model_eui_end_uses!AE501*base_building_arch_areas!$N$5</f>
        <v>-9699.4716975390584</v>
      </c>
      <c r="AF501" s="187">
        <f t="shared" si="92"/>
        <v>1319076.858048311</v>
      </c>
      <c r="AG501" s="187">
        <f>model_eui_end_uses!AH501*base_building_arch_areas!$N$5</f>
        <v>21526.176541882771</v>
      </c>
      <c r="AH501" s="187">
        <f>model_eui_end_uses!AI501*base_building_arch_areas!$N$5</f>
        <v>-1096.0403018219135</v>
      </c>
      <c r="AI501" s="187">
        <f t="shared" si="93"/>
        <v>20430.136240060856</v>
      </c>
      <c r="AJ501" s="200">
        <f>sim_annual_output!F501/sim_annual_output!H501*base_building_arch_areas!$N$5</f>
        <v>1747.7659886122092</v>
      </c>
      <c r="AK501">
        <f t="shared" si="94"/>
        <v>8.5548425525673488E-2</v>
      </c>
    </row>
    <row r="502" spans="1:37">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f>model_eui_end_uses!G502*base_scenario_arch_measures!$F502</f>
        <v>0</v>
      </c>
      <c r="H502">
        <f>model_eui_end_uses!H502*base_scenario_arch_measures!$F502</f>
        <v>15.144199403075238</v>
      </c>
      <c r="I502">
        <f>model_eui_end_uses!I502*base_scenario_arch_measures!$F502</f>
        <v>6.4341260006216136E-2</v>
      </c>
      <c r="J502">
        <f>model_eui_end_uses!J502*base_scenario_arch_measures!$F502</f>
        <v>0.22764350035268549</v>
      </c>
      <c r="K502">
        <f>model_eui_end_uses!K502*base_scenario_arch_measures!$F502</f>
        <v>0</v>
      </c>
      <c r="L502">
        <f>model_eui_end_uses!L502*base_scenario_arch_measures!$F502</f>
        <v>1.1205751858953779</v>
      </c>
      <c r="M502">
        <f>model_eui_end_uses!M502*base_scenario_arch_measures!$F502</f>
        <v>0.27352238709497528</v>
      </c>
      <c r="N502">
        <f>model_eui_end_uses!N502*base_scenario_arch_measures!$F502</f>
        <v>0</v>
      </c>
      <c r="O502">
        <f>model_eui_end_uses!O502*base_scenario_arch_measures!$F502</f>
        <v>0.8073132606704867</v>
      </c>
      <c r="P502">
        <f>model_eui_end_uses!P502*base_scenario_arch_measures!$F502</f>
        <v>2.198640369485581E-2</v>
      </c>
      <c r="Q502">
        <f>model_eui_end_uses!Q502*base_scenario_arch_measures!$F502</f>
        <v>0</v>
      </c>
      <c r="R502" s="187">
        <f>model_eui_end_uses!R502*base_building_arch_areas!$N$5</f>
        <v>0</v>
      </c>
      <c r="S502" s="187">
        <f>model_eui_end_uses!S502*base_building_arch_areas!$N$5</f>
        <v>3527191.5962910545</v>
      </c>
      <c r="T502" s="187">
        <f>model_eui_end_uses!T502*base_building_arch_areas!$N$5</f>
        <v>13105.314747336093</v>
      </c>
      <c r="U502" s="187">
        <f>model_eui_end_uses!U502*base_building_arch_areas!$N$5</f>
        <v>52682.852356120951</v>
      </c>
      <c r="V502" s="187">
        <f>model_eui_end_uses!V502*base_building_arch_areas!$N$5</f>
        <v>0</v>
      </c>
      <c r="W502" s="187">
        <f>model_eui_end_uses!W502*base_building_arch_areas!$N$5</f>
        <v>259331.3535462096</v>
      </c>
      <c r="X502" s="187">
        <f>model_eui_end_uses!X502*base_building_arch_areas!$N$5</f>
        <v>63300.465478228849</v>
      </c>
      <c r="Y502" s="187">
        <f>model_eui_end_uses!Y502*base_building_arch_areas!$N$5</f>
        <v>0</v>
      </c>
      <c r="Z502" s="187">
        <f>model_eui_end_uses!Z502*base_building_arch_areas!$N$5</f>
        <v>184802.89042339419</v>
      </c>
      <c r="AA502" s="187">
        <f>model_eui_end_uses!AA502*base_building_arch_areas!$N$5</f>
        <v>5160.0573917104148</v>
      </c>
      <c r="AB502" s="187">
        <f>model_eui_end_uses!AB502*base_building_arch_areas!$N$5</f>
        <v>0</v>
      </c>
      <c r="AC502" s="187">
        <f>model_eui_end_uses!AC502*base_building_arch_areas!$N$5</f>
        <v>4105574.5302340537</v>
      </c>
      <c r="AD502" s="187">
        <f>model_eui_end_uses!AD502*base_building_arch_areas!$N$5</f>
        <v>22414.961035561188</v>
      </c>
      <c r="AE502" s="187">
        <f>model_eui_end_uses!AE502*base_building_arch_areas!$N$5</f>
        <v>-3744.3756420958889</v>
      </c>
      <c r="AF502" s="187">
        <f t="shared" si="92"/>
        <v>18670.585393465299</v>
      </c>
      <c r="AG502" s="187">
        <f>model_eui_end_uses!AH502*base_building_arch_areas!$N$5</f>
        <v>363.12236877609121</v>
      </c>
      <c r="AH502" s="187">
        <f>model_eui_end_uses!AI502*base_building_arch_areas!$N$5</f>
        <v>-423.11444755683544</v>
      </c>
      <c r="AI502" s="187">
        <f t="shared" si="93"/>
        <v>-59.992078780744237</v>
      </c>
      <c r="AJ502" s="200">
        <f>sim_annual_output!F502/sim_annual_output!H502*base_building_arch_areas!$N$5</f>
        <v>37164.984460181273</v>
      </c>
      <c r="AK502">
        <f t="shared" si="94"/>
        <v>-619.49819402007756</v>
      </c>
    </row>
    <row r="503" spans="1:37">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f>model_eui_end_uses!G503*base_scenario_arch_measures!$F503</f>
        <v>0</v>
      </c>
      <c r="H503">
        <f>model_eui_end_uses!H503*base_scenario_arch_measures!$F503</f>
        <v>12.914817963100983</v>
      </c>
      <c r="I503">
        <f>model_eui_end_uses!I503*base_scenario_arch_measures!$F503</f>
        <v>9.3043268861899897E-2</v>
      </c>
      <c r="J503">
        <f>model_eui_end_uses!J503*base_scenario_arch_measures!$F503</f>
        <v>0.22764350035268549</v>
      </c>
      <c r="K503">
        <f>model_eui_end_uses!K503*base_scenario_arch_measures!$F503</f>
        <v>0</v>
      </c>
      <c r="L503">
        <f>model_eui_end_uses!L503*base_scenario_arch_measures!$F503</f>
        <v>1.1205751858953779</v>
      </c>
      <c r="M503">
        <f>model_eui_end_uses!M503*base_scenario_arch_measures!$F503</f>
        <v>0.27352238709497528</v>
      </c>
      <c r="N503">
        <f>model_eui_end_uses!N503*base_scenario_arch_measures!$F503</f>
        <v>0</v>
      </c>
      <c r="O503">
        <f>model_eui_end_uses!O503*base_scenario_arch_measures!$F503</f>
        <v>0.80381139395295931</v>
      </c>
      <c r="P503">
        <f>model_eui_end_uses!P503*base_scenario_arch_measures!$F503</f>
        <v>1.7952607855678634E-2</v>
      </c>
      <c r="Q503">
        <f>model_eui_end_uses!Q503*base_scenario_arch_measures!$F503</f>
        <v>0</v>
      </c>
      <c r="R503" s="187">
        <f>model_eui_end_uses!R503*base_building_arch_areas!$N$5</f>
        <v>0</v>
      </c>
      <c r="S503" s="187">
        <f>model_eui_end_uses!S503*base_building_arch_areas!$N$5</f>
        <v>3527191.5962910545</v>
      </c>
      <c r="T503" s="187">
        <f>model_eui_end_uses!T503*base_building_arch_areas!$N$5</f>
        <v>13105.314747336093</v>
      </c>
      <c r="U503" s="187">
        <f>model_eui_end_uses!U503*base_building_arch_areas!$N$5</f>
        <v>52682.852356120951</v>
      </c>
      <c r="V503" s="187">
        <f>model_eui_end_uses!V503*base_building_arch_areas!$N$5</f>
        <v>0</v>
      </c>
      <c r="W503" s="187">
        <f>model_eui_end_uses!W503*base_building_arch_areas!$N$5</f>
        <v>259331.3535462096</v>
      </c>
      <c r="X503" s="187">
        <f>model_eui_end_uses!X503*base_building_arch_areas!$N$5</f>
        <v>63300.465478228849</v>
      </c>
      <c r="Y503" s="187">
        <f>model_eui_end_uses!Y503*base_building_arch_areas!$N$5</f>
        <v>0</v>
      </c>
      <c r="Z503" s="187">
        <f>model_eui_end_uses!Z503*base_building_arch_areas!$N$5</f>
        <v>184802.89042339419</v>
      </c>
      <c r="AA503" s="187">
        <f>model_eui_end_uses!AA503*base_building_arch_areas!$N$5</f>
        <v>5160.0573917104148</v>
      </c>
      <c r="AB503" s="187">
        <f>model_eui_end_uses!AB503*base_building_arch_areas!$N$5</f>
        <v>0</v>
      </c>
      <c r="AC503" s="187">
        <f>model_eui_end_uses!AC503*base_building_arch_areas!$N$5</f>
        <v>4105574.5302340537</v>
      </c>
      <c r="AD503" s="187">
        <f>model_eui_end_uses!AD503*base_building_arch_areas!$N$5</f>
        <v>538354.01954448293</v>
      </c>
      <c r="AE503" s="187">
        <f>model_eui_end_uses!AE503*base_building_arch_areas!$N$5</f>
        <v>-8642.8396670298407</v>
      </c>
      <c r="AF503" s="187">
        <f t="shared" si="92"/>
        <v>529711.17987745313</v>
      </c>
      <c r="AG503" s="187">
        <f>model_eui_end_uses!AH503*base_building_arch_areas!$N$5</f>
        <v>8721.335116620623</v>
      </c>
      <c r="AH503" s="187">
        <f>model_eui_end_uses!AI503*base_building_arch_areas!$N$5</f>
        <v>-976.64088237437193</v>
      </c>
      <c r="AI503" s="187">
        <f t="shared" si="93"/>
        <v>7744.6942342462507</v>
      </c>
      <c r="AJ503" s="200">
        <f>sim_annual_output!F503/sim_annual_output!H503*base_building_arch_areas!$N$5</f>
        <v>64170.323153338686</v>
      </c>
      <c r="AK503">
        <f t="shared" si="94"/>
        <v>8.285714220915791</v>
      </c>
    </row>
    <row r="504" spans="1:37">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f>model_eui_end_uses!G504*base_scenario_arch_measures!$F504</f>
        <v>0</v>
      </c>
      <c r="H504">
        <f>model_eui_end_uses!H504*base_scenario_arch_measures!$F504</f>
        <v>14.510671819190399</v>
      </c>
      <c r="I504">
        <f>model_eui_end_uses!I504*base_scenario_arch_measures!$F504</f>
        <v>0.22068409434443476</v>
      </c>
      <c r="J504">
        <f>model_eui_end_uses!J504*base_scenario_arch_measures!$F504</f>
        <v>0.22764350035268549</v>
      </c>
      <c r="K504">
        <f>model_eui_end_uses!K504*base_scenario_arch_measures!$F504</f>
        <v>0</v>
      </c>
      <c r="L504">
        <f>model_eui_end_uses!L504*base_scenario_arch_measures!$F504</f>
        <v>1.1205751858953779</v>
      </c>
      <c r="M504">
        <f>model_eui_end_uses!M504*base_scenario_arch_measures!$F504</f>
        <v>0.27352238709497528</v>
      </c>
      <c r="N504">
        <f>model_eui_end_uses!N504*base_scenario_arch_measures!$F504</f>
        <v>0</v>
      </c>
      <c r="O504">
        <f>model_eui_end_uses!O504*base_scenario_arch_measures!$F504</f>
        <v>0.8073132606704867</v>
      </c>
      <c r="P504">
        <f>model_eui_end_uses!P504*base_scenario_arch_measures!$F504</f>
        <v>1.2323024651552248E-2</v>
      </c>
      <c r="Q504">
        <f>model_eui_end_uses!Q504*base_scenario_arch_measures!$F504</f>
        <v>0</v>
      </c>
      <c r="R504" s="187">
        <f>model_eui_end_uses!R504*base_building_arch_areas!$N$5</f>
        <v>0</v>
      </c>
      <c r="S504" s="187">
        <f>model_eui_end_uses!S504*base_building_arch_areas!$N$5</f>
        <v>3527191.5962910545</v>
      </c>
      <c r="T504" s="187">
        <f>model_eui_end_uses!T504*base_building_arch_areas!$N$5</f>
        <v>13105.314747336093</v>
      </c>
      <c r="U504" s="187">
        <f>model_eui_end_uses!U504*base_building_arch_areas!$N$5</f>
        <v>52682.852356120951</v>
      </c>
      <c r="V504" s="187">
        <f>model_eui_end_uses!V504*base_building_arch_areas!$N$5</f>
        <v>0</v>
      </c>
      <c r="W504" s="187">
        <f>model_eui_end_uses!W504*base_building_arch_areas!$N$5</f>
        <v>259331.3535462096</v>
      </c>
      <c r="X504" s="187">
        <f>model_eui_end_uses!X504*base_building_arch_areas!$N$5</f>
        <v>63300.465478228849</v>
      </c>
      <c r="Y504" s="187">
        <f>model_eui_end_uses!Y504*base_building_arch_areas!$N$5</f>
        <v>0</v>
      </c>
      <c r="Z504" s="187">
        <f>model_eui_end_uses!Z504*base_building_arch_areas!$N$5</f>
        <v>184802.89042339419</v>
      </c>
      <c r="AA504" s="187">
        <f>model_eui_end_uses!AA504*base_building_arch_areas!$N$5</f>
        <v>5160.0573917104148</v>
      </c>
      <c r="AB504" s="187">
        <f>model_eui_end_uses!AB504*base_building_arch_areas!$N$5</f>
        <v>0</v>
      </c>
      <c r="AC504" s="187">
        <f>model_eui_end_uses!AC504*base_building_arch_areas!$N$5</f>
        <v>4105574.5302340537</v>
      </c>
      <c r="AD504" s="187">
        <f>model_eui_end_uses!AD504*base_building_arch_areas!$N$5</f>
        <v>169030.34919127772</v>
      </c>
      <c r="AE504" s="187">
        <f>model_eui_end_uses!AE504*base_building_arch_areas!$N$5</f>
        <v>-37689.961942632282</v>
      </c>
      <c r="AF504" s="187">
        <f t="shared" si="92"/>
        <v>131340.38724864545</v>
      </c>
      <c r="AG504" s="187">
        <f>model_eui_end_uses!AH504*base_building_arch_areas!$N$5</f>
        <v>2738.2916568986989</v>
      </c>
      <c r="AH504" s="187">
        <f>model_eui_end_uses!AI504*base_building_arch_areas!$N$5</f>
        <v>-4258.9656995174482</v>
      </c>
      <c r="AI504" s="187">
        <f t="shared" si="93"/>
        <v>-1520.6740426187494</v>
      </c>
      <c r="AJ504" s="200">
        <f>sim_annual_output!F504/sim_annual_output!H504*base_building_arch_areas!$N$5</f>
        <v>26453.8066278263</v>
      </c>
      <c r="AK504">
        <f t="shared" si="94"/>
        <v>-17.396105862549124</v>
      </c>
    </row>
    <row r="505" spans="1:37">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f>model_eui_end_uses!G505*base_scenario_arch_measures!$F505</f>
        <v>0</v>
      </c>
      <c r="H505">
        <f>model_eui_end_uses!H505*base_scenario_arch_measures!$F505</f>
        <v>15.136907541365954</v>
      </c>
      <c r="I505">
        <f>model_eui_end_uses!I505*base_scenario_arch_measures!$F505</f>
        <v>7.5423116707252338E-2</v>
      </c>
      <c r="J505">
        <f>model_eui_end_uses!J505*base_scenario_arch_measures!$F505</f>
        <v>0.22764350035268549</v>
      </c>
      <c r="K505">
        <f>model_eui_end_uses!K505*base_scenario_arch_measures!$F505</f>
        <v>0</v>
      </c>
      <c r="L505">
        <f>model_eui_end_uses!L505*base_scenario_arch_measures!$F505</f>
        <v>1.1205751858953779</v>
      </c>
      <c r="M505">
        <f>model_eui_end_uses!M505*base_scenario_arch_measures!$F505</f>
        <v>0.27352238709497528</v>
      </c>
      <c r="N505">
        <f>model_eui_end_uses!N505*base_scenario_arch_measures!$F505</f>
        <v>0</v>
      </c>
      <c r="O505">
        <f>model_eui_end_uses!O505*base_scenario_arch_measures!$F505</f>
        <v>0.8073132606704867</v>
      </c>
      <c r="P505">
        <f>model_eui_end_uses!P505*base_scenario_arch_measures!$F505</f>
        <v>2.198640369485581E-2</v>
      </c>
      <c r="Q505">
        <f>model_eui_end_uses!Q505*base_scenario_arch_measures!$F505</f>
        <v>0</v>
      </c>
      <c r="R505" s="187">
        <f>model_eui_end_uses!R505*base_building_arch_areas!$N$5</f>
        <v>0</v>
      </c>
      <c r="S505" s="187">
        <f>model_eui_end_uses!S505*base_building_arch_areas!$N$5</f>
        <v>3527191.5962910545</v>
      </c>
      <c r="T505" s="187">
        <f>model_eui_end_uses!T505*base_building_arch_areas!$N$5</f>
        <v>13105.314747336093</v>
      </c>
      <c r="U505" s="187">
        <f>model_eui_end_uses!U505*base_building_arch_areas!$N$5</f>
        <v>52682.852356120951</v>
      </c>
      <c r="V505" s="187">
        <f>model_eui_end_uses!V505*base_building_arch_areas!$N$5</f>
        <v>0</v>
      </c>
      <c r="W505" s="187">
        <f>model_eui_end_uses!W505*base_building_arch_areas!$N$5</f>
        <v>259331.3535462096</v>
      </c>
      <c r="X505" s="187">
        <f>model_eui_end_uses!X505*base_building_arch_areas!$N$5</f>
        <v>63300.465478228849</v>
      </c>
      <c r="Y505" s="187">
        <f>model_eui_end_uses!Y505*base_building_arch_areas!$N$5</f>
        <v>0</v>
      </c>
      <c r="Z505" s="187">
        <f>model_eui_end_uses!Z505*base_building_arch_areas!$N$5</f>
        <v>184802.89042339419</v>
      </c>
      <c r="AA505" s="187">
        <f>model_eui_end_uses!AA505*base_building_arch_areas!$N$5</f>
        <v>5160.0573917104148</v>
      </c>
      <c r="AB505" s="187">
        <f>model_eui_end_uses!AB505*base_building_arch_areas!$N$5</f>
        <v>0</v>
      </c>
      <c r="AC505" s="187">
        <f>model_eui_end_uses!AC505*base_building_arch_areas!$N$5</f>
        <v>4105574.5302340537</v>
      </c>
      <c r="AD505" s="187">
        <f>model_eui_end_uses!AD505*base_building_arch_areas!$N$5</f>
        <v>24102.494715355642</v>
      </c>
      <c r="AE505" s="187">
        <f>model_eui_end_uses!AE505*base_building_arch_areas!$N$5</f>
        <v>-6309.016492846642</v>
      </c>
      <c r="AF505" s="187">
        <f t="shared" si="92"/>
        <v>17793.478222509002</v>
      </c>
      <c r="AG505" s="187">
        <f>model_eui_end_uses!AH505*base_building_arch_areas!$N$5</f>
        <v>390.46041438876131</v>
      </c>
      <c r="AH505" s="187">
        <f>model_eui_end_uses!AI505*base_building_arch_areas!$N$5</f>
        <v>-712.91886369167059</v>
      </c>
      <c r="AI505" s="187">
        <f t="shared" si="93"/>
        <v>-322.45844930290929</v>
      </c>
      <c r="AJ505" s="200">
        <f>sim_annual_output!F505/sim_annual_output!H505*base_building_arch_areas!$N$5</f>
        <v>10336.80569169264</v>
      </c>
      <c r="AK505">
        <f t="shared" si="94"/>
        <v>-32.056240777807957</v>
      </c>
    </row>
    <row r="506" spans="1:37">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f>model_eui_end_uses!G506*base_scenario_arch_measures!$F506</f>
        <v>0</v>
      </c>
      <c r="H506">
        <f>model_eui_end_uses!H506*base_scenario_arch_measures!$F506</f>
        <v>13.353105395626965</v>
      </c>
      <c r="I506">
        <f>model_eui_end_uses!I506*base_scenario_arch_measures!$F506</f>
        <v>5.6406650608274225E-2</v>
      </c>
      <c r="J506">
        <f>model_eui_end_uses!J506*base_scenario_arch_measures!$F506</f>
        <v>0.22764350035268549</v>
      </c>
      <c r="K506">
        <f>model_eui_end_uses!K506*base_scenario_arch_measures!$F506</f>
        <v>0</v>
      </c>
      <c r="L506">
        <f>model_eui_end_uses!L506*base_scenario_arch_measures!$F506</f>
        <v>0.78439598101274388</v>
      </c>
      <c r="M506">
        <f>model_eui_end_uses!M506*base_scenario_arch_measures!$F506</f>
        <v>0.27352238709497528</v>
      </c>
      <c r="N506">
        <f>model_eui_end_uses!N506*base_scenario_arch_measures!$F506</f>
        <v>0</v>
      </c>
      <c r="O506">
        <f>model_eui_end_uses!O506*base_scenario_arch_measures!$F506</f>
        <v>0.80281402684986602</v>
      </c>
      <c r="P506">
        <f>model_eui_end_uses!P506*base_scenario_arch_measures!$F506</f>
        <v>1.4583723418563631E-2</v>
      </c>
      <c r="Q506">
        <f>model_eui_end_uses!Q506*base_scenario_arch_measures!$F506</f>
        <v>0</v>
      </c>
      <c r="R506" s="187">
        <f>model_eui_end_uses!R506*base_building_arch_areas!$N$5</f>
        <v>0</v>
      </c>
      <c r="S506" s="187">
        <f>model_eui_end_uses!S506*base_building_arch_areas!$N$5</f>
        <v>3527191.5962910545</v>
      </c>
      <c r="T506" s="187">
        <f>model_eui_end_uses!T506*base_building_arch_areas!$N$5</f>
        <v>13105.314747336093</v>
      </c>
      <c r="U506" s="187">
        <f>model_eui_end_uses!U506*base_building_arch_areas!$N$5</f>
        <v>52682.852356120951</v>
      </c>
      <c r="V506" s="187">
        <f>model_eui_end_uses!V506*base_building_arch_areas!$N$5</f>
        <v>0</v>
      </c>
      <c r="W506" s="187">
        <f>model_eui_end_uses!W506*base_building_arch_areas!$N$5</f>
        <v>259331.3535462096</v>
      </c>
      <c r="X506" s="187">
        <f>model_eui_end_uses!X506*base_building_arch_areas!$N$5</f>
        <v>63300.465478228849</v>
      </c>
      <c r="Y506" s="187">
        <f>model_eui_end_uses!Y506*base_building_arch_areas!$N$5</f>
        <v>0</v>
      </c>
      <c r="Z506" s="187">
        <f>model_eui_end_uses!Z506*base_building_arch_areas!$N$5</f>
        <v>184802.89042339419</v>
      </c>
      <c r="AA506" s="187">
        <f>model_eui_end_uses!AA506*base_building_arch_areas!$N$5</f>
        <v>5160.0573917104148</v>
      </c>
      <c r="AB506" s="187">
        <f>model_eui_end_uses!AB506*base_building_arch_areas!$N$5</f>
        <v>0</v>
      </c>
      <c r="AC506" s="187">
        <f>model_eui_end_uses!AC506*base_building_arch_areas!$N$5</f>
        <v>4105574.5302340537</v>
      </c>
      <c r="AD506" s="187">
        <f>model_eui_end_uses!AD506*base_building_arch_areas!$N$5</f>
        <v>436922.4738972928</v>
      </c>
      <c r="AE506" s="187">
        <f>model_eui_end_uses!AE506*base_building_arch_areas!$N$5</f>
        <v>78647.27632912116</v>
      </c>
      <c r="AF506" s="187">
        <f t="shared" si="92"/>
        <v>515569.75022641395</v>
      </c>
      <c r="AG506" s="187">
        <f>model_eui_end_uses!AH506*base_building_arch_areas!$N$5</f>
        <v>7078.1440771361422</v>
      </c>
      <c r="AH506" s="187">
        <f>model_eui_end_uses!AI506*base_building_arch_areas!$N$5</f>
        <v>8887.1422251906915</v>
      </c>
      <c r="AI506" s="187">
        <f t="shared" si="93"/>
        <v>15965.286302326833</v>
      </c>
      <c r="AJ506" s="200">
        <f>sim_annual_output!F506/sim_annual_output!H506*base_building_arch_areas!$N$5</f>
        <v>387054.63179109903</v>
      </c>
      <c r="AK506">
        <f t="shared" si="94"/>
        <v>24.24351336152916</v>
      </c>
    </row>
    <row r="507" spans="1:37">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f>model_eui_end_uses!G507*base_scenario_arch_measures!$F507</f>
        <v>0</v>
      </c>
      <c r="H507">
        <f>model_eui_end_uses!H507*base_scenario_arch_measures!$F507</f>
        <v>13.774348932546751</v>
      </c>
      <c r="I507">
        <f>model_eui_end_uses!I507*base_scenario_arch_measures!$F507</f>
        <v>8.6261172560865726E-2</v>
      </c>
      <c r="J507">
        <f>model_eui_end_uses!J507*base_scenario_arch_measures!$F507</f>
        <v>0.22764350035268549</v>
      </c>
      <c r="K507">
        <f>model_eui_end_uses!K507*base_scenario_arch_measures!$F507</f>
        <v>0</v>
      </c>
      <c r="L507">
        <f>model_eui_end_uses!L507*base_scenario_arch_measures!$F507</f>
        <v>1.1205751858953779</v>
      </c>
      <c r="M507">
        <f>model_eui_end_uses!M507*base_scenario_arch_measures!$F507</f>
        <v>0.27352238709497528</v>
      </c>
      <c r="N507">
        <f>model_eui_end_uses!N507*base_scenario_arch_measures!$F507</f>
        <v>0</v>
      </c>
      <c r="O507">
        <f>model_eui_end_uses!O507*base_scenario_arch_measures!$F507</f>
        <v>0.72581728649106658</v>
      </c>
      <c r="P507">
        <f>model_eui_end_uses!P507*base_scenario_arch_measures!$F507</f>
        <v>2.2141549688670315E-2</v>
      </c>
      <c r="Q507">
        <f>model_eui_end_uses!Q507*base_scenario_arch_measures!$F507</f>
        <v>0</v>
      </c>
      <c r="R507" s="187">
        <f>model_eui_end_uses!R507*base_building_arch_areas!$N$5</f>
        <v>0</v>
      </c>
      <c r="S507" s="187">
        <f>model_eui_end_uses!S507*base_building_arch_areas!$N$5</f>
        <v>3527191.5962910545</v>
      </c>
      <c r="T507" s="187">
        <f>model_eui_end_uses!T507*base_building_arch_areas!$N$5</f>
        <v>13105.314747336093</v>
      </c>
      <c r="U507" s="187">
        <f>model_eui_end_uses!U507*base_building_arch_areas!$N$5</f>
        <v>52682.852356120951</v>
      </c>
      <c r="V507" s="187">
        <f>model_eui_end_uses!V507*base_building_arch_areas!$N$5</f>
        <v>0</v>
      </c>
      <c r="W507" s="187">
        <f>model_eui_end_uses!W507*base_building_arch_areas!$N$5</f>
        <v>259331.3535462096</v>
      </c>
      <c r="X507" s="187">
        <f>model_eui_end_uses!X507*base_building_arch_areas!$N$5</f>
        <v>63300.465478228849</v>
      </c>
      <c r="Y507" s="187">
        <f>model_eui_end_uses!Y507*base_building_arch_areas!$N$5</f>
        <v>0</v>
      </c>
      <c r="Z507" s="187">
        <f>model_eui_end_uses!Z507*base_building_arch_areas!$N$5</f>
        <v>184802.89042339419</v>
      </c>
      <c r="AA507" s="187">
        <f>model_eui_end_uses!AA507*base_building_arch_areas!$N$5</f>
        <v>5160.0573917104148</v>
      </c>
      <c r="AB507" s="187">
        <f>model_eui_end_uses!AB507*base_building_arch_areas!$N$5</f>
        <v>0</v>
      </c>
      <c r="AC507" s="187">
        <f>model_eui_end_uses!AC507*base_building_arch_areas!$N$5</f>
        <v>4105574.5302340537</v>
      </c>
      <c r="AD507" s="187">
        <f>model_eui_end_uses!AD507*base_building_arch_areas!$N$5</f>
        <v>339435.34587855736</v>
      </c>
      <c r="AE507" s="187">
        <f>model_eui_end_uses!AE507*base_building_arch_areas!$N$5</f>
        <v>10007.228599629292</v>
      </c>
      <c r="AF507" s="187">
        <f t="shared" si="92"/>
        <v>349442.57447818667</v>
      </c>
      <c r="AG507" s="187">
        <f>model_eui_end_uses!AH507*base_building_arch_areas!$N$5</f>
        <v>5498.8526032326299</v>
      </c>
      <c r="AH507" s="187">
        <f>model_eui_end_uses!AI507*base_building_arch_areas!$N$5</f>
        <v>1130.8168317581099</v>
      </c>
      <c r="AI507" s="187">
        <f t="shared" si="93"/>
        <v>6629.6694349907393</v>
      </c>
      <c r="AJ507" s="200">
        <f>sim_annual_output!F507/sim_annual_output!H507*base_building_arch_areas!$N$5</f>
        <v>955346.5376490932</v>
      </c>
      <c r="AK507">
        <f t="shared" si="94"/>
        <v>144.10168516198843</v>
      </c>
    </row>
    <row r="508" spans="1:37">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f>model_eui_end_uses!G508*base_scenario_arch_measures!$F508</f>
        <v>0</v>
      </c>
      <c r="H508">
        <f>model_eui_end_uses!H508*base_scenario_arch_measures!$F508</f>
        <v>14.512201115415145</v>
      </c>
      <c r="I508">
        <f>model_eui_end_uses!I508*base_scenario_arch_measures!$F508</f>
        <v>9.3686016550559983E-2</v>
      </c>
      <c r="J508">
        <f>model_eui_end_uses!J508*base_scenario_arch_measures!$F508</f>
        <v>0.22764350035268549</v>
      </c>
      <c r="K508">
        <f>model_eui_end_uses!K508*base_scenario_arch_measures!$F508</f>
        <v>0</v>
      </c>
      <c r="L508">
        <f>model_eui_end_uses!L508*base_scenario_arch_measures!$F508</f>
        <v>1.1205751858953779</v>
      </c>
      <c r="M508">
        <f>model_eui_end_uses!M508*base_scenario_arch_measures!$F508</f>
        <v>0.27352238709497528</v>
      </c>
      <c r="N508">
        <f>model_eui_end_uses!N508*base_scenario_arch_measures!$F508</f>
        <v>0</v>
      </c>
      <c r="O508">
        <f>model_eui_end_uses!O508*base_scenario_arch_measures!$F508</f>
        <v>0.77096477069108804</v>
      </c>
      <c r="P508">
        <f>model_eui_end_uses!P508*base_scenario_arch_measures!$F508</f>
        <v>2.2052894835062023E-2</v>
      </c>
      <c r="Q508">
        <f>model_eui_end_uses!Q508*base_scenario_arch_measures!$F508</f>
        <v>0</v>
      </c>
      <c r="R508" s="187">
        <f>model_eui_end_uses!R508*base_building_arch_areas!$N$5</f>
        <v>0</v>
      </c>
      <c r="S508" s="187">
        <f>model_eui_end_uses!S508*base_building_arch_areas!$N$5</f>
        <v>3527191.5962910545</v>
      </c>
      <c r="T508" s="187">
        <f>model_eui_end_uses!T508*base_building_arch_areas!$N$5</f>
        <v>13105.314747336093</v>
      </c>
      <c r="U508" s="187">
        <f>model_eui_end_uses!U508*base_building_arch_areas!$N$5</f>
        <v>52682.852356120951</v>
      </c>
      <c r="V508" s="187">
        <f>model_eui_end_uses!V508*base_building_arch_areas!$N$5</f>
        <v>0</v>
      </c>
      <c r="W508" s="187">
        <f>model_eui_end_uses!W508*base_building_arch_areas!$N$5</f>
        <v>259331.3535462096</v>
      </c>
      <c r="X508" s="187">
        <f>model_eui_end_uses!X508*base_building_arch_areas!$N$5</f>
        <v>63300.465478228849</v>
      </c>
      <c r="Y508" s="187">
        <f>model_eui_end_uses!Y508*base_building_arch_areas!$N$5</f>
        <v>0</v>
      </c>
      <c r="Z508" s="187">
        <f>model_eui_end_uses!Z508*base_building_arch_areas!$N$5</f>
        <v>184802.89042339419</v>
      </c>
      <c r="AA508" s="187">
        <f>model_eui_end_uses!AA508*base_building_arch_areas!$N$5</f>
        <v>5160.0573917104148</v>
      </c>
      <c r="AB508" s="187">
        <f>model_eui_end_uses!AB508*base_building_arch_areas!$N$5</f>
        <v>0</v>
      </c>
      <c r="AC508" s="187">
        <f>model_eui_end_uses!AC508*base_building_arch_areas!$N$5</f>
        <v>4105574.5302340537</v>
      </c>
      <c r="AD508" s="187">
        <f>model_eui_end_uses!AD508*base_building_arch_areas!$N$5</f>
        <v>168676.42875387365</v>
      </c>
      <c r="AE508" s="187">
        <f>model_eui_end_uses!AE508*base_building_arch_areas!$N$5</f>
        <v>-2138.9104695260921</v>
      </c>
      <c r="AF508" s="187">
        <f t="shared" si="92"/>
        <v>166537.51828434755</v>
      </c>
      <c r="AG508" s="187">
        <f>model_eui_end_uses!AH508*base_building_arch_areas!$N$5</f>
        <v>2732.5581458127531</v>
      </c>
      <c r="AH508" s="187">
        <f>model_eui_end_uses!AI508*base_building_arch_areas!$N$5</f>
        <v>-241.69688305644846</v>
      </c>
      <c r="AI508" s="187">
        <f t="shared" si="93"/>
        <v>2490.8612627563048</v>
      </c>
      <c r="AJ508" s="200">
        <f>sim_annual_output!F508/sim_annual_output!H508*base_building_arch_areas!$N$5</f>
        <v>831843.72294849053</v>
      </c>
      <c r="AK508">
        <f t="shared" si="94"/>
        <v>333.95827193843775</v>
      </c>
    </row>
    <row r="509" spans="1:37">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f>model_eui_end_uses!G509*base_scenario_arch_measures!$F509</f>
        <v>0</v>
      </c>
      <c r="H509">
        <f>model_eui_end_uses!H509*base_scenario_arch_measures!$F509</f>
        <v>14.904299369211206</v>
      </c>
      <c r="I509">
        <f>model_eui_end_uses!I509*base_scenario_arch_measures!$F509</f>
        <v>9.0937716088703005E-2</v>
      </c>
      <c r="J509">
        <f>model_eui_end_uses!J509*base_scenario_arch_measures!$F509</f>
        <v>0.22764350035268549</v>
      </c>
      <c r="K509">
        <f>model_eui_end_uses!K509*base_scenario_arch_measures!$F509</f>
        <v>0</v>
      </c>
      <c r="L509">
        <f>model_eui_end_uses!L509*base_scenario_arch_measures!$F509</f>
        <v>1.1205751858953779</v>
      </c>
      <c r="M509">
        <f>model_eui_end_uses!M509*base_scenario_arch_measures!$F509</f>
        <v>0.27352238709497528</v>
      </c>
      <c r="N509">
        <f>model_eui_end_uses!N509*base_scenario_arch_measures!$F509</f>
        <v>0</v>
      </c>
      <c r="O509">
        <f>model_eui_end_uses!O509*base_scenario_arch_measures!$F509</f>
        <v>0.79620924025604844</v>
      </c>
      <c r="P509">
        <f>model_eui_end_uses!P509*base_scenario_arch_measures!$F509</f>
        <v>2.1897748841247518E-2</v>
      </c>
      <c r="Q509">
        <f>model_eui_end_uses!Q509*base_scenario_arch_measures!$F509</f>
        <v>0</v>
      </c>
      <c r="R509" s="187">
        <f>model_eui_end_uses!R509*base_building_arch_areas!$N$5</f>
        <v>0</v>
      </c>
      <c r="S509" s="187">
        <f>model_eui_end_uses!S509*base_building_arch_areas!$N$5</f>
        <v>3527191.5962910545</v>
      </c>
      <c r="T509" s="187">
        <f>model_eui_end_uses!T509*base_building_arch_areas!$N$5</f>
        <v>13105.314747336093</v>
      </c>
      <c r="U509" s="187">
        <f>model_eui_end_uses!U509*base_building_arch_areas!$N$5</f>
        <v>52682.852356120951</v>
      </c>
      <c r="V509" s="187">
        <f>model_eui_end_uses!V509*base_building_arch_areas!$N$5</f>
        <v>0</v>
      </c>
      <c r="W509" s="187">
        <f>model_eui_end_uses!W509*base_building_arch_areas!$N$5</f>
        <v>259331.3535462096</v>
      </c>
      <c r="X509" s="187">
        <f>model_eui_end_uses!X509*base_building_arch_areas!$N$5</f>
        <v>63300.465478228849</v>
      </c>
      <c r="Y509" s="187">
        <f>model_eui_end_uses!Y509*base_building_arch_areas!$N$5</f>
        <v>0</v>
      </c>
      <c r="Z509" s="187">
        <f>model_eui_end_uses!Z509*base_building_arch_areas!$N$5</f>
        <v>184802.89042339419</v>
      </c>
      <c r="AA509" s="187">
        <f>model_eui_end_uses!AA509*base_building_arch_areas!$N$5</f>
        <v>5160.0573917104148</v>
      </c>
      <c r="AB509" s="187">
        <f>model_eui_end_uses!AB509*base_building_arch_areas!$N$5</f>
        <v>0</v>
      </c>
      <c r="AC509" s="187">
        <f>model_eui_end_uses!AC509*base_building_arch_areas!$N$5</f>
        <v>4105574.5302340537</v>
      </c>
      <c r="AD509" s="187">
        <f>model_eui_end_uses!AD509*base_building_arch_areas!$N$5</f>
        <v>77934.30617261272</v>
      </c>
      <c r="AE509" s="187">
        <f>model_eui_end_uses!AE509*base_building_arch_areas!$N$5</f>
        <v>-7309.226424639538</v>
      </c>
      <c r="AF509" s="187">
        <f t="shared" si="92"/>
        <v>70625.079747973185</v>
      </c>
      <c r="AG509" s="187">
        <f>model_eui_end_uses!AH509*base_building_arch_areas!$N$5</f>
        <v>1262.5357599963261</v>
      </c>
      <c r="AH509" s="187">
        <f>model_eui_end_uses!AI509*base_building_arch_areas!$N$5</f>
        <v>-825.94258598426779</v>
      </c>
      <c r="AI509" s="187">
        <f t="shared" si="93"/>
        <v>436.59317401205828</v>
      </c>
      <c r="AJ509" s="200">
        <f>sim_annual_output!F509/sim_annual_output!H509*base_building_arch_areas!$N$5</f>
        <v>301998.85025165475</v>
      </c>
      <c r="AK509">
        <f t="shared" si="94"/>
        <v>691.71683898867786</v>
      </c>
    </row>
    <row r="510" spans="1:37">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f>model_eui_end_uses!G510*base_scenario_arch_measures!$F510</f>
        <v>0</v>
      </c>
      <c r="H510">
        <f>model_eui_end_uses!H510*base_scenario_arch_measures!$F510</f>
        <v>15.144487531349464</v>
      </c>
      <c r="I510">
        <f>model_eui_end_uses!I510*base_scenario_arch_measures!$F510</f>
        <v>8.987385784540354E-2</v>
      </c>
      <c r="J510">
        <f>model_eui_end_uses!J510*base_scenario_arch_measures!$F510</f>
        <v>0.22764350035268549</v>
      </c>
      <c r="K510">
        <f>model_eui_end_uses!K510*base_scenario_arch_measures!$F510</f>
        <v>0</v>
      </c>
      <c r="L510">
        <f>model_eui_end_uses!L510*base_scenario_arch_measures!$F510</f>
        <v>1.1205751858953779</v>
      </c>
      <c r="M510">
        <f>model_eui_end_uses!M510*base_scenario_arch_measures!$F510</f>
        <v>0.27352238709497528</v>
      </c>
      <c r="N510">
        <f>model_eui_end_uses!N510*base_scenario_arch_measures!$F510</f>
        <v>0</v>
      </c>
      <c r="O510">
        <f>model_eui_end_uses!O510*base_scenario_arch_measures!$F510</f>
        <v>0.80671484040863084</v>
      </c>
      <c r="P510">
        <f>model_eui_end_uses!P510*base_scenario_arch_measures!$F510</f>
        <v>2.1964239981453738E-2</v>
      </c>
      <c r="Q510">
        <f>model_eui_end_uses!Q510*base_scenario_arch_measures!$F510</f>
        <v>0</v>
      </c>
      <c r="R510" s="187">
        <f>model_eui_end_uses!R510*base_building_arch_areas!$N$5</f>
        <v>0</v>
      </c>
      <c r="S510" s="187">
        <f>model_eui_end_uses!S510*base_building_arch_areas!$N$5</f>
        <v>3527191.5962910545</v>
      </c>
      <c r="T510" s="187">
        <f>model_eui_end_uses!T510*base_building_arch_areas!$N$5</f>
        <v>13105.314747336093</v>
      </c>
      <c r="U510" s="187">
        <f>model_eui_end_uses!U510*base_building_arch_areas!$N$5</f>
        <v>52682.852356120951</v>
      </c>
      <c r="V510" s="187">
        <f>model_eui_end_uses!V510*base_building_arch_areas!$N$5</f>
        <v>0</v>
      </c>
      <c r="W510" s="187">
        <f>model_eui_end_uses!W510*base_building_arch_areas!$N$5</f>
        <v>259331.3535462096</v>
      </c>
      <c r="X510" s="187">
        <f>model_eui_end_uses!X510*base_building_arch_areas!$N$5</f>
        <v>63300.465478228849</v>
      </c>
      <c r="Y510" s="187">
        <f>model_eui_end_uses!Y510*base_building_arch_areas!$N$5</f>
        <v>0</v>
      </c>
      <c r="Z510" s="187">
        <f>model_eui_end_uses!Z510*base_building_arch_areas!$N$5</f>
        <v>184802.89042339419</v>
      </c>
      <c r="AA510" s="187">
        <f>model_eui_end_uses!AA510*base_building_arch_areas!$N$5</f>
        <v>5160.0573917104148</v>
      </c>
      <c r="AB510" s="187">
        <f>model_eui_end_uses!AB510*base_building_arch_areas!$N$5</f>
        <v>0</v>
      </c>
      <c r="AC510" s="187">
        <f>model_eui_end_uses!AC510*base_building_arch_areas!$N$5</f>
        <v>4105574.5302340537</v>
      </c>
      <c r="AD510" s="187">
        <f>model_eui_end_uses!AD510*base_building_arch_areas!$N$5</f>
        <v>22348.280373441878</v>
      </c>
      <c r="AE510" s="187">
        <f>model_eui_end_uses!AE510*base_building_arch_areas!$N$5</f>
        <v>-9509.688274583541</v>
      </c>
      <c r="AF510" s="187">
        <f t="shared" si="92"/>
        <v>12838.592098858337</v>
      </c>
      <c r="AG510" s="187">
        <f>model_eui_end_uses!AH510*base_building_arch_areas!$N$5</f>
        <v>362.04214204975841</v>
      </c>
      <c r="AH510" s="187">
        <f>model_eui_end_uses!AI510*base_building_arch_areas!$N$5</f>
        <v>-1074.5947750279402</v>
      </c>
      <c r="AI510" s="187">
        <f t="shared" si="93"/>
        <v>-712.55263297818169</v>
      </c>
      <c r="AJ510" s="200">
        <f>sim_annual_output!F510/sim_annual_output!H510*base_building_arch_areas!$N$5</f>
        <v>2754.0486569235341</v>
      </c>
      <c r="AK510">
        <f t="shared" si="94"/>
        <v>-3.865045934098545</v>
      </c>
    </row>
    <row r="511" spans="1:37">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f>model_eui_end_uses!G511*base_scenario_arch_measures!$F511</f>
        <v>0</v>
      </c>
      <c r="H511">
        <f>model_eui_end_uses!H511*base_scenario_arch_measures!$F511</f>
        <v>15.144199403075238</v>
      </c>
      <c r="I511">
        <f>model_eui_end_uses!I511*base_scenario_arch_measures!$F511</f>
        <v>9.0073331266022183E-2</v>
      </c>
      <c r="J511">
        <f>model_eui_end_uses!J511*base_scenario_arch_measures!$F511</f>
        <v>0.22764350035268549</v>
      </c>
      <c r="K511">
        <f>model_eui_end_uses!K511*base_scenario_arch_measures!$F511</f>
        <v>0</v>
      </c>
      <c r="L511">
        <f>model_eui_end_uses!L511*base_scenario_arch_measures!$F511</f>
        <v>1.1205751858953779</v>
      </c>
      <c r="M511">
        <f>model_eui_end_uses!M511*base_scenario_arch_measures!$F511</f>
        <v>0.27352238709497528</v>
      </c>
      <c r="N511">
        <f>model_eui_end_uses!N511*base_scenario_arch_measures!$F511</f>
        <v>0</v>
      </c>
      <c r="O511">
        <f>model_eui_end_uses!O511*base_scenario_arch_measures!$F511</f>
        <v>0.8073132606704867</v>
      </c>
      <c r="P511">
        <f>model_eui_end_uses!P511*base_scenario_arch_measures!$F511</f>
        <v>2.198640369485581E-2</v>
      </c>
      <c r="Q511">
        <f>model_eui_end_uses!Q511*base_scenario_arch_measures!$F511</f>
        <v>0</v>
      </c>
      <c r="R511" s="187">
        <f>model_eui_end_uses!R511*base_building_arch_areas!$N$5</f>
        <v>0</v>
      </c>
      <c r="S511" s="187">
        <f>model_eui_end_uses!S511*base_building_arch_areas!$N$5</f>
        <v>3527191.5962910545</v>
      </c>
      <c r="T511" s="187">
        <f>model_eui_end_uses!T511*base_building_arch_areas!$N$5</f>
        <v>13105.314747336093</v>
      </c>
      <c r="U511" s="187">
        <f>model_eui_end_uses!U511*base_building_arch_areas!$N$5</f>
        <v>52682.852356120951</v>
      </c>
      <c r="V511" s="187">
        <f>model_eui_end_uses!V511*base_building_arch_areas!$N$5</f>
        <v>0</v>
      </c>
      <c r="W511" s="187">
        <f>model_eui_end_uses!W511*base_building_arch_areas!$N$5</f>
        <v>259331.3535462096</v>
      </c>
      <c r="X511" s="187">
        <f>model_eui_end_uses!X511*base_building_arch_areas!$N$5</f>
        <v>63300.465478228849</v>
      </c>
      <c r="Y511" s="187">
        <f>model_eui_end_uses!Y511*base_building_arch_areas!$N$5</f>
        <v>0</v>
      </c>
      <c r="Z511" s="187">
        <f>model_eui_end_uses!Z511*base_building_arch_areas!$N$5</f>
        <v>184802.89042339419</v>
      </c>
      <c r="AA511" s="187">
        <f>model_eui_end_uses!AA511*base_building_arch_areas!$N$5</f>
        <v>5160.0573917104148</v>
      </c>
      <c r="AB511" s="187">
        <f>model_eui_end_uses!AB511*base_building_arch_areas!$N$5</f>
        <v>0</v>
      </c>
      <c r="AC511" s="187">
        <f>model_eui_end_uses!AC511*base_building_arch_areas!$N$5</f>
        <v>4105574.5302340537</v>
      </c>
      <c r="AD511" s="187">
        <f>model_eui_end_uses!AD511*base_building_arch_areas!$N$5</f>
        <v>22414.961035561188</v>
      </c>
      <c r="AE511" s="187">
        <f>model_eui_end_uses!AE511*base_building_arch_areas!$N$5</f>
        <v>-9699.4716975390584</v>
      </c>
      <c r="AF511" s="187">
        <f t="shared" si="92"/>
        <v>12715.489338022129</v>
      </c>
      <c r="AG511" s="187">
        <f>model_eui_end_uses!AH511*base_building_arch_areas!$N$5</f>
        <v>363.12236877609121</v>
      </c>
      <c r="AH511" s="187">
        <f>model_eui_end_uses!AI511*base_building_arch_areas!$N$5</f>
        <v>-1096.0403018219135</v>
      </c>
      <c r="AI511" s="187">
        <f t="shared" si="93"/>
        <v>-732.91793304582234</v>
      </c>
      <c r="AJ511" s="200">
        <f>sim_annual_output!F511/sim_annual_output!H511*base_building_arch_areas!$N$5</f>
        <v>13814.053590898577</v>
      </c>
      <c r="AK511">
        <f t="shared" si="94"/>
        <v>-18.848022361099623</v>
      </c>
    </row>
    <row r="512" spans="1:37">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f>model_eui_end_uses!G512*base_scenario_arch_measures!$F512</f>
        <v>0</v>
      </c>
      <c r="H512">
        <f>model_eui_end_uses!H512*base_scenario_arch_measures!$F512</f>
        <v>12.924281868723668</v>
      </c>
      <c r="I512">
        <f>model_eui_end_uses!I512*base_scenario_arch_measures!$F512</f>
        <v>0.10306126731963661</v>
      </c>
      <c r="J512">
        <f>model_eui_end_uses!J512*base_scenario_arch_measures!$F512</f>
        <v>0.22764350035268549</v>
      </c>
      <c r="K512">
        <f>model_eui_end_uses!K512*base_scenario_arch_measures!$F512</f>
        <v>0</v>
      </c>
      <c r="L512">
        <f>model_eui_end_uses!L512*base_scenario_arch_measures!$F512</f>
        <v>1.1205751858953779</v>
      </c>
      <c r="M512">
        <f>model_eui_end_uses!M512*base_scenario_arch_measures!$F512</f>
        <v>0.27352238709497528</v>
      </c>
      <c r="N512">
        <f>model_eui_end_uses!N512*base_scenario_arch_measures!$F512</f>
        <v>0</v>
      </c>
      <c r="O512">
        <f>model_eui_end_uses!O512*base_scenario_arch_measures!$F512</f>
        <v>0.80706945982306388</v>
      </c>
      <c r="P512">
        <f>model_eui_end_uses!P512*base_scenario_arch_measures!$F512</f>
        <v>1.8063426422688995E-2</v>
      </c>
      <c r="Q512">
        <f>model_eui_end_uses!Q512*base_scenario_arch_measures!$F512</f>
        <v>3.4952176035068151E-2</v>
      </c>
      <c r="R512" s="187">
        <f>model_eui_end_uses!R512*base_building_arch_areas!$N$5</f>
        <v>0</v>
      </c>
      <c r="S512" s="187">
        <f>model_eui_end_uses!S512*base_building_arch_areas!$N$5</f>
        <v>3527191.5962910545</v>
      </c>
      <c r="T512" s="187">
        <f>model_eui_end_uses!T512*base_building_arch_areas!$N$5</f>
        <v>13105.314747336093</v>
      </c>
      <c r="U512" s="187">
        <f>model_eui_end_uses!U512*base_building_arch_areas!$N$5</f>
        <v>52682.852356120951</v>
      </c>
      <c r="V512" s="187">
        <f>model_eui_end_uses!V512*base_building_arch_areas!$N$5</f>
        <v>0</v>
      </c>
      <c r="W512" s="187">
        <f>model_eui_end_uses!W512*base_building_arch_areas!$N$5</f>
        <v>259331.3535462096</v>
      </c>
      <c r="X512" s="187">
        <f>model_eui_end_uses!X512*base_building_arch_areas!$N$5</f>
        <v>63300.465478228849</v>
      </c>
      <c r="Y512" s="187">
        <f>model_eui_end_uses!Y512*base_building_arch_areas!$N$5</f>
        <v>0</v>
      </c>
      <c r="Z512" s="187">
        <f>model_eui_end_uses!Z512*base_building_arch_areas!$N$5</f>
        <v>184802.89042339419</v>
      </c>
      <c r="AA512" s="187">
        <f>model_eui_end_uses!AA512*base_building_arch_areas!$N$5</f>
        <v>5160.0573917104148</v>
      </c>
      <c r="AB512" s="187">
        <f>model_eui_end_uses!AB512*base_building_arch_areas!$N$5</f>
        <v>0</v>
      </c>
      <c r="AC512" s="187">
        <f>model_eui_end_uses!AC512*base_building_arch_areas!$N$5</f>
        <v>4105574.5302340537</v>
      </c>
      <c r="AD512" s="187">
        <f>model_eui_end_uses!AD512*base_building_arch_areas!$N$5</f>
        <v>536163.816257942</v>
      </c>
      <c r="AE512" s="187">
        <f>model_eui_end_uses!AE512*base_building_arch_areas!$N$5</f>
        <v>-19829.803058004269</v>
      </c>
      <c r="AF512" s="187">
        <f t="shared" si="92"/>
        <v>516334.01319993776</v>
      </c>
      <c r="AG512" s="187">
        <f>model_eui_end_uses!AH512*base_building_arch_areas!$N$5</f>
        <v>8685.8538233786603</v>
      </c>
      <c r="AH512" s="187">
        <f>model_eui_end_uses!AI512*base_building_arch_areas!$N$5</f>
        <v>-2240.7677455544822</v>
      </c>
      <c r="AI512" s="187">
        <f t="shared" si="93"/>
        <v>6445.0860778241786</v>
      </c>
      <c r="AJ512" s="200">
        <f>sim_annual_output!F512/sim_annual_output!H512*base_building_arch_areas!$N$5</f>
        <v>464390.67619687441</v>
      </c>
      <c r="AK512">
        <f t="shared" si="94"/>
        <v>72.053448253347426</v>
      </c>
    </row>
    <row r="513" spans="1:37">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f>model_eui_end_uses!G513*base_scenario_arch_measures!$F513</f>
        <v>0</v>
      </c>
      <c r="H513">
        <f>model_eui_end_uses!H513*base_scenario_arch_measures!$F513</f>
        <v>8.3731849587421223</v>
      </c>
      <c r="I513">
        <f>model_eui_end_uses!I513*base_scenario_arch_measures!$F513</f>
        <v>0.14807576923924562</v>
      </c>
      <c r="J513">
        <f>model_eui_end_uses!J513*base_scenario_arch_measures!$F513</f>
        <v>0.22764350035268549</v>
      </c>
      <c r="K513">
        <f>model_eui_end_uses!K513*base_scenario_arch_measures!$F513</f>
        <v>0</v>
      </c>
      <c r="L513">
        <f>model_eui_end_uses!L513*base_scenario_arch_measures!$F513</f>
        <v>1.1205751858953779</v>
      </c>
      <c r="M513">
        <f>model_eui_end_uses!M513*base_scenario_arch_measures!$F513</f>
        <v>0.27352238709497528</v>
      </c>
      <c r="N513">
        <f>model_eui_end_uses!N513*base_scenario_arch_measures!$F513</f>
        <v>0</v>
      </c>
      <c r="O513">
        <f>model_eui_end_uses!O513*base_scenario_arch_measures!$F513</f>
        <v>0.48886502650951064</v>
      </c>
      <c r="P513">
        <f>model_eui_end_uses!P513*base_scenario_arch_measures!$F513</f>
        <v>1.9304594373205048E-2</v>
      </c>
      <c r="Q513">
        <f>model_eui_end_uses!Q513*base_scenario_arch_measures!$F513</f>
        <v>0</v>
      </c>
      <c r="R513" s="187">
        <f>model_eui_end_uses!R513*base_building_arch_areas!$N$5</f>
        <v>0</v>
      </c>
      <c r="S513" s="187">
        <f>model_eui_end_uses!S513*base_building_arch_areas!$N$5</f>
        <v>3527191.5962910545</v>
      </c>
      <c r="T513" s="187">
        <f>model_eui_end_uses!T513*base_building_arch_areas!$N$5</f>
        <v>13105.314747336093</v>
      </c>
      <c r="U513" s="187">
        <f>model_eui_end_uses!U513*base_building_arch_areas!$N$5</f>
        <v>52682.852356120951</v>
      </c>
      <c r="V513" s="187">
        <f>model_eui_end_uses!V513*base_building_arch_areas!$N$5</f>
        <v>0</v>
      </c>
      <c r="W513" s="187">
        <f>model_eui_end_uses!W513*base_building_arch_areas!$N$5</f>
        <v>259331.3535462096</v>
      </c>
      <c r="X513" s="187">
        <f>model_eui_end_uses!X513*base_building_arch_areas!$N$5</f>
        <v>63300.465478228849</v>
      </c>
      <c r="Y513" s="187">
        <f>model_eui_end_uses!Y513*base_building_arch_areas!$N$5</f>
        <v>0</v>
      </c>
      <c r="Z513" s="187">
        <f>model_eui_end_uses!Z513*base_building_arch_areas!$N$5</f>
        <v>184802.89042339419</v>
      </c>
      <c r="AA513" s="187">
        <f>model_eui_end_uses!AA513*base_building_arch_areas!$N$5</f>
        <v>5160.0573917104148</v>
      </c>
      <c r="AB513" s="187">
        <f>model_eui_end_uses!AB513*base_building_arch_areas!$N$5</f>
        <v>0</v>
      </c>
      <c r="AC513" s="187">
        <f>model_eui_end_uses!AC513*base_building_arch_areas!$N$5</f>
        <v>4105574.5302340537</v>
      </c>
      <c r="AD513" s="187">
        <f>model_eui_end_uses!AD513*base_building_arch_areas!$N$5</f>
        <v>1589410.5208442409</v>
      </c>
      <c r="AE513" s="187">
        <f>model_eui_end_uses!AE513*base_building_arch_areas!$N$5</f>
        <v>51195.360662685627</v>
      </c>
      <c r="AF513" s="187">
        <f t="shared" si="92"/>
        <v>1640605.8815069266</v>
      </c>
      <c r="AG513" s="187">
        <f>model_eui_end_uses!AH513*base_building_arch_areas!$N$5</f>
        <v>25748.4504376767</v>
      </c>
      <c r="AH513" s="187">
        <f>model_eui_end_uses!AI513*base_building_arch_areas!$N$5</f>
        <v>5785.0757548834754</v>
      </c>
      <c r="AI513" s="187">
        <f t="shared" si="93"/>
        <v>31533.526192560174</v>
      </c>
      <c r="AJ513" s="200">
        <f>sim_annual_output!F513/sim_annual_output!H513*base_building_arch_areas!$N$5</f>
        <v>212660.43727353823</v>
      </c>
      <c r="AK513">
        <f t="shared" si="94"/>
        <v>6.7439472507743847</v>
      </c>
    </row>
    <row r="514" spans="1:37">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f>model_eui_end_uses!G514*base_scenario_arch_measures!$F514</f>
        <v>0</v>
      </c>
      <c r="H514">
        <f>model_eui_end_uses!H514*base_scenario_arch_measures!$F514</f>
        <v>7.1205362046837957</v>
      </c>
      <c r="I514">
        <f>model_eui_end_uses!I514*base_scenario_arch_measures!$F514</f>
        <v>0.12748567948872036</v>
      </c>
      <c r="J514">
        <f>model_eui_end_uses!J514*base_scenario_arch_measures!$F514</f>
        <v>0.22764350035268549</v>
      </c>
      <c r="K514">
        <f>model_eui_end_uses!K514*base_scenario_arch_measures!$F514</f>
        <v>0</v>
      </c>
      <c r="L514">
        <f>model_eui_end_uses!L514*base_scenario_arch_measures!$F514</f>
        <v>1.1205751858953779</v>
      </c>
      <c r="M514">
        <f>model_eui_end_uses!M514*base_scenario_arch_measures!$F514</f>
        <v>0.27352238709497528</v>
      </c>
      <c r="N514">
        <f>model_eui_end_uses!N514*base_scenario_arch_measures!$F514</f>
        <v>0</v>
      </c>
      <c r="O514">
        <f>model_eui_end_uses!O514*base_scenario_arch_measures!$F514</f>
        <v>0.61821245792400525</v>
      </c>
      <c r="P514">
        <f>model_eui_end_uses!P514*base_scenario_arch_measures!$F514</f>
        <v>1.0882383280417542E-2</v>
      </c>
      <c r="Q514">
        <f>model_eui_end_uses!Q514*base_scenario_arch_measures!$F514</f>
        <v>0</v>
      </c>
      <c r="R514" s="187">
        <f>model_eui_end_uses!R514*base_building_arch_areas!$N$5</f>
        <v>0</v>
      </c>
      <c r="S514" s="187">
        <f>model_eui_end_uses!S514*base_building_arch_areas!$N$5</f>
        <v>3527191.5962910545</v>
      </c>
      <c r="T514" s="187">
        <f>model_eui_end_uses!T514*base_building_arch_areas!$N$5</f>
        <v>13105.314747336093</v>
      </c>
      <c r="U514" s="187">
        <f>model_eui_end_uses!U514*base_building_arch_areas!$N$5</f>
        <v>52682.852356120951</v>
      </c>
      <c r="V514" s="187">
        <f>model_eui_end_uses!V514*base_building_arch_areas!$N$5</f>
        <v>0</v>
      </c>
      <c r="W514" s="187">
        <f>model_eui_end_uses!W514*base_building_arch_areas!$N$5</f>
        <v>259331.3535462096</v>
      </c>
      <c r="X514" s="187">
        <f>model_eui_end_uses!X514*base_building_arch_areas!$N$5</f>
        <v>63300.465478228849</v>
      </c>
      <c r="Y514" s="187">
        <f>model_eui_end_uses!Y514*base_building_arch_areas!$N$5</f>
        <v>0</v>
      </c>
      <c r="Z514" s="187">
        <f>model_eui_end_uses!Z514*base_building_arch_areas!$N$5</f>
        <v>184802.89042339419</v>
      </c>
      <c r="AA514" s="187">
        <f>model_eui_end_uses!AA514*base_building_arch_areas!$N$5</f>
        <v>5160.0573917104148</v>
      </c>
      <c r="AB514" s="187">
        <f>model_eui_end_uses!AB514*base_building_arch_areas!$N$5</f>
        <v>0</v>
      </c>
      <c r="AC514" s="187">
        <f>model_eui_end_uses!AC514*base_building_arch_areas!$N$5</f>
        <v>4105574.5302340537</v>
      </c>
      <c r="AD514" s="187">
        <f>model_eui_end_uses!AD514*base_building_arch_areas!$N$5</f>
        <v>1879307.2640496974</v>
      </c>
      <c r="AE514" s="187">
        <f>model_eui_end_uses!AE514*base_building_arch_areas!$N$5</f>
        <v>27975.102399988649</v>
      </c>
      <c r="AF514" s="187">
        <f t="shared" si="92"/>
        <v>1907282.366449686</v>
      </c>
      <c r="AG514" s="187">
        <f>model_eui_end_uses!AH514*base_building_arch_areas!$N$5</f>
        <v>30444.7776776051</v>
      </c>
      <c r="AH514" s="187">
        <f>model_eui_end_uses!AI514*base_building_arch_areas!$N$5</f>
        <v>3161.1865711987175</v>
      </c>
      <c r="AI514" s="187">
        <f t="shared" si="93"/>
        <v>33605.964248803815</v>
      </c>
      <c r="AJ514" s="200">
        <f>sim_annual_output!F514/sim_annual_output!H514*base_building_arch_areas!$N$5</f>
        <v>249407.20166521656</v>
      </c>
      <c r="AK514">
        <f t="shared" si="94"/>
        <v>7.4215160088463783</v>
      </c>
    </row>
    <row r="515" spans="1:37">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f>model_eui_end_uses!G515*base_scenario_arch_measures!$F515</f>
        <v>0</v>
      </c>
      <c r="H515">
        <f>model_eui_end_uses!H515*base_scenario_arch_measures!$F515</f>
        <v>15.581201340223899</v>
      </c>
      <c r="I515">
        <f>model_eui_end_uses!I515*base_scenario_arch_measures!$F515</f>
        <v>5.7138053150542614E-2</v>
      </c>
      <c r="J515">
        <f>model_eui_end_uses!J515*base_scenario_arch_measures!$F515</f>
        <v>0.22764350035268549</v>
      </c>
      <c r="K515">
        <f>model_eui_end_uses!K515*base_scenario_arch_measures!$F515</f>
        <v>0</v>
      </c>
      <c r="L515">
        <f>model_eui_end_uses!L515*base_scenario_arch_measures!$F515</f>
        <v>0.78439598101274388</v>
      </c>
      <c r="M515">
        <f>model_eui_end_uses!M515*base_scenario_arch_measures!$F515</f>
        <v>0.27352238709497528</v>
      </c>
      <c r="N515">
        <f>model_eui_end_uses!N515*base_scenario_arch_measures!$F515</f>
        <v>0</v>
      </c>
      <c r="O515">
        <f>model_eui_end_uses!O515*base_scenario_arch_measures!$F515</f>
        <v>0.80445414164161944</v>
      </c>
      <c r="P515">
        <f>model_eui_end_uses!P515*base_scenario_arch_measures!$F515</f>
        <v>2.2695642523722123E-2</v>
      </c>
      <c r="Q515">
        <f>model_eui_end_uses!Q515*base_scenario_arch_measures!$F515</f>
        <v>0</v>
      </c>
      <c r="R515" s="187">
        <f>model_eui_end_uses!R515*base_building_arch_areas!$N$5</f>
        <v>0</v>
      </c>
      <c r="S515" s="187">
        <f>model_eui_end_uses!S515*base_building_arch_areas!$N$5</f>
        <v>3527191.5962910545</v>
      </c>
      <c r="T515" s="187">
        <f>model_eui_end_uses!T515*base_building_arch_areas!$N$5</f>
        <v>13105.314747336093</v>
      </c>
      <c r="U515" s="187">
        <f>model_eui_end_uses!U515*base_building_arch_areas!$N$5</f>
        <v>52682.852356120951</v>
      </c>
      <c r="V515" s="187">
        <f>model_eui_end_uses!V515*base_building_arch_areas!$N$5</f>
        <v>0</v>
      </c>
      <c r="W515" s="187">
        <f>model_eui_end_uses!W515*base_building_arch_areas!$N$5</f>
        <v>259331.3535462096</v>
      </c>
      <c r="X515" s="187">
        <f>model_eui_end_uses!X515*base_building_arch_areas!$N$5</f>
        <v>63300.465478228849</v>
      </c>
      <c r="Y515" s="187">
        <f>model_eui_end_uses!Y515*base_building_arch_areas!$N$5</f>
        <v>0</v>
      </c>
      <c r="Z515" s="187">
        <f>model_eui_end_uses!Z515*base_building_arch_areas!$N$5</f>
        <v>184802.89042339419</v>
      </c>
      <c r="AA515" s="187">
        <f>model_eui_end_uses!AA515*base_building_arch_areas!$N$5</f>
        <v>5160.0573917104148</v>
      </c>
      <c r="AB515" s="187">
        <f>model_eui_end_uses!AB515*base_building_arch_areas!$N$5</f>
        <v>0</v>
      </c>
      <c r="AC515" s="187">
        <f>model_eui_end_uses!AC515*base_building_arch_areas!$N$5</f>
        <v>4105574.5302340537</v>
      </c>
      <c r="AD515" s="187">
        <f>model_eui_end_uses!AD515*base_building_arch_areas!$N$5</f>
        <v>-78719.086272941757</v>
      </c>
      <c r="AE515" s="187">
        <f>model_eui_end_uses!AE515*base_building_arch_areas!$N$5</f>
        <v>76221.126084310905</v>
      </c>
      <c r="AF515" s="187">
        <f t="shared" si="92"/>
        <v>-2497.9601886308519</v>
      </c>
      <c r="AG515" s="187">
        <f>model_eui_end_uses!AH515*base_building_arch_areas!$N$5</f>
        <v>-1275.2491976216563</v>
      </c>
      <c r="AH515" s="187">
        <f>model_eui_end_uses!AI515*base_building_arch_areas!$N$5</f>
        <v>8612.9872475271313</v>
      </c>
      <c r="AI515" s="187">
        <f t="shared" si="93"/>
        <v>7337.7380499054752</v>
      </c>
      <c r="AJ515" s="200">
        <f>sim_annual_output!F515/sim_annual_output!H515*base_building_arch_areas!$N$5</f>
        <v>292766.95214705006</v>
      </c>
      <c r="AK515">
        <f t="shared" si="94"/>
        <v>39.898801259445541</v>
      </c>
    </row>
    <row r="516" spans="1:37">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f>model_eui_end_uses!G516*base_scenario_arch_measures!$F516</f>
        <v>0</v>
      </c>
      <c r="H516">
        <f>model_eui_end_uses!H516*base_scenario_arch_measures!$F516</f>
        <v>4.3999847120062157</v>
      </c>
      <c r="I516">
        <f>model_eui_end_uses!I516*base_scenario_arch_measures!$F516</f>
        <v>0.12748567948872036</v>
      </c>
      <c r="J516">
        <f>model_eui_end_uses!J516*base_scenario_arch_measures!$F516</f>
        <v>0.22764350035268549</v>
      </c>
      <c r="K516">
        <f>model_eui_end_uses!K516*base_scenario_arch_measures!$F516</f>
        <v>0</v>
      </c>
      <c r="L516">
        <f>model_eui_end_uses!L516*base_scenario_arch_measures!$F516</f>
        <v>1.1205751858953779</v>
      </c>
      <c r="M516">
        <f>model_eui_end_uses!M516*base_scenario_arch_measures!$F516</f>
        <v>0.27352238709497528</v>
      </c>
      <c r="N516">
        <f>model_eui_end_uses!N516*base_scenario_arch_measures!$F516</f>
        <v>0</v>
      </c>
      <c r="O516">
        <f>model_eui_end_uses!O516*base_scenario_arch_measures!$F516</f>
        <v>0.61821245792400525</v>
      </c>
      <c r="P516">
        <f>model_eui_end_uses!P516*base_scenario_arch_measures!$F516</f>
        <v>1.0882383280417542E-2</v>
      </c>
      <c r="Q516">
        <f>model_eui_end_uses!Q516*base_scenario_arch_measures!$F516</f>
        <v>0</v>
      </c>
      <c r="R516" s="187">
        <f>model_eui_end_uses!R516*base_building_arch_areas!$N$5</f>
        <v>0</v>
      </c>
      <c r="S516" s="187">
        <f>model_eui_end_uses!S516*base_building_arch_areas!$N$5</f>
        <v>3527191.5962910545</v>
      </c>
      <c r="T516" s="187">
        <f>model_eui_end_uses!T516*base_building_arch_areas!$N$5</f>
        <v>13105.314747336093</v>
      </c>
      <c r="U516" s="187">
        <f>model_eui_end_uses!U516*base_building_arch_areas!$N$5</f>
        <v>52682.852356120951</v>
      </c>
      <c r="V516" s="187">
        <f>model_eui_end_uses!V516*base_building_arch_areas!$N$5</f>
        <v>0</v>
      </c>
      <c r="W516" s="187">
        <f>model_eui_end_uses!W516*base_building_arch_areas!$N$5</f>
        <v>259331.3535462096</v>
      </c>
      <c r="X516" s="187">
        <f>model_eui_end_uses!X516*base_building_arch_areas!$N$5</f>
        <v>63300.465478228849</v>
      </c>
      <c r="Y516" s="187">
        <f>model_eui_end_uses!Y516*base_building_arch_areas!$N$5</f>
        <v>0</v>
      </c>
      <c r="Z516" s="187">
        <f>model_eui_end_uses!Z516*base_building_arch_areas!$N$5</f>
        <v>184802.89042339419</v>
      </c>
      <c r="AA516" s="187">
        <f>model_eui_end_uses!AA516*base_building_arch_areas!$N$5</f>
        <v>5160.0573917104148</v>
      </c>
      <c r="AB516" s="187">
        <f>model_eui_end_uses!AB516*base_building_arch_areas!$N$5</f>
        <v>0</v>
      </c>
      <c r="AC516" s="187">
        <f>model_eui_end_uses!AC516*base_building_arch_areas!$N$5</f>
        <v>4105574.5302340537</v>
      </c>
      <c r="AD516" s="187">
        <f>model_eui_end_uses!AD516*base_building_arch_areas!$N$5</f>
        <v>2508916.3343455922</v>
      </c>
      <c r="AE516" s="187">
        <f>model_eui_end_uses!AE516*base_building_arch_areas!$N$5</f>
        <v>27975.102399988649</v>
      </c>
      <c r="AF516" s="187">
        <f t="shared" si="92"/>
        <v>2536891.4367455808</v>
      </c>
      <c r="AG516" s="187">
        <f>model_eui_end_uses!AH516*base_building_arch_areas!$N$5</f>
        <v>40644.444616398592</v>
      </c>
      <c r="AH516" s="187">
        <f>model_eui_end_uses!AI516*base_building_arch_areas!$N$5</f>
        <v>3161.1865711987175</v>
      </c>
      <c r="AI516" s="187">
        <f t="shared" si="93"/>
        <v>43805.631187597312</v>
      </c>
      <c r="AJ516" s="200">
        <f>sim_annual_output!F516/sim_annual_output!H516*base_building_arch_areas!$N$5</f>
        <v>249407.20166521656</v>
      </c>
      <c r="AK516">
        <f t="shared" si="94"/>
        <v>5.6934963588843628</v>
      </c>
    </row>
    <row r="517" spans="1:37">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f>model_eui_end_uses!G517*base_scenario_arch_measures!$F517</f>
        <v>0</v>
      </c>
      <c r="H517">
        <f>model_eui_end_uses!H517*base_scenario_arch_measures!$F517</f>
        <v>13.58363017872192</v>
      </c>
      <c r="I517">
        <f>model_eui_end_uses!I517*base_scenario_arch_measures!$F517</f>
        <v>7.163312171549796E-2</v>
      </c>
      <c r="J517">
        <f>model_eui_end_uses!J517*base_scenario_arch_measures!$F517</f>
        <v>0.22764350035268549</v>
      </c>
      <c r="K517">
        <f>model_eui_end_uses!K517*base_scenario_arch_measures!$F517</f>
        <v>0</v>
      </c>
      <c r="L517">
        <f>model_eui_end_uses!L517*base_scenario_arch_measures!$F517</f>
        <v>1.1205751858953779</v>
      </c>
      <c r="M517">
        <f>model_eui_end_uses!M517*base_scenario_arch_measures!$F517</f>
        <v>0.27352238709497528</v>
      </c>
      <c r="N517">
        <f>model_eui_end_uses!N517*base_scenario_arch_measures!$F517</f>
        <v>0</v>
      </c>
      <c r="O517">
        <f>model_eui_end_uses!O517*base_scenario_arch_measures!$F517</f>
        <v>0.81114758308904522</v>
      </c>
      <c r="P517">
        <f>model_eui_end_uses!P517*base_scenario_arch_measures!$F517</f>
        <v>1.7775298148462054E-2</v>
      </c>
      <c r="Q517">
        <f>model_eui_end_uses!Q517*base_scenario_arch_measures!$F517</f>
        <v>0</v>
      </c>
      <c r="R517" s="187">
        <f>model_eui_end_uses!R517*base_building_arch_areas!$N$5</f>
        <v>0</v>
      </c>
      <c r="S517" s="187">
        <f>model_eui_end_uses!S517*base_building_arch_areas!$N$5</f>
        <v>3527191.5962910545</v>
      </c>
      <c r="T517" s="187">
        <f>model_eui_end_uses!T517*base_building_arch_areas!$N$5</f>
        <v>13105.314747336093</v>
      </c>
      <c r="U517" s="187">
        <f>model_eui_end_uses!U517*base_building_arch_areas!$N$5</f>
        <v>52682.852356120951</v>
      </c>
      <c r="V517" s="187">
        <f>model_eui_end_uses!V517*base_building_arch_areas!$N$5</f>
        <v>0</v>
      </c>
      <c r="W517" s="187">
        <f>model_eui_end_uses!W517*base_building_arch_areas!$N$5</f>
        <v>259331.3535462096</v>
      </c>
      <c r="X517" s="187">
        <f>model_eui_end_uses!X517*base_building_arch_areas!$N$5</f>
        <v>63300.465478228849</v>
      </c>
      <c r="Y517" s="187">
        <f>model_eui_end_uses!Y517*base_building_arch_areas!$N$5</f>
        <v>0</v>
      </c>
      <c r="Z517" s="187">
        <f>model_eui_end_uses!Z517*base_building_arch_areas!$N$5</f>
        <v>184802.89042339419</v>
      </c>
      <c r="AA517" s="187">
        <f>model_eui_end_uses!AA517*base_building_arch_areas!$N$5</f>
        <v>5160.0573917104148</v>
      </c>
      <c r="AB517" s="187">
        <f>model_eui_end_uses!AB517*base_building_arch_areas!$N$5</f>
        <v>0</v>
      </c>
      <c r="AC517" s="187">
        <f>model_eui_end_uses!AC517*base_building_arch_areas!$N$5</f>
        <v>4105574.5302340537</v>
      </c>
      <c r="AD517" s="187">
        <f>model_eui_end_uses!AD517*base_building_arch_areas!$N$5</f>
        <v>383572.81491997658</v>
      </c>
      <c r="AE517" s="187">
        <f>model_eui_end_uses!AE517*base_building_arch_areas!$N$5</f>
        <v>-5344.7115329643875</v>
      </c>
      <c r="AF517" s="187">
        <f t="shared" si="92"/>
        <v>378228.1033870122</v>
      </c>
      <c r="AG517" s="187">
        <f>model_eui_end_uses!AH517*base_building_arch_areas!$N$5</f>
        <v>6213.8796017036202</v>
      </c>
      <c r="AH517" s="187">
        <f>model_eui_end_uses!AI517*base_building_arch_areas!$N$5</f>
        <v>-603.9524032249758</v>
      </c>
      <c r="AI517" s="187">
        <f t="shared" si="93"/>
        <v>5609.9271984786446</v>
      </c>
      <c r="AJ517" s="200">
        <f>sim_annual_output!F517/sim_annual_output!H517*base_building_arch_areas!$N$5</f>
        <v>36746.764391678327</v>
      </c>
      <c r="AK517">
        <f t="shared" si="94"/>
        <v>6.5503103857824891</v>
      </c>
    </row>
    <row r="518" spans="1:37">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f>model_eui_end_uses!G518*base_scenario_arch_measures!$F518</f>
        <v>0</v>
      </c>
      <c r="H518">
        <f>model_eui_end_uses!H518*base_scenario_arch_measures!$F518</f>
        <v>3.2958550014551746</v>
      </c>
      <c r="I518">
        <f>model_eui_end_uses!I518*base_scenario_arch_measures!$F518</f>
        <v>0.24340190058155894</v>
      </c>
      <c r="J518">
        <f>model_eui_end_uses!J518*base_scenario_arch_measures!$F518</f>
        <v>0.22764350035268549</v>
      </c>
      <c r="K518">
        <f>model_eui_end_uses!K518*base_scenario_arch_measures!$F518</f>
        <v>0</v>
      </c>
      <c r="L518">
        <f>model_eui_end_uses!L518*base_scenario_arch_measures!$F518</f>
        <v>0.78439598101274388</v>
      </c>
      <c r="M518">
        <f>model_eui_end_uses!M518*base_scenario_arch_measures!$F518</f>
        <v>0.27352238709497528</v>
      </c>
      <c r="N518">
        <f>model_eui_end_uses!N518*base_scenario_arch_measures!$F518</f>
        <v>0</v>
      </c>
      <c r="O518">
        <f>model_eui_end_uses!O518*base_scenario_arch_measures!$F518</f>
        <v>0.65241106770340285</v>
      </c>
      <c r="P518">
        <f>model_eui_end_uses!P518*base_scenario_arch_measures!$F518</f>
        <v>4.0116321257751024E-3</v>
      </c>
      <c r="Q518">
        <f>model_eui_end_uses!Q518*base_scenario_arch_measures!$F518</f>
        <v>0</v>
      </c>
      <c r="R518" s="187">
        <f>model_eui_end_uses!R518*base_building_arch_areas!$N$5</f>
        <v>0</v>
      </c>
      <c r="S518" s="187">
        <f>model_eui_end_uses!S518*base_building_arch_areas!$N$5</f>
        <v>3527191.5962910545</v>
      </c>
      <c r="T518" s="187">
        <f>model_eui_end_uses!T518*base_building_arch_areas!$N$5</f>
        <v>13105.314747336093</v>
      </c>
      <c r="U518" s="187">
        <f>model_eui_end_uses!U518*base_building_arch_areas!$N$5</f>
        <v>52682.852356120951</v>
      </c>
      <c r="V518" s="187">
        <f>model_eui_end_uses!V518*base_building_arch_areas!$N$5</f>
        <v>0</v>
      </c>
      <c r="W518" s="187">
        <f>model_eui_end_uses!W518*base_building_arch_areas!$N$5</f>
        <v>259331.3535462096</v>
      </c>
      <c r="X518" s="187">
        <f>model_eui_end_uses!X518*base_building_arch_areas!$N$5</f>
        <v>63300.465478228849</v>
      </c>
      <c r="Y518" s="187">
        <f>model_eui_end_uses!Y518*base_building_arch_areas!$N$5</f>
        <v>0</v>
      </c>
      <c r="Z518" s="187">
        <f>model_eui_end_uses!Z518*base_building_arch_areas!$N$5</f>
        <v>184802.89042339419</v>
      </c>
      <c r="AA518" s="187">
        <f>model_eui_end_uses!AA518*base_building_arch_areas!$N$5</f>
        <v>5160.0573917104148</v>
      </c>
      <c r="AB518" s="187">
        <f>model_eui_end_uses!AB518*base_building_arch_areas!$N$5</f>
        <v>0</v>
      </c>
      <c r="AC518" s="187">
        <f>model_eui_end_uses!AC518*base_building_arch_areas!$N$5</f>
        <v>4105574.5302340537</v>
      </c>
      <c r="AD518" s="187">
        <f>model_eui_end_uses!AD518*base_building_arch_areas!$N$5</f>
        <v>2764441.7608692874</v>
      </c>
      <c r="AE518" s="187">
        <f>model_eui_end_uses!AE518*base_building_arch_areas!$N$5</f>
        <v>72625.499611558582</v>
      </c>
      <c r="AF518" s="187">
        <f t="shared" si="92"/>
        <v>2837067.2604808458</v>
      </c>
      <c r="AG518" s="187">
        <f>model_eui_end_uses!AH518*base_building_arch_areas!$N$5</f>
        <v>44783.956526082453</v>
      </c>
      <c r="AH518" s="187">
        <f>model_eui_end_uses!AI518*base_building_arch_areas!$N$5</f>
        <v>8206.6814561061201</v>
      </c>
      <c r="AI518" s="187">
        <f t="shared" si="93"/>
        <v>52990.637982188571</v>
      </c>
      <c r="AJ518" s="200">
        <f>sim_annual_output!F518/sim_annual_output!H518*base_building_arch_areas!$N$5</f>
        <v>730574.15901056188</v>
      </c>
      <c r="AK518">
        <f t="shared" si="94"/>
        <v>13.786853429772357</v>
      </c>
    </row>
    <row r="519" spans="1:37">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f>model_eui_end_uses!G519*base_scenario_arch_measures!$F519</f>
        <v>0</v>
      </c>
      <c r="H519">
        <f>model_eui_end_uses!H519*base_scenario_arch_measures!$F519</f>
        <v>15.152023193906171</v>
      </c>
      <c r="I519">
        <f>model_eui_end_uses!I519*base_scenario_arch_measures!$F519</f>
        <v>8.6106026567051241E-2</v>
      </c>
      <c r="J519">
        <f>model_eui_end_uses!J519*base_scenario_arch_measures!$F519</f>
        <v>0.22764350035268549</v>
      </c>
      <c r="K519">
        <f>model_eui_end_uses!K519*base_scenario_arch_measures!$F519</f>
        <v>0</v>
      </c>
      <c r="L519">
        <f>model_eui_end_uses!L519*base_scenario_arch_measures!$F519</f>
        <v>1.1205751858953779</v>
      </c>
      <c r="M519">
        <f>model_eui_end_uses!M519*base_scenario_arch_measures!$F519</f>
        <v>0.27352238709497528</v>
      </c>
      <c r="N519">
        <f>model_eui_end_uses!N519*base_scenario_arch_measures!$F519</f>
        <v>0</v>
      </c>
      <c r="O519">
        <f>model_eui_end_uses!O519*base_scenario_arch_measures!$F519</f>
        <v>0.80627156614058937</v>
      </c>
      <c r="P519">
        <f>model_eui_end_uses!P519*base_scenario_arch_measures!$F519</f>
        <v>2.2008567408257879E-2</v>
      </c>
      <c r="Q519">
        <f>model_eui_end_uses!Q519*base_scenario_arch_measures!$F519</f>
        <v>0</v>
      </c>
      <c r="R519" s="187">
        <f>model_eui_end_uses!R519*base_building_arch_areas!$N$5</f>
        <v>0</v>
      </c>
      <c r="S519" s="187">
        <f>model_eui_end_uses!S519*base_building_arch_areas!$N$5</f>
        <v>3527191.5962910545</v>
      </c>
      <c r="T519" s="187">
        <f>model_eui_end_uses!T519*base_building_arch_areas!$N$5</f>
        <v>13105.314747336093</v>
      </c>
      <c r="U519" s="187">
        <f>model_eui_end_uses!U519*base_building_arch_areas!$N$5</f>
        <v>52682.852356120951</v>
      </c>
      <c r="V519" s="187">
        <f>model_eui_end_uses!V519*base_building_arch_areas!$N$5</f>
        <v>0</v>
      </c>
      <c r="W519" s="187">
        <f>model_eui_end_uses!W519*base_building_arch_areas!$N$5</f>
        <v>259331.3535462096</v>
      </c>
      <c r="X519" s="187">
        <f>model_eui_end_uses!X519*base_building_arch_areas!$N$5</f>
        <v>63300.465478228849</v>
      </c>
      <c r="Y519" s="187">
        <f>model_eui_end_uses!Y519*base_building_arch_areas!$N$5</f>
        <v>0</v>
      </c>
      <c r="Z519" s="187">
        <f>model_eui_end_uses!Z519*base_building_arch_areas!$N$5</f>
        <v>184802.89042339419</v>
      </c>
      <c r="AA519" s="187">
        <f>model_eui_end_uses!AA519*base_building_arch_areas!$N$5</f>
        <v>5160.0573917104148</v>
      </c>
      <c r="AB519" s="187">
        <f>model_eui_end_uses!AB519*base_building_arch_areas!$N$5</f>
        <v>0</v>
      </c>
      <c r="AC519" s="187">
        <f>model_eui_end_uses!AC519*base_building_arch_areas!$N$5</f>
        <v>4105574.5302340537</v>
      </c>
      <c r="AD519" s="187">
        <f>model_eui_end_uses!AD519*base_building_arch_areas!$N$5</f>
        <v>20604.324594930909</v>
      </c>
      <c r="AE519" s="187">
        <f>model_eui_end_uses!AE519*base_building_arch_areas!$N$5</f>
        <v>-8545.3833147012865</v>
      </c>
      <c r="AF519" s="187">
        <f t="shared" si="92"/>
        <v>12058.941280229623</v>
      </c>
      <c r="AG519" s="187">
        <f>model_eui_end_uses!AH519*base_building_arch_areas!$N$5</f>
        <v>333.79005843788076</v>
      </c>
      <c r="AH519" s="187">
        <f>model_eui_end_uses!AI519*base_building_arch_areas!$N$5</f>
        <v>-965.62831456124547</v>
      </c>
      <c r="AI519" s="187">
        <f t="shared" si="93"/>
        <v>-631.83825612336477</v>
      </c>
      <c r="AJ519" s="200">
        <f>sim_annual_output!F519/sim_annual_output!H519*base_building_arch_areas!$N$5</f>
        <v>21247.058007246775</v>
      </c>
      <c r="AK519">
        <f t="shared" si="94"/>
        <v>-33.627368715544094</v>
      </c>
    </row>
    <row r="520" spans="1:37">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f>model_eui_end_uses!G520*base_scenario_arch_measures!$F520</f>
        <v>0</v>
      </c>
      <c r="H520">
        <f>model_eui_end_uses!H520*base_scenario_arch_measures!$F520</f>
        <v>15.144199403075238</v>
      </c>
      <c r="I520">
        <f>model_eui_end_uses!I520*base_scenario_arch_measures!$F520</f>
        <v>9.0073331266022183E-2</v>
      </c>
      <c r="J520">
        <f>model_eui_end_uses!J520*base_scenario_arch_measures!$F520</f>
        <v>0.22764350035268549</v>
      </c>
      <c r="K520">
        <f>model_eui_end_uses!K520*base_scenario_arch_measures!$F520</f>
        <v>0</v>
      </c>
      <c r="L520">
        <f>model_eui_end_uses!L520*base_scenario_arch_measures!$F520</f>
        <v>1.1205751858953779</v>
      </c>
      <c r="M520">
        <f>model_eui_end_uses!M520*base_scenario_arch_measures!$F520</f>
        <v>0.27352238709497528</v>
      </c>
      <c r="N520">
        <f>model_eui_end_uses!N520*base_scenario_arch_measures!$F520</f>
        <v>0</v>
      </c>
      <c r="O520">
        <f>model_eui_end_uses!O520*base_scenario_arch_measures!$F520</f>
        <v>0.8073132606704867</v>
      </c>
      <c r="P520">
        <f>model_eui_end_uses!P520*base_scenario_arch_measures!$F520</f>
        <v>2.198640369485581E-2</v>
      </c>
      <c r="Q520">
        <f>model_eui_end_uses!Q520*base_scenario_arch_measures!$F520</f>
        <v>0</v>
      </c>
      <c r="R520" s="187">
        <f>model_eui_end_uses!R520*base_building_arch_areas!$N$5</f>
        <v>0</v>
      </c>
      <c r="S520" s="187">
        <f>model_eui_end_uses!S520*base_building_arch_areas!$N$5</f>
        <v>3527191.5962910545</v>
      </c>
      <c r="T520" s="187">
        <f>model_eui_end_uses!T520*base_building_arch_areas!$N$5</f>
        <v>13105.314747336093</v>
      </c>
      <c r="U520" s="187">
        <f>model_eui_end_uses!U520*base_building_arch_areas!$N$5</f>
        <v>52682.852356120951</v>
      </c>
      <c r="V520" s="187">
        <f>model_eui_end_uses!V520*base_building_arch_areas!$N$5</f>
        <v>0</v>
      </c>
      <c r="W520" s="187">
        <f>model_eui_end_uses!W520*base_building_arch_areas!$N$5</f>
        <v>259331.3535462096</v>
      </c>
      <c r="X520" s="187">
        <f>model_eui_end_uses!X520*base_building_arch_areas!$N$5</f>
        <v>63300.465478228849</v>
      </c>
      <c r="Y520" s="187">
        <f>model_eui_end_uses!Y520*base_building_arch_areas!$N$5</f>
        <v>0</v>
      </c>
      <c r="Z520" s="187">
        <f>model_eui_end_uses!Z520*base_building_arch_areas!$N$5</f>
        <v>184802.89042339419</v>
      </c>
      <c r="AA520" s="187">
        <f>model_eui_end_uses!AA520*base_building_arch_areas!$N$5</f>
        <v>5160.0573917104148</v>
      </c>
      <c r="AB520" s="187">
        <f>model_eui_end_uses!AB520*base_building_arch_areas!$N$5</f>
        <v>0</v>
      </c>
      <c r="AC520" s="187">
        <f>model_eui_end_uses!AC520*base_building_arch_areas!$N$5</f>
        <v>4105574.5302340537</v>
      </c>
      <c r="AD520" s="187">
        <f>model_eui_end_uses!AD520*base_building_arch_areas!$N$5</f>
        <v>22414.961035561188</v>
      </c>
      <c r="AE520" s="187">
        <f>model_eui_end_uses!AE520*base_building_arch_areas!$N$5</f>
        <v>-9699.4716975390584</v>
      </c>
      <c r="AF520" s="187">
        <f t="shared" si="92"/>
        <v>12715.489338022129</v>
      </c>
      <c r="AG520" s="187">
        <f>model_eui_end_uses!AH520*base_building_arch_areas!$N$5</f>
        <v>363.12236877609121</v>
      </c>
      <c r="AH520" s="187">
        <f>model_eui_end_uses!AI520*base_building_arch_areas!$N$5</f>
        <v>-1096.0403018219135</v>
      </c>
      <c r="AI520" s="187">
        <f t="shared" si="93"/>
        <v>-732.91793304582234</v>
      </c>
      <c r="AJ520" s="200">
        <f>sim_annual_output!F520/sim_annual_output!H520*base_building_arch_areas!$N$5</f>
        <v>15178.286589059351</v>
      </c>
      <c r="AK520">
        <f t="shared" si="94"/>
        <v>-20.709394469285552</v>
      </c>
    </row>
    <row r="521" spans="1:37">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f>model_eui_end_uses!G521*base_scenario_arch_measures!$F521</f>
        <v>0</v>
      </c>
      <c r="H521">
        <f>model_eui_end_uses!H521*base_scenario_arch_measures!$F521</f>
        <v>15.144199403075238</v>
      </c>
      <c r="I521">
        <f>model_eui_end_uses!I521*base_scenario_arch_measures!$F521</f>
        <v>9.0073331266022183E-2</v>
      </c>
      <c r="J521">
        <f>model_eui_end_uses!J521*base_scenario_arch_measures!$F521</f>
        <v>0.22764350035268549</v>
      </c>
      <c r="K521">
        <f>model_eui_end_uses!K521*base_scenario_arch_measures!$F521</f>
        <v>0</v>
      </c>
      <c r="L521">
        <f>model_eui_end_uses!L521*base_scenario_arch_measures!$F521</f>
        <v>1.1205751858953779</v>
      </c>
      <c r="M521">
        <f>model_eui_end_uses!M521*base_scenario_arch_measures!$F521</f>
        <v>0.27352238709497528</v>
      </c>
      <c r="N521">
        <f>model_eui_end_uses!N521*base_scenario_arch_measures!$F521</f>
        <v>0</v>
      </c>
      <c r="O521">
        <f>model_eui_end_uses!O521*base_scenario_arch_measures!$F521</f>
        <v>0.8073132606704867</v>
      </c>
      <c r="P521">
        <f>model_eui_end_uses!P521*base_scenario_arch_measures!$F521</f>
        <v>1.7199041600008173E-2</v>
      </c>
      <c r="Q521">
        <f>model_eui_end_uses!Q521*base_scenario_arch_measures!$F521</f>
        <v>0</v>
      </c>
      <c r="R521" s="187">
        <f>model_eui_end_uses!R521*base_building_arch_areas!$N$5</f>
        <v>0</v>
      </c>
      <c r="S521" s="187">
        <f>model_eui_end_uses!S521*base_building_arch_areas!$N$5</f>
        <v>3527191.5962910545</v>
      </c>
      <c r="T521" s="187">
        <f>model_eui_end_uses!T521*base_building_arch_areas!$N$5</f>
        <v>13105.314747336093</v>
      </c>
      <c r="U521" s="187">
        <f>model_eui_end_uses!U521*base_building_arch_areas!$N$5</f>
        <v>52682.852356120951</v>
      </c>
      <c r="V521" s="187">
        <f>model_eui_end_uses!V521*base_building_arch_areas!$N$5</f>
        <v>0</v>
      </c>
      <c r="W521" s="187">
        <f>model_eui_end_uses!W521*base_building_arch_areas!$N$5</f>
        <v>259331.3535462096</v>
      </c>
      <c r="X521" s="187">
        <f>model_eui_end_uses!X521*base_building_arch_areas!$N$5</f>
        <v>63300.465478228849</v>
      </c>
      <c r="Y521" s="187">
        <f>model_eui_end_uses!Y521*base_building_arch_areas!$N$5</f>
        <v>0</v>
      </c>
      <c r="Z521" s="187">
        <f>model_eui_end_uses!Z521*base_building_arch_areas!$N$5</f>
        <v>184802.89042339419</v>
      </c>
      <c r="AA521" s="187">
        <f>model_eui_end_uses!AA521*base_building_arch_areas!$N$5</f>
        <v>5160.0573917104148</v>
      </c>
      <c r="AB521" s="187">
        <f>model_eui_end_uses!AB521*base_building_arch_areas!$N$5</f>
        <v>0</v>
      </c>
      <c r="AC521" s="187">
        <f>model_eui_end_uses!AC521*base_building_arch_areas!$N$5</f>
        <v>4105574.5302340537</v>
      </c>
      <c r="AD521" s="187">
        <f>model_eui_end_uses!AD521*base_building_arch_areas!$N$5</f>
        <v>22414.961035561188</v>
      </c>
      <c r="AE521" s="187">
        <f>model_eui_end_uses!AE521*base_building_arch_areas!$N$5</f>
        <v>-8591.5468500148181</v>
      </c>
      <c r="AF521" s="187">
        <f t="shared" si="92"/>
        <v>13823.414185546369</v>
      </c>
      <c r="AG521" s="187">
        <f>model_eui_end_uses!AH521*base_building_arch_areas!$N$5</f>
        <v>363.12236877609121</v>
      </c>
      <c r="AH521" s="187">
        <f>model_eui_end_uses!AI521*base_building_arch_areas!$N$5</f>
        <v>-970.8447940516744</v>
      </c>
      <c r="AI521" s="187">
        <f t="shared" si="93"/>
        <v>-607.72242527558319</v>
      </c>
      <c r="AJ521" s="200">
        <f>sim_annual_output!F521/sim_annual_output!H521*base_building_arch_areas!$N$5</f>
        <v>36586.045088602295</v>
      </c>
      <c r="AK521">
        <f t="shared" si="94"/>
        <v>-60.201900681897108</v>
      </c>
    </row>
    <row r="522" spans="1:37">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f>model_eui_end_uses!G522*base_scenario_arch_measures!$F522</f>
        <v>0</v>
      </c>
      <c r="H522">
        <f>model_eui_end_uses!H522*base_scenario_arch_measures!$F522</f>
        <v>6.6965698270244554</v>
      </c>
      <c r="I522">
        <f>model_eui_end_uses!I522*base_scenario_arch_measures!$F522</f>
        <v>0.19222030323448108</v>
      </c>
      <c r="J522">
        <f>model_eui_end_uses!J522*base_scenario_arch_measures!$F522</f>
        <v>0.16096981121250345</v>
      </c>
      <c r="K522">
        <f>model_eui_end_uses!K522*base_scenario_arch_measures!$F522</f>
        <v>0</v>
      </c>
      <c r="L522">
        <f>model_eui_end_uses!L522*base_scenario_arch_measures!$F522</f>
        <v>0.79237393487420527</v>
      </c>
      <c r="M522">
        <f>model_eui_end_uses!M522*base_scenario_arch_measures!$F522</f>
        <v>0.19341139520723444</v>
      </c>
      <c r="N522">
        <f>model_eui_end_uses!N522*base_scenario_arch_measures!$F522</f>
        <v>0</v>
      </c>
      <c r="O522">
        <f>model_eui_end_uses!O522*base_scenario_arch_measures!$F522</f>
        <v>0.34560473925208118</v>
      </c>
      <c r="P522">
        <f>model_eui_end_uses!P522*base_scenario_arch_measures!$F522</f>
        <v>9.5130635192278851E-3</v>
      </c>
      <c r="Q522">
        <f>model_eui_end_uses!Q522*base_scenario_arch_measures!$F522</f>
        <v>0</v>
      </c>
      <c r="R522" s="187">
        <f>model_eui_end_uses!R522*base_building_arch_areas!$N$6</f>
        <v>0</v>
      </c>
      <c r="S522" s="187">
        <f>model_eui_end_uses!S522*base_building_arch_areas!$N$6</f>
        <v>1457318.8507379002</v>
      </c>
      <c r="T522" s="187">
        <f>model_eui_end_uses!T522*base_building_arch_areas!$N$6</f>
        <v>8965.9063338238502</v>
      </c>
      <c r="U522" s="187">
        <f>model_eui_end_uses!U522*base_building_arch_areas!$N$6</f>
        <v>37252.76049947604</v>
      </c>
      <c r="V522" s="187">
        <f>model_eui_end_uses!V522*base_building_arch_areas!$N$6</f>
        <v>0</v>
      </c>
      <c r="W522" s="187">
        <f>model_eui_end_uses!W522*base_building_arch_areas!$N$6</f>
        <v>183376.72262613272</v>
      </c>
      <c r="X522" s="187">
        <f>model_eui_end_uses!X522*base_building_arch_areas!$N$6</f>
        <v>44760.618958624647</v>
      </c>
      <c r="Y522" s="187">
        <f>model_eui_end_uses!Y522*base_building_arch_areas!$N$6</f>
        <v>0</v>
      </c>
      <c r="Z522" s="187">
        <f>model_eui_end_uses!Z522*base_building_arch_areas!$N$6</f>
        <v>73584.266869182145</v>
      </c>
      <c r="AA522" s="187">
        <f>model_eui_end_uses!AA522*base_building_arch_areas!$N$6</f>
        <v>3597.9688847707362</v>
      </c>
      <c r="AB522" s="187">
        <f>model_eui_end_uses!AB522*base_building_arch_areas!$N$6</f>
        <v>0</v>
      </c>
      <c r="AC522" s="187">
        <f>model_eui_end_uses!AC522*base_building_arch_areas!$N$6</f>
        <v>1808857.0949099101</v>
      </c>
      <c r="AD522" s="187">
        <f>model_eui_end_uses!AD522*base_building_arch_areas!$N$6</f>
        <v>-92448.214620888393</v>
      </c>
      <c r="AE522" s="187">
        <f>model_eui_end_uses!AE522*base_building_arch_areas!$N$6</f>
        <v>-40520.673770825233</v>
      </c>
      <c r="AF522" s="187">
        <f t="shared" ref="AF522:AF568" si="95">SUM(AD522:AE522)</f>
        <v>-132968.88839171361</v>
      </c>
      <c r="AG522" s="187">
        <f>model_eui_end_uses!AH522*base_building_arch_areas!$N$6</f>
        <v>-1497.6610768583919</v>
      </c>
      <c r="AH522" s="187">
        <f>model_eui_end_uses!AI522*base_building_arch_areas!$N$6</f>
        <v>-4578.8361361032512</v>
      </c>
      <c r="AI522" s="187">
        <f t="shared" ref="AI522:AI568" si="96">SUM(AG522:AH522)</f>
        <v>-6076.4972129616435</v>
      </c>
      <c r="AJ522" s="200">
        <f>sim_annual_output!F522/sim_annual_output!H522*base_building_arch_areas!$N$6</f>
        <v>18705.84599224661</v>
      </c>
      <c r="AK522">
        <f t="shared" ref="AK522:AK568" si="97">IF(AI522=0,0,AJ522/AI522)</f>
        <v>-3.0783929189246688</v>
      </c>
    </row>
    <row r="523" spans="1:37">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f>model_eui_end_uses!G523*base_scenario_arch_measures!$F523</f>
        <v>0</v>
      </c>
      <c r="H523">
        <f>model_eui_end_uses!H523*base_scenario_arch_measures!$F523</f>
        <v>6.2970995205308808</v>
      </c>
      <c r="I523">
        <f>model_eui_end_uses!I523*base_scenario_arch_measures!$F523</f>
        <v>3.8741833640084565E-2</v>
      </c>
      <c r="J523">
        <f>model_eui_end_uses!J523*base_scenario_arch_measures!$F523</f>
        <v>0.16096981121250345</v>
      </c>
      <c r="K523">
        <f>model_eui_end_uses!K523*base_scenario_arch_measures!$F523</f>
        <v>0</v>
      </c>
      <c r="L523">
        <f>model_eui_end_uses!L523*base_scenario_arch_measures!$F523</f>
        <v>0.79237393487420527</v>
      </c>
      <c r="M523">
        <f>model_eui_end_uses!M523*base_scenario_arch_measures!$F523</f>
        <v>0.19341139520723444</v>
      </c>
      <c r="N523">
        <f>model_eui_end_uses!N523*base_scenario_arch_measures!$F523</f>
        <v>0</v>
      </c>
      <c r="O523">
        <f>model_eui_end_uses!O523*base_scenario_arch_measures!$F523</f>
        <v>0.31795886767396259</v>
      </c>
      <c r="P523">
        <f>model_eui_end_uses!P523*base_scenario_arch_measures!$F523</f>
        <v>1.5546884696991864E-2</v>
      </c>
      <c r="Q523">
        <f>model_eui_end_uses!Q523*base_scenario_arch_measures!$F523</f>
        <v>0</v>
      </c>
      <c r="R523" s="187">
        <f>model_eui_end_uses!R523*base_building_arch_areas!$N$6</f>
        <v>0</v>
      </c>
      <c r="S523" s="187">
        <f>model_eui_end_uses!S523*base_building_arch_areas!$N$6</f>
        <v>1457318.8507379002</v>
      </c>
      <c r="T523" s="187">
        <f>model_eui_end_uses!T523*base_building_arch_areas!$N$6</f>
        <v>8965.9063338238502</v>
      </c>
      <c r="U523" s="187">
        <f>model_eui_end_uses!U523*base_building_arch_areas!$N$6</f>
        <v>37252.76049947604</v>
      </c>
      <c r="V523" s="187">
        <f>model_eui_end_uses!V523*base_building_arch_areas!$N$6</f>
        <v>0</v>
      </c>
      <c r="W523" s="187">
        <f>model_eui_end_uses!W523*base_building_arch_areas!$N$6</f>
        <v>183376.72262613272</v>
      </c>
      <c r="X523" s="187">
        <f>model_eui_end_uses!X523*base_building_arch_areas!$N$6</f>
        <v>44760.618958624647</v>
      </c>
      <c r="Y523" s="187">
        <f>model_eui_end_uses!Y523*base_building_arch_areas!$N$6</f>
        <v>0</v>
      </c>
      <c r="Z523" s="187">
        <f>model_eui_end_uses!Z523*base_building_arch_areas!$N$6</f>
        <v>73584.266869182145</v>
      </c>
      <c r="AA523" s="187">
        <f>model_eui_end_uses!AA523*base_building_arch_areas!$N$6</f>
        <v>3597.9688847707362</v>
      </c>
      <c r="AB523" s="187">
        <f>model_eui_end_uses!AB523*base_building_arch_areas!$N$6</f>
        <v>0</v>
      </c>
      <c r="AC523" s="187">
        <f>model_eui_end_uses!AC523*base_building_arch_areas!$N$6</f>
        <v>1808857.0949099101</v>
      </c>
      <c r="AD523" s="187">
        <f>model_eui_end_uses!AD523*base_building_arch_areas!$N$6</f>
        <v>0</v>
      </c>
      <c r="AE523" s="187">
        <f>model_eui_end_uses!AE523*base_building_arch_areas!$N$6</f>
        <v>0</v>
      </c>
      <c r="AF523" s="187">
        <f t="shared" ref="AF523:AF545" si="98">SUM(AD523:AE523)</f>
        <v>0</v>
      </c>
      <c r="AG523" s="187">
        <f>model_eui_end_uses!AH523*base_building_arch_areas!$N$6</f>
        <v>0</v>
      </c>
      <c r="AH523" s="187">
        <f>model_eui_end_uses!AI523*base_building_arch_areas!$N$6</f>
        <v>0</v>
      </c>
      <c r="AI523" s="187">
        <f t="shared" ref="AI523:AI545" si="99">SUM(AG523:AH523)</f>
        <v>0</v>
      </c>
      <c r="AJ523" s="200">
        <f>sim_annual_output!F523/sim_annual_output!H523*base_building_arch_areas!$N$6</f>
        <v>0</v>
      </c>
      <c r="AK523">
        <f t="shared" ref="AK523:AK545" si="100">IF(AI523=0,0,AJ523/AI523)</f>
        <v>0</v>
      </c>
    </row>
    <row r="524" spans="1:37">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f>model_eui_end_uses!G524*base_scenario_arch_measures!$F524</f>
        <v>0</v>
      </c>
      <c r="H524">
        <f>model_eui_end_uses!H524*base_scenario_arch_measures!$F524</f>
        <v>6.279217468676781</v>
      </c>
      <c r="I524">
        <f>model_eui_end_uses!I524*base_scenario_arch_measures!$F524</f>
        <v>7.7123205235783227E-2</v>
      </c>
      <c r="J524">
        <f>model_eui_end_uses!J524*base_scenario_arch_measures!$F524</f>
        <v>0.16096981121250345</v>
      </c>
      <c r="K524">
        <f>model_eui_end_uses!K524*base_scenario_arch_measures!$F524</f>
        <v>0</v>
      </c>
      <c r="L524">
        <f>model_eui_end_uses!L524*base_scenario_arch_measures!$F524</f>
        <v>0.79237393487420527</v>
      </c>
      <c r="M524">
        <f>model_eui_end_uses!M524*base_scenario_arch_measures!$F524</f>
        <v>0.19341139520723444</v>
      </c>
      <c r="N524">
        <f>model_eui_end_uses!N524*base_scenario_arch_measures!$F524</f>
        <v>0</v>
      </c>
      <c r="O524">
        <f>model_eui_end_uses!O524*base_scenario_arch_measures!$F524</f>
        <v>0.34560473925208118</v>
      </c>
      <c r="P524">
        <f>model_eui_end_uses!P524*base_scenario_arch_measures!$F524</f>
        <v>1.4653565717426808E-2</v>
      </c>
      <c r="Q524">
        <f>model_eui_end_uses!Q524*base_scenario_arch_measures!$F524</f>
        <v>0</v>
      </c>
      <c r="R524" s="187">
        <f>model_eui_end_uses!R524*base_building_arch_areas!$N$6</f>
        <v>0</v>
      </c>
      <c r="S524" s="187">
        <f>model_eui_end_uses!S524*base_building_arch_areas!$N$6</f>
        <v>1457318.8507379002</v>
      </c>
      <c r="T524" s="187">
        <f>model_eui_end_uses!T524*base_building_arch_areas!$N$6</f>
        <v>8965.9063338238502</v>
      </c>
      <c r="U524" s="187">
        <f>model_eui_end_uses!U524*base_building_arch_areas!$N$6</f>
        <v>37252.76049947604</v>
      </c>
      <c r="V524" s="187">
        <f>model_eui_end_uses!V524*base_building_arch_areas!$N$6</f>
        <v>0</v>
      </c>
      <c r="W524" s="187">
        <f>model_eui_end_uses!W524*base_building_arch_areas!$N$6</f>
        <v>183376.72262613272</v>
      </c>
      <c r="X524" s="187">
        <f>model_eui_end_uses!X524*base_building_arch_areas!$N$6</f>
        <v>44760.618958624647</v>
      </c>
      <c r="Y524" s="187">
        <f>model_eui_end_uses!Y524*base_building_arch_areas!$N$6</f>
        <v>0</v>
      </c>
      <c r="Z524" s="187">
        <f>model_eui_end_uses!Z524*base_building_arch_areas!$N$6</f>
        <v>73584.266869182145</v>
      </c>
      <c r="AA524" s="187">
        <f>model_eui_end_uses!AA524*base_building_arch_areas!$N$6</f>
        <v>3597.9688847707362</v>
      </c>
      <c r="AB524" s="187">
        <f>model_eui_end_uses!AB524*base_building_arch_areas!$N$6</f>
        <v>0</v>
      </c>
      <c r="AC524" s="187">
        <f>model_eui_end_uses!AC524*base_building_arch_areas!$N$6</f>
        <v>1808857.0949099101</v>
      </c>
      <c r="AD524" s="187">
        <f>model_eui_end_uses!AD524*base_building_arch_areas!$N$6</f>
        <v>4138.3896144388655</v>
      </c>
      <c r="AE524" s="187">
        <f>model_eui_end_uses!AE524*base_building_arch_areas!$N$6</f>
        <v>-15073.748674503197</v>
      </c>
      <c r="AF524" s="187">
        <f t="shared" si="98"/>
        <v>-10935.359060064331</v>
      </c>
      <c r="AG524" s="187">
        <f>model_eui_end_uses!AH524*base_building_arch_areas!$N$6</f>
        <v>67.041911753909616</v>
      </c>
      <c r="AH524" s="187">
        <f>model_eui_end_uses!AI524*base_building_arch_areas!$N$6</f>
        <v>-1703.3336002188612</v>
      </c>
      <c r="AI524" s="187">
        <f t="shared" si="99"/>
        <v>-1636.2916884649517</v>
      </c>
      <c r="AJ524" s="200">
        <f>sim_annual_output!F524/sim_annual_output!H524*base_building_arch_areas!$N$6</f>
        <v>86900.484928248115</v>
      </c>
      <c r="AK524">
        <f t="shared" si="100"/>
        <v>-53.108186969874396</v>
      </c>
    </row>
    <row r="525" spans="1:37">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f>model_eui_end_uses!G525*base_scenario_arch_measures!$F525</f>
        <v>0</v>
      </c>
      <c r="H525">
        <f>model_eui_end_uses!H525*base_scenario_arch_measures!$F525</f>
        <v>4.029918639445965</v>
      </c>
      <c r="I525">
        <f>model_eui_end_uses!I525*base_scenario_arch_measures!$F525</f>
        <v>7.7123205235783227E-2</v>
      </c>
      <c r="J525">
        <f>model_eui_end_uses!J525*base_scenario_arch_measures!$F525</f>
        <v>0.16096981121250345</v>
      </c>
      <c r="K525">
        <f>model_eui_end_uses!K525*base_scenario_arch_measures!$F525</f>
        <v>0</v>
      </c>
      <c r="L525">
        <f>model_eui_end_uses!L525*base_scenario_arch_measures!$F525</f>
        <v>0.79237393487420527</v>
      </c>
      <c r="M525">
        <f>model_eui_end_uses!M525*base_scenario_arch_measures!$F525</f>
        <v>0.19341139520723444</v>
      </c>
      <c r="N525">
        <f>model_eui_end_uses!N525*base_scenario_arch_measures!$F525</f>
        <v>0</v>
      </c>
      <c r="O525">
        <f>model_eui_end_uses!O525*base_scenario_arch_measures!$F525</f>
        <v>0.34560473925208118</v>
      </c>
      <c r="P525">
        <f>model_eui_end_uses!P525*base_scenario_arch_measures!$F525</f>
        <v>1.4653565717426808E-2</v>
      </c>
      <c r="Q525">
        <f>model_eui_end_uses!Q525*base_scenario_arch_measures!$F525</f>
        <v>0</v>
      </c>
      <c r="R525" s="187">
        <f>model_eui_end_uses!R525*base_building_arch_areas!$N$6</f>
        <v>0</v>
      </c>
      <c r="S525" s="187">
        <f>model_eui_end_uses!S525*base_building_arch_areas!$N$6</f>
        <v>1457318.8507379002</v>
      </c>
      <c r="T525" s="187">
        <f>model_eui_end_uses!T525*base_building_arch_areas!$N$6</f>
        <v>8965.9063338238502</v>
      </c>
      <c r="U525" s="187">
        <f>model_eui_end_uses!U525*base_building_arch_areas!$N$6</f>
        <v>37252.76049947604</v>
      </c>
      <c r="V525" s="187">
        <f>model_eui_end_uses!V525*base_building_arch_areas!$N$6</f>
        <v>0</v>
      </c>
      <c r="W525" s="187">
        <f>model_eui_end_uses!W525*base_building_arch_areas!$N$6</f>
        <v>183376.72262613272</v>
      </c>
      <c r="X525" s="187">
        <f>model_eui_end_uses!X525*base_building_arch_areas!$N$6</f>
        <v>44760.618958624647</v>
      </c>
      <c r="Y525" s="187">
        <f>model_eui_end_uses!Y525*base_building_arch_areas!$N$6</f>
        <v>0</v>
      </c>
      <c r="Z525" s="187">
        <f>model_eui_end_uses!Z525*base_building_arch_areas!$N$6</f>
        <v>73584.266869182145</v>
      </c>
      <c r="AA525" s="187">
        <f>model_eui_end_uses!AA525*base_building_arch_areas!$N$6</f>
        <v>3597.9688847707362</v>
      </c>
      <c r="AB525" s="187">
        <f>model_eui_end_uses!AB525*base_building_arch_areas!$N$6</f>
        <v>0</v>
      </c>
      <c r="AC525" s="187">
        <f>model_eui_end_uses!AC525*base_building_arch_areas!$N$6</f>
        <v>1808857.0949099101</v>
      </c>
      <c r="AD525" s="187">
        <f>model_eui_end_uses!AD525*base_building_arch_areas!$N$6</f>
        <v>524686.86976683897</v>
      </c>
      <c r="AE525" s="187">
        <f>model_eui_end_uses!AE525*base_building_arch_areas!$N$6</f>
        <v>-15073.748674503197</v>
      </c>
      <c r="AF525" s="187">
        <f t="shared" si="98"/>
        <v>509613.12109233579</v>
      </c>
      <c r="AG525" s="187">
        <f>model_eui_end_uses!AH525*base_building_arch_areas!$N$6</f>
        <v>8499.9272902227913</v>
      </c>
      <c r="AH525" s="187">
        <f>model_eui_end_uses!AI525*base_building_arch_areas!$N$6</f>
        <v>-1703.3336002188612</v>
      </c>
      <c r="AI525" s="187">
        <f t="shared" si="99"/>
        <v>6796.5936900039305</v>
      </c>
      <c r="AJ525" s="200">
        <f>sim_annual_output!F525/sim_annual_output!H525*base_building_arch_areas!$N$6</f>
        <v>1235.8690706946111</v>
      </c>
      <c r="AK525">
        <f t="shared" si="100"/>
        <v>0.18183653857553111</v>
      </c>
    </row>
    <row r="526" spans="1:37">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f>model_eui_end_uses!G526*base_scenario_arch_measures!$F526</f>
        <v>0</v>
      </c>
      <c r="H526">
        <f>model_eui_end_uses!H526*base_scenario_arch_measures!$F526</f>
        <v>6.279217468676781</v>
      </c>
      <c r="I526">
        <f>model_eui_end_uses!I526*base_scenario_arch_measures!$F526</f>
        <v>6.6105604487814204E-2</v>
      </c>
      <c r="J526">
        <f>model_eui_end_uses!J526*base_scenario_arch_measures!$F526</f>
        <v>0.16096981121250345</v>
      </c>
      <c r="K526">
        <f>model_eui_end_uses!K526*base_scenario_arch_measures!$F526</f>
        <v>0</v>
      </c>
      <c r="L526">
        <f>model_eui_end_uses!L526*base_scenario_arch_measures!$F526</f>
        <v>0.79237393487420527</v>
      </c>
      <c r="M526">
        <f>model_eui_end_uses!M526*base_scenario_arch_measures!$F526</f>
        <v>0.19341139520723444</v>
      </c>
      <c r="N526">
        <f>model_eui_end_uses!N526*base_scenario_arch_measures!$F526</f>
        <v>0</v>
      </c>
      <c r="O526">
        <f>model_eui_end_uses!O526*base_scenario_arch_measures!$F526</f>
        <v>0.34560473925208118</v>
      </c>
      <c r="P526">
        <f>model_eui_end_uses!P526*base_scenario_arch_measures!$F526</f>
        <v>1.4653565717426808E-2</v>
      </c>
      <c r="Q526">
        <f>model_eui_end_uses!Q526*base_scenario_arch_measures!$F526</f>
        <v>0</v>
      </c>
      <c r="R526" s="187">
        <f>model_eui_end_uses!R526*base_building_arch_areas!$N$6</f>
        <v>0</v>
      </c>
      <c r="S526" s="187">
        <f>model_eui_end_uses!S526*base_building_arch_areas!$N$6</f>
        <v>1457318.8507379002</v>
      </c>
      <c r="T526" s="187">
        <f>model_eui_end_uses!T526*base_building_arch_areas!$N$6</f>
        <v>8965.9063338238502</v>
      </c>
      <c r="U526" s="187">
        <f>model_eui_end_uses!U526*base_building_arch_areas!$N$6</f>
        <v>37252.76049947604</v>
      </c>
      <c r="V526" s="187">
        <f>model_eui_end_uses!V526*base_building_arch_areas!$N$6</f>
        <v>0</v>
      </c>
      <c r="W526" s="187">
        <f>model_eui_end_uses!W526*base_building_arch_areas!$N$6</f>
        <v>183376.72262613272</v>
      </c>
      <c r="X526" s="187">
        <f>model_eui_end_uses!X526*base_building_arch_areas!$N$6</f>
        <v>44760.618958624647</v>
      </c>
      <c r="Y526" s="187">
        <f>model_eui_end_uses!Y526*base_building_arch_areas!$N$6</f>
        <v>0</v>
      </c>
      <c r="Z526" s="187">
        <f>model_eui_end_uses!Z526*base_building_arch_areas!$N$6</f>
        <v>73584.266869182145</v>
      </c>
      <c r="AA526" s="187">
        <f>model_eui_end_uses!AA526*base_building_arch_areas!$N$6</f>
        <v>3597.9688847707362</v>
      </c>
      <c r="AB526" s="187">
        <f>model_eui_end_uses!AB526*base_building_arch_areas!$N$6</f>
        <v>0</v>
      </c>
      <c r="AC526" s="187">
        <f>model_eui_end_uses!AC526*base_building_arch_areas!$N$6</f>
        <v>1808857.0949099101</v>
      </c>
      <c r="AD526" s="187">
        <f>model_eui_end_uses!AD526*base_building_arch_areas!$N$6</f>
        <v>4138.3896144388655</v>
      </c>
      <c r="AE526" s="187">
        <f>model_eui_end_uses!AE526*base_building_arch_areas!$N$6</f>
        <v>-12523.978386202964</v>
      </c>
      <c r="AF526" s="187">
        <f t="shared" si="98"/>
        <v>-8385.5887717640981</v>
      </c>
      <c r="AG526" s="187">
        <f>model_eui_end_uses!AH526*base_building_arch_areas!$N$6</f>
        <v>67.041911753909616</v>
      </c>
      <c r="AH526" s="187">
        <f>model_eui_end_uses!AI526*base_building_arch_areas!$N$6</f>
        <v>-1415.2095576409349</v>
      </c>
      <c r="AI526" s="187">
        <f t="shared" si="99"/>
        <v>-1348.1676458870254</v>
      </c>
      <c r="AJ526" s="200">
        <f>sim_annual_output!F526/sim_annual_output!H526*base_building_arch_areas!$N$6</f>
        <v>26279.865328913311</v>
      </c>
      <c r="AK526">
        <f t="shared" si="100"/>
        <v>-19.493024780032087</v>
      </c>
    </row>
    <row r="527" spans="1:37">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f>model_eui_end_uses!G527*base_scenario_arch_measures!$F527</f>
        <v>0</v>
      </c>
      <c r="H527">
        <f>model_eui_end_uses!H527*base_scenario_arch_measures!$F527</f>
        <v>4.7110665252329209</v>
      </c>
      <c r="I527">
        <f>model_eui_end_uses!I527*base_scenario_arch_measures!$F527</f>
        <v>8.1683833710404843E-2</v>
      </c>
      <c r="J527">
        <f>model_eui_end_uses!J527*base_scenario_arch_measures!$F527</f>
        <v>0.16096981121250345</v>
      </c>
      <c r="K527">
        <f>model_eui_end_uses!K527*base_scenario_arch_measures!$F527</f>
        <v>0</v>
      </c>
      <c r="L527">
        <f>model_eui_end_uses!L527*base_scenario_arch_measures!$F527</f>
        <v>0.79237393487420527</v>
      </c>
      <c r="M527">
        <f>model_eui_end_uses!M527*base_scenario_arch_measures!$F527</f>
        <v>0.19341139520723444</v>
      </c>
      <c r="N527">
        <f>model_eui_end_uses!N527*base_scenario_arch_measures!$F527</f>
        <v>0</v>
      </c>
      <c r="O527">
        <f>model_eui_end_uses!O527*base_scenario_arch_measures!$F527</f>
        <v>0.34311284946697873</v>
      </c>
      <c r="P527">
        <f>model_eui_end_uses!P527*base_scenario_arch_measures!$F527</f>
        <v>8.4473496488695708E-3</v>
      </c>
      <c r="Q527">
        <f>model_eui_end_uses!Q527*base_scenario_arch_measures!$F527</f>
        <v>0</v>
      </c>
      <c r="R527" s="187">
        <f>model_eui_end_uses!R527*base_building_arch_areas!$N$6</f>
        <v>0</v>
      </c>
      <c r="S527" s="187">
        <f>model_eui_end_uses!S527*base_building_arch_areas!$N$6</f>
        <v>1457318.8507379002</v>
      </c>
      <c r="T527" s="187">
        <f>model_eui_end_uses!T527*base_building_arch_areas!$N$6</f>
        <v>8965.9063338238502</v>
      </c>
      <c r="U527" s="187">
        <f>model_eui_end_uses!U527*base_building_arch_areas!$N$6</f>
        <v>37252.76049947604</v>
      </c>
      <c r="V527" s="187">
        <f>model_eui_end_uses!V527*base_building_arch_areas!$N$6</f>
        <v>0</v>
      </c>
      <c r="W527" s="187">
        <f>model_eui_end_uses!W527*base_building_arch_areas!$N$6</f>
        <v>183376.72262613272</v>
      </c>
      <c r="X527" s="187">
        <f>model_eui_end_uses!X527*base_building_arch_areas!$N$6</f>
        <v>44760.618958624647</v>
      </c>
      <c r="Y527" s="187">
        <f>model_eui_end_uses!Y527*base_building_arch_areas!$N$6</f>
        <v>0</v>
      </c>
      <c r="Z527" s="187">
        <f>model_eui_end_uses!Z527*base_building_arch_areas!$N$6</f>
        <v>73584.266869182145</v>
      </c>
      <c r="AA527" s="187">
        <f>model_eui_end_uses!AA527*base_building_arch_areas!$N$6</f>
        <v>3597.9688847707362</v>
      </c>
      <c r="AB527" s="187">
        <f>model_eui_end_uses!AB527*base_building_arch_areas!$N$6</f>
        <v>0</v>
      </c>
      <c r="AC527" s="187">
        <f>model_eui_end_uses!AC527*base_building_arch_areas!$N$6</f>
        <v>1808857.0949099101</v>
      </c>
      <c r="AD527" s="187">
        <f>model_eui_end_uses!AD527*base_building_arch_areas!$N$6</f>
        <v>367050.8580028211</v>
      </c>
      <c r="AE527" s="187">
        <f>model_eui_end_uses!AE527*base_building_arch_areas!$N$6</f>
        <v>-14116.224697104602</v>
      </c>
      <c r="AF527" s="187">
        <f t="shared" si="98"/>
        <v>352934.6333057165</v>
      </c>
      <c r="AG527" s="187">
        <f>model_eui_end_uses!AH527*base_building_arch_areas!$N$6</f>
        <v>5946.2238996457008</v>
      </c>
      <c r="AH527" s="187">
        <f>model_eui_end_uses!AI527*base_building_arch_areas!$N$6</f>
        <v>-1595.1333907728201</v>
      </c>
      <c r="AI527" s="187">
        <f t="shared" si="99"/>
        <v>4351.0905088728805</v>
      </c>
      <c r="AJ527" s="200">
        <f>sim_annual_output!F527/sim_annual_output!H527*base_building_arch_areas!$N$6</f>
        <v>45375.707136091805</v>
      </c>
      <c r="AK527">
        <f t="shared" si="100"/>
        <v>10.428582683711184</v>
      </c>
    </row>
    <row r="528" spans="1:37">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f>model_eui_end_uses!G528*base_scenario_arch_measures!$F528</f>
        <v>0</v>
      </c>
      <c r="H528">
        <f>model_eui_end_uses!H528*base_scenario_arch_measures!$F528</f>
        <v>5.9721978404367899</v>
      </c>
      <c r="I528">
        <f>model_eui_end_uses!I528*base_scenario_arch_measures!$F528</f>
        <v>0.1231996578659809</v>
      </c>
      <c r="J528">
        <f>model_eui_end_uses!J528*base_scenario_arch_measures!$F528</f>
        <v>0.16096981121250345</v>
      </c>
      <c r="K528">
        <f>model_eui_end_uses!K528*base_scenario_arch_measures!$F528</f>
        <v>0</v>
      </c>
      <c r="L528">
        <f>model_eui_end_uses!L528*base_scenario_arch_measures!$F528</f>
        <v>0.79237393487420527</v>
      </c>
      <c r="M528">
        <f>model_eui_end_uses!M528*base_scenario_arch_measures!$F528</f>
        <v>0.19341139520723444</v>
      </c>
      <c r="N528">
        <f>model_eui_end_uses!N528*base_scenario_arch_measures!$F528</f>
        <v>0</v>
      </c>
      <c r="O528">
        <f>model_eui_end_uses!O528*base_scenario_arch_measures!$F528</f>
        <v>0.34560473925208118</v>
      </c>
      <c r="P528">
        <f>model_eui_end_uses!P528*base_scenario_arch_measures!$F528</f>
        <v>5.5323087681835971E-3</v>
      </c>
      <c r="Q528">
        <f>model_eui_end_uses!Q528*base_scenario_arch_measures!$F528</f>
        <v>0</v>
      </c>
      <c r="R528" s="187">
        <f>model_eui_end_uses!R528*base_building_arch_areas!$N$6</f>
        <v>0</v>
      </c>
      <c r="S528" s="187">
        <f>model_eui_end_uses!S528*base_building_arch_areas!$N$6</f>
        <v>1457318.8507379002</v>
      </c>
      <c r="T528" s="187">
        <f>model_eui_end_uses!T528*base_building_arch_areas!$N$6</f>
        <v>8965.9063338238502</v>
      </c>
      <c r="U528" s="187">
        <f>model_eui_end_uses!U528*base_building_arch_areas!$N$6</f>
        <v>37252.76049947604</v>
      </c>
      <c r="V528" s="187">
        <f>model_eui_end_uses!V528*base_building_arch_areas!$N$6</f>
        <v>0</v>
      </c>
      <c r="W528" s="187">
        <f>model_eui_end_uses!W528*base_building_arch_areas!$N$6</f>
        <v>183376.72262613272</v>
      </c>
      <c r="X528" s="187">
        <f>model_eui_end_uses!X528*base_building_arch_areas!$N$6</f>
        <v>44760.618958624647</v>
      </c>
      <c r="Y528" s="187">
        <f>model_eui_end_uses!Y528*base_building_arch_areas!$N$6</f>
        <v>0</v>
      </c>
      <c r="Z528" s="187">
        <f>model_eui_end_uses!Z528*base_building_arch_areas!$N$6</f>
        <v>73584.266869182145</v>
      </c>
      <c r="AA528" s="187">
        <f>model_eui_end_uses!AA528*base_building_arch_areas!$N$6</f>
        <v>3597.9688847707362</v>
      </c>
      <c r="AB528" s="187">
        <f>model_eui_end_uses!AB528*base_building_arch_areas!$N$6</f>
        <v>0</v>
      </c>
      <c r="AC528" s="187">
        <f>model_eui_end_uses!AC528*base_building_arch_areas!$N$6</f>
        <v>1808857.0949099101</v>
      </c>
      <c r="AD528" s="187">
        <f>model_eui_end_uses!AD528*base_building_arch_areas!$N$6</f>
        <v>75191.021119135126</v>
      </c>
      <c r="AE528" s="187">
        <f>model_eui_end_uses!AE528*base_building_arch_areas!$N$6</f>
        <v>-23626.178745359473</v>
      </c>
      <c r="AF528" s="187">
        <f t="shared" si="98"/>
        <v>51564.842373775653</v>
      </c>
      <c r="AG528" s="187">
        <f>model_eui_end_uses!AH528*base_building_arch_areas!$N$6</f>
        <v>1218.0945421299889</v>
      </c>
      <c r="AH528" s="187">
        <f>model_eui_end_uses!AI528*base_building_arch_areas!$N$6</f>
        <v>-2669.7581982256206</v>
      </c>
      <c r="AI528" s="187">
        <f t="shared" si="99"/>
        <v>-1451.6636560956317</v>
      </c>
      <c r="AJ528" s="200">
        <f>sim_annual_output!F528/sim_annual_output!H528*base_building_arch_areas!$N$6</f>
        <v>18705.84599224661</v>
      </c>
      <c r="AK528">
        <f t="shared" si="100"/>
        <v>-12.88579893400205</v>
      </c>
    </row>
    <row r="529" spans="1:37">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f>model_eui_end_uses!G529*base_scenario_arch_measures!$F529</f>
        <v>0</v>
      </c>
      <c r="H529">
        <f>model_eui_end_uses!H529*base_scenario_arch_measures!$F529</f>
        <v>6.2718044883726698</v>
      </c>
      <c r="I529">
        <f>model_eui_end_uses!I529*base_scenario_arch_measures!$F529</f>
        <v>5.3865567241492975E-2</v>
      </c>
      <c r="J529">
        <f>model_eui_end_uses!J529*base_scenario_arch_measures!$F529</f>
        <v>0.16096981121250345</v>
      </c>
      <c r="K529">
        <f>model_eui_end_uses!K529*base_scenario_arch_measures!$F529</f>
        <v>0</v>
      </c>
      <c r="L529">
        <f>model_eui_end_uses!L529*base_scenario_arch_measures!$F529</f>
        <v>0.79237393487420527</v>
      </c>
      <c r="M529">
        <f>model_eui_end_uses!M529*base_scenario_arch_measures!$F529</f>
        <v>0.19341139520723444</v>
      </c>
      <c r="N529">
        <f>model_eui_end_uses!N529*base_scenario_arch_measures!$F529</f>
        <v>0</v>
      </c>
      <c r="O529">
        <f>model_eui_end_uses!O529*base_scenario_arch_measures!$F529</f>
        <v>0.34560473925208118</v>
      </c>
      <c r="P529">
        <f>model_eui_end_uses!P529*base_scenario_arch_measures!$F529</f>
        <v>1.463789345462742E-2</v>
      </c>
      <c r="Q529">
        <f>model_eui_end_uses!Q529*base_scenario_arch_measures!$F529</f>
        <v>0</v>
      </c>
      <c r="R529" s="187">
        <f>model_eui_end_uses!R529*base_building_arch_areas!$N$6</f>
        <v>0</v>
      </c>
      <c r="S529" s="187">
        <f>model_eui_end_uses!S529*base_building_arch_areas!$N$6</f>
        <v>1457318.8507379002</v>
      </c>
      <c r="T529" s="187">
        <f>model_eui_end_uses!T529*base_building_arch_areas!$N$6</f>
        <v>8965.9063338238502</v>
      </c>
      <c r="U529" s="187">
        <f>model_eui_end_uses!U529*base_building_arch_areas!$N$6</f>
        <v>37252.76049947604</v>
      </c>
      <c r="V529" s="187">
        <f>model_eui_end_uses!V529*base_building_arch_areas!$N$6</f>
        <v>0</v>
      </c>
      <c r="W529" s="187">
        <f>model_eui_end_uses!W529*base_building_arch_areas!$N$6</f>
        <v>183376.72262613272</v>
      </c>
      <c r="X529" s="187">
        <f>model_eui_end_uses!X529*base_building_arch_areas!$N$6</f>
        <v>44760.618958624647</v>
      </c>
      <c r="Y529" s="187">
        <f>model_eui_end_uses!Y529*base_building_arch_areas!$N$6</f>
        <v>0</v>
      </c>
      <c r="Z529" s="187">
        <f>model_eui_end_uses!Z529*base_building_arch_areas!$N$6</f>
        <v>73584.266869182145</v>
      </c>
      <c r="AA529" s="187">
        <f>model_eui_end_uses!AA529*base_building_arch_areas!$N$6</f>
        <v>3597.9688847707362</v>
      </c>
      <c r="AB529" s="187">
        <f>model_eui_end_uses!AB529*base_building_arch_areas!$N$6</f>
        <v>0</v>
      </c>
      <c r="AC529" s="187">
        <f>model_eui_end_uses!AC529*base_building_arch_areas!$N$6</f>
        <v>1808857.0949099101</v>
      </c>
      <c r="AD529" s="187">
        <f>model_eui_end_uses!AD529*base_building_arch_areas!$N$6</f>
        <v>5853.9534072784099</v>
      </c>
      <c r="AE529" s="187">
        <f>model_eui_end_uses!AE529*base_building_arch_areas!$N$6</f>
        <v>-9687.6763016357199</v>
      </c>
      <c r="AF529" s="187">
        <f t="shared" si="98"/>
        <v>-3833.72289435731</v>
      </c>
      <c r="AG529" s="187">
        <f>model_eui_end_uses!AH529*base_building_arch_areas!$N$6</f>
        <v>94.834045197910228</v>
      </c>
      <c r="AH529" s="187">
        <f>model_eui_end_uses!AI529*base_building_arch_areas!$N$6</f>
        <v>-1094.7074220848365</v>
      </c>
      <c r="AI529" s="187">
        <f t="shared" si="99"/>
        <v>-999.87337688692628</v>
      </c>
      <c r="AJ529" s="200">
        <f>sim_annual_output!F529/sim_annual_output!H529*base_building_arch_areas!$N$6</f>
        <v>7309.2957108558467</v>
      </c>
      <c r="AK529">
        <f t="shared" si="100"/>
        <v>-7.3102213538409284</v>
      </c>
    </row>
    <row r="530" spans="1:37">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f>model_eui_end_uses!G530*base_scenario_arch_measures!$F530</f>
        <v>0</v>
      </c>
      <c r="H530">
        <f>model_eui_end_uses!H530*base_scenario_arch_measures!$F530</f>
        <v>4.9751128088769923</v>
      </c>
      <c r="I530">
        <f>model_eui_end_uses!I530*base_scenario_arch_measures!$F530</f>
        <v>4.5668973797413602E-2</v>
      </c>
      <c r="J530">
        <f>model_eui_end_uses!J530*base_scenario_arch_measures!$F530</f>
        <v>0.16096981121250345</v>
      </c>
      <c r="K530">
        <f>model_eui_end_uses!K530*base_scenario_arch_measures!$F530</f>
        <v>0</v>
      </c>
      <c r="L530">
        <f>model_eui_end_uses!L530*base_scenario_arch_measures!$F530</f>
        <v>0.55465705273310384</v>
      </c>
      <c r="M530">
        <f>model_eui_end_uses!M530*base_scenario_arch_measures!$F530</f>
        <v>0.19341139520723444</v>
      </c>
      <c r="N530">
        <f>model_eui_end_uses!N530*base_scenario_arch_measures!$F530</f>
        <v>0</v>
      </c>
      <c r="O530">
        <f>model_eui_end_uses!O530*base_scenario_arch_measures!$F530</f>
        <v>0.32609277206684445</v>
      </c>
      <c r="P530">
        <f>model_eui_end_uses!P530*base_scenario_arch_measures!$F530</f>
        <v>9.8578533008143975E-3</v>
      </c>
      <c r="Q530">
        <f>model_eui_end_uses!Q530*base_scenario_arch_measures!$F530</f>
        <v>0</v>
      </c>
      <c r="R530" s="187">
        <f>model_eui_end_uses!R530*base_building_arch_areas!$N$6</f>
        <v>0</v>
      </c>
      <c r="S530" s="187">
        <f>model_eui_end_uses!S530*base_building_arch_areas!$N$6</f>
        <v>1457318.8507379002</v>
      </c>
      <c r="T530" s="187">
        <f>model_eui_end_uses!T530*base_building_arch_areas!$N$6</f>
        <v>8965.9063338238502</v>
      </c>
      <c r="U530" s="187">
        <f>model_eui_end_uses!U530*base_building_arch_areas!$N$6</f>
        <v>37252.76049947604</v>
      </c>
      <c r="V530" s="187">
        <f>model_eui_end_uses!V530*base_building_arch_areas!$N$6</f>
        <v>0</v>
      </c>
      <c r="W530" s="187">
        <f>model_eui_end_uses!W530*base_building_arch_areas!$N$6</f>
        <v>183376.72262613272</v>
      </c>
      <c r="X530" s="187">
        <f>model_eui_end_uses!X530*base_building_arch_areas!$N$6</f>
        <v>44760.618958624647</v>
      </c>
      <c r="Y530" s="187">
        <f>model_eui_end_uses!Y530*base_building_arch_areas!$N$6</f>
        <v>0</v>
      </c>
      <c r="Z530" s="187">
        <f>model_eui_end_uses!Z530*base_building_arch_areas!$N$6</f>
        <v>73584.266869182145</v>
      </c>
      <c r="AA530" s="187">
        <f>model_eui_end_uses!AA530*base_building_arch_areas!$N$6</f>
        <v>3597.9688847707362</v>
      </c>
      <c r="AB530" s="187">
        <f>model_eui_end_uses!AB530*base_building_arch_areas!$N$6</f>
        <v>0</v>
      </c>
      <c r="AC530" s="187">
        <f>model_eui_end_uses!AC530*base_building_arch_areas!$N$6</f>
        <v>1808857.0949099101</v>
      </c>
      <c r="AD530" s="187">
        <f>model_eui_end_uses!AD530*base_building_arch_areas!$N$6</f>
        <v>305943.41871792451</v>
      </c>
      <c r="AE530" s="187">
        <f>model_eui_end_uses!AE530*base_building_arch_areas!$N$6</f>
        <v>52845.167995070209</v>
      </c>
      <c r="AF530" s="187">
        <f t="shared" si="98"/>
        <v>358788.58671299473</v>
      </c>
      <c r="AG530" s="187">
        <f>model_eui_end_uses!AH530*base_building_arch_areas!$N$6</f>
        <v>4956.2833832303759</v>
      </c>
      <c r="AH530" s="187">
        <f>model_eui_end_uses!AI530*base_building_arch_areas!$N$6</f>
        <v>5971.5039834429335</v>
      </c>
      <c r="AI530" s="187">
        <f t="shared" si="99"/>
        <v>10927.78736667331</v>
      </c>
      <c r="AJ530" s="200">
        <f>sim_annual_output!F530/sim_annual_output!H530*base_building_arch_areas!$N$6</f>
        <v>282538.91928600537</v>
      </c>
      <c r="AK530">
        <f t="shared" si="100"/>
        <v>25.855089397847355</v>
      </c>
    </row>
    <row r="531" spans="1:37">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f>model_eui_end_uses!G531*base_scenario_arch_measures!$F531</f>
        <v>0</v>
      </c>
      <c r="H531">
        <f>model_eui_end_uses!H531*base_scenario_arch_measures!$F531</f>
        <v>5.7551683451908797</v>
      </c>
      <c r="I531">
        <f>model_eui_end_uses!I531*base_scenario_arch_measures!$F531</f>
        <v>7.9505389181290048E-2</v>
      </c>
      <c r="J531">
        <f>model_eui_end_uses!J531*base_scenario_arch_measures!$F531</f>
        <v>0.16096981121250345</v>
      </c>
      <c r="K531">
        <f>model_eui_end_uses!K531*base_scenario_arch_measures!$F531</f>
        <v>0</v>
      </c>
      <c r="L531">
        <f>model_eui_end_uses!L531*base_scenario_arch_measures!$F531</f>
        <v>0.79237393487420527</v>
      </c>
      <c r="M531">
        <f>model_eui_end_uses!M531*base_scenario_arch_measures!$F531</f>
        <v>0.19341139520723444</v>
      </c>
      <c r="N531">
        <f>model_eui_end_uses!N531*base_scenario_arch_measures!$F531</f>
        <v>0</v>
      </c>
      <c r="O531">
        <f>model_eui_end_uses!O531*base_scenario_arch_measures!$F531</f>
        <v>0.32049777424746334</v>
      </c>
      <c r="P531">
        <f>model_eui_end_uses!P531*base_scenario_arch_measures!$F531</f>
        <v>1.4371464987037841E-2</v>
      </c>
      <c r="Q531">
        <f>model_eui_end_uses!Q531*base_scenario_arch_measures!$F531</f>
        <v>0</v>
      </c>
      <c r="R531" s="187">
        <f>model_eui_end_uses!R531*base_building_arch_areas!$N$6</f>
        <v>0</v>
      </c>
      <c r="S531" s="187">
        <f>model_eui_end_uses!S531*base_building_arch_areas!$N$6</f>
        <v>1457318.8507379002</v>
      </c>
      <c r="T531" s="187">
        <f>model_eui_end_uses!T531*base_building_arch_areas!$N$6</f>
        <v>8965.9063338238502</v>
      </c>
      <c r="U531" s="187">
        <f>model_eui_end_uses!U531*base_building_arch_areas!$N$6</f>
        <v>37252.76049947604</v>
      </c>
      <c r="V531" s="187">
        <f>model_eui_end_uses!V531*base_building_arch_areas!$N$6</f>
        <v>0</v>
      </c>
      <c r="W531" s="187">
        <f>model_eui_end_uses!W531*base_building_arch_areas!$N$6</f>
        <v>183376.72262613272</v>
      </c>
      <c r="X531" s="187">
        <f>model_eui_end_uses!X531*base_building_arch_areas!$N$6</f>
        <v>44760.618958624647</v>
      </c>
      <c r="Y531" s="187">
        <f>model_eui_end_uses!Y531*base_building_arch_areas!$N$6</f>
        <v>0</v>
      </c>
      <c r="Z531" s="187">
        <f>model_eui_end_uses!Z531*base_building_arch_areas!$N$6</f>
        <v>73584.266869182145</v>
      </c>
      <c r="AA531" s="187">
        <f>model_eui_end_uses!AA531*base_building_arch_areas!$N$6</f>
        <v>3597.9688847707362</v>
      </c>
      <c r="AB531" s="187">
        <f>model_eui_end_uses!AB531*base_building_arch_areas!$N$6</f>
        <v>0</v>
      </c>
      <c r="AC531" s="187">
        <f>model_eui_end_uses!AC531*base_building_arch_areas!$N$6</f>
        <v>1808857.0949099101</v>
      </c>
      <c r="AD531" s="187">
        <f>model_eui_end_uses!AD531*base_building_arch_areas!$N$6</f>
        <v>125417.50611541049</v>
      </c>
      <c r="AE531" s="187">
        <f>model_eui_end_uses!AE531*base_building_arch_areas!$N$6</f>
        <v>-9749.3350426046054</v>
      </c>
      <c r="AF531" s="187">
        <f t="shared" si="98"/>
        <v>115668.17107280588</v>
      </c>
      <c r="AG531" s="187">
        <f>model_eui_end_uses!AH531*base_building_arch_areas!$N$6</f>
        <v>2031.7635990696499</v>
      </c>
      <c r="AH531" s="187">
        <f>model_eui_end_uses!AI531*base_building_arch_areas!$N$6</f>
        <v>-1101.6748598143204</v>
      </c>
      <c r="AI531" s="187">
        <f t="shared" si="99"/>
        <v>930.08873925532953</v>
      </c>
      <c r="AJ531" s="200">
        <f>sim_annual_output!F531/sim_annual_output!H531*base_building_arch_areas!$N$6</f>
        <v>675538.51337569801</v>
      </c>
      <c r="AK531">
        <f t="shared" si="100"/>
        <v>726.31619421235462</v>
      </c>
    </row>
    <row r="532" spans="1:37">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f>model_eui_end_uses!G532*base_scenario_arch_measures!$F532</f>
        <v>0</v>
      </c>
      <c r="H532">
        <f>model_eui_end_uses!H532*base_scenario_arch_measures!$F532</f>
        <v>6.1188275311878551</v>
      </c>
      <c r="I532">
        <f>model_eui_end_uses!I532*base_scenario_arch_measures!$F532</f>
        <v>7.9489716918490647E-2</v>
      </c>
      <c r="J532">
        <f>model_eui_end_uses!J532*base_scenario_arch_measures!$F532</f>
        <v>0.16096981121250345</v>
      </c>
      <c r="K532">
        <f>model_eui_end_uses!K532*base_scenario_arch_measures!$F532</f>
        <v>0</v>
      </c>
      <c r="L532">
        <f>model_eui_end_uses!L532*base_scenario_arch_measures!$F532</f>
        <v>0.79237393487420527</v>
      </c>
      <c r="M532">
        <f>model_eui_end_uses!M532*base_scenario_arch_measures!$F532</f>
        <v>0.19341139520723444</v>
      </c>
      <c r="N532">
        <f>model_eui_end_uses!N532*base_scenario_arch_measures!$F532</f>
        <v>0</v>
      </c>
      <c r="O532">
        <f>model_eui_end_uses!O532*base_scenario_arch_measures!$F532</f>
        <v>0.3388029771971473</v>
      </c>
      <c r="P532">
        <f>model_eui_end_uses!P532*base_scenario_arch_measures!$F532</f>
        <v>1.4575204403429871E-2</v>
      </c>
      <c r="Q532">
        <f>model_eui_end_uses!Q532*base_scenario_arch_measures!$F532</f>
        <v>0</v>
      </c>
      <c r="R532" s="187">
        <f>model_eui_end_uses!R532*base_building_arch_areas!$N$6</f>
        <v>0</v>
      </c>
      <c r="S532" s="187">
        <f>model_eui_end_uses!S532*base_building_arch_areas!$N$6</f>
        <v>1457318.8507379002</v>
      </c>
      <c r="T532" s="187">
        <f>model_eui_end_uses!T532*base_building_arch_areas!$N$6</f>
        <v>8965.9063338238502</v>
      </c>
      <c r="U532" s="187">
        <f>model_eui_end_uses!U532*base_building_arch_areas!$N$6</f>
        <v>37252.76049947604</v>
      </c>
      <c r="V532" s="187">
        <f>model_eui_end_uses!V532*base_building_arch_areas!$N$6</f>
        <v>0</v>
      </c>
      <c r="W532" s="187">
        <f>model_eui_end_uses!W532*base_building_arch_areas!$N$6</f>
        <v>183376.72262613272</v>
      </c>
      <c r="X532" s="187">
        <f>model_eui_end_uses!X532*base_building_arch_areas!$N$6</f>
        <v>44760.618958624647</v>
      </c>
      <c r="Y532" s="187">
        <f>model_eui_end_uses!Y532*base_building_arch_areas!$N$6</f>
        <v>0</v>
      </c>
      <c r="Z532" s="187">
        <f>model_eui_end_uses!Z532*base_building_arch_areas!$N$6</f>
        <v>73584.266869182145</v>
      </c>
      <c r="AA532" s="187">
        <f>model_eui_end_uses!AA532*base_building_arch_areas!$N$6</f>
        <v>3597.9688847707362</v>
      </c>
      <c r="AB532" s="187">
        <f>model_eui_end_uses!AB532*base_building_arch_areas!$N$6</f>
        <v>0</v>
      </c>
      <c r="AC532" s="187">
        <f>model_eui_end_uses!AC532*base_building_arch_areas!$N$6</f>
        <v>1808857.0949099101</v>
      </c>
      <c r="AD532" s="187">
        <f>model_eui_end_uses!AD532*base_building_arch_areas!$N$6</f>
        <v>41256.951677688499</v>
      </c>
      <c r="AE532" s="187">
        <f>model_eui_end_uses!AE532*base_building_arch_areas!$N$6</f>
        <v>-14029.177062795645</v>
      </c>
      <c r="AF532" s="187">
        <f t="shared" si="98"/>
        <v>27227.774614892856</v>
      </c>
      <c r="AG532" s="187">
        <f>model_eui_end_uses!AH532*base_building_arch_areas!$N$6</f>
        <v>668.36261717855359</v>
      </c>
      <c r="AH532" s="187">
        <f>model_eui_end_uses!AI532*base_building_arch_areas!$N$6</f>
        <v>-1585.2970080959078</v>
      </c>
      <c r="AI532" s="187">
        <f t="shared" si="99"/>
        <v>-916.93439091735422</v>
      </c>
      <c r="AJ532" s="200">
        <f>sim_annual_output!F532/sim_annual_output!H532*base_building_arch_areas!$N$6</f>
        <v>588207.99554510508</v>
      </c>
      <c r="AK532">
        <f t="shared" si="100"/>
        <v>-641.49409311240663</v>
      </c>
    </row>
    <row r="533" spans="1:37">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f>model_eui_end_uses!G533*base_scenario_arch_measures!$F533</f>
        <v>0</v>
      </c>
      <c r="H533">
        <f>model_eui_end_uses!H533*base_scenario_arch_measures!$F533</f>
        <v>6.1603903721318289</v>
      </c>
      <c r="I533">
        <f>model_eui_end_uses!I533*base_scenario_arch_measures!$F533</f>
        <v>7.8941187720512118E-2</v>
      </c>
      <c r="J533">
        <f>model_eui_end_uses!J533*base_scenario_arch_measures!$F533</f>
        <v>0.16096981121250345</v>
      </c>
      <c r="K533">
        <f>model_eui_end_uses!K533*base_scenario_arch_measures!$F533</f>
        <v>0</v>
      </c>
      <c r="L533">
        <f>model_eui_end_uses!L533*base_scenario_arch_measures!$F533</f>
        <v>0.79237393487420527</v>
      </c>
      <c r="M533">
        <f>model_eui_end_uses!M533*base_scenario_arch_measures!$F533</f>
        <v>0.19341139520723444</v>
      </c>
      <c r="N533">
        <f>model_eui_end_uses!N533*base_scenario_arch_measures!$F533</f>
        <v>0</v>
      </c>
      <c r="O533">
        <f>model_eui_end_uses!O533*base_scenario_arch_measures!$F533</f>
        <v>0.34270537063419465</v>
      </c>
      <c r="P533">
        <f>model_eui_end_uses!P533*base_scenario_arch_measures!$F533</f>
        <v>1.4465498563834164E-2</v>
      </c>
      <c r="Q533">
        <f>model_eui_end_uses!Q533*base_scenario_arch_measures!$F533</f>
        <v>0</v>
      </c>
      <c r="R533" s="187">
        <f>model_eui_end_uses!R533*base_building_arch_areas!$N$6</f>
        <v>0</v>
      </c>
      <c r="S533" s="187">
        <f>model_eui_end_uses!S533*base_building_arch_areas!$N$6</f>
        <v>1457318.8507379002</v>
      </c>
      <c r="T533" s="187">
        <f>model_eui_end_uses!T533*base_building_arch_areas!$N$6</f>
        <v>8965.9063338238502</v>
      </c>
      <c r="U533" s="187">
        <f>model_eui_end_uses!U533*base_building_arch_areas!$N$6</f>
        <v>37252.76049947604</v>
      </c>
      <c r="V533" s="187">
        <f>model_eui_end_uses!V533*base_building_arch_areas!$N$6</f>
        <v>0</v>
      </c>
      <c r="W533" s="187">
        <f>model_eui_end_uses!W533*base_building_arch_areas!$N$6</f>
        <v>183376.72262613272</v>
      </c>
      <c r="X533" s="187">
        <f>model_eui_end_uses!X533*base_building_arch_areas!$N$6</f>
        <v>44760.618958624647</v>
      </c>
      <c r="Y533" s="187">
        <f>model_eui_end_uses!Y533*base_building_arch_areas!$N$6</f>
        <v>0</v>
      </c>
      <c r="Z533" s="187">
        <f>model_eui_end_uses!Z533*base_building_arch_areas!$N$6</f>
        <v>73584.266869182145</v>
      </c>
      <c r="AA533" s="187">
        <f>model_eui_end_uses!AA533*base_building_arch_areas!$N$6</f>
        <v>3597.9688847707362</v>
      </c>
      <c r="AB533" s="187">
        <f>model_eui_end_uses!AB533*base_building_arch_areas!$N$6</f>
        <v>0</v>
      </c>
      <c r="AC533" s="187">
        <f>model_eui_end_uses!AC533*base_building_arch_areas!$N$6</f>
        <v>1808857.0949099101</v>
      </c>
      <c r="AD533" s="187">
        <f>model_eui_end_uses!AD533*base_building_arch_areas!$N$6</f>
        <v>31638.188086547467</v>
      </c>
      <c r="AE533" s="187">
        <f>model_eui_end_uses!AE533*base_building_arch_areas!$N$6</f>
        <v>-14779.962908710449</v>
      </c>
      <c r="AF533" s="187">
        <f t="shared" si="98"/>
        <v>16858.225177837019</v>
      </c>
      <c r="AG533" s="187">
        <f>model_eui_end_uses!AH533*base_building_arch_areas!$N$6</f>
        <v>512.53864700206896</v>
      </c>
      <c r="AH533" s="187">
        <f>model_eui_end_uses!AI533*base_building_arch_areas!$N$6</f>
        <v>-1670.1358086842808</v>
      </c>
      <c r="AI533" s="187">
        <f t="shared" si="99"/>
        <v>-1157.5971616822119</v>
      </c>
      <c r="AJ533" s="200">
        <f>sim_annual_output!F533/sim_annual_output!H533*base_building_arch_areas!$N$6</f>
        <v>213547.48910505621</v>
      </c>
      <c r="AK533">
        <f t="shared" si="100"/>
        <v>-184.47478637104683</v>
      </c>
    </row>
    <row r="534" spans="1:37">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f>model_eui_end_uses!G534*base_scenario_arch_measures!$F534</f>
        <v>0</v>
      </c>
      <c r="H534">
        <f>model_eui_end_uses!H534*base_scenario_arch_measures!$F534</f>
        <v>6.2755031423933252</v>
      </c>
      <c r="I534">
        <f>model_eui_end_uses!I534*base_scenario_arch_measures!$F534</f>
        <v>7.6982154870588737E-2</v>
      </c>
      <c r="J534">
        <f>model_eui_end_uses!J534*base_scenario_arch_measures!$F534</f>
        <v>0.16096981121250345</v>
      </c>
      <c r="K534">
        <f>model_eui_end_uses!K534*base_scenario_arch_measures!$F534</f>
        <v>0</v>
      </c>
      <c r="L534">
        <f>model_eui_end_uses!L534*base_scenario_arch_measures!$F534</f>
        <v>0.79237393487420527</v>
      </c>
      <c r="M534">
        <f>model_eui_end_uses!M534*base_scenario_arch_measures!$F534</f>
        <v>0.19341139520723444</v>
      </c>
      <c r="N534">
        <f>model_eui_end_uses!N534*base_scenario_arch_measures!$F534</f>
        <v>0</v>
      </c>
      <c r="O534">
        <f>model_eui_end_uses!O534*base_scenario_arch_measures!$F534</f>
        <v>0.3451815881564978</v>
      </c>
      <c r="P534">
        <f>model_eui_end_uses!P534*base_scenario_arch_measures!$F534</f>
        <v>1.463789345462742E-2</v>
      </c>
      <c r="Q534">
        <f>model_eui_end_uses!Q534*base_scenario_arch_measures!$F534</f>
        <v>0</v>
      </c>
      <c r="R534" s="187">
        <f>model_eui_end_uses!R534*base_building_arch_areas!$N$6</f>
        <v>0</v>
      </c>
      <c r="S534" s="187">
        <f>model_eui_end_uses!S534*base_building_arch_areas!$N$6</f>
        <v>1457318.8507379002</v>
      </c>
      <c r="T534" s="187">
        <f>model_eui_end_uses!T534*base_building_arch_areas!$N$6</f>
        <v>8965.9063338238502</v>
      </c>
      <c r="U534" s="187">
        <f>model_eui_end_uses!U534*base_building_arch_areas!$N$6</f>
        <v>37252.76049947604</v>
      </c>
      <c r="V534" s="187">
        <f>model_eui_end_uses!V534*base_building_arch_areas!$N$6</f>
        <v>0</v>
      </c>
      <c r="W534" s="187">
        <f>model_eui_end_uses!W534*base_building_arch_areas!$N$6</f>
        <v>183376.72262613272</v>
      </c>
      <c r="X534" s="187">
        <f>model_eui_end_uses!X534*base_building_arch_areas!$N$6</f>
        <v>44760.618958624647</v>
      </c>
      <c r="Y534" s="187">
        <f>model_eui_end_uses!Y534*base_building_arch_areas!$N$6</f>
        <v>0</v>
      </c>
      <c r="Z534" s="187">
        <f>model_eui_end_uses!Z534*base_building_arch_areas!$N$6</f>
        <v>73584.266869182145</v>
      </c>
      <c r="AA534" s="187">
        <f>model_eui_end_uses!AA534*base_building_arch_areas!$N$6</f>
        <v>3597.9688847707362</v>
      </c>
      <c r="AB534" s="187">
        <f>model_eui_end_uses!AB534*base_building_arch_areas!$N$6</f>
        <v>0</v>
      </c>
      <c r="AC534" s="187">
        <f>model_eui_end_uses!AC534*base_building_arch_areas!$N$6</f>
        <v>1808857.0949099101</v>
      </c>
      <c r="AD534" s="187">
        <f>model_eui_end_uses!AD534*base_building_arch_areas!$N$6</f>
        <v>4997.9850032400373</v>
      </c>
      <c r="AE534" s="187">
        <f>model_eui_end_uses!AE534*base_building_arch_areas!$N$6</f>
        <v>-14939.550238276894</v>
      </c>
      <c r="AF534" s="187">
        <f t="shared" si="98"/>
        <v>-9941.5652350368564</v>
      </c>
      <c r="AG534" s="187">
        <f>model_eui_end_uses!AH534*base_building_arch_areas!$N$6</f>
        <v>80.967357052488595</v>
      </c>
      <c r="AH534" s="187">
        <f>model_eui_end_uses!AI534*base_building_arch_areas!$N$6</f>
        <v>-1688.1691769252891</v>
      </c>
      <c r="AI534" s="187">
        <f t="shared" si="99"/>
        <v>-1607.2018198728006</v>
      </c>
      <c r="AJ534" s="200">
        <f>sim_annual_output!F534/sim_annual_output!H534*base_building_arch_areas!$N$6</f>
        <v>1947.425213934074</v>
      </c>
      <c r="AK534">
        <f t="shared" si="100"/>
        <v>-1.2116867899565966</v>
      </c>
    </row>
    <row r="535" spans="1:37">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f>model_eui_end_uses!G535*base_scenario_arch_measures!$F535</f>
        <v>0</v>
      </c>
      <c r="H535">
        <f>model_eui_end_uses!H535*base_scenario_arch_measures!$F535</f>
        <v>6.3301523227747873</v>
      </c>
      <c r="I535">
        <f>model_eui_end_uses!I535*base_scenario_arch_measures!$F535</f>
        <v>7.671572640299916E-2</v>
      </c>
      <c r="J535">
        <f>model_eui_end_uses!J535*base_scenario_arch_measures!$F535</f>
        <v>0.16096981121250345</v>
      </c>
      <c r="K535">
        <f>model_eui_end_uses!K535*base_scenario_arch_measures!$F535</f>
        <v>0</v>
      </c>
      <c r="L535">
        <f>model_eui_end_uses!L535*base_scenario_arch_measures!$F535</f>
        <v>0.79237393487420527</v>
      </c>
      <c r="M535">
        <f>model_eui_end_uses!M535*base_scenario_arch_measures!$F535</f>
        <v>0.19341139520723444</v>
      </c>
      <c r="N535">
        <f>model_eui_end_uses!N535*base_scenario_arch_measures!$F535</f>
        <v>0</v>
      </c>
      <c r="O535">
        <f>model_eui_end_uses!O535*base_scenario_arch_measures!$F535</f>
        <v>0.31643865818242212</v>
      </c>
      <c r="P535">
        <f>model_eui_end_uses!P535*base_scenario_arch_measures!$F535</f>
        <v>9.9048700892125571E-3</v>
      </c>
      <c r="Q535">
        <f>model_eui_end_uses!Q535*base_scenario_arch_measures!$F535</f>
        <v>0</v>
      </c>
      <c r="R535" s="187">
        <f>model_eui_end_uses!R535*base_building_arch_areas!$N$6</f>
        <v>0</v>
      </c>
      <c r="S535" s="187">
        <f>model_eui_end_uses!S535*base_building_arch_areas!$N$6</f>
        <v>1457318.8507379002</v>
      </c>
      <c r="T535" s="187">
        <f>model_eui_end_uses!T535*base_building_arch_areas!$N$6</f>
        <v>8965.9063338238502</v>
      </c>
      <c r="U535" s="187">
        <f>model_eui_end_uses!U535*base_building_arch_areas!$N$6</f>
        <v>37252.76049947604</v>
      </c>
      <c r="V535" s="187">
        <f>model_eui_end_uses!V535*base_building_arch_areas!$N$6</f>
        <v>0</v>
      </c>
      <c r="W535" s="187">
        <f>model_eui_end_uses!W535*base_building_arch_areas!$N$6</f>
        <v>183376.72262613272</v>
      </c>
      <c r="X535" s="187">
        <f>model_eui_end_uses!X535*base_building_arch_areas!$N$6</f>
        <v>44760.618958624647</v>
      </c>
      <c r="Y535" s="187">
        <f>model_eui_end_uses!Y535*base_building_arch_areas!$N$6</f>
        <v>0</v>
      </c>
      <c r="Z535" s="187">
        <f>model_eui_end_uses!Z535*base_building_arch_areas!$N$6</f>
        <v>73584.266869182145</v>
      </c>
      <c r="AA535" s="187">
        <f>model_eui_end_uses!AA535*base_building_arch_areas!$N$6</f>
        <v>3597.9688847707362</v>
      </c>
      <c r="AB535" s="187">
        <f>model_eui_end_uses!AB535*base_building_arch_areas!$N$6</f>
        <v>0</v>
      </c>
      <c r="AC535" s="187">
        <f>model_eui_end_uses!AC535*base_building_arch_areas!$N$6</f>
        <v>1808857.0949099101</v>
      </c>
      <c r="AD535" s="187">
        <f>model_eui_end_uses!AD535*base_building_arch_areas!$N$6</f>
        <v>-7649.3108649006272</v>
      </c>
      <c r="AE535" s="187">
        <f>model_eui_end_uses!AE535*base_building_arch_areas!$N$6</f>
        <v>-7130.6520438097541</v>
      </c>
      <c r="AF535" s="187">
        <f t="shared" si="98"/>
        <v>-14779.962908710382</v>
      </c>
      <c r="AG535" s="187">
        <f>model_eui_end_uses!AH535*base_building_arch_areas!$N$6</f>
        <v>-123.91883601139016</v>
      </c>
      <c r="AH535" s="187">
        <f>model_eui_end_uses!AI535*base_building_arch_areas!$N$6</f>
        <v>-805.76368095050225</v>
      </c>
      <c r="AI535" s="187">
        <f t="shared" si="99"/>
        <v>-929.68251696189236</v>
      </c>
      <c r="AJ535" s="200">
        <f>sim_annual_output!F535/sim_annual_output!H535*base_building_arch_areas!$N$6</f>
        <v>9768.1049323230418</v>
      </c>
      <c r="AK535">
        <f t="shared" si="100"/>
        <v>-10.506925487040686</v>
      </c>
    </row>
    <row r="536" spans="1:37">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f>model_eui_end_uses!G536*base_scenario_arch_measures!$F536</f>
        <v>0</v>
      </c>
      <c r="H536">
        <f>model_eui_end_uses!H536*base_scenario_arch_measures!$F536</f>
        <v>4.7533032734772682</v>
      </c>
      <c r="I536">
        <f>model_eui_end_uses!I536*base_scenario_arch_measures!$F536</f>
        <v>9.2842484823568355E-2</v>
      </c>
      <c r="J536">
        <f>model_eui_end_uses!J536*base_scenario_arch_measures!$F536</f>
        <v>0.16096981121250345</v>
      </c>
      <c r="K536">
        <f>model_eui_end_uses!K536*base_scenario_arch_measures!$F536</f>
        <v>0</v>
      </c>
      <c r="L536">
        <f>model_eui_end_uses!L536*base_scenario_arch_measures!$F536</f>
        <v>0.79237393487420527</v>
      </c>
      <c r="M536">
        <f>model_eui_end_uses!M536*base_scenario_arch_measures!$F536</f>
        <v>0.19341139520723444</v>
      </c>
      <c r="N536">
        <f>model_eui_end_uses!N536*base_scenario_arch_measures!$F536</f>
        <v>0</v>
      </c>
      <c r="O536">
        <f>model_eui_end_uses!O536*base_scenario_arch_measures!$F536</f>
        <v>0.34543234436128795</v>
      </c>
      <c r="P536">
        <f>model_eui_end_uses!P536*base_scenario_arch_measures!$F536</f>
        <v>8.9331897956505674E-3</v>
      </c>
      <c r="Q536">
        <f>model_eui_end_uses!Q536*base_scenario_arch_measures!$F536</f>
        <v>2.4699486171833849E-2</v>
      </c>
      <c r="R536" s="187">
        <f>model_eui_end_uses!R536*base_building_arch_areas!$N$6</f>
        <v>0</v>
      </c>
      <c r="S536" s="187">
        <f>model_eui_end_uses!S536*base_building_arch_areas!$N$6</f>
        <v>1457318.8507379002</v>
      </c>
      <c r="T536" s="187">
        <f>model_eui_end_uses!T536*base_building_arch_areas!$N$6</f>
        <v>8965.9063338238502</v>
      </c>
      <c r="U536" s="187">
        <f>model_eui_end_uses!U536*base_building_arch_areas!$N$6</f>
        <v>37252.76049947604</v>
      </c>
      <c r="V536" s="187">
        <f>model_eui_end_uses!V536*base_building_arch_areas!$N$6</f>
        <v>0</v>
      </c>
      <c r="W536" s="187">
        <f>model_eui_end_uses!W536*base_building_arch_areas!$N$6</f>
        <v>183376.72262613272</v>
      </c>
      <c r="X536" s="187">
        <f>model_eui_end_uses!X536*base_building_arch_areas!$N$6</f>
        <v>44760.618958624647</v>
      </c>
      <c r="Y536" s="187">
        <f>model_eui_end_uses!Y536*base_building_arch_areas!$N$6</f>
        <v>0</v>
      </c>
      <c r="Z536" s="187">
        <f>model_eui_end_uses!Z536*base_building_arch_areas!$N$6</f>
        <v>73584.266869182145</v>
      </c>
      <c r="AA536" s="187">
        <f>model_eui_end_uses!AA536*base_building_arch_areas!$N$6</f>
        <v>3597.9688847707362</v>
      </c>
      <c r="AB536" s="187">
        <f>model_eui_end_uses!AB536*base_building_arch_areas!$N$6</f>
        <v>0</v>
      </c>
      <c r="AC536" s="187">
        <f>model_eui_end_uses!AC536*base_building_arch_areas!$N$6</f>
        <v>1808857.0949099101</v>
      </c>
      <c r="AD536" s="187">
        <f>model_eui_end_uses!AD536*base_building_arch_areas!$N$6</f>
        <v>357276.13406687643</v>
      </c>
      <c r="AE536" s="187">
        <f>model_eui_end_uses!AE536*base_building_arch_areas!$N$6</f>
        <v>-23063.996107113984</v>
      </c>
      <c r="AF536" s="187">
        <f t="shared" si="98"/>
        <v>334212.13795976248</v>
      </c>
      <c r="AG536" s="187">
        <f>model_eui_end_uses!AH536*base_building_arch_areas!$N$6</f>
        <v>5787.8733718833982</v>
      </c>
      <c r="AH536" s="187">
        <f>model_eui_end_uses!AI536*base_building_arch_areas!$N$6</f>
        <v>-2606.2315601038804</v>
      </c>
      <c r="AI536" s="187">
        <f t="shared" si="99"/>
        <v>3181.6418117795179</v>
      </c>
      <c r="AJ536" s="200">
        <f>sim_annual_output!F536/sim_annual_output!H536*base_building_arch_areas!$N$6</f>
        <v>328376.95502153103</v>
      </c>
      <c r="AK536">
        <f t="shared" si="100"/>
        <v>103.20990684927766</v>
      </c>
    </row>
    <row r="537" spans="1:37">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f>model_eui_end_uses!G537*base_scenario_arch_measures!$F537</f>
        <v>0</v>
      </c>
      <c r="H537">
        <f>model_eui_end_uses!H537*base_scenario_arch_measures!$F537</f>
        <v>4.8762208306128603</v>
      </c>
      <c r="I537">
        <f>model_eui_end_uses!I537*base_scenario_arch_measures!$F537</f>
        <v>9.1416308908824129E-2</v>
      </c>
      <c r="J537">
        <f>model_eui_end_uses!J537*base_scenario_arch_measures!$F537</f>
        <v>0.16096981121250345</v>
      </c>
      <c r="K537">
        <f>model_eui_end_uses!K537*base_scenario_arch_measures!$F537</f>
        <v>0</v>
      </c>
      <c r="L537">
        <f>model_eui_end_uses!L537*base_scenario_arch_measures!$F537</f>
        <v>0.79237393487420527</v>
      </c>
      <c r="M537">
        <f>model_eui_end_uses!M537*base_scenario_arch_measures!$F537</f>
        <v>0.19341139520723444</v>
      </c>
      <c r="N537">
        <f>model_eui_end_uses!N537*base_scenario_arch_measures!$F537</f>
        <v>0</v>
      </c>
      <c r="O537">
        <f>model_eui_end_uses!O537*base_scenario_arch_measures!$F537</f>
        <v>0.31418185233931034</v>
      </c>
      <c r="P537">
        <f>model_eui_end_uses!P537*base_scenario_arch_measures!$F537</f>
        <v>1.0876550382774549E-2</v>
      </c>
      <c r="Q537">
        <f>model_eui_end_uses!Q537*base_scenario_arch_measures!$F537</f>
        <v>0</v>
      </c>
      <c r="R537" s="187">
        <f>model_eui_end_uses!R537*base_building_arch_areas!$N$6</f>
        <v>0</v>
      </c>
      <c r="S537" s="187">
        <f>model_eui_end_uses!S537*base_building_arch_areas!$N$6</f>
        <v>1457318.8507379002</v>
      </c>
      <c r="T537" s="187">
        <f>model_eui_end_uses!T537*base_building_arch_areas!$N$6</f>
        <v>8965.9063338238502</v>
      </c>
      <c r="U537" s="187">
        <f>model_eui_end_uses!U537*base_building_arch_areas!$N$6</f>
        <v>37252.76049947604</v>
      </c>
      <c r="V537" s="187">
        <f>model_eui_end_uses!V537*base_building_arch_areas!$N$6</f>
        <v>0</v>
      </c>
      <c r="W537" s="187">
        <f>model_eui_end_uses!W537*base_building_arch_areas!$N$6</f>
        <v>183376.72262613272</v>
      </c>
      <c r="X537" s="187">
        <f>model_eui_end_uses!X537*base_building_arch_areas!$N$6</f>
        <v>44760.618958624647</v>
      </c>
      <c r="Y537" s="187">
        <f>model_eui_end_uses!Y537*base_building_arch_areas!$N$6</f>
        <v>0</v>
      </c>
      <c r="Z537" s="187">
        <f>model_eui_end_uses!Z537*base_building_arch_areas!$N$6</f>
        <v>73584.266869182145</v>
      </c>
      <c r="AA537" s="187">
        <f>model_eui_end_uses!AA537*base_building_arch_areas!$N$6</f>
        <v>3597.9688847707362</v>
      </c>
      <c r="AB537" s="187">
        <f>model_eui_end_uses!AB537*base_building_arch_areas!$N$6</f>
        <v>0</v>
      </c>
      <c r="AC537" s="187">
        <f>model_eui_end_uses!AC537*base_building_arch_areas!$N$6</f>
        <v>1808857.0949099101</v>
      </c>
      <c r="AD537" s="187">
        <f>model_eui_end_uses!AD537*base_building_arch_areas!$N$6</f>
        <v>328829.69257165771</v>
      </c>
      <c r="AE537" s="187">
        <f>model_eui_end_uses!AE537*base_building_arch_areas!$N$6</f>
        <v>-10235.351000829671</v>
      </c>
      <c r="AF537" s="187">
        <f t="shared" si="98"/>
        <v>318594.34157082805</v>
      </c>
      <c r="AG537" s="187">
        <f>model_eui_end_uses!AH537*base_building_arch_areas!$N$6</f>
        <v>5327.0410196608545</v>
      </c>
      <c r="AH537" s="187">
        <f>model_eui_end_uses!AI537*base_building_arch_areas!$N$6</f>
        <v>-1156.5946630937528</v>
      </c>
      <c r="AI537" s="187">
        <f t="shared" si="99"/>
        <v>4170.4463565671012</v>
      </c>
      <c r="AJ537" s="200">
        <f>sim_annual_output!F537/sim_annual_output!H537*base_building_arch_areas!$N$6</f>
        <v>134050.56661141643</v>
      </c>
      <c r="AK537">
        <f t="shared" si="100"/>
        <v>32.142978269059917</v>
      </c>
    </row>
    <row r="538" spans="1:37">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f>model_eui_end_uses!G538*base_scenario_arch_measures!$F538</f>
        <v>0</v>
      </c>
      <c r="H538">
        <f>model_eui_end_uses!H538*base_scenario_arch_measures!$F538</f>
        <v>4.1188900753580846</v>
      </c>
      <c r="I538">
        <f>model_eui_end_uses!I538*base_scenario_arch_measures!$F538</f>
        <v>8.5319798679862613E-2</v>
      </c>
      <c r="J538">
        <f>model_eui_end_uses!J538*base_scenario_arch_measures!$F538</f>
        <v>0.16096981121250345</v>
      </c>
      <c r="K538">
        <f>model_eui_end_uses!K538*base_scenario_arch_measures!$F538</f>
        <v>0</v>
      </c>
      <c r="L538">
        <f>model_eui_end_uses!L538*base_scenario_arch_measures!$F538</f>
        <v>0.79237393487420527</v>
      </c>
      <c r="M538">
        <f>model_eui_end_uses!M538*base_scenario_arch_measures!$F538</f>
        <v>0.19341139520723444</v>
      </c>
      <c r="N538">
        <f>model_eui_end_uses!N538*base_scenario_arch_measures!$F538</f>
        <v>0</v>
      </c>
      <c r="O538">
        <f>model_eui_end_uses!O538*base_scenario_arch_measures!$F538</f>
        <v>0.37477082032174036</v>
      </c>
      <c r="P538">
        <f>model_eui_end_uses!P538*base_scenario_arch_measures!$F538</f>
        <v>6.942812420128423E-3</v>
      </c>
      <c r="Q538">
        <f>model_eui_end_uses!Q538*base_scenario_arch_measures!$F538</f>
        <v>0</v>
      </c>
      <c r="R538" s="187">
        <f>model_eui_end_uses!R538*base_building_arch_areas!$N$6</f>
        <v>0</v>
      </c>
      <c r="S538" s="187">
        <f>model_eui_end_uses!S538*base_building_arch_areas!$N$6</f>
        <v>1457318.8507379002</v>
      </c>
      <c r="T538" s="187">
        <f>model_eui_end_uses!T538*base_building_arch_areas!$N$6</f>
        <v>8965.9063338238502</v>
      </c>
      <c r="U538" s="187">
        <f>model_eui_end_uses!U538*base_building_arch_areas!$N$6</f>
        <v>37252.76049947604</v>
      </c>
      <c r="V538" s="187">
        <f>model_eui_end_uses!V538*base_building_arch_areas!$N$6</f>
        <v>0</v>
      </c>
      <c r="W538" s="187">
        <f>model_eui_end_uses!W538*base_building_arch_areas!$N$6</f>
        <v>183376.72262613272</v>
      </c>
      <c r="X538" s="187">
        <f>model_eui_end_uses!X538*base_building_arch_areas!$N$6</f>
        <v>44760.618958624647</v>
      </c>
      <c r="Y538" s="187">
        <f>model_eui_end_uses!Y538*base_building_arch_areas!$N$6</f>
        <v>0</v>
      </c>
      <c r="Z538" s="187">
        <f>model_eui_end_uses!Z538*base_building_arch_areas!$N$6</f>
        <v>73584.266869182145</v>
      </c>
      <c r="AA538" s="187">
        <f>model_eui_end_uses!AA538*base_building_arch_areas!$N$6</f>
        <v>3597.9688847707362</v>
      </c>
      <c r="AB538" s="187">
        <f>model_eui_end_uses!AB538*base_building_arch_areas!$N$6</f>
        <v>0</v>
      </c>
      <c r="AC538" s="187">
        <f>model_eui_end_uses!AC538*base_building_arch_areas!$N$6</f>
        <v>1808857.0949099101</v>
      </c>
      <c r="AD538" s="187">
        <f>model_eui_end_uses!AD538*base_building_arch_areas!$N$6</f>
        <v>504096.47726800479</v>
      </c>
      <c r="AE538" s="187">
        <f>model_eui_end_uses!AE538*base_building_arch_areas!$N$6</f>
        <v>-21936.003845860345</v>
      </c>
      <c r="AF538" s="187">
        <f t="shared" si="98"/>
        <v>482160.47342214442</v>
      </c>
      <c r="AG538" s="187">
        <f>model_eui_end_uses!AH538*base_building_arch_areas!$N$6</f>
        <v>8166.3629317416771</v>
      </c>
      <c r="AH538" s="187">
        <f>model_eui_end_uses!AI538*base_building_arch_areas!$N$6</f>
        <v>-2478.768434582219</v>
      </c>
      <c r="AI538" s="187">
        <f t="shared" si="99"/>
        <v>5687.5944971594581</v>
      </c>
      <c r="AJ538" s="200">
        <f>sim_annual_output!F538/sim_annual_output!H538*base_building_arch_areas!$N$6</f>
        <v>160034.70284915032</v>
      </c>
      <c r="AK538">
        <f t="shared" si="100"/>
        <v>28.137502230349941</v>
      </c>
    </row>
    <row r="539" spans="1:37">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f>model_eui_end_uses!G539*base_scenario_arch_measures!$F539</f>
        <v>0</v>
      </c>
      <c r="H539">
        <f>model_eui_end_uses!H539*base_scenario_arch_measures!$F539</f>
        <v>6.5119819157732746</v>
      </c>
      <c r="I539">
        <f>model_eui_end_uses!I539*base_scenario_arch_measures!$F539</f>
        <v>4.4775654817848544E-2</v>
      </c>
      <c r="J539">
        <f>model_eui_end_uses!J539*base_scenario_arch_measures!$F539</f>
        <v>0.16096981121250345</v>
      </c>
      <c r="K539">
        <f>model_eui_end_uses!K539*base_scenario_arch_measures!$F539</f>
        <v>0</v>
      </c>
      <c r="L539">
        <f>model_eui_end_uses!L539*base_scenario_arch_measures!$F539</f>
        <v>0.55465705273310384</v>
      </c>
      <c r="M539">
        <f>model_eui_end_uses!M539*base_scenario_arch_measures!$F539</f>
        <v>0.19341139520723444</v>
      </c>
      <c r="N539">
        <f>model_eui_end_uses!N539*base_scenario_arch_measures!$F539</f>
        <v>0</v>
      </c>
      <c r="O539">
        <f>model_eui_end_uses!O539*base_scenario_arch_measures!$F539</f>
        <v>0.3289451238963329</v>
      </c>
      <c r="P539">
        <f>model_eui_end_uses!P539*base_scenario_arch_measures!$F539</f>
        <v>1.5734951850584506E-2</v>
      </c>
      <c r="Q539">
        <f>model_eui_end_uses!Q539*base_scenario_arch_measures!$F539</f>
        <v>0</v>
      </c>
      <c r="R539" s="187">
        <f>model_eui_end_uses!R539*base_building_arch_areas!$N$6</f>
        <v>0</v>
      </c>
      <c r="S539" s="187">
        <f>model_eui_end_uses!S539*base_building_arch_areas!$N$6</f>
        <v>1457318.8507379002</v>
      </c>
      <c r="T539" s="187">
        <f>model_eui_end_uses!T539*base_building_arch_areas!$N$6</f>
        <v>8965.9063338238502</v>
      </c>
      <c r="U539" s="187">
        <f>model_eui_end_uses!U539*base_building_arch_areas!$N$6</f>
        <v>37252.76049947604</v>
      </c>
      <c r="V539" s="187">
        <f>model_eui_end_uses!V539*base_building_arch_areas!$N$6</f>
        <v>0</v>
      </c>
      <c r="W539" s="187">
        <f>model_eui_end_uses!W539*base_building_arch_areas!$N$6</f>
        <v>183376.72262613272</v>
      </c>
      <c r="X539" s="187">
        <f>model_eui_end_uses!X539*base_building_arch_areas!$N$6</f>
        <v>44760.618958624647</v>
      </c>
      <c r="Y539" s="187">
        <f>model_eui_end_uses!Y539*base_building_arch_areas!$N$6</f>
        <v>0</v>
      </c>
      <c r="Z539" s="187">
        <f>model_eui_end_uses!Z539*base_building_arch_areas!$N$6</f>
        <v>73584.266869182145</v>
      </c>
      <c r="AA539" s="187">
        <f>model_eui_end_uses!AA539*base_building_arch_areas!$N$6</f>
        <v>3597.9688847707362</v>
      </c>
      <c r="AB539" s="187">
        <f>model_eui_end_uses!AB539*base_building_arch_areas!$N$6</f>
        <v>0</v>
      </c>
      <c r="AC539" s="187">
        <f>model_eui_end_uses!AC539*base_building_arch_areas!$N$6</f>
        <v>1808857.0949099101</v>
      </c>
      <c r="AD539" s="187">
        <f>model_eui_end_uses!AD539*base_building_arch_areas!$N$6</f>
        <v>-49729.588083761482</v>
      </c>
      <c r="AE539" s="187">
        <f>model_eui_end_uses!AE539*base_building_arch_areas!$N$6</f>
        <v>51031.675613633313</v>
      </c>
      <c r="AF539" s="187">
        <f t="shared" si="98"/>
        <v>1302.0875298718311</v>
      </c>
      <c r="AG539" s="187">
        <f>model_eui_end_uses!AH539*base_building_arch_areas!$N$6</f>
        <v>-805.61932695693599</v>
      </c>
      <c r="AH539" s="187">
        <f>model_eui_end_uses!AI539*base_building_arch_areas!$N$6</f>
        <v>5766.5793443405646</v>
      </c>
      <c r="AI539" s="187">
        <f t="shared" si="99"/>
        <v>4960.9600173836288</v>
      </c>
      <c r="AJ539" s="200">
        <f>sim_annual_output!F539/sim_annual_output!H539*base_building_arch_areas!$N$6</f>
        <v>207019.4885571427</v>
      </c>
      <c r="AK539">
        <f t="shared" si="100"/>
        <v>41.729723245446181</v>
      </c>
    </row>
    <row r="540" spans="1:37">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f>model_eui_end_uses!G540*base_scenario_arch_measures!$F540</f>
        <v>0</v>
      </c>
      <c r="H540">
        <f>model_eui_end_uses!H540*base_scenario_arch_measures!$F540</f>
        <v>2.5606440020034369</v>
      </c>
      <c r="I540">
        <f>model_eui_end_uses!I540*base_scenario_arch_measures!$F540</f>
        <v>8.5319798679862613E-2</v>
      </c>
      <c r="J540">
        <f>model_eui_end_uses!J540*base_scenario_arch_measures!$F540</f>
        <v>0.16096981121250345</v>
      </c>
      <c r="K540">
        <f>model_eui_end_uses!K540*base_scenario_arch_measures!$F540</f>
        <v>0</v>
      </c>
      <c r="L540">
        <f>model_eui_end_uses!L540*base_scenario_arch_measures!$F540</f>
        <v>0.79237393487420527</v>
      </c>
      <c r="M540">
        <f>model_eui_end_uses!M540*base_scenario_arch_measures!$F540</f>
        <v>0.19341139520723444</v>
      </c>
      <c r="N540">
        <f>model_eui_end_uses!N540*base_scenario_arch_measures!$F540</f>
        <v>0</v>
      </c>
      <c r="O540">
        <f>model_eui_end_uses!O540*base_scenario_arch_measures!$F540</f>
        <v>0.37477082032174036</v>
      </c>
      <c r="P540">
        <f>model_eui_end_uses!P540*base_scenario_arch_measures!$F540</f>
        <v>6.942812420128423E-3</v>
      </c>
      <c r="Q540">
        <f>model_eui_end_uses!Q540*base_scenario_arch_measures!$F540</f>
        <v>0</v>
      </c>
      <c r="R540" s="187">
        <f>model_eui_end_uses!R540*base_building_arch_areas!$N$6</f>
        <v>0</v>
      </c>
      <c r="S540" s="187">
        <f>model_eui_end_uses!S540*base_building_arch_areas!$N$6</f>
        <v>1457318.8507379002</v>
      </c>
      <c r="T540" s="187">
        <f>model_eui_end_uses!T540*base_building_arch_areas!$N$6</f>
        <v>8965.9063338238502</v>
      </c>
      <c r="U540" s="187">
        <f>model_eui_end_uses!U540*base_building_arch_areas!$N$6</f>
        <v>37252.76049947604</v>
      </c>
      <c r="V540" s="187">
        <f>model_eui_end_uses!V540*base_building_arch_areas!$N$6</f>
        <v>0</v>
      </c>
      <c r="W540" s="187">
        <f>model_eui_end_uses!W540*base_building_arch_areas!$N$6</f>
        <v>183376.72262613272</v>
      </c>
      <c r="X540" s="187">
        <f>model_eui_end_uses!X540*base_building_arch_areas!$N$6</f>
        <v>44760.618958624647</v>
      </c>
      <c r="Y540" s="187">
        <f>model_eui_end_uses!Y540*base_building_arch_areas!$N$6</f>
        <v>0</v>
      </c>
      <c r="Z540" s="187">
        <f>model_eui_end_uses!Z540*base_building_arch_areas!$N$6</f>
        <v>73584.266869182145</v>
      </c>
      <c r="AA540" s="187">
        <f>model_eui_end_uses!AA540*base_building_arch_areas!$N$6</f>
        <v>3597.9688847707362</v>
      </c>
      <c r="AB540" s="187">
        <f>model_eui_end_uses!AB540*base_building_arch_areas!$N$6</f>
        <v>0</v>
      </c>
      <c r="AC540" s="187">
        <f>model_eui_end_uses!AC540*base_building_arch_areas!$N$6</f>
        <v>1808857.0949099101</v>
      </c>
      <c r="AD540" s="187">
        <f>model_eui_end_uses!AD540*base_building_arch_areas!$N$6</f>
        <v>864716.69128625072</v>
      </c>
      <c r="AE540" s="187">
        <f>model_eui_end_uses!AE540*base_building_arch_areas!$N$6</f>
        <v>-21936.003845860345</v>
      </c>
      <c r="AF540" s="187">
        <f t="shared" si="98"/>
        <v>842780.68744039035</v>
      </c>
      <c r="AG540" s="187">
        <f>model_eui_end_uses!AH540*base_building_arch_areas!$N$6</f>
        <v>14008.410398837263</v>
      </c>
      <c r="AH540" s="187">
        <f>model_eui_end_uses!AI540*base_building_arch_areas!$N$6</f>
        <v>-2478.768434582219</v>
      </c>
      <c r="AI540" s="187">
        <f t="shared" si="99"/>
        <v>11529.641964255043</v>
      </c>
      <c r="AJ540" s="200">
        <f>sim_annual_output!F540/sim_annual_output!H540*base_building_arch_areas!$N$6</f>
        <v>160034.70284915032</v>
      </c>
      <c r="AK540">
        <f t="shared" si="100"/>
        <v>13.880283823669501</v>
      </c>
    </row>
    <row r="541" spans="1:37">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f>model_eui_end_uses!G541*base_scenario_arch_measures!$F541</f>
        <v>0</v>
      </c>
      <c r="H541">
        <f>model_eui_end_uses!H541*base_scenario_arch_measures!$F541</f>
        <v>5.3779056350840362</v>
      </c>
      <c r="I541">
        <f>model_eui_end_uses!I541*base_scenario_arch_measures!$F541</f>
        <v>6.5604092078233811E-2</v>
      </c>
      <c r="J541">
        <f>model_eui_end_uses!J541*base_scenario_arch_measures!$F541</f>
        <v>0.16096981121250345</v>
      </c>
      <c r="K541">
        <f>model_eui_end_uses!K541*base_scenario_arch_measures!$F541</f>
        <v>0</v>
      </c>
      <c r="L541">
        <f>model_eui_end_uses!L541*base_scenario_arch_measures!$F541</f>
        <v>0.79237393487420527</v>
      </c>
      <c r="M541">
        <f>model_eui_end_uses!M541*base_scenario_arch_measures!$F541</f>
        <v>0.19341139520723444</v>
      </c>
      <c r="N541">
        <f>model_eui_end_uses!N541*base_scenario_arch_measures!$F541</f>
        <v>0</v>
      </c>
      <c r="O541">
        <f>model_eui_end_uses!O541*base_scenario_arch_measures!$F541</f>
        <v>0.44361907079944723</v>
      </c>
      <c r="P541">
        <f>model_eui_end_uses!P541*base_scenario_arch_measures!$F541</f>
        <v>8.2122657068787672E-3</v>
      </c>
      <c r="Q541">
        <f>model_eui_end_uses!Q541*base_scenario_arch_measures!$F541</f>
        <v>0</v>
      </c>
      <c r="R541" s="187">
        <f>model_eui_end_uses!R541*base_building_arch_areas!$N$6</f>
        <v>0</v>
      </c>
      <c r="S541" s="187">
        <f>model_eui_end_uses!S541*base_building_arch_areas!$N$6</f>
        <v>1457318.8507379002</v>
      </c>
      <c r="T541" s="187">
        <f>model_eui_end_uses!T541*base_building_arch_areas!$N$6</f>
        <v>8965.9063338238502</v>
      </c>
      <c r="U541" s="187">
        <f>model_eui_end_uses!U541*base_building_arch_areas!$N$6</f>
        <v>37252.76049947604</v>
      </c>
      <c r="V541" s="187">
        <f>model_eui_end_uses!V541*base_building_arch_areas!$N$6</f>
        <v>0</v>
      </c>
      <c r="W541" s="187">
        <f>model_eui_end_uses!W541*base_building_arch_areas!$N$6</f>
        <v>183376.72262613272</v>
      </c>
      <c r="X541" s="187">
        <f>model_eui_end_uses!X541*base_building_arch_areas!$N$6</f>
        <v>44760.618958624647</v>
      </c>
      <c r="Y541" s="187">
        <f>model_eui_end_uses!Y541*base_building_arch_areas!$N$6</f>
        <v>0</v>
      </c>
      <c r="Z541" s="187">
        <f>model_eui_end_uses!Z541*base_building_arch_areas!$N$6</f>
        <v>73584.266869182145</v>
      </c>
      <c r="AA541" s="187">
        <f>model_eui_end_uses!AA541*base_building_arch_areas!$N$6</f>
        <v>3597.9688847707362</v>
      </c>
      <c r="AB541" s="187">
        <f>model_eui_end_uses!AB541*base_building_arch_areas!$N$6</f>
        <v>0</v>
      </c>
      <c r="AC541" s="187">
        <f>model_eui_end_uses!AC541*base_building_arch_areas!$N$6</f>
        <v>1808857.0949099101</v>
      </c>
      <c r="AD541" s="187">
        <f>model_eui_end_uses!AD541*base_building_arch_areas!$N$6</f>
        <v>212726.28332730694</v>
      </c>
      <c r="AE541" s="187">
        <f>model_eui_end_uses!AE541*base_building_arch_areas!$N$6</f>
        <v>-33600.386843262204</v>
      </c>
      <c r="AF541" s="187">
        <f t="shared" si="98"/>
        <v>179125.89648404473</v>
      </c>
      <c r="AG541" s="187">
        <f>model_eui_end_uses!AH541*base_building_arch_areas!$N$6</f>
        <v>3446.1657899023726</v>
      </c>
      <c r="AH541" s="187">
        <f>model_eui_end_uses!AI541*base_building_arch_areas!$N$6</f>
        <v>-3796.8437132886293</v>
      </c>
      <c r="AI541" s="187">
        <f t="shared" si="99"/>
        <v>-350.67792338625668</v>
      </c>
      <c r="AJ541" s="200">
        <f>sim_annual_output!F541/sim_annual_output!H541*base_building_arch_areas!$N$6</f>
        <v>25984.136237733899</v>
      </c>
      <c r="AK541">
        <f t="shared" si="100"/>
        <v>-74.096869249204175</v>
      </c>
    </row>
    <row r="542" spans="1:37">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f>model_eui_end_uses!G542*base_scenario_arch_measures!$F542</f>
        <v>0</v>
      </c>
      <c r="H542">
        <f>model_eui_end_uses!H542*base_scenario_arch_measures!$F542</f>
        <v>1.7621892291630696</v>
      </c>
      <c r="I542">
        <f>model_eui_end_uses!I542*base_scenario_arch_measures!$F542</f>
        <v>0.1325716710200143</v>
      </c>
      <c r="J542">
        <f>model_eui_end_uses!J542*base_scenario_arch_measures!$F542</f>
        <v>0.16096981121250345</v>
      </c>
      <c r="K542">
        <f>model_eui_end_uses!K542*base_scenario_arch_measures!$F542</f>
        <v>0</v>
      </c>
      <c r="L542">
        <f>model_eui_end_uses!L542*base_scenario_arch_measures!$F542</f>
        <v>0.55465705273310384</v>
      </c>
      <c r="M542">
        <f>model_eui_end_uses!M542*base_scenario_arch_measures!$F542</f>
        <v>0.19341139520723444</v>
      </c>
      <c r="N542">
        <f>model_eui_end_uses!N542*base_scenario_arch_measures!$F542</f>
        <v>0</v>
      </c>
      <c r="O542">
        <f>model_eui_end_uses!O542*base_scenario_arch_measures!$F542</f>
        <v>0.38226216193984736</v>
      </c>
      <c r="P542">
        <f>model_eui_end_uses!P542*base_scenario_arch_measures!$F542</f>
        <v>2.4292007339049787E-3</v>
      </c>
      <c r="Q542">
        <f>model_eui_end_uses!Q542*base_scenario_arch_measures!$F542</f>
        <v>0</v>
      </c>
      <c r="R542" s="187">
        <f>model_eui_end_uses!R542*base_building_arch_areas!$N$6</f>
        <v>0</v>
      </c>
      <c r="S542" s="187">
        <f>model_eui_end_uses!S542*base_building_arch_areas!$N$6</f>
        <v>1457318.8507379002</v>
      </c>
      <c r="T542" s="187">
        <f>model_eui_end_uses!T542*base_building_arch_areas!$N$6</f>
        <v>8965.9063338238502</v>
      </c>
      <c r="U542" s="187">
        <f>model_eui_end_uses!U542*base_building_arch_areas!$N$6</f>
        <v>37252.76049947604</v>
      </c>
      <c r="V542" s="187">
        <f>model_eui_end_uses!V542*base_building_arch_areas!$N$6</f>
        <v>0</v>
      </c>
      <c r="W542" s="187">
        <f>model_eui_end_uses!W542*base_building_arch_areas!$N$6</f>
        <v>183376.72262613272</v>
      </c>
      <c r="X542" s="187">
        <f>model_eui_end_uses!X542*base_building_arch_areas!$N$6</f>
        <v>44760.618958624647</v>
      </c>
      <c r="Y542" s="187">
        <f>model_eui_end_uses!Y542*base_building_arch_areas!$N$6</f>
        <v>0</v>
      </c>
      <c r="Z542" s="187">
        <f>model_eui_end_uses!Z542*base_building_arch_areas!$N$6</f>
        <v>73584.266869182145</v>
      </c>
      <c r="AA542" s="187">
        <f>model_eui_end_uses!AA542*base_building_arch_areas!$N$6</f>
        <v>3597.9688847707362</v>
      </c>
      <c r="AB542" s="187">
        <f>model_eui_end_uses!AB542*base_building_arch_areas!$N$6</f>
        <v>0</v>
      </c>
      <c r="AC542" s="187">
        <f>model_eui_end_uses!AC542*base_building_arch_areas!$N$6</f>
        <v>1808857.0949099101</v>
      </c>
      <c r="AD542" s="187">
        <f>model_eui_end_uses!AD542*base_building_arch_areas!$N$6</f>
        <v>1049500.6840003785</v>
      </c>
      <c r="AE542" s="187">
        <f>model_eui_end_uses!AE542*base_building_arch_areas!$N$6</f>
        <v>21453.614872398077</v>
      </c>
      <c r="AF542" s="187">
        <f t="shared" si="98"/>
        <v>1070954.2988727766</v>
      </c>
      <c r="AG542" s="187">
        <f>model_eui_end_uses!AH542*base_building_arch_areas!$N$6</f>
        <v>17001.91108080613</v>
      </c>
      <c r="AH542" s="187">
        <f>model_eui_end_uses!AI542*base_building_arch_areas!$N$6</f>
        <v>2424.2584805809829</v>
      </c>
      <c r="AI542" s="187">
        <f t="shared" si="99"/>
        <v>19426.169561387112</v>
      </c>
      <c r="AJ542" s="200">
        <f>sim_annual_output!F542/sim_annual_output!H542*base_building_arch_areas!$N$6</f>
        <v>500274.40744666796</v>
      </c>
      <c r="AK542">
        <f t="shared" si="100"/>
        <v>25.752601709039453</v>
      </c>
    </row>
    <row r="543" spans="1:37">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f>model_eui_end_uses!G543*base_scenario_arch_measures!$F543</f>
        <v>0</v>
      </c>
      <c r="H543">
        <f>model_eui_end_uses!H543*base_scenario_arch_measures!$F543</f>
        <v>6.2704253292463248</v>
      </c>
      <c r="I543">
        <f>model_eui_end_uses!I543*base_scenario_arch_measures!$F543</f>
        <v>7.2907366542748139E-2</v>
      </c>
      <c r="J543">
        <f>model_eui_end_uses!J543*base_scenario_arch_measures!$F543</f>
        <v>0.16096981121250345</v>
      </c>
      <c r="K543">
        <f>model_eui_end_uses!K543*base_scenario_arch_measures!$F543</f>
        <v>0</v>
      </c>
      <c r="L543">
        <f>model_eui_end_uses!L543*base_scenario_arch_measures!$F543</f>
        <v>0.79237393487420527</v>
      </c>
      <c r="M543">
        <f>model_eui_end_uses!M543*base_scenario_arch_measures!$F543</f>
        <v>0.19341139520723444</v>
      </c>
      <c r="N543">
        <f>model_eui_end_uses!N543*base_scenario_arch_measures!$F543</f>
        <v>0</v>
      </c>
      <c r="O543">
        <f>model_eui_end_uses!O543*base_scenario_arch_measures!$F543</f>
        <v>0.34154562318704002</v>
      </c>
      <c r="P543">
        <f>model_eui_end_uses!P543*base_scenario_arch_measures!$F543</f>
        <v>1.4747599294223129E-2</v>
      </c>
      <c r="Q543">
        <f>model_eui_end_uses!Q543*base_scenario_arch_measures!$F543</f>
        <v>0</v>
      </c>
      <c r="R543" s="187">
        <f>model_eui_end_uses!R543*base_building_arch_areas!$N$6</f>
        <v>0</v>
      </c>
      <c r="S543" s="187">
        <f>model_eui_end_uses!S543*base_building_arch_areas!$N$6</f>
        <v>1457318.8507379002</v>
      </c>
      <c r="T543" s="187">
        <f>model_eui_end_uses!T543*base_building_arch_areas!$N$6</f>
        <v>8965.9063338238502</v>
      </c>
      <c r="U543" s="187">
        <f>model_eui_end_uses!U543*base_building_arch_areas!$N$6</f>
        <v>37252.76049947604</v>
      </c>
      <c r="V543" s="187">
        <f>model_eui_end_uses!V543*base_building_arch_areas!$N$6</f>
        <v>0</v>
      </c>
      <c r="W543" s="187">
        <f>model_eui_end_uses!W543*base_building_arch_areas!$N$6</f>
        <v>183376.72262613272</v>
      </c>
      <c r="X543" s="187">
        <f>model_eui_end_uses!X543*base_building_arch_areas!$N$6</f>
        <v>44760.618958624647</v>
      </c>
      <c r="Y543" s="187">
        <f>model_eui_end_uses!Y543*base_building_arch_areas!$N$6</f>
        <v>0</v>
      </c>
      <c r="Z543" s="187">
        <f>model_eui_end_uses!Z543*base_building_arch_areas!$N$6</f>
        <v>73584.266869182145</v>
      </c>
      <c r="AA543" s="187">
        <f>model_eui_end_uses!AA543*base_building_arch_areas!$N$6</f>
        <v>3597.9688847707362</v>
      </c>
      <c r="AB543" s="187">
        <f>model_eui_end_uses!AB543*base_building_arch_areas!$N$6</f>
        <v>0</v>
      </c>
      <c r="AC543" s="187">
        <f>model_eui_end_uses!AC543*base_building_arch_areas!$N$6</f>
        <v>1808857.0949099101</v>
      </c>
      <c r="AD543" s="187">
        <f>model_eui_end_uses!AD543*base_building_arch_areas!$N$6</f>
        <v>6173.1280664110227</v>
      </c>
      <c r="AE543" s="187">
        <f>model_eui_end_uses!AE543*base_building_arch_areas!$N$6</f>
        <v>-13180.462628283214</v>
      </c>
      <c r="AF543" s="187">
        <f t="shared" si="98"/>
        <v>-7007.3345618721914</v>
      </c>
      <c r="AG543" s="187">
        <f>model_eui_end_uses!AH543*base_building_arch_areas!$N$6</f>
        <v>100.00467467585855</v>
      </c>
      <c r="AH543" s="187">
        <f>model_eui_end_uses!AI543*base_building_arch_areas!$N$6</f>
        <v>-1489.3922769960031</v>
      </c>
      <c r="AI543" s="187">
        <f t="shared" si="99"/>
        <v>-1389.3876023201447</v>
      </c>
      <c r="AJ543" s="200">
        <f>sim_annual_output!F543/sim_annual_output!H543*base_building_arch_areas!$N$6</f>
        <v>15024.083318648884</v>
      </c>
      <c r="AK543">
        <f t="shared" si="100"/>
        <v>-10.813457161673314</v>
      </c>
    </row>
    <row r="544" spans="1:37">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f>model_eui_end_uses!G544*base_scenario_arch_measures!$F544</f>
        <v>0</v>
      </c>
      <c r="H544">
        <f>model_eui_end_uses!H544*base_scenario_arch_measures!$F544</f>
        <v>6.279217468676781</v>
      </c>
      <c r="I544">
        <f>model_eui_end_uses!I544*base_scenario_arch_measures!$F544</f>
        <v>7.7123205235783227E-2</v>
      </c>
      <c r="J544">
        <f>model_eui_end_uses!J544*base_scenario_arch_measures!$F544</f>
        <v>0.16096981121250345</v>
      </c>
      <c r="K544">
        <f>model_eui_end_uses!K544*base_scenario_arch_measures!$F544</f>
        <v>0</v>
      </c>
      <c r="L544">
        <f>model_eui_end_uses!L544*base_scenario_arch_measures!$F544</f>
        <v>0.79237393487420527</v>
      </c>
      <c r="M544">
        <f>model_eui_end_uses!M544*base_scenario_arch_measures!$F544</f>
        <v>0.19341139520723444</v>
      </c>
      <c r="N544">
        <f>model_eui_end_uses!N544*base_scenario_arch_measures!$F544</f>
        <v>0</v>
      </c>
      <c r="O544">
        <f>model_eui_end_uses!O544*base_scenario_arch_measures!$F544</f>
        <v>0.34560473925208118</v>
      </c>
      <c r="P544">
        <f>model_eui_end_uses!P544*base_scenario_arch_measures!$F544</f>
        <v>1.4653565717426808E-2</v>
      </c>
      <c r="Q544">
        <f>model_eui_end_uses!Q544*base_scenario_arch_measures!$F544</f>
        <v>0</v>
      </c>
      <c r="R544" s="187">
        <f>model_eui_end_uses!R544*base_building_arch_areas!$N$6</f>
        <v>0</v>
      </c>
      <c r="S544" s="187">
        <f>model_eui_end_uses!S544*base_building_arch_areas!$N$6</f>
        <v>1457318.8507379002</v>
      </c>
      <c r="T544" s="187">
        <f>model_eui_end_uses!T544*base_building_arch_areas!$N$6</f>
        <v>8965.9063338238502</v>
      </c>
      <c r="U544" s="187">
        <f>model_eui_end_uses!U544*base_building_arch_areas!$N$6</f>
        <v>37252.76049947604</v>
      </c>
      <c r="V544" s="187">
        <f>model_eui_end_uses!V544*base_building_arch_areas!$N$6</f>
        <v>0</v>
      </c>
      <c r="W544" s="187">
        <f>model_eui_end_uses!W544*base_building_arch_areas!$N$6</f>
        <v>183376.72262613272</v>
      </c>
      <c r="X544" s="187">
        <f>model_eui_end_uses!X544*base_building_arch_areas!$N$6</f>
        <v>44760.618958624647</v>
      </c>
      <c r="Y544" s="187">
        <f>model_eui_end_uses!Y544*base_building_arch_areas!$N$6</f>
        <v>0</v>
      </c>
      <c r="Z544" s="187">
        <f>model_eui_end_uses!Z544*base_building_arch_areas!$N$6</f>
        <v>73584.266869182145</v>
      </c>
      <c r="AA544" s="187">
        <f>model_eui_end_uses!AA544*base_building_arch_areas!$N$6</f>
        <v>3597.9688847707362</v>
      </c>
      <c r="AB544" s="187">
        <f>model_eui_end_uses!AB544*base_building_arch_areas!$N$6</f>
        <v>0</v>
      </c>
      <c r="AC544" s="187">
        <f>model_eui_end_uses!AC544*base_building_arch_areas!$N$6</f>
        <v>1808857.0949099101</v>
      </c>
      <c r="AD544" s="187">
        <f>model_eui_end_uses!AD544*base_building_arch_areas!$N$6</f>
        <v>4138.3896144388655</v>
      </c>
      <c r="AE544" s="187">
        <f>model_eui_end_uses!AE544*base_building_arch_areas!$N$6</f>
        <v>-15073.748674503197</v>
      </c>
      <c r="AF544" s="187">
        <f t="shared" si="98"/>
        <v>-10935.359060064331</v>
      </c>
      <c r="AG544" s="187">
        <f>model_eui_end_uses!AH544*base_building_arch_areas!$N$6</f>
        <v>67.041911753909616</v>
      </c>
      <c r="AH544" s="187">
        <f>model_eui_end_uses!AI544*base_building_arch_areas!$N$6</f>
        <v>-1703.3336002188612</v>
      </c>
      <c r="AI544" s="187">
        <f t="shared" si="99"/>
        <v>-1636.2916884649517</v>
      </c>
      <c r="AJ544" s="200">
        <f>sim_annual_output!F544/sim_annual_output!H544*base_building_arch_areas!$N$6</f>
        <v>10732.772615887841</v>
      </c>
      <c r="AK544">
        <f t="shared" si="100"/>
        <v>-6.5592049947748237</v>
      </c>
    </row>
    <row r="545" spans="1:37">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f>model_eui_end_uses!G545*base_scenario_arch_measures!$F545</f>
        <v>0</v>
      </c>
      <c r="H545">
        <f>model_eui_end_uses!H545*base_scenario_arch_measures!$F545</f>
        <v>6.279217468676781</v>
      </c>
      <c r="I545">
        <f>model_eui_end_uses!I545*base_scenario_arch_measures!$F545</f>
        <v>7.7123205235783227E-2</v>
      </c>
      <c r="J545">
        <f>model_eui_end_uses!J545*base_scenario_arch_measures!$F545</f>
        <v>0.16096981121250345</v>
      </c>
      <c r="K545">
        <f>model_eui_end_uses!K545*base_scenario_arch_measures!$F545</f>
        <v>0</v>
      </c>
      <c r="L545">
        <f>model_eui_end_uses!L545*base_scenario_arch_measures!$F545</f>
        <v>0.79237393487420527</v>
      </c>
      <c r="M545">
        <f>model_eui_end_uses!M545*base_scenario_arch_measures!$F545</f>
        <v>0.19341139520723444</v>
      </c>
      <c r="N545">
        <f>model_eui_end_uses!N545*base_scenario_arch_measures!$F545</f>
        <v>0</v>
      </c>
      <c r="O545">
        <f>model_eui_end_uses!O545*base_scenario_arch_measures!$F545</f>
        <v>0.34560473925208118</v>
      </c>
      <c r="P545">
        <f>model_eui_end_uses!P545*base_scenario_arch_measures!$F545</f>
        <v>1.1456424106351866E-2</v>
      </c>
      <c r="Q545">
        <f>model_eui_end_uses!Q545*base_scenario_arch_measures!$F545</f>
        <v>0</v>
      </c>
      <c r="R545" s="187">
        <f>model_eui_end_uses!R545*base_building_arch_areas!$N$6</f>
        <v>0</v>
      </c>
      <c r="S545" s="187">
        <f>model_eui_end_uses!S545*base_building_arch_areas!$N$6</f>
        <v>1457318.8507379002</v>
      </c>
      <c r="T545" s="187">
        <f>model_eui_end_uses!T545*base_building_arch_areas!$N$6</f>
        <v>8965.9063338238502</v>
      </c>
      <c r="U545" s="187">
        <f>model_eui_end_uses!U545*base_building_arch_areas!$N$6</f>
        <v>37252.76049947604</v>
      </c>
      <c r="V545" s="187">
        <f>model_eui_end_uses!V545*base_building_arch_areas!$N$6</f>
        <v>0</v>
      </c>
      <c r="W545" s="187">
        <f>model_eui_end_uses!W545*base_building_arch_areas!$N$6</f>
        <v>183376.72262613272</v>
      </c>
      <c r="X545" s="187">
        <f>model_eui_end_uses!X545*base_building_arch_areas!$N$6</f>
        <v>44760.618958624647</v>
      </c>
      <c r="Y545" s="187">
        <f>model_eui_end_uses!Y545*base_building_arch_areas!$N$6</f>
        <v>0</v>
      </c>
      <c r="Z545" s="187">
        <f>model_eui_end_uses!Z545*base_building_arch_areas!$N$6</f>
        <v>73584.266869182145</v>
      </c>
      <c r="AA545" s="187">
        <f>model_eui_end_uses!AA545*base_building_arch_areas!$N$6</f>
        <v>3597.9688847707362</v>
      </c>
      <c r="AB545" s="187">
        <f>model_eui_end_uses!AB545*base_building_arch_areas!$N$6</f>
        <v>0</v>
      </c>
      <c r="AC545" s="187">
        <f>model_eui_end_uses!AC545*base_building_arch_areas!$N$6</f>
        <v>1808857.0949099101</v>
      </c>
      <c r="AD545" s="187">
        <f>model_eui_end_uses!AD545*base_building_arch_areas!$N$6</f>
        <v>4138.3896144388655</v>
      </c>
      <c r="AE545" s="187">
        <f>model_eui_end_uses!AE545*base_building_arch_areas!$N$6</f>
        <v>-14333.843782876995</v>
      </c>
      <c r="AF545" s="187">
        <f t="shared" si="98"/>
        <v>-10195.454168438129</v>
      </c>
      <c r="AG545" s="187">
        <f>model_eui_end_uses!AH545*base_building_arch_areas!$N$6</f>
        <v>67.041911753909616</v>
      </c>
      <c r="AH545" s="187">
        <f>model_eui_end_uses!AI545*base_building_arch_areas!$N$6</f>
        <v>-1619.7243474651004</v>
      </c>
      <c r="AI545" s="187">
        <f t="shared" si="99"/>
        <v>-1552.6824357111909</v>
      </c>
      <c r="AJ545" s="200">
        <f>sim_annual_output!F545/sim_annual_output!H545*base_building_arch_areas!$N$6</f>
        <v>25870.489435456337</v>
      </c>
      <c r="AK545">
        <f t="shared" si="100"/>
        <v>-16.661803367155766</v>
      </c>
    </row>
    <row r="546" spans="1:37">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f>model_eui_end_uses!G546*base_scenario_arch_measures!$F546</f>
        <v>0</v>
      </c>
      <c r="H546">
        <f>model_eui_end_uses!H546*base_scenario_arch_measures!$F546</f>
        <v>1.9008101568041103</v>
      </c>
      <c r="I546">
        <f>model_eui_end_uses!I546*base_scenario_arch_measures!$F546</f>
        <v>5.9965334550117225E-2</v>
      </c>
      <c r="J546">
        <f>model_eui_end_uses!J546*base_scenario_arch_measures!$F546</f>
        <v>6.2275424789105568E-2</v>
      </c>
      <c r="K546">
        <f>model_eui_end_uses!K546*base_scenario_arch_measures!$F546</f>
        <v>0</v>
      </c>
      <c r="L546">
        <f>model_eui_end_uses!L546*base_scenario_arch_measures!$F546</f>
        <v>0.30655079368244459</v>
      </c>
      <c r="M546">
        <f>model_eui_end_uses!M546*base_scenario_arch_measures!$F546</f>
        <v>7.4826308764711483E-2</v>
      </c>
      <c r="N546">
        <f>model_eui_end_uses!N546*base_scenario_arch_measures!$F546</f>
        <v>0</v>
      </c>
      <c r="O546">
        <f>model_eui_end_uses!O546*base_scenario_arch_measures!$F546</f>
        <v>0.10914418475598181</v>
      </c>
      <c r="P546">
        <f>model_eui_end_uses!P546*base_scenario_arch_measures!$F546</f>
        <v>2.9891718840452776E-3</v>
      </c>
      <c r="Q546">
        <f>model_eui_end_uses!Q546*base_scenario_arch_measures!$F546</f>
        <v>0</v>
      </c>
      <c r="R546" s="187">
        <f>model_eui_end_uses!R546*base_building_arch_areas!$N$7</f>
        <v>0</v>
      </c>
      <c r="S546" s="187">
        <f>model_eui_end_uses!S546*base_building_arch_areas!$N$7</f>
        <v>389724.75241612649</v>
      </c>
      <c r="T546" s="187">
        <f>model_eui_end_uses!T546*base_building_arch_areas!$N$7</f>
        <v>3301.7175801741396</v>
      </c>
      <c r="U546" s="187">
        <f>model_eui_end_uses!U546*base_building_arch_areas!$N$7</f>
        <v>14412.214732668333</v>
      </c>
      <c r="V546" s="187">
        <f>model_eui_end_uses!V546*base_building_arch_areas!$N$7</f>
        <v>0</v>
      </c>
      <c r="W546" s="187">
        <f>model_eui_end_uses!W546*base_building_arch_areas!$N$7</f>
        <v>70944.130529547096</v>
      </c>
      <c r="X546" s="187">
        <f>model_eui_end_uses!X546*base_building_arch_areas!$N$7</f>
        <v>17316.828158490884</v>
      </c>
      <c r="Y546" s="187">
        <f>model_eui_end_uses!Y546*base_building_arch_areas!$N$7</f>
        <v>0</v>
      </c>
      <c r="Z546" s="187">
        <f>model_eui_end_uses!Z546*base_building_arch_areas!$N$7</f>
        <v>17740.593015784805</v>
      </c>
      <c r="AA546" s="187">
        <f>model_eui_end_uses!AA546*base_building_arch_areas!$N$7</f>
        <v>1331.6319522249291</v>
      </c>
      <c r="AB546" s="187">
        <f>model_eui_end_uses!AB546*base_building_arch_areas!$N$7</f>
        <v>0</v>
      </c>
      <c r="AC546" s="187">
        <f>model_eui_end_uses!AC546*base_building_arch_areas!$N$7</f>
        <v>514771.86838501674</v>
      </c>
      <c r="AD546" s="187">
        <f>model_eui_end_uses!AD546*base_building_arch_areas!$N$7</f>
        <v>-50174.03974257833</v>
      </c>
      <c r="AE546" s="187">
        <f>model_eui_end_uses!AE546*base_building_arch_areas!$N$7</f>
        <v>-17454.341257877688</v>
      </c>
      <c r="AF546" s="187">
        <f t="shared" si="95"/>
        <v>-67628.381000456022</v>
      </c>
      <c r="AG546" s="187">
        <f>model_eui_end_uses!AH546*base_building_arch_areas!$N$7</f>
        <v>-812.81944382976894</v>
      </c>
      <c r="AH546" s="187">
        <f>model_eui_end_uses!AI546*base_building_arch_areas!$N$7</f>
        <v>-1972.3405621401787</v>
      </c>
      <c r="AI546" s="187">
        <f t="shared" si="96"/>
        <v>-2785.1600059699476</v>
      </c>
      <c r="AJ546" s="200">
        <f>sim_annual_output!F546/sim_annual_output!H546*base_building_arch_areas!$N$7</f>
        <v>7236.8507885549407</v>
      </c>
      <c r="AK546">
        <f t="shared" si="97"/>
        <v>-2.5983608744355307</v>
      </c>
    </row>
    <row r="547" spans="1:37">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f>model_eui_end_uses!G547*base_scenario_arch_measures!$F547</f>
        <v>0</v>
      </c>
      <c r="H547">
        <f>model_eui_end_uses!H547*base_scenario_arch_measures!$F547</f>
        <v>1.6840072783907085</v>
      </c>
      <c r="I547">
        <f>model_eui_end_uses!I547*base_scenario_arch_measures!$F547</f>
        <v>1.4266777775169447E-2</v>
      </c>
      <c r="J547">
        <f>model_eui_end_uses!J547*base_scenario_arch_measures!$F547</f>
        <v>6.2275424789105568E-2</v>
      </c>
      <c r="K547">
        <f>model_eui_end_uses!K547*base_scenario_arch_measures!$F547</f>
        <v>0</v>
      </c>
      <c r="L547">
        <f>model_eui_end_uses!L547*base_scenario_arch_measures!$F547</f>
        <v>0.30655079368244459</v>
      </c>
      <c r="M547">
        <f>model_eui_end_uses!M547*base_scenario_arch_measures!$F547</f>
        <v>7.4826308764711483E-2</v>
      </c>
      <c r="N547">
        <f>model_eui_end_uses!N547*base_scenario_arch_measures!$F547</f>
        <v>0</v>
      </c>
      <c r="O547">
        <f>model_eui_end_uses!O547*base_scenario_arch_measures!$F547</f>
        <v>7.6657403914775754E-2</v>
      </c>
      <c r="P547">
        <f>model_eui_end_uses!P547*base_scenario_arch_measures!$F547</f>
        <v>5.7540042960628158E-3</v>
      </c>
      <c r="Q547">
        <f>model_eui_end_uses!Q547*base_scenario_arch_measures!$F547</f>
        <v>0</v>
      </c>
      <c r="R547" s="187">
        <f>model_eui_end_uses!R547*base_building_arch_areas!$N$7</f>
        <v>0</v>
      </c>
      <c r="S547" s="187">
        <f>model_eui_end_uses!S547*base_building_arch_areas!$N$7</f>
        <v>389724.75241612649</v>
      </c>
      <c r="T547" s="187">
        <f>model_eui_end_uses!T547*base_building_arch_areas!$N$7</f>
        <v>3301.7175801741396</v>
      </c>
      <c r="U547" s="187">
        <f>model_eui_end_uses!U547*base_building_arch_areas!$N$7</f>
        <v>14412.214732668333</v>
      </c>
      <c r="V547" s="187">
        <f>model_eui_end_uses!V547*base_building_arch_areas!$N$7</f>
        <v>0</v>
      </c>
      <c r="W547" s="187">
        <f>model_eui_end_uses!W547*base_building_arch_areas!$N$7</f>
        <v>70944.130529547096</v>
      </c>
      <c r="X547" s="187">
        <f>model_eui_end_uses!X547*base_building_arch_areas!$N$7</f>
        <v>17316.828158490884</v>
      </c>
      <c r="Y547" s="187">
        <f>model_eui_end_uses!Y547*base_building_arch_areas!$N$7</f>
        <v>0</v>
      </c>
      <c r="Z547" s="187">
        <f>model_eui_end_uses!Z547*base_building_arch_areas!$N$7</f>
        <v>17740.593015784805</v>
      </c>
      <c r="AA547" s="187">
        <f>model_eui_end_uses!AA547*base_building_arch_areas!$N$7</f>
        <v>1331.6319522249291</v>
      </c>
      <c r="AB547" s="187">
        <f>model_eui_end_uses!AB547*base_building_arch_areas!$N$7</f>
        <v>0</v>
      </c>
      <c r="AC547" s="187">
        <f>model_eui_end_uses!AC547*base_building_arch_areas!$N$7</f>
        <v>514771.86838501674</v>
      </c>
      <c r="AD547" s="187">
        <f>model_eui_end_uses!AD547*base_building_arch_areas!$N$7</f>
        <v>0</v>
      </c>
      <c r="AE547" s="187">
        <f>model_eui_end_uses!AE547*base_building_arch_areas!$N$7</f>
        <v>0</v>
      </c>
      <c r="AF547" s="187">
        <f t="shared" ref="AF547:AF567" si="101">SUM(AD547:AE547)</f>
        <v>0</v>
      </c>
      <c r="AG547" s="187">
        <f>model_eui_end_uses!AH547*base_building_arch_areas!$N$7</f>
        <v>0</v>
      </c>
      <c r="AH547" s="187">
        <f>model_eui_end_uses!AI547*base_building_arch_areas!$N$7</f>
        <v>0</v>
      </c>
      <c r="AI547" s="187">
        <f t="shared" ref="AI547:AI567" si="102">SUM(AG547:AH547)</f>
        <v>0</v>
      </c>
      <c r="AJ547" s="200">
        <f>sim_annual_output!F547/sim_annual_output!H547*base_building_arch_areas!$N$7</f>
        <v>0</v>
      </c>
      <c r="AK547">
        <f t="shared" ref="AK547:AK567" si="103">IF(AI547=0,0,AJ547/AI547)</f>
        <v>0</v>
      </c>
    </row>
    <row r="548" spans="1:37">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f>model_eui_end_uses!G548*base_scenario_arch_measures!$F548</f>
        <v>0</v>
      </c>
      <c r="H548">
        <f>model_eui_end_uses!H548*base_scenario_arch_measures!$F548</f>
        <v>1.6984438265771424</v>
      </c>
      <c r="I548">
        <f>model_eui_end_uses!I548*base_scenario_arch_measures!$F548</f>
        <v>3.0843645789327235E-2</v>
      </c>
      <c r="J548">
        <f>model_eui_end_uses!J548*base_scenario_arch_measures!$F548</f>
        <v>6.2275424789105568E-2</v>
      </c>
      <c r="K548">
        <f>model_eui_end_uses!K548*base_scenario_arch_measures!$F548</f>
        <v>0</v>
      </c>
      <c r="L548">
        <f>model_eui_end_uses!L548*base_scenario_arch_measures!$F548</f>
        <v>0.30655079368244459</v>
      </c>
      <c r="M548">
        <f>model_eui_end_uses!M548*base_scenario_arch_measures!$F548</f>
        <v>7.4826308764711483E-2</v>
      </c>
      <c r="N548">
        <f>model_eui_end_uses!N548*base_scenario_arch_measures!$F548</f>
        <v>0</v>
      </c>
      <c r="O548">
        <f>model_eui_end_uses!O548*base_scenario_arch_measures!$F548</f>
        <v>0.10914418475598181</v>
      </c>
      <c r="P548">
        <f>model_eui_end_uses!P548*base_scenario_arch_measures!$F548</f>
        <v>3.6985696739708302E-3</v>
      </c>
      <c r="Q548">
        <f>model_eui_end_uses!Q548*base_scenario_arch_measures!$F548</f>
        <v>0</v>
      </c>
      <c r="R548" s="187">
        <f>model_eui_end_uses!R548*base_building_arch_areas!$N$7</f>
        <v>0</v>
      </c>
      <c r="S548" s="187">
        <f>model_eui_end_uses!S548*base_building_arch_areas!$N$7</f>
        <v>389724.75241612649</v>
      </c>
      <c r="T548" s="187">
        <f>model_eui_end_uses!T548*base_building_arch_areas!$N$7</f>
        <v>3301.7175801741396</v>
      </c>
      <c r="U548" s="187">
        <f>model_eui_end_uses!U548*base_building_arch_areas!$N$7</f>
        <v>14412.214732668333</v>
      </c>
      <c r="V548" s="187">
        <f>model_eui_end_uses!V548*base_building_arch_areas!$N$7</f>
        <v>0</v>
      </c>
      <c r="W548" s="187">
        <f>model_eui_end_uses!W548*base_building_arch_areas!$N$7</f>
        <v>70944.130529547096</v>
      </c>
      <c r="X548" s="187">
        <f>model_eui_end_uses!X548*base_building_arch_areas!$N$7</f>
        <v>17316.828158490884</v>
      </c>
      <c r="Y548" s="187">
        <f>model_eui_end_uses!Y548*base_building_arch_areas!$N$7</f>
        <v>0</v>
      </c>
      <c r="Z548" s="187">
        <f>model_eui_end_uses!Z548*base_building_arch_areas!$N$7</f>
        <v>17740.593015784805</v>
      </c>
      <c r="AA548" s="187">
        <f>model_eui_end_uses!AA548*base_building_arch_areas!$N$7</f>
        <v>1331.6319522249291</v>
      </c>
      <c r="AB548" s="187">
        <f>model_eui_end_uses!AB548*base_building_arch_areas!$N$7</f>
        <v>0</v>
      </c>
      <c r="AC548" s="187">
        <f>model_eui_end_uses!AC548*base_building_arch_areas!$N$7</f>
        <v>514771.86838501674</v>
      </c>
      <c r="AD548" s="187">
        <f>model_eui_end_uses!AD548*base_building_arch_areas!$N$7</f>
        <v>-3341.0070371418506</v>
      </c>
      <c r="AE548" s="187">
        <f>model_eui_end_uses!AE548*base_building_arch_areas!$N$7</f>
        <v>-10878.969995363426</v>
      </c>
      <c r="AF548" s="187">
        <f t="shared" si="101"/>
        <v>-14219.977032505278</v>
      </c>
      <c r="AG548" s="187">
        <f>model_eui_end_uses!AH548*base_building_arch_areas!$N$7</f>
        <v>-54.124314001697975</v>
      </c>
      <c r="AH548" s="187">
        <f>model_eui_end_uses!AI548*base_building_arch_areas!$N$7</f>
        <v>-1229.3236094760673</v>
      </c>
      <c r="AI548" s="187">
        <f t="shared" si="102"/>
        <v>-1283.4479234777652</v>
      </c>
      <c r="AJ548" s="200">
        <f>sim_annual_output!F548/sim_annual_output!H548*base_building_arch_areas!$N$7</f>
        <v>16942.270206720343</v>
      </c>
      <c r="AK548">
        <f t="shared" si="103"/>
        <v>-13.200590298055715</v>
      </c>
    </row>
    <row r="549" spans="1:37">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f>model_eui_end_uses!G549*base_scenario_arch_measures!$F549</f>
        <v>0</v>
      </c>
      <c r="H549">
        <f>model_eui_end_uses!H549*base_scenario_arch_measures!$F549</f>
        <v>1.070566150203291</v>
      </c>
      <c r="I549">
        <f>model_eui_end_uses!I549*base_scenario_arch_measures!$F549</f>
        <v>3.0843645789327235E-2</v>
      </c>
      <c r="J549">
        <f>model_eui_end_uses!J549*base_scenario_arch_measures!$F549</f>
        <v>6.2275424789105568E-2</v>
      </c>
      <c r="K549">
        <f>model_eui_end_uses!K549*base_scenario_arch_measures!$F549</f>
        <v>0</v>
      </c>
      <c r="L549">
        <f>model_eui_end_uses!L549*base_scenario_arch_measures!$F549</f>
        <v>0.30655079368244459</v>
      </c>
      <c r="M549">
        <f>model_eui_end_uses!M549*base_scenario_arch_measures!$F549</f>
        <v>7.4826308764711483E-2</v>
      </c>
      <c r="N549">
        <f>model_eui_end_uses!N549*base_scenario_arch_measures!$F549</f>
        <v>0</v>
      </c>
      <c r="O549">
        <f>model_eui_end_uses!O549*base_scenario_arch_measures!$F549</f>
        <v>0.10914418475598181</v>
      </c>
      <c r="P549">
        <f>model_eui_end_uses!P549*base_scenario_arch_measures!$F549</f>
        <v>3.6985696739708302E-3</v>
      </c>
      <c r="Q549">
        <f>model_eui_end_uses!Q549*base_scenario_arch_measures!$F549</f>
        <v>0</v>
      </c>
      <c r="R549" s="187">
        <f>model_eui_end_uses!R549*base_building_arch_areas!$N$7</f>
        <v>0</v>
      </c>
      <c r="S549" s="187">
        <f>model_eui_end_uses!S549*base_building_arch_areas!$N$7</f>
        <v>389724.75241612649</v>
      </c>
      <c r="T549" s="187">
        <f>model_eui_end_uses!T549*base_building_arch_areas!$N$7</f>
        <v>3301.7175801741396</v>
      </c>
      <c r="U549" s="187">
        <f>model_eui_end_uses!U549*base_building_arch_areas!$N$7</f>
        <v>14412.214732668333</v>
      </c>
      <c r="V549" s="187">
        <f>model_eui_end_uses!V549*base_building_arch_areas!$N$7</f>
        <v>0</v>
      </c>
      <c r="W549" s="187">
        <f>model_eui_end_uses!W549*base_building_arch_areas!$N$7</f>
        <v>70944.130529547096</v>
      </c>
      <c r="X549" s="187">
        <f>model_eui_end_uses!X549*base_building_arch_areas!$N$7</f>
        <v>17316.828158490884</v>
      </c>
      <c r="Y549" s="187">
        <f>model_eui_end_uses!Y549*base_building_arch_areas!$N$7</f>
        <v>0</v>
      </c>
      <c r="Z549" s="187">
        <f>model_eui_end_uses!Z549*base_building_arch_areas!$N$7</f>
        <v>17740.593015784805</v>
      </c>
      <c r="AA549" s="187">
        <f>model_eui_end_uses!AA549*base_building_arch_areas!$N$7</f>
        <v>1331.6319522249291</v>
      </c>
      <c r="AB549" s="187">
        <f>model_eui_end_uses!AB549*base_building_arch_areas!$N$7</f>
        <v>0</v>
      </c>
      <c r="AC549" s="187">
        <f>model_eui_end_uses!AC549*base_building_arch_areas!$N$7</f>
        <v>514771.86838501674</v>
      </c>
      <c r="AD549" s="187">
        <f>model_eui_end_uses!AD549*base_building_arch_areas!$N$7</f>
        <v>141966.83997302945</v>
      </c>
      <c r="AE549" s="187">
        <f>model_eui_end_uses!AE549*base_building_arch_areas!$N$7</f>
        <v>-10878.969995363426</v>
      </c>
      <c r="AF549" s="187">
        <f t="shared" si="101"/>
        <v>131087.86997766601</v>
      </c>
      <c r="AG549" s="187">
        <f>model_eui_end_uses!AH549*base_building_arch_areas!$N$7</f>
        <v>2299.8628075630772</v>
      </c>
      <c r="AH549" s="187">
        <f>model_eui_end_uses!AI549*base_building_arch_areas!$N$7</f>
        <v>-1229.3236094760673</v>
      </c>
      <c r="AI549" s="187">
        <f t="shared" si="102"/>
        <v>1070.5391980870099</v>
      </c>
      <c r="AJ549" s="200">
        <f>sim_annual_output!F549/sim_annual_output!H549*base_building_arch_areas!$N$7</f>
        <v>478.12860549124986</v>
      </c>
      <c r="AK549">
        <f t="shared" si="103"/>
        <v>0.44662409965523664</v>
      </c>
    </row>
    <row r="550" spans="1:37">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f>model_eui_end_uses!G550*base_scenario_arch_measures!$F550</f>
        <v>0</v>
      </c>
      <c r="H550">
        <f>model_eui_end_uses!H550*base_scenario_arch_measures!$F550</f>
        <v>1.6984438265771424</v>
      </c>
      <c r="I550">
        <f>model_eui_end_uses!I550*base_scenario_arch_measures!$F550</f>
        <v>3.0843645789327235E-2</v>
      </c>
      <c r="J550">
        <f>model_eui_end_uses!J550*base_scenario_arch_measures!$F550</f>
        <v>6.2275424789105568E-2</v>
      </c>
      <c r="K550">
        <f>model_eui_end_uses!K550*base_scenario_arch_measures!$F550</f>
        <v>0</v>
      </c>
      <c r="L550">
        <f>model_eui_end_uses!L550*base_scenario_arch_measures!$F550</f>
        <v>0.30655079368244459</v>
      </c>
      <c r="M550">
        <f>model_eui_end_uses!M550*base_scenario_arch_measures!$F550</f>
        <v>7.4826308764711483E-2</v>
      </c>
      <c r="N550">
        <f>model_eui_end_uses!N550*base_scenario_arch_measures!$F550</f>
        <v>0</v>
      </c>
      <c r="O550">
        <f>model_eui_end_uses!O550*base_scenario_arch_measures!$F550</f>
        <v>0.10914418475598181</v>
      </c>
      <c r="P550">
        <f>model_eui_end_uses!P550*base_scenario_arch_measures!$F550</f>
        <v>3.6985696739708302E-3</v>
      </c>
      <c r="Q550">
        <f>model_eui_end_uses!Q550*base_scenario_arch_measures!$F550</f>
        <v>0</v>
      </c>
      <c r="R550" s="187">
        <f>model_eui_end_uses!R550*base_building_arch_areas!$N$7</f>
        <v>0</v>
      </c>
      <c r="S550" s="187">
        <f>model_eui_end_uses!S550*base_building_arch_areas!$N$7</f>
        <v>389724.75241612649</v>
      </c>
      <c r="T550" s="187">
        <f>model_eui_end_uses!T550*base_building_arch_areas!$N$7</f>
        <v>3301.7175801741396</v>
      </c>
      <c r="U550" s="187">
        <f>model_eui_end_uses!U550*base_building_arch_areas!$N$7</f>
        <v>14412.214732668333</v>
      </c>
      <c r="V550" s="187">
        <f>model_eui_end_uses!V550*base_building_arch_areas!$N$7</f>
        <v>0</v>
      </c>
      <c r="W550" s="187">
        <f>model_eui_end_uses!W550*base_building_arch_areas!$N$7</f>
        <v>70944.130529547096</v>
      </c>
      <c r="X550" s="187">
        <f>model_eui_end_uses!X550*base_building_arch_areas!$N$7</f>
        <v>17316.828158490884</v>
      </c>
      <c r="Y550" s="187">
        <f>model_eui_end_uses!Y550*base_building_arch_areas!$N$7</f>
        <v>0</v>
      </c>
      <c r="Z550" s="187">
        <f>model_eui_end_uses!Z550*base_building_arch_areas!$N$7</f>
        <v>17740.593015784805</v>
      </c>
      <c r="AA550" s="187">
        <f>model_eui_end_uses!AA550*base_building_arch_areas!$N$7</f>
        <v>1331.6319522249291</v>
      </c>
      <c r="AB550" s="187">
        <f>model_eui_end_uses!AB550*base_building_arch_areas!$N$7</f>
        <v>0</v>
      </c>
      <c r="AC550" s="187">
        <f>model_eui_end_uses!AC550*base_building_arch_areas!$N$7</f>
        <v>514771.86838501674</v>
      </c>
      <c r="AD550" s="187">
        <f>model_eui_end_uses!AD550*base_building_arch_areas!$N$7</f>
        <v>-3341.0070371418506</v>
      </c>
      <c r="AE550" s="187">
        <f>model_eui_end_uses!AE550*base_building_arch_areas!$N$7</f>
        <v>-10878.969995363426</v>
      </c>
      <c r="AF550" s="187">
        <f t="shared" si="101"/>
        <v>-14219.977032505278</v>
      </c>
      <c r="AG550" s="187">
        <f>model_eui_end_uses!AH550*base_building_arch_areas!$N$7</f>
        <v>-54.124314001697975</v>
      </c>
      <c r="AH550" s="187">
        <f>model_eui_end_uses!AI550*base_building_arch_areas!$N$7</f>
        <v>-1229.3236094760673</v>
      </c>
      <c r="AI550" s="187">
        <f t="shared" si="102"/>
        <v>-1283.4479234777652</v>
      </c>
      <c r="AJ550" s="200">
        <f>sim_annual_output!F550/sim_annual_output!H550*base_building_arch_areas!$N$7</f>
        <v>10167.060298020902</v>
      </c>
      <c r="AK550">
        <f t="shared" si="103"/>
        <v>-7.9216773131481393</v>
      </c>
    </row>
    <row r="551" spans="1:37">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f>model_eui_end_uses!G551*base_scenario_arch_measures!$F551</f>
        <v>0</v>
      </c>
      <c r="H551">
        <f>model_eui_end_uses!H551*base_scenario_arch_measures!$F551</f>
        <v>1.0703721268761319</v>
      </c>
      <c r="I551">
        <f>model_eui_end_uses!I551*base_scenario_arch_measures!$F551</f>
        <v>3.3553909140581269E-2</v>
      </c>
      <c r="J551">
        <f>model_eui_end_uses!J551*base_scenario_arch_measures!$F551</f>
        <v>6.2275424789105568E-2</v>
      </c>
      <c r="K551">
        <f>model_eui_end_uses!K551*base_scenario_arch_measures!$F551</f>
        <v>0</v>
      </c>
      <c r="L551">
        <f>model_eui_end_uses!L551*base_scenario_arch_measures!$F551</f>
        <v>0.30655079368244459</v>
      </c>
      <c r="M551">
        <f>model_eui_end_uses!M551*base_scenario_arch_measures!$F551</f>
        <v>7.4826308764711483E-2</v>
      </c>
      <c r="N551">
        <f>model_eui_end_uses!N551*base_scenario_arch_measures!$F551</f>
        <v>0</v>
      </c>
      <c r="O551">
        <f>model_eui_end_uses!O551*base_scenario_arch_measures!$F551</f>
        <v>0.10824076363889715</v>
      </c>
      <c r="P551">
        <f>model_eui_end_uses!P551*base_scenario_arch_measures!$F551</f>
        <v>1.8189686921168016E-3</v>
      </c>
      <c r="Q551">
        <f>model_eui_end_uses!Q551*base_scenario_arch_measures!$F551</f>
        <v>0</v>
      </c>
      <c r="R551" s="187">
        <f>model_eui_end_uses!R551*base_building_arch_areas!$N$7</f>
        <v>0</v>
      </c>
      <c r="S551" s="187">
        <f>model_eui_end_uses!S551*base_building_arch_areas!$N$7</f>
        <v>389724.75241612649</v>
      </c>
      <c r="T551" s="187">
        <f>model_eui_end_uses!T551*base_building_arch_areas!$N$7</f>
        <v>3301.7175801741396</v>
      </c>
      <c r="U551" s="187">
        <f>model_eui_end_uses!U551*base_building_arch_areas!$N$7</f>
        <v>14412.214732668333</v>
      </c>
      <c r="V551" s="187">
        <f>model_eui_end_uses!V551*base_building_arch_areas!$N$7</f>
        <v>0</v>
      </c>
      <c r="W551" s="187">
        <f>model_eui_end_uses!W551*base_building_arch_areas!$N$7</f>
        <v>70944.130529547096</v>
      </c>
      <c r="X551" s="187">
        <f>model_eui_end_uses!X551*base_building_arch_areas!$N$7</f>
        <v>17316.828158490884</v>
      </c>
      <c r="Y551" s="187">
        <f>model_eui_end_uses!Y551*base_building_arch_areas!$N$7</f>
        <v>0</v>
      </c>
      <c r="Z551" s="187">
        <f>model_eui_end_uses!Z551*base_building_arch_areas!$N$7</f>
        <v>17740.593015784805</v>
      </c>
      <c r="AA551" s="187">
        <f>model_eui_end_uses!AA551*base_building_arch_areas!$N$7</f>
        <v>1331.6319522249291</v>
      </c>
      <c r="AB551" s="187">
        <f>model_eui_end_uses!AB551*base_building_arch_areas!$N$7</f>
        <v>0</v>
      </c>
      <c r="AC551" s="187">
        <f>model_eui_end_uses!AC551*base_building_arch_areas!$N$7</f>
        <v>514771.86838501674</v>
      </c>
      <c r="AD551" s="187">
        <f>model_eui_end_uses!AD551*base_building_arch_areas!$N$7</f>
        <v>142011.74220956393</v>
      </c>
      <c r="AE551" s="187">
        <f>model_eui_end_uses!AE551*base_building_arch_areas!$N$7</f>
        <v>-10862.131656663008</v>
      </c>
      <c r="AF551" s="187">
        <f t="shared" si="101"/>
        <v>131149.61055290094</v>
      </c>
      <c r="AG551" s="187">
        <f>model_eui_end_uses!AH551*base_building_arch_areas!$N$7</f>
        <v>2300.5902237949358</v>
      </c>
      <c r="AH551" s="187">
        <f>model_eui_end_uses!AI551*base_building_arch_areas!$N$7</f>
        <v>-1227.4208772029199</v>
      </c>
      <c r="AI551" s="187">
        <f t="shared" si="102"/>
        <v>1073.1693465920159</v>
      </c>
      <c r="AJ551" s="200">
        <f>sim_annual_output!F551/sim_annual_output!H551*base_building_arch_areas!$N$7</f>
        <v>17554.791272480972</v>
      </c>
      <c r="AK551">
        <f t="shared" si="103"/>
        <v>16.357894798456943</v>
      </c>
    </row>
    <row r="552" spans="1:37">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f>model_eui_end_uses!G552*base_scenario_arch_measures!$F552</f>
        <v>0</v>
      </c>
      <c r="H552">
        <f>model_eui_end_uses!H552*base_scenario_arch_measures!$F552</f>
        <v>1.6207799266527287</v>
      </c>
      <c r="I552">
        <f>model_eui_end_uses!I552*base_scenario_arch_measures!$F552</f>
        <v>4.2618436456296663E-2</v>
      </c>
      <c r="J552">
        <f>model_eui_end_uses!J552*base_scenario_arch_measures!$F552</f>
        <v>6.2275424789105568E-2</v>
      </c>
      <c r="K552">
        <f>model_eui_end_uses!K552*base_scenario_arch_measures!$F552</f>
        <v>0</v>
      </c>
      <c r="L552">
        <f>model_eui_end_uses!L552*base_scenario_arch_measures!$F552</f>
        <v>0.30655079368244459</v>
      </c>
      <c r="M552">
        <f>model_eui_end_uses!M552*base_scenario_arch_measures!$F552</f>
        <v>7.4826308764711483E-2</v>
      </c>
      <c r="N552">
        <f>model_eui_end_uses!N552*base_scenario_arch_measures!$F552</f>
        <v>0</v>
      </c>
      <c r="O552">
        <f>model_eui_end_uses!O552*base_scenario_arch_measures!$F552</f>
        <v>0.10914418475598181</v>
      </c>
      <c r="P552">
        <f>model_eui_end_uses!P552*base_scenario_arch_measures!$F552</f>
        <v>1.5339969303518359E-3</v>
      </c>
      <c r="Q552">
        <f>model_eui_end_uses!Q552*base_scenario_arch_measures!$F552</f>
        <v>0</v>
      </c>
      <c r="R552" s="187">
        <f>model_eui_end_uses!R552*base_building_arch_areas!$N$7</f>
        <v>0</v>
      </c>
      <c r="S552" s="187">
        <f>model_eui_end_uses!S552*base_building_arch_areas!$N$7</f>
        <v>389724.75241612649</v>
      </c>
      <c r="T552" s="187">
        <f>model_eui_end_uses!T552*base_building_arch_areas!$N$7</f>
        <v>3301.7175801741396</v>
      </c>
      <c r="U552" s="187">
        <f>model_eui_end_uses!U552*base_building_arch_areas!$N$7</f>
        <v>14412.214732668333</v>
      </c>
      <c r="V552" s="187">
        <f>model_eui_end_uses!V552*base_building_arch_areas!$N$7</f>
        <v>0</v>
      </c>
      <c r="W552" s="187">
        <f>model_eui_end_uses!W552*base_building_arch_areas!$N$7</f>
        <v>70944.130529547096</v>
      </c>
      <c r="X552" s="187">
        <f>model_eui_end_uses!X552*base_building_arch_areas!$N$7</f>
        <v>17316.828158490884</v>
      </c>
      <c r="Y552" s="187">
        <f>model_eui_end_uses!Y552*base_building_arch_areas!$N$7</f>
        <v>0</v>
      </c>
      <c r="Z552" s="187">
        <f>model_eui_end_uses!Z552*base_building_arch_areas!$N$7</f>
        <v>17740.593015784805</v>
      </c>
      <c r="AA552" s="187">
        <f>model_eui_end_uses!AA552*base_building_arch_areas!$N$7</f>
        <v>1331.6319522249291</v>
      </c>
      <c r="AB552" s="187">
        <f>model_eui_end_uses!AB552*base_building_arch_areas!$N$7</f>
        <v>0</v>
      </c>
      <c r="AC552" s="187">
        <f>model_eui_end_uses!AC552*base_building_arch_areas!$N$7</f>
        <v>514771.86838501674</v>
      </c>
      <c r="AD552" s="187">
        <f>model_eui_end_uses!AD552*base_building_arch_areas!$N$7</f>
        <v>14632.516330665481</v>
      </c>
      <c r="AE552" s="187">
        <f>model_eui_end_uses!AE552*base_building_arch_areas!$N$7</f>
        <v>-13103.033898710668</v>
      </c>
      <c r="AF552" s="187">
        <f t="shared" si="101"/>
        <v>1529.4824319548134</v>
      </c>
      <c r="AG552" s="187">
        <f>model_eui_end_uses!AH552*base_building_arch_areas!$N$7</f>
        <v>237.0467645567808</v>
      </c>
      <c r="AH552" s="187">
        <f>model_eui_end_uses!AI552*base_building_arch_areas!$N$7</f>
        <v>-1480.6428305543056</v>
      </c>
      <c r="AI552" s="187">
        <f t="shared" si="102"/>
        <v>-1243.5960659975249</v>
      </c>
      <c r="AJ552" s="200">
        <f>sim_annual_output!F552/sim_annual_output!H552*base_building_arch_areas!$N$7</f>
        <v>7236.8507885549407</v>
      </c>
      <c r="AK552">
        <f t="shared" si="103"/>
        <v>-5.8192937292303597</v>
      </c>
    </row>
    <row r="553" spans="1:37">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f>model_eui_end_uses!G553*base_scenario_arch_measures!$F553</f>
        <v>0</v>
      </c>
      <c r="H553">
        <f>model_eui_end_uses!H553*base_scenario_arch_measures!$F553</f>
        <v>1.6951151138705685</v>
      </c>
      <c r="I553">
        <f>model_eui_end_uses!I553*base_scenario_arch_measures!$F553</f>
        <v>1.9275004907464376E-2</v>
      </c>
      <c r="J553">
        <f>model_eui_end_uses!J553*base_scenario_arch_measures!$F553</f>
        <v>6.2275424789105568E-2</v>
      </c>
      <c r="K553">
        <f>model_eui_end_uses!K553*base_scenario_arch_measures!$F553</f>
        <v>0</v>
      </c>
      <c r="L553">
        <f>model_eui_end_uses!L553*base_scenario_arch_measures!$F553</f>
        <v>0.30655079368244459</v>
      </c>
      <c r="M553">
        <f>model_eui_end_uses!M553*base_scenario_arch_measures!$F553</f>
        <v>7.4826308764711483E-2</v>
      </c>
      <c r="N553">
        <f>model_eui_end_uses!N553*base_scenario_arch_measures!$F553</f>
        <v>0</v>
      </c>
      <c r="O553">
        <f>model_eui_end_uses!O553*base_scenario_arch_measures!$F553</f>
        <v>0.10914418475598181</v>
      </c>
      <c r="P553">
        <f>model_eui_end_uses!P553*base_scenario_arch_measures!$F553</f>
        <v>3.6985696739708302E-3</v>
      </c>
      <c r="Q553">
        <f>model_eui_end_uses!Q553*base_scenario_arch_measures!$F553</f>
        <v>0</v>
      </c>
      <c r="R553" s="187">
        <f>model_eui_end_uses!R553*base_building_arch_areas!$N$7</f>
        <v>0</v>
      </c>
      <c r="S553" s="187">
        <f>model_eui_end_uses!S553*base_building_arch_areas!$N$7</f>
        <v>389724.75241612649</v>
      </c>
      <c r="T553" s="187">
        <f>model_eui_end_uses!T553*base_building_arch_areas!$N$7</f>
        <v>3301.7175801741396</v>
      </c>
      <c r="U553" s="187">
        <f>model_eui_end_uses!U553*base_building_arch_areas!$N$7</f>
        <v>14412.214732668333</v>
      </c>
      <c r="V553" s="187">
        <f>model_eui_end_uses!V553*base_building_arch_areas!$N$7</f>
        <v>0</v>
      </c>
      <c r="W553" s="187">
        <f>model_eui_end_uses!W553*base_building_arch_areas!$N$7</f>
        <v>70944.130529547096</v>
      </c>
      <c r="X553" s="187">
        <f>model_eui_end_uses!X553*base_building_arch_areas!$N$7</f>
        <v>17316.828158490884</v>
      </c>
      <c r="Y553" s="187">
        <f>model_eui_end_uses!Y553*base_building_arch_areas!$N$7</f>
        <v>0</v>
      </c>
      <c r="Z553" s="187">
        <f>model_eui_end_uses!Z553*base_building_arch_areas!$N$7</f>
        <v>17740.593015784805</v>
      </c>
      <c r="AA553" s="187">
        <f>model_eui_end_uses!AA553*base_building_arch_areas!$N$7</f>
        <v>1331.6319522249291</v>
      </c>
      <c r="AB553" s="187">
        <f>model_eui_end_uses!AB553*base_building_arch_areas!$N$7</f>
        <v>0</v>
      </c>
      <c r="AC553" s="187">
        <f>model_eui_end_uses!AC553*base_building_arch_areas!$N$7</f>
        <v>514771.86838501674</v>
      </c>
      <c r="AD553" s="187">
        <f>model_eui_end_uses!AD553*base_building_arch_areas!$N$7</f>
        <v>-2570.6530415975271</v>
      </c>
      <c r="AE553" s="187">
        <f>model_eui_end_uses!AE553*base_building_arch_areas!$N$7</f>
        <v>-8201.6741419965929</v>
      </c>
      <c r="AF553" s="187">
        <f t="shared" si="101"/>
        <v>-10772.32718359412</v>
      </c>
      <c r="AG553" s="187">
        <f>model_eui_end_uses!AH553*base_building_arch_areas!$N$7</f>
        <v>-41.644579273879934</v>
      </c>
      <c r="AH553" s="187">
        <f>model_eui_end_uses!AI553*base_building_arch_areas!$N$7</f>
        <v>-926.78917804561502</v>
      </c>
      <c r="AI553" s="187">
        <f t="shared" si="102"/>
        <v>-968.43375731949493</v>
      </c>
      <c r="AJ553" s="200">
        <f>sim_annual_output!F553/sim_annual_output!H553*base_building_arch_areas!$N$7</f>
        <v>2827.7941800019826</v>
      </c>
      <c r="AK553">
        <f t="shared" si="103"/>
        <v>-2.9199665528274932</v>
      </c>
    </row>
    <row r="554" spans="1:37">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f>model_eui_end_uses!G554*base_scenario_arch_measures!$F554</f>
        <v>0</v>
      </c>
      <c r="H554">
        <f>model_eui_end_uses!H554*base_scenario_arch_measures!$F554</f>
        <v>1.194571309173867</v>
      </c>
      <c r="I554">
        <f>model_eui_end_uses!I554*base_scenario_arch_measures!$F554</f>
        <v>2.0293627375049784E-2</v>
      </c>
      <c r="J554">
        <f>model_eui_end_uses!J554*base_scenario_arch_measures!$F554</f>
        <v>6.2275424789105568E-2</v>
      </c>
      <c r="K554">
        <f>model_eui_end_uses!K554*base_scenario_arch_measures!$F554</f>
        <v>0</v>
      </c>
      <c r="L554">
        <f>model_eui_end_uses!L554*base_scenario_arch_measures!$F554</f>
        <v>0.21458373660901908</v>
      </c>
      <c r="M554">
        <f>model_eui_end_uses!M554*base_scenario_arch_measures!$F554</f>
        <v>7.4826308764711483E-2</v>
      </c>
      <c r="N554">
        <f>model_eui_end_uses!N554*base_scenario_arch_measures!$F554</f>
        <v>0</v>
      </c>
      <c r="O554">
        <f>model_eui_end_uses!O554*base_scenario_arch_measures!$F554</f>
        <v>8.8159349277927651E-2</v>
      </c>
      <c r="P554">
        <f>model_eui_end_uses!P554*base_scenario_arch_measures!$F554</f>
        <v>3.2559539588890751E-3</v>
      </c>
      <c r="Q554">
        <f>model_eui_end_uses!Q554*base_scenario_arch_measures!$F554</f>
        <v>0</v>
      </c>
      <c r="R554" s="187">
        <f>model_eui_end_uses!R554*base_building_arch_areas!$N$7</f>
        <v>0</v>
      </c>
      <c r="S554" s="187">
        <f>model_eui_end_uses!S554*base_building_arch_areas!$N$7</f>
        <v>389724.75241612649</v>
      </c>
      <c r="T554" s="187">
        <f>model_eui_end_uses!T554*base_building_arch_areas!$N$7</f>
        <v>3301.7175801741396</v>
      </c>
      <c r="U554" s="187">
        <f>model_eui_end_uses!U554*base_building_arch_areas!$N$7</f>
        <v>14412.214732668333</v>
      </c>
      <c r="V554" s="187">
        <f>model_eui_end_uses!V554*base_building_arch_areas!$N$7</f>
        <v>0</v>
      </c>
      <c r="W554" s="187">
        <f>model_eui_end_uses!W554*base_building_arch_areas!$N$7</f>
        <v>70944.130529547096</v>
      </c>
      <c r="X554" s="187">
        <f>model_eui_end_uses!X554*base_building_arch_areas!$N$7</f>
        <v>17316.828158490884</v>
      </c>
      <c r="Y554" s="187">
        <f>model_eui_end_uses!Y554*base_building_arch_areas!$N$7</f>
        <v>0</v>
      </c>
      <c r="Z554" s="187">
        <f>model_eui_end_uses!Z554*base_building_arch_areas!$N$7</f>
        <v>17740.593015784805</v>
      </c>
      <c r="AA554" s="187">
        <f>model_eui_end_uses!AA554*base_building_arch_areas!$N$7</f>
        <v>1331.6319522249291</v>
      </c>
      <c r="AB554" s="187">
        <f>model_eui_end_uses!AB554*base_building_arch_areas!$N$7</f>
        <v>0</v>
      </c>
      <c r="AC554" s="187">
        <f>model_eui_end_uses!AC554*base_building_arch_areas!$N$7</f>
        <v>514771.86838501674</v>
      </c>
      <c r="AD554" s="187">
        <f>model_eui_end_uses!AD554*base_building_arch_areas!$N$7</f>
        <v>113268.69804794597</v>
      </c>
      <c r="AE554" s="187">
        <f>model_eui_end_uses!AE554*base_building_arch_areas!$N$7</f>
        <v>17805.139980803044</v>
      </c>
      <c r="AF554" s="187">
        <f t="shared" si="101"/>
        <v>131073.83802874901</v>
      </c>
      <c r="AG554" s="187">
        <f>model_eui_end_uses!AH554*base_building_arch_areas!$N$7</f>
        <v>1834.9529083767245</v>
      </c>
      <c r="AH554" s="187">
        <f>model_eui_end_uses!AI554*base_building_arch_areas!$N$7</f>
        <v>2011.9808178307439</v>
      </c>
      <c r="AI554" s="187">
        <f t="shared" si="102"/>
        <v>3846.9337262074687</v>
      </c>
      <c r="AJ554" s="200">
        <f>sim_annual_output!F554/sim_annual_output!H554*base_building_arch_areas!$N$7</f>
        <v>109307.64648013745</v>
      </c>
      <c r="AK554">
        <f t="shared" si="103"/>
        <v>28.414226565815913</v>
      </c>
    </row>
    <row r="555" spans="1:37">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f>model_eui_end_uses!G555*base_scenario_arch_measures!$F555</f>
        <v>0</v>
      </c>
      <c r="H555">
        <f>model_eui_end_uses!H555*base_scenario_arch_measures!$F555</f>
        <v>1.5816417836273489</v>
      </c>
      <c r="I555">
        <f>model_eui_end_uses!I555*base_scenario_arch_measures!$F555</f>
        <v>3.1237755672619206E-2</v>
      </c>
      <c r="J555">
        <f>model_eui_end_uses!J555*base_scenario_arch_measures!$F555</f>
        <v>6.2275424789105568E-2</v>
      </c>
      <c r="K555">
        <f>model_eui_end_uses!K555*base_scenario_arch_measures!$F555</f>
        <v>0</v>
      </c>
      <c r="L555">
        <f>model_eui_end_uses!L555*base_scenario_arch_measures!$F555</f>
        <v>0.30655079368244459</v>
      </c>
      <c r="M555">
        <f>model_eui_end_uses!M555*base_scenario_arch_measures!$F555</f>
        <v>7.4826308764711483E-2</v>
      </c>
      <c r="N555">
        <f>model_eui_end_uses!N555*base_scenario_arch_measures!$F555</f>
        <v>0</v>
      </c>
      <c r="O555">
        <f>model_eui_end_uses!O555*base_scenario_arch_measures!$F555</f>
        <v>0.10519095946511464</v>
      </c>
      <c r="P555">
        <f>model_eui_end_uses!P555*base_scenario_arch_measures!$F555</f>
        <v>3.4196611411795872E-3</v>
      </c>
      <c r="Q555">
        <f>model_eui_end_uses!Q555*base_scenario_arch_measures!$F555</f>
        <v>0</v>
      </c>
      <c r="R555" s="187">
        <f>model_eui_end_uses!R555*base_building_arch_areas!$N$7</f>
        <v>0</v>
      </c>
      <c r="S555" s="187">
        <f>model_eui_end_uses!S555*base_building_arch_areas!$N$7</f>
        <v>389724.75241612649</v>
      </c>
      <c r="T555" s="187">
        <f>model_eui_end_uses!T555*base_building_arch_areas!$N$7</f>
        <v>3301.7175801741396</v>
      </c>
      <c r="U555" s="187">
        <f>model_eui_end_uses!U555*base_building_arch_areas!$N$7</f>
        <v>14412.214732668333</v>
      </c>
      <c r="V555" s="187">
        <f>model_eui_end_uses!V555*base_building_arch_areas!$N$7</f>
        <v>0</v>
      </c>
      <c r="W555" s="187">
        <f>model_eui_end_uses!W555*base_building_arch_areas!$N$7</f>
        <v>70944.130529547096</v>
      </c>
      <c r="X555" s="187">
        <f>model_eui_end_uses!X555*base_building_arch_areas!$N$7</f>
        <v>17316.828158490884</v>
      </c>
      <c r="Y555" s="187">
        <f>model_eui_end_uses!Y555*base_building_arch_areas!$N$7</f>
        <v>0</v>
      </c>
      <c r="Z555" s="187">
        <f>model_eui_end_uses!Z555*base_building_arch_areas!$N$7</f>
        <v>17740.593015784805</v>
      </c>
      <c r="AA555" s="187">
        <f>model_eui_end_uses!AA555*base_building_arch_areas!$N$7</f>
        <v>1331.6319522249291</v>
      </c>
      <c r="AB555" s="187">
        <f>model_eui_end_uses!AB555*base_building_arch_areas!$N$7</f>
        <v>0</v>
      </c>
      <c r="AC555" s="187">
        <f>model_eui_end_uses!AC555*base_building_arch_areas!$N$7</f>
        <v>514771.86838501674</v>
      </c>
      <c r="AD555" s="187">
        <f>model_eui_end_uses!AD555*base_building_arch_areas!$N$7</f>
        <v>23690.139356600055</v>
      </c>
      <c r="AE555" s="187">
        <f>model_eui_end_uses!AE555*base_building_arch_areas!$N$7</f>
        <v>-9990.7476289162278</v>
      </c>
      <c r="AF555" s="187">
        <f t="shared" si="101"/>
        <v>13699.391727683827</v>
      </c>
      <c r="AG555" s="187">
        <f>model_eui_end_uses!AH555*base_building_arch_areas!$N$7</f>
        <v>383.78025757692086</v>
      </c>
      <c r="AH555" s="187">
        <f>model_eui_end_uses!AI555*base_building_arch_areas!$N$7</f>
        <v>-1128.9544820675339</v>
      </c>
      <c r="AI555" s="187">
        <f t="shared" si="102"/>
        <v>-745.17422449061314</v>
      </c>
      <c r="AJ555" s="200">
        <f>sim_annual_output!F555/sim_annual_output!H555*base_building_arch_areas!$N$7</f>
        <v>0</v>
      </c>
      <c r="AK555">
        <f t="shared" si="103"/>
        <v>0</v>
      </c>
    </row>
    <row r="556" spans="1:37">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f>model_eui_end_uses!G556*base_scenario_arch_measures!$F556</f>
        <v>0</v>
      </c>
      <c r="H556">
        <f>model_eui_end_uses!H556*base_scenario_arch_measures!$F556</f>
        <v>1.6634044263379988</v>
      </c>
      <c r="I556">
        <f>model_eui_end_uses!I556*base_scenario_arch_measures!$F556</f>
        <v>3.1061922032381253E-2</v>
      </c>
      <c r="J556">
        <f>model_eui_end_uses!J556*base_scenario_arch_measures!$F556</f>
        <v>6.2275424789105568E-2</v>
      </c>
      <c r="K556">
        <f>model_eui_end_uses!K556*base_scenario_arch_measures!$F556</f>
        <v>0</v>
      </c>
      <c r="L556">
        <f>model_eui_end_uses!L556*base_scenario_arch_measures!$F556</f>
        <v>0.30655079368244459</v>
      </c>
      <c r="M556">
        <f>model_eui_end_uses!M556*base_scenario_arch_measures!$F556</f>
        <v>7.4826308764711483E-2</v>
      </c>
      <c r="N556">
        <f>model_eui_end_uses!N556*base_scenario_arch_measures!$F556</f>
        <v>0</v>
      </c>
      <c r="O556">
        <f>model_eui_end_uses!O556*base_scenario_arch_measures!$F556</f>
        <v>0.10874401164371612</v>
      </c>
      <c r="P556">
        <f>model_eui_end_uses!P556*base_scenario_arch_measures!$F556</f>
        <v>3.5833683234700992E-3</v>
      </c>
      <c r="Q556">
        <f>model_eui_end_uses!Q556*base_scenario_arch_measures!$F556</f>
        <v>0</v>
      </c>
      <c r="R556" s="187">
        <f>model_eui_end_uses!R556*base_building_arch_areas!$N$7</f>
        <v>0</v>
      </c>
      <c r="S556" s="187">
        <f>model_eui_end_uses!S556*base_building_arch_areas!$N$7</f>
        <v>389724.75241612649</v>
      </c>
      <c r="T556" s="187">
        <f>model_eui_end_uses!T556*base_building_arch_areas!$N$7</f>
        <v>3301.7175801741396</v>
      </c>
      <c r="U556" s="187">
        <f>model_eui_end_uses!U556*base_building_arch_areas!$N$7</f>
        <v>14412.214732668333</v>
      </c>
      <c r="V556" s="187">
        <f>model_eui_end_uses!V556*base_building_arch_areas!$N$7</f>
        <v>0</v>
      </c>
      <c r="W556" s="187">
        <f>model_eui_end_uses!W556*base_building_arch_areas!$N$7</f>
        <v>70944.130529547096</v>
      </c>
      <c r="X556" s="187">
        <f>model_eui_end_uses!X556*base_building_arch_areas!$N$7</f>
        <v>17316.828158490884</v>
      </c>
      <c r="Y556" s="187">
        <f>model_eui_end_uses!Y556*base_building_arch_areas!$N$7</f>
        <v>0</v>
      </c>
      <c r="Z556" s="187">
        <f>model_eui_end_uses!Z556*base_building_arch_areas!$N$7</f>
        <v>17740.593015784805</v>
      </c>
      <c r="AA556" s="187">
        <f>model_eui_end_uses!AA556*base_building_arch_areas!$N$7</f>
        <v>1331.6319522249291</v>
      </c>
      <c r="AB556" s="187">
        <f>model_eui_end_uses!AB556*base_building_arch_areas!$N$7</f>
        <v>0</v>
      </c>
      <c r="AC556" s="187">
        <f>model_eui_end_uses!AC556*base_building_arch_areas!$N$7</f>
        <v>514771.86838501674</v>
      </c>
      <c r="AD556" s="187">
        <f>model_eui_end_uses!AD556*base_building_arch_areas!$N$7</f>
        <v>4768.0562420024562</v>
      </c>
      <c r="AE556" s="187">
        <f>model_eui_end_uses!AE556*base_building_arch_areas!$N$7</f>
        <v>-10810.213445670053</v>
      </c>
      <c r="AF556" s="187">
        <f t="shared" si="101"/>
        <v>-6042.1572036675971</v>
      </c>
      <c r="AG556" s="187">
        <f>model_eui_end_uses!AH556*base_building_arch_areas!$N$7</f>
        <v>77.242511120439772</v>
      </c>
      <c r="AH556" s="187">
        <f>model_eui_end_uses!AI556*base_building_arch_areas!$N$7</f>
        <v>-1221.5541193607162</v>
      </c>
      <c r="AI556" s="187">
        <f t="shared" si="102"/>
        <v>-1144.3116082402764</v>
      </c>
      <c r="AJ556" s="200">
        <f>sim_annual_output!F556/sim_annual_output!H556*base_building_arch_areas!$N$7</f>
        <v>0</v>
      </c>
      <c r="AK556">
        <f t="shared" si="103"/>
        <v>0</v>
      </c>
    </row>
    <row r="557" spans="1:37">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f>model_eui_end_uses!G557*base_scenario_arch_measures!$F557</f>
        <v>0</v>
      </c>
      <c r="H557">
        <f>model_eui_end_uses!H557*base_scenario_arch_measures!$F557</f>
        <v>1.6495014423012528</v>
      </c>
      <c r="I557">
        <f>model_eui_end_uses!I557*base_scenario_arch_measures!$F557</f>
        <v>3.1395399625935995E-2</v>
      </c>
      <c r="J557">
        <f>model_eui_end_uses!J557*base_scenario_arch_measures!$F557</f>
        <v>6.2275424789105568E-2</v>
      </c>
      <c r="K557">
        <f>model_eui_end_uses!K557*base_scenario_arch_measures!$F557</f>
        <v>0</v>
      </c>
      <c r="L557">
        <f>model_eui_end_uses!L557*base_scenario_arch_measures!$F557</f>
        <v>0.30655079368244459</v>
      </c>
      <c r="M557">
        <f>model_eui_end_uses!M557*base_scenario_arch_measures!$F557</f>
        <v>7.4826308764711483E-2</v>
      </c>
      <c r="N557">
        <f>model_eui_end_uses!N557*base_scenario_arch_measures!$F557</f>
        <v>0</v>
      </c>
      <c r="O557">
        <f>model_eui_end_uses!O557*base_scenario_arch_measures!$F557</f>
        <v>0.10904110986342853</v>
      </c>
      <c r="P557">
        <f>model_eui_end_uses!P557*base_scenario_arch_measures!$F557</f>
        <v>3.5227360337328727E-3</v>
      </c>
      <c r="Q557">
        <f>model_eui_end_uses!Q557*base_scenario_arch_measures!$F557</f>
        <v>0</v>
      </c>
      <c r="R557" s="187">
        <f>model_eui_end_uses!R557*base_building_arch_areas!$N$7</f>
        <v>0</v>
      </c>
      <c r="S557" s="187">
        <f>model_eui_end_uses!S557*base_building_arch_areas!$N$7</f>
        <v>389724.75241612649</v>
      </c>
      <c r="T557" s="187">
        <f>model_eui_end_uses!T557*base_building_arch_areas!$N$7</f>
        <v>3301.7175801741396</v>
      </c>
      <c r="U557" s="187">
        <f>model_eui_end_uses!U557*base_building_arch_areas!$N$7</f>
        <v>14412.214732668333</v>
      </c>
      <c r="V557" s="187">
        <f>model_eui_end_uses!V557*base_building_arch_areas!$N$7</f>
        <v>0</v>
      </c>
      <c r="W557" s="187">
        <f>model_eui_end_uses!W557*base_building_arch_areas!$N$7</f>
        <v>70944.130529547096</v>
      </c>
      <c r="X557" s="187">
        <f>model_eui_end_uses!X557*base_building_arch_areas!$N$7</f>
        <v>17316.828158490884</v>
      </c>
      <c r="Y557" s="187">
        <f>model_eui_end_uses!Y557*base_building_arch_areas!$N$7</f>
        <v>0</v>
      </c>
      <c r="Z557" s="187">
        <f>model_eui_end_uses!Z557*base_building_arch_areas!$N$7</f>
        <v>17740.593015784805</v>
      </c>
      <c r="AA557" s="187">
        <f>model_eui_end_uses!AA557*base_building_arch_areas!$N$7</f>
        <v>1331.6319522249291</v>
      </c>
      <c r="AB557" s="187">
        <f>model_eui_end_uses!AB557*base_building_arch_areas!$N$7</f>
        <v>0</v>
      </c>
      <c r="AC557" s="187">
        <f>model_eui_end_uses!AC557*base_building_arch_areas!$N$7</f>
        <v>514771.86838501674</v>
      </c>
      <c r="AD557" s="187">
        <f>model_eui_end_uses!AD557*base_building_arch_areas!$N$7</f>
        <v>7985.5821286744495</v>
      </c>
      <c r="AE557" s="187">
        <f>model_eui_end_uses!AE557*base_building_arch_areas!$N$7</f>
        <v>-10942.113765490001</v>
      </c>
      <c r="AF557" s="187">
        <f t="shared" si="101"/>
        <v>-2956.5316368155518</v>
      </c>
      <c r="AG557" s="187">
        <f>model_eui_end_uses!AH557*base_building_arch_areas!$N$7</f>
        <v>129.36643048452606</v>
      </c>
      <c r="AH557" s="187">
        <f>model_eui_end_uses!AI557*base_building_arch_areas!$N$7</f>
        <v>-1236.4588555003702</v>
      </c>
      <c r="AI557" s="187">
        <f t="shared" si="102"/>
        <v>-1107.0924250158441</v>
      </c>
      <c r="AJ557" s="200">
        <f>sim_annual_output!F557/sim_annual_output!H557*base_building_arch_areas!$N$7</f>
        <v>82616.48874712277</v>
      </c>
      <c r="AK557">
        <f t="shared" si="103"/>
        <v>-74.624743951202092</v>
      </c>
    </row>
    <row r="558" spans="1:37">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f>model_eui_end_uses!G558*base_scenario_arch_measures!$F558</f>
        <v>0</v>
      </c>
      <c r="H558">
        <f>model_eui_end_uses!H558*base_scenario_arch_measures!$F558</f>
        <v>1.6977101758713218</v>
      </c>
      <c r="I558">
        <f>model_eui_end_uses!I558*base_scenario_arch_measures!$F558</f>
        <v>3.0940657452906795E-2</v>
      </c>
      <c r="J558">
        <f>model_eui_end_uses!J558*base_scenario_arch_measures!$F558</f>
        <v>6.2275424789105568E-2</v>
      </c>
      <c r="K558">
        <f>model_eui_end_uses!K558*base_scenario_arch_measures!$F558</f>
        <v>0</v>
      </c>
      <c r="L558">
        <f>model_eui_end_uses!L558*base_scenario_arch_measures!$F558</f>
        <v>0.30655079368244459</v>
      </c>
      <c r="M558">
        <f>model_eui_end_uses!M558*base_scenario_arch_measures!$F558</f>
        <v>7.4826308764711483E-2</v>
      </c>
      <c r="N558">
        <f>model_eui_end_uses!N558*base_scenario_arch_measures!$F558</f>
        <v>0</v>
      </c>
      <c r="O558">
        <f>model_eui_end_uses!O558*base_scenario_arch_measures!$F558</f>
        <v>0.10898047757369131</v>
      </c>
      <c r="P558">
        <f>model_eui_end_uses!P558*base_scenario_arch_measures!$F558</f>
        <v>3.6985696739708302E-3</v>
      </c>
      <c r="Q558">
        <f>model_eui_end_uses!Q558*base_scenario_arch_measures!$F558</f>
        <v>0</v>
      </c>
      <c r="R558" s="187">
        <f>model_eui_end_uses!R558*base_building_arch_areas!$N$7</f>
        <v>0</v>
      </c>
      <c r="S558" s="187">
        <f>model_eui_end_uses!S558*base_building_arch_areas!$N$7</f>
        <v>389724.75241612649</v>
      </c>
      <c r="T558" s="187">
        <f>model_eui_end_uses!T558*base_building_arch_areas!$N$7</f>
        <v>3301.7175801741396</v>
      </c>
      <c r="U558" s="187">
        <f>model_eui_end_uses!U558*base_building_arch_areas!$N$7</f>
        <v>14412.214732668333</v>
      </c>
      <c r="V558" s="187">
        <f>model_eui_end_uses!V558*base_building_arch_areas!$N$7</f>
        <v>0</v>
      </c>
      <c r="W558" s="187">
        <f>model_eui_end_uses!W558*base_building_arch_areas!$N$7</f>
        <v>70944.130529547096</v>
      </c>
      <c r="X558" s="187">
        <f>model_eui_end_uses!X558*base_building_arch_areas!$N$7</f>
        <v>17316.828158490884</v>
      </c>
      <c r="Y558" s="187">
        <f>model_eui_end_uses!Y558*base_building_arch_areas!$N$7</f>
        <v>0</v>
      </c>
      <c r="Z558" s="187">
        <f>model_eui_end_uses!Z558*base_building_arch_areas!$N$7</f>
        <v>17740.593015784805</v>
      </c>
      <c r="AA558" s="187">
        <f>model_eui_end_uses!AA558*base_building_arch_areas!$N$7</f>
        <v>1331.6319522249291</v>
      </c>
      <c r="AB558" s="187">
        <f>model_eui_end_uses!AB558*base_building_arch_areas!$N$7</f>
        <v>0</v>
      </c>
      <c r="AC558" s="187">
        <f>model_eui_end_uses!AC558*base_building_arch_areas!$N$7</f>
        <v>514771.86838501674</v>
      </c>
      <c r="AD558" s="187">
        <f>model_eui_end_uses!AD558*base_building_arch_areas!$N$7</f>
        <v>-3171.2204552458898</v>
      </c>
      <c r="AE558" s="187">
        <f>model_eui_end_uses!AE558*base_building_arch_areas!$N$7</f>
        <v>-10863.534851554707</v>
      </c>
      <c r="AF558" s="187">
        <f t="shared" si="101"/>
        <v>-14034.755306800596</v>
      </c>
      <c r="AG558" s="187">
        <f>model_eui_end_uses!AH558*base_building_arch_areas!$N$7</f>
        <v>-51.373771374983413</v>
      </c>
      <c r="AH558" s="187">
        <f>model_eui_end_uses!AI558*base_building_arch_areas!$N$7</f>
        <v>-1227.5794382256818</v>
      </c>
      <c r="AI558" s="187">
        <f t="shared" si="102"/>
        <v>-1278.9532096006651</v>
      </c>
      <c r="AJ558" s="200">
        <f>sim_annual_output!F558/sim_annual_output!H558*base_building_arch_areas!$N$7</f>
        <v>753.41290102313894</v>
      </c>
      <c r="AK558">
        <f t="shared" si="103"/>
        <v>-0.58908558606173045</v>
      </c>
    </row>
    <row r="559" spans="1:37">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f>model_eui_end_uses!G559*base_scenario_arch_measures!$F559</f>
        <v>0</v>
      </c>
      <c r="H559">
        <f>model_eui_end_uses!H559*base_scenario_arch_measures!$F559</f>
        <v>1.7049617977238942</v>
      </c>
      <c r="I559">
        <f>model_eui_end_uses!I559*base_scenario_arch_measures!$F559</f>
        <v>3.0667812149089275E-2</v>
      </c>
      <c r="J559">
        <f>model_eui_end_uses!J559*base_scenario_arch_measures!$F559</f>
        <v>6.2275424789105568E-2</v>
      </c>
      <c r="K559">
        <f>model_eui_end_uses!K559*base_scenario_arch_measures!$F559</f>
        <v>0</v>
      </c>
      <c r="L559">
        <f>model_eui_end_uses!L559*base_scenario_arch_measures!$F559</f>
        <v>0.30655079368244459</v>
      </c>
      <c r="M559">
        <f>model_eui_end_uses!M559*base_scenario_arch_measures!$F559</f>
        <v>7.4826308764711483E-2</v>
      </c>
      <c r="N559">
        <f>model_eui_end_uses!N559*base_scenario_arch_measures!$F559</f>
        <v>0</v>
      </c>
      <c r="O559">
        <f>model_eui_end_uses!O559*base_scenario_arch_measures!$F559</f>
        <v>0.10280811047844163</v>
      </c>
      <c r="P559">
        <f>model_eui_end_uses!P559*base_scenario_arch_measures!$F559</f>
        <v>2.3707225287255647E-3</v>
      </c>
      <c r="Q559">
        <f>model_eui_end_uses!Q559*base_scenario_arch_measures!$F559</f>
        <v>0</v>
      </c>
      <c r="R559" s="187">
        <f>model_eui_end_uses!R559*base_building_arch_areas!$N$7</f>
        <v>0</v>
      </c>
      <c r="S559" s="187">
        <f>model_eui_end_uses!S559*base_building_arch_areas!$N$7</f>
        <v>389724.75241612649</v>
      </c>
      <c r="T559" s="187">
        <f>model_eui_end_uses!T559*base_building_arch_areas!$N$7</f>
        <v>3301.7175801741396</v>
      </c>
      <c r="U559" s="187">
        <f>model_eui_end_uses!U559*base_building_arch_areas!$N$7</f>
        <v>14412.214732668333</v>
      </c>
      <c r="V559" s="187">
        <f>model_eui_end_uses!V559*base_building_arch_areas!$N$7</f>
        <v>0</v>
      </c>
      <c r="W559" s="187">
        <f>model_eui_end_uses!W559*base_building_arch_areas!$N$7</f>
        <v>70944.130529547096</v>
      </c>
      <c r="X559" s="187">
        <f>model_eui_end_uses!X559*base_building_arch_areas!$N$7</f>
        <v>17316.828158490884</v>
      </c>
      <c r="Y559" s="187">
        <f>model_eui_end_uses!Y559*base_building_arch_areas!$N$7</f>
        <v>0</v>
      </c>
      <c r="Z559" s="187">
        <f>model_eui_end_uses!Z559*base_building_arch_areas!$N$7</f>
        <v>17740.593015784805</v>
      </c>
      <c r="AA559" s="187">
        <f>model_eui_end_uses!AA559*base_building_arch_areas!$N$7</f>
        <v>1331.6319522249291</v>
      </c>
      <c r="AB559" s="187">
        <f>model_eui_end_uses!AB559*base_building_arch_areas!$N$7</f>
        <v>0</v>
      </c>
      <c r="AC559" s="187">
        <f>model_eui_end_uses!AC559*base_building_arch_areas!$N$7</f>
        <v>514771.86838501674</v>
      </c>
      <c r="AD559" s="187">
        <f>model_eui_end_uses!AD559*base_building_arch_areas!$N$7</f>
        <v>-4849.4415457211744</v>
      </c>
      <c r="AE559" s="187">
        <f>model_eui_end_uses!AE559*base_building_arch_areas!$N$7</f>
        <v>-9064.6390003931501</v>
      </c>
      <c r="AF559" s="187">
        <f t="shared" si="101"/>
        <v>-13914.080546114325</v>
      </c>
      <c r="AG559" s="187">
        <f>model_eui_end_uses!AH559*base_building_arch_areas!$N$7</f>
        <v>-78.560953040683032</v>
      </c>
      <c r="AH559" s="187">
        <f>model_eui_end_uses!AI559*base_building_arch_areas!$N$7</f>
        <v>-1024.304207044426</v>
      </c>
      <c r="AI559" s="187">
        <f t="shared" si="102"/>
        <v>-1102.865160085109</v>
      </c>
      <c r="AJ559" s="200">
        <f>sim_annual_output!F559/sim_annual_output!H559*base_building_arch_areas!$N$7</f>
        <v>3779.0494966904917</v>
      </c>
      <c r="AK559">
        <f t="shared" si="103"/>
        <v>-3.426574375056747</v>
      </c>
    </row>
    <row r="560" spans="1:37">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f>model_eui_end_uses!G560*base_scenario_arch_measures!$F560</f>
        <v>0</v>
      </c>
      <c r="H560">
        <f>model_eui_end_uses!H560*base_scenario_arch_measures!$F560</f>
        <v>1.1076064160037629</v>
      </c>
      <c r="I560">
        <f>model_eui_end_uses!I560*base_scenario_arch_measures!$F560</f>
        <v>3.9659580717119995E-2</v>
      </c>
      <c r="J560">
        <f>model_eui_end_uses!J560*base_scenario_arch_measures!$F560</f>
        <v>6.2275424789105568E-2</v>
      </c>
      <c r="K560">
        <f>model_eui_end_uses!K560*base_scenario_arch_measures!$F560</f>
        <v>0</v>
      </c>
      <c r="L560">
        <f>model_eui_end_uses!L560*base_scenario_arch_measures!$F560</f>
        <v>0.30655079368244459</v>
      </c>
      <c r="M560">
        <f>model_eui_end_uses!M560*base_scenario_arch_measures!$F560</f>
        <v>7.4826308764711483E-2</v>
      </c>
      <c r="N560">
        <f>model_eui_end_uses!N560*base_scenario_arch_measures!$F560</f>
        <v>0</v>
      </c>
      <c r="O560">
        <f>model_eui_end_uses!O560*base_scenario_arch_measures!$F560</f>
        <v>0.1090835524662446</v>
      </c>
      <c r="P560">
        <f>model_eui_end_uses!P560*base_scenario_arch_measures!$F560</f>
        <v>1.9462965005649776E-3</v>
      </c>
      <c r="Q560">
        <f>model_eui_end_uses!Q560*base_scenario_arch_measures!$F560</f>
        <v>9.5495856336132081E-3</v>
      </c>
      <c r="R560" s="187">
        <f>model_eui_end_uses!R560*base_building_arch_areas!$N$7</f>
        <v>0</v>
      </c>
      <c r="S560" s="187">
        <f>model_eui_end_uses!S560*base_building_arch_areas!$N$7</f>
        <v>389724.75241612649</v>
      </c>
      <c r="T560" s="187">
        <f>model_eui_end_uses!T560*base_building_arch_areas!$N$7</f>
        <v>3301.7175801741396</v>
      </c>
      <c r="U560" s="187">
        <f>model_eui_end_uses!U560*base_building_arch_areas!$N$7</f>
        <v>14412.214732668333</v>
      </c>
      <c r="V560" s="187">
        <f>model_eui_end_uses!V560*base_building_arch_areas!$N$7</f>
        <v>0</v>
      </c>
      <c r="W560" s="187">
        <f>model_eui_end_uses!W560*base_building_arch_areas!$N$7</f>
        <v>70944.130529547096</v>
      </c>
      <c r="X560" s="187">
        <f>model_eui_end_uses!X560*base_building_arch_areas!$N$7</f>
        <v>17316.828158490884</v>
      </c>
      <c r="Y560" s="187">
        <f>model_eui_end_uses!Y560*base_building_arch_areas!$N$7</f>
        <v>0</v>
      </c>
      <c r="Z560" s="187">
        <f>model_eui_end_uses!Z560*base_building_arch_areas!$N$7</f>
        <v>17740.593015784805</v>
      </c>
      <c r="AA560" s="187">
        <f>model_eui_end_uses!AA560*base_building_arch_areas!$N$7</f>
        <v>1331.6319522249291</v>
      </c>
      <c r="AB560" s="187">
        <f>model_eui_end_uses!AB560*base_building_arch_areas!$N$7</f>
        <v>0</v>
      </c>
      <c r="AC560" s="187">
        <f>model_eui_end_uses!AC560*base_building_arch_areas!$N$7</f>
        <v>514771.86838501674</v>
      </c>
      <c r="AD560" s="187">
        <f>model_eui_end_uses!AD560*base_building_arch_areas!$N$7</f>
        <v>133394.72237962371</v>
      </c>
      <c r="AE560" s="187">
        <f>model_eui_end_uses!AE560*base_building_arch_areas!$N$7</f>
        <v>-14709.692049709103</v>
      </c>
      <c r="AF560" s="187">
        <f t="shared" si="101"/>
        <v>118685.0303299146</v>
      </c>
      <c r="AG560" s="187">
        <f>model_eui_end_uses!AH560*base_building_arch_areas!$N$7</f>
        <v>2160.9945025499037</v>
      </c>
      <c r="AH560" s="187">
        <f>model_eui_end_uses!AI560*base_building_arch_areas!$N$7</f>
        <v>-1662.1952016171288</v>
      </c>
      <c r="AI560" s="187">
        <f t="shared" si="102"/>
        <v>498.79930093277494</v>
      </c>
      <c r="AJ560" s="200">
        <f>sim_annual_output!F560/sim_annual_output!H560*base_building_arch_areas!$N$7</f>
        <v>127041.30178746462</v>
      </c>
      <c r="AK560">
        <f t="shared" si="103"/>
        <v>254.69422581365336</v>
      </c>
    </row>
    <row r="561" spans="1:37">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f>model_eui_end_uses!G561*base_scenario_arch_measures!$F561</f>
        <v>0</v>
      </c>
      <c r="H561">
        <f>model_eui_end_uses!H561*base_scenario_arch_measures!$F561</f>
        <v>1.7786421562125723</v>
      </c>
      <c r="I561">
        <f>model_eui_end_uses!I561*base_scenario_arch_measures!$F561</f>
        <v>1.899609637467313E-2</v>
      </c>
      <c r="J561">
        <f>model_eui_end_uses!J561*base_scenario_arch_measures!$F561</f>
        <v>6.2275424789105568E-2</v>
      </c>
      <c r="K561">
        <f>model_eui_end_uses!K561*base_scenario_arch_measures!$F561</f>
        <v>0</v>
      </c>
      <c r="L561">
        <f>model_eui_end_uses!L561*base_scenario_arch_measures!$F561</f>
        <v>0.21458373660901908</v>
      </c>
      <c r="M561">
        <f>model_eui_end_uses!M561*base_scenario_arch_measures!$F561</f>
        <v>7.4826308764711483E-2</v>
      </c>
      <c r="N561">
        <f>model_eui_end_uses!N561*base_scenario_arch_measures!$F561</f>
        <v>0</v>
      </c>
      <c r="O561">
        <f>model_eui_end_uses!O561*base_scenario_arch_measures!$F561</f>
        <v>9.0348174937441544E-2</v>
      </c>
      <c r="P561">
        <f>model_eui_end_uses!P561*base_scenario_arch_measures!$F561</f>
        <v>5.2507562912438334E-3</v>
      </c>
      <c r="Q561">
        <f>model_eui_end_uses!Q561*base_scenario_arch_measures!$F561</f>
        <v>0</v>
      </c>
      <c r="R561" s="187">
        <f>model_eui_end_uses!R561*base_building_arch_areas!$N$7</f>
        <v>0</v>
      </c>
      <c r="S561" s="187">
        <f>model_eui_end_uses!S561*base_building_arch_areas!$N$7</f>
        <v>389724.75241612649</v>
      </c>
      <c r="T561" s="187">
        <f>model_eui_end_uses!T561*base_building_arch_areas!$N$7</f>
        <v>3301.7175801741396</v>
      </c>
      <c r="U561" s="187">
        <f>model_eui_end_uses!U561*base_building_arch_areas!$N$7</f>
        <v>14412.214732668333</v>
      </c>
      <c r="V561" s="187">
        <f>model_eui_end_uses!V561*base_building_arch_areas!$N$7</f>
        <v>0</v>
      </c>
      <c r="W561" s="187">
        <f>model_eui_end_uses!W561*base_building_arch_areas!$N$7</f>
        <v>70944.130529547096</v>
      </c>
      <c r="X561" s="187">
        <f>model_eui_end_uses!X561*base_building_arch_areas!$N$7</f>
        <v>17316.828158490884</v>
      </c>
      <c r="Y561" s="187">
        <f>model_eui_end_uses!Y561*base_building_arch_areas!$N$7</f>
        <v>0</v>
      </c>
      <c r="Z561" s="187">
        <f>model_eui_end_uses!Z561*base_building_arch_areas!$N$7</f>
        <v>17740.593015784805</v>
      </c>
      <c r="AA561" s="187">
        <f>model_eui_end_uses!AA561*base_building_arch_areas!$N$7</f>
        <v>1331.6319522249291</v>
      </c>
      <c r="AB561" s="187">
        <f>model_eui_end_uses!AB561*base_building_arch_areas!$N$7</f>
        <v>0</v>
      </c>
      <c r="AC561" s="187">
        <f>model_eui_end_uses!AC561*base_building_arch_areas!$N$7</f>
        <v>514771.86838501674</v>
      </c>
      <c r="AD561" s="187">
        <f>model_eui_end_uses!AD561*base_building_arch_areas!$N$7</f>
        <v>-21901.065869680446</v>
      </c>
      <c r="AE561" s="187">
        <f>model_eui_end_uses!AE561*base_building_arch_areas!$N$7</f>
        <v>17137.219212353037</v>
      </c>
      <c r="AF561" s="187">
        <f t="shared" si="101"/>
        <v>-4763.846657327409</v>
      </c>
      <c r="AG561" s="187">
        <f>model_eui_end_uses!AH561*base_building_arch_areas!$N$7</f>
        <v>-354.79726708882322</v>
      </c>
      <c r="AH561" s="187">
        <f>model_eui_end_uses!AI561*base_building_arch_areas!$N$7</f>
        <v>1936.5057709958928</v>
      </c>
      <c r="AI561" s="187">
        <f t="shared" si="102"/>
        <v>1581.7085039070696</v>
      </c>
      <c r="AJ561" s="200">
        <f>sim_annual_output!F561/sim_annual_output!H561*base_building_arch_areas!$N$7</f>
        <v>80090.959245145874</v>
      </c>
      <c r="AK561">
        <f t="shared" si="103"/>
        <v>50.635726524393441</v>
      </c>
    </row>
    <row r="562" spans="1:37">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f>model_eui_end_uses!G562*base_scenario_arch_measures!$F562</f>
        <v>0</v>
      </c>
      <c r="H562">
        <f>model_eui_end_uses!H562*base_scenario_arch_measures!$F562</f>
        <v>0.87307465607119616</v>
      </c>
      <c r="I562">
        <f>model_eui_end_uses!I562*base_scenario_arch_measures!$F562</f>
        <v>2.8388038054969551E-2</v>
      </c>
      <c r="J562">
        <f>model_eui_end_uses!J562*base_scenario_arch_measures!$F562</f>
        <v>6.2275424789105568E-2</v>
      </c>
      <c r="K562">
        <f>model_eui_end_uses!K562*base_scenario_arch_measures!$F562</f>
        <v>0</v>
      </c>
      <c r="L562">
        <f>model_eui_end_uses!L562*base_scenario_arch_measures!$F562</f>
        <v>0.30655079368244459</v>
      </c>
      <c r="M562">
        <f>model_eui_end_uses!M562*base_scenario_arch_measures!$F562</f>
        <v>7.4826308764711483E-2</v>
      </c>
      <c r="N562">
        <f>model_eui_end_uses!N562*base_scenario_arch_measures!$F562</f>
        <v>0</v>
      </c>
      <c r="O562">
        <f>model_eui_end_uses!O562*base_scenario_arch_measures!$F562</f>
        <v>0.12658809451338193</v>
      </c>
      <c r="P562">
        <f>model_eui_end_uses!P562*base_scenario_arch_measures!$F562</f>
        <v>2.3828489866730097E-3</v>
      </c>
      <c r="Q562">
        <f>model_eui_end_uses!Q562*base_scenario_arch_measures!$F562</f>
        <v>0</v>
      </c>
      <c r="R562" s="187">
        <f>model_eui_end_uses!R562*base_building_arch_areas!$N$7</f>
        <v>0</v>
      </c>
      <c r="S562" s="187">
        <f>model_eui_end_uses!S562*base_building_arch_areas!$N$7</f>
        <v>389724.75241612649</v>
      </c>
      <c r="T562" s="187">
        <f>model_eui_end_uses!T562*base_building_arch_areas!$N$7</f>
        <v>3301.7175801741396</v>
      </c>
      <c r="U562" s="187">
        <f>model_eui_end_uses!U562*base_building_arch_areas!$N$7</f>
        <v>14412.214732668333</v>
      </c>
      <c r="V562" s="187">
        <f>model_eui_end_uses!V562*base_building_arch_areas!$N$7</f>
        <v>0</v>
      </c>
      <c r="W562" s="187">
        <f>model_eui_end_uses!W562*base_building_arch_areas!$N$7</f>
        <v>70944.130529547096</v>
      </c>
      <c r="X562" s="187">
        <f>model_eui_end_uses!X562*base_building_arch_areas!$N$7</f>
        <v>17316.828158490884</v>
      </c>
      <c r="Y562" s="187">
        <f>model_eui_end_uses!Y562*base_building_arch_areas!$N$7</f>
        <v>0</v>
      </c>
      <c r="Z562" s="187">
        <f>model_eui_end_uses!Z562*base_building_arch_areas!$N$7</f>
        <v>17740.593015784805</v>
      </c>
      <c r="AA562" s="187">
        <f>model_eui_end_uses!AA562*base_building_arch_areas!$N$7</f>
        <v>1331.6319522249291</v>
      </c>
      <c r="AB562" s="187">
        <f>model_eui_end_uses!AB562*base_building_arch_areas!$N$7</f>
        <v>0</v>
      </c>
      <c r="AC562" s="187">
        <f>model_eui_end_uses!AC562*base_building_arch_areas!$N$7</f>
        <v>514771.86838501674</v>
      </c>
      <c r="AD562" s="187">
        <f>model_eui_end_uses!AD562*base_building_arch_areas!$N$7</f>
        <v>187671.70398553778</v>
      </c>
      <c r="AE562" s="187">
        <f>model_eui_end_uses!AE562*base_building_arch_areas!$N$7</f>
        <v>-14043.17447615082</v>
      </c>
      <c r="AF562" s="187">
        <f t="shared" si="101"/>
        <v>173628.52950938695</v>
      </c>
      <c r="AG562" s="187">
        <f>model_eui_end_uses!AH562*base_building_arch_areas!$N$7</f>
        <v>3040.2816045657119</v>
      </c>
      <c r="AH562" s="187">
        <f>model_eui_end_uses!AI562*base_building_arch_areas!$N$7</f>
        <v>-1586.8787158050427</v>
      </c>
      <c r="AI562" s="187">
        <f t="shared" si="102"/>
        <v>1453.4028887606692</v>
      </c>
      <c r="AJ562" s="200">
        <f>sim_annual_output!F562/sim_annual_output!H562*base_building_arch_areas!$N$7</f>
        <v>10052.649685018558</v>
      </c>
      <c r="AK562">
        <f t="shared" si="103"/>
        <v>6.9166297678068815</v>
      </c>
    </row>
    <row r="563" spans="1:37">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f>model_eui_end_uses!G563*base_scenario_arch_measures!$F563</f>
        <v>0</v>
      </c>
      <c r="H563">
        <f>model_eui_end_uses!H563*base_scenario_arch_measures!$F563</f>
        <v>1.3986595964293724</v>
      </c>
      <c r="I563">
        <f>model_eui_end_uses!I563*base_scenario_arch_measures!$F563</f>
        <v>2.8388038054969551E-2</v>
      </c>
      <c r="J563">
        <f>model_eui_end_uses!J563*base_scenario_arch_measures!$F563</f>
        <v>6.2275424789105568E-2</v>
      </c>
      <c r="K563">
        <f>model_eui_end_uses!K563*base_scenario_arch_measures!$F563</f>
        <v>0</v>
      </c>
      <c r="L563">
        <f>model_eui_end_uses!L563*base_scenario_arch_measures!$F563</f>
        <v>0.30655079368244459</v>
      </c>
      <c r="M563">
        <f>model_eui_end_uses!M563*base_scenario_arch_measures!$F563</f>
        <v>7.4826308764711483E-2</v>
      </c>
      <c r="N563">
        <f>model_eui_end_uses!N563*base_scenario_arch_measures!$F563</f>
        <v>0</v>
      </c>
      <c r="O563">
        <f>model_eui_end_uses!O563*base_scenario_arch_measures!$F563</f>
        <v>0.12658809451338193</v>
      </c>
      <c r="P563">
        <f>model_eui_end_uses!P563*base_scenario_arch_measures!$F563</f>
        <v>2.3828489866730097E-3</v>
      </c>
      <c r="Q563">
        <f>model_eui_end_uses!Q563*base_scenario_arch_measures!$F563</f>
        <v>0</v>
      </c>
      <c r="R563" s="187">
        <f>model_eui_end_uses!R563*base_building_arch_areas!$N$7</f>
        <v>0</v>
      </c>
      <c r="S563" s="187">
        <f>model_eui_end_uses!S563*base_building_arch_areas!$N$7</f>
        <v>389724.75241612649</v>
      </c>
      <c r="T563" s="187">
        <f>model_eui_end_uses!T563*base_building_arch_areas!$N$7</f>
        <v>3301.7175801741396</v>
      </c>
      <c r="U563" s="187">
        <f>model_eui_end_uses!U563*base_building_arch_areas!$N$7</f>
        <v>14412.214732668333</v>
      </c>
      <c r="V563" s="187">
        <f>model_eui_end_uses!V563*base_building_arch_areas!$N$7</f>
        <v>0</v>
      </c>
      <c r="W563" s="187">
        <f>model_eui_end_uses!W563*base_building_arch_areas!$N$7</f>
        <v>70944.130529547096</v>
      </c>
      <c r="X563" s="187">
        <f>model_eui_end_uses!X563*base_building_arch_areas!$N$7</f>
        <v>17316.828158490884</v>
      </c>
      <c r="Y563" s="187">
        <f>model_eui_end_uses!Y563*base_building_arch_areas!$N$7</f>
        <v>0</v>
      </c>
      <c r="Z563" s="187">
        <f>model_eui_end_uses!Z563*base_building_arch_areas!$N$7</f>
        <v>17740.593015784805</v>
      </c>
      <c r="AA563" s="187">
        <f>model_eui_end_uses!AA563*base_building_arch_areas!$N$7</f>
        <v>1331.6319522249291</v>
      </c>
      <c r="AB563" s="187">
        <f>model_eui_end_uses!AB563*base_building_arch_areas!$N$7</f>
        <v>0</v>
      </c>
      <c r="AC563" s="187">
        <f>model_eui_end_uses!AC563*base_building_arch_areas!$N$7</f>
        <v>514771.86838501674</v>
      </c>
      <c r="AD563" s="187">
        <f>model_eui_end_uses!AD563*base_building_arch_areas!$N$7</f>
        <v>66037.157993266141</v>
      </c>
      <c r="AE563" s="187">
        <f>model_eui_end_uses!AE563*base_building_arch_areas!$N$7</f>
        <v>-14043.17447615082</v>
      </c>
      <c r="AF563" s="187">
        <f t="shared" si="101"/>
        <v>51993.983517115325</v>
      </c>
      <c r="AG563" s="187">
        <f>model_eui_end_uses!AH563*base_building_arch_areas!$N$7</f>
        <v>1069.8019594909115</v>
      </c>
      <c r="AH563" s="187">
        <f>model_eui_end_uses!AI563*base_building_arch_areas!$N$7</f>
        <v>-1586.8787158050427</v>
      </c>
      <c r="AI563" s="187">
        <f t="shared" si="102"/>
        <v>-517.07675631413122</v>
      </c>
      <c r="AJ563" s="200">
        <f>sim_annual_output!F563/sim_annual_output!H563*base_building_arch_areas!$N$7</f>
        <v>10052.649685018558</v>
      </c>
      <c r="AK563">
        <f t="shared" si="103"/>
        <v>-19.441310332099775</v>
      </c>
    </row>
    <row r="564" spans="1:37">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f>model_eui_end_uses!G564*base_scenario_arch_measures!$F564</f>
        <v>0</v>
      </c>
      <c r="H564">
        <f>model_eui_end_uses!H564*base_scenario_arch_measures!$F564</f>
        <v>0.57991753519170497</v>
      </c>
      <c r="I564">
        <f>model_eui_end_uses!I564*base_scenario_arch_measures!$F564</f>
        <v>4.0963174946470372E-2</v>
      </c>
      <c r="J564">
        <f>model_eui_end_uses!J564*base_scenario_arch_measures!$F564</f>
        <v>6.2275424789105568E-2</v>
      </c>
      <c r="K564">
        <f>model_eui_end_uses!K564*base_scenario_arch_measures!$F564</f>
        <v>0</v>
      </c>
      <c r="L564">
        <f>model_eui_end_uses!L564*base_scenario_arch_measures!$F564</f>
        <v>0.21458373660901908</v>
      </c>
      <c r="M564">
        <f>model_eui_end_uses!M564*base_scenario_arch_measures!$F564</f>
        <v>7.4826308764711483E-2</v>
      </c>
      <c r="N564">
        <f>model_eui_end_uses!N564*base_scenario_arch_measures!$F564</f>
        <v>0</v>
      </c>
      <c r="O564">
        <f>model_eui_end_uses!O564*base_scenario_arch_measures!$F564</f>
        <v>0.12254392078790893</v>
      </c>
      <c r="P564">
        <f>model_eui_end_uses!P564*base_scenario_arch_measures!$F564</f>
        <v>8.731049722160648E-4</v>
      </c>
      <c r="Q564">
        <f>model_eui_end_uses!Q564*base_scenario_arch_measures!$F564</f>
        <v>0</v>
      </c>
      <c r="R564" s="187">
        <f>model_eui_end_uses!R564*base_building_arch_areas!$N$7</f>
        <v>0</v>
      </c>
      <c r="S564" s="187">
        <f>model_eui_end_uses!S564*base_building_arch_areas!$N$7</f>
        <v>389724.75241612649</v>
      </c>
      <c r="T564" s="187">
        <f>model_eui_end_uses!T564*base_building_arch_areas!$N$7</f>
        <v>3301.7175801741396</v>
      </c>
      <c r="U564" s="187">
        <f>model_eui_end_uses!U564*base_building_arch_areas!$N$7</f>
        <v>14412.214732668333</v>
      </c>
      <c r="V564" s="187">
        <f>model_eui_end_uses!V564*base_building_arch_areas!$N$7</f>
        <v>0</v>
      </c>
      <c r="W564" s="187">
        <f>model_eui_end_uses!W564*base_building_arch_areas!$N$7</f>
        <v>70944.130529547096</v>
      </c>
      <c r="X564" s="187">
        <f>model_eui_end_uses!X564*base_building_arch_areas!$N$7</f>
        <v>17316.828158490884</v>
      </c>
      <c r="Y564" s="187">
        <f>model_eui_end_uses!Y564*base_building_arch_areas!$N$7</f>
        <v>0</v>
      </c>
      <c r="Z564" s="187">
        <f>model_eui_end_uses!Z564*base_building_arch_areas!$N$7</f>
        <v>17740.593015784805</v>
      </c>
      <c r="AA564" s="187">
        <f>model_eui_end_uses!AA564*base_building_arch_areas!$N$7</f>
        <v>1331.6319522249291</v>
      </c>
      <c r="AB564" s="187">
        <f>model_eui_end_uses!AB564*base_building_arch_areas!$N$7</f>
        <v>0</v>
      </c>
      <c r="AC564" s="187">
        <f>model_eui_end_uses!AC564*base_building_arch_areas!$N$7</f>
        <v>514771.86838501674</v>
      </c>
      <c r="AD564" s="187">
        <f>model_eui_end_uses!AD564*base_building_arch_areas!$N$7</f>
        <v>255516.17699931582</v>
      </c>
      <c r="AE564" s="187">
        <f>model_eui_end_uses!AE564*base_building_arch_areas!$N$7</f>
        <v>5615.585956590241</v>
      </c>
      <c r="AF564" s="187">
        <f t="shared" si="101"/>
        <v>261131.76295590607</v>
      </c>
      <c r="AG564" s="187">
        <f>model_eui_end_uses!AH564*base_building_arch_areas!$N$7</f>
        <v>4139.3620673889154</v>
      </c>
      <c r="AH564" s="187">
        <f>model_eui_end_uses!AI564*base_building_arch_areas!$N$7</f>
        <v>634.56121309469722</v>
      </c>
      <c r="AI564" s="187">
        <f t="shared" si="102"/>
        <v>4773.9232804836129</v>
      </c>
      <c r="AJ564" s="200">
        <f>sim_annual_output!F564/sim_annual_output!H564*base_building_arch_areas!$N$7</f>
        <v>141683.36959658144</v>
      </c>
      <c r="AK564">
        <f t="shared" si="103"/>
        <v>29.6786021207757</v>
      </c>
    </row>
    <row r="565" spans="1:37">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f>model_eui_end_uses!G565*base_scenario_arch_measures!$F565</f>
        <v>0</v>
      </c>
      <c r="H565">
        <f>model_eui_end_uses!H565*base_scenario_arch_measures!$F565</f>
        <v>1.6960912937353381</v>
      </c>
      <c r="I565">
        <f>model_eui_end_uses!I565*base_scenario_arch_measures!$F565</f>
        <v>2.9485482499213352E-2</v>
      </c>
      <c r="J565">
        <f>model_eui_end_uses!J565*base_scenario_arch_measures!$F565</f>
        <v>6.2275424789105568E-2</v>
      </c>
      <c r="K565">
        <f>model_eui_end_uses!K565*base_scenario_arch_measures!$F565</f>
        <v>0</v>
      </c>
      <c r="L565">
        <f>model_eui_end_uses!L565*base_scenario_arch_measures!$F565</f>
        <v>0.30655079368244459</v>
      </c>
      <c r="M565">
        <f>model_eui_end_uses!M565*base_scenario_arch_measures!$F565</f>
        <v>7.4826308764711483E-2</v>
      </c>
      <c r="N565">
        <f>model_eui_end_uses!N565*base_scenario_arch_measures!$F565</f>
        <v>0</v>
      </c>
      <c r="O565">
        <f>model_eui_end_uses!O565*base_scenario_arch_measures!$F565</f>
        <v>0.10669464025059787</v>
      </c>
      <c r="P565">
        <f>model_eui_end_uses!P565*base_scenario_arch_measures!$F565</f>
        <v>3.8016445665241152E-3</v>
      </c>
      <c r="Q565">
        <f>model_eui_end_uses!Q565*base_scenario_arch_measures!$F565</f>
        <v>0</v>
      </c>
      <c r="R565" s="187">
        <f>model_eui_end_uses!R565*base_building_arch_areas!$N$7</f>
        <v>0</v>
      </c>
      <c r="S565" s="187">
        <f>model_eui_end_uses!S565*base_building_arch_areas!$N$7</f>
        <v>389724.75241612649</v>
      </c>
      <c r="T565" s="187">
        <f>model_eui_end_uses!T565*base_building_arch_areas!$N$7</f>
        <v>3301.7175801741396</v>
      </c>
      <c r="U565" s="187">
        <f>model_eui_end_uses!U565*base_building_arch_areas!$N$7</f>
        <v>14412.214732668333</v>
      </c>
      <c r="V565" s="187">
        <f>model_eui_end_uses!V565*base_building_arch_areas!$N$7</f>
        <v>0</v>
      </c>
      <c r="W565" s="187">
        <f>model_eui_end_uses!W565*base_building_arch_areas!$N$7</f>
        <v>70944.130529547096</v>
      </c>
      <c r="X565" s="187">
        <f>model_eui_end_uses!X565*base_building_arch_areas!$N$7</f>
        <v>17316.828158490884</v>
      </c>
      <c r="Y565" s="187">
        <f>model_eui_end_uses!Y565*base_building_arch_areas!$N$7</f>
        <v>0</v>
      </c>
      <c r="Z565" s="187">
        <f>model_eui_end_uses!Z565*base_building_arch_areas!$N$7</f>
        <v>17740.593015784805</v>
      </c>
      <c r="AA565" s="187">
        <f>model_eui_end_uses!AA565*base_building_arch_areas!$N$7</f>
        <v>1331.6319522249291</v>
      </c>
      <c r="AB565" s="187">
        <f>model_eui_end_uses!AB565*base_building_arch_areas!$N$7</f>
        <v>0</v>
      </c>
      <c r="AC565" s="187">
        <f>model_eui_end_uses!AC565*base_building_arch_areas!$N$7</f>
        <v>514771.86838501674</v>
      </c>
      <c r="AD565" s="187">
        <f>model_eui_end_uses!AD565*base_building_arch_areas!$N$7</f>
        <v>-2796.5674191615658</v>
      </c>
      <c r="AE565" s="187">
        <f>model_eui_end_uses!AE565*base_building_arch_areas!$N$7</f>
        <v>-10021.617916533693</v>
      </c>
      <c r="AF565" s="187">
        <f t="shared" si="101"/>
        <v>-12818.185335695258</v>
      </c>
      <c r="AG565" s="187">
        <f>model_eui_end_uses!AH565*base_building_arch_areas!$N$7</f>
        <v>-45.30439219041736</v>
      </c>
      <c r="AH565" s="187">
        <f>model_eui_end_uses!AI565*base_building_arch_areas!$N$7</f>
        <v>-1132.4428245683075</v>
      </c>
      <c r="AI565" s="187">
        <f t="shared" si="102"/>
        <v>-1177.7472167587248</v>
      </c>
      <c r="AJ565" s="200">
        <f>sim_annual_output!F565/sim_annual_output!H565*base_building_arch_areas!$N$7</f>
        <v>5812.4636146873863</v>
      </c>
      <c r="AK565">
        <f t="shared" si="103"/>
        <v>-4.935238675990127</v>
      </c>
    </row>
    <row r="566" spans="1:37">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f>model_eui_end_uses!G566*base_scenario_arch_measures!$F566</f>
        <v>0</v>
      </c>
      <c r="H566">
        <f>model_eui_end_uses!H566*base_scenario_arch_measures!$F566</f>
        <v>1.6984438265771424</v>
      </c>
      <c r="I566">
        <f>model_eui_end_uses!I566*base_scenario_arch_measures!$F566</f>
        <v>3.0843645789327235E-2</v>
      </c>
      <c r="J566">
        <f>model_eui_end_uses!J566*base_scenario_arch_measures!$F566</f>
        <v>6.2275424789105568E-2</v>
      </c>
      <c r="K566">
        <f>model_eui_end_uses!K566*base_scenario_arch_measures!$F566</f>
        <v>0</v>
      </c>
      <c r="L566">
        <f>model_eui_end_uses!L566*base_scenario_arch_measures!$F566</f>
        <v>0.30655079368244459</v>
      </c>
      <c r="M566">
        <f>model_eui_end_uses!M566*base_scenario_arch_measures!$F566</f>
        <v>7.4826308764711483E-2</v>
      </c>
      <c r="N566">
        <f>model_eui_end_uses!N566*base_scenario_arch_measures!$F566</f>
        <v>0</v>
      </c>
      <c r="O566">
        <f>model_eui_end_uses!O566*base_scenario_arch_measures!$F566</f>
        <v>0.10914418475598181</v>
      </c>
      <c r="P566">
        <f>model_eui_end_uses!P566*base_scenario_arch_measures!$F566</f>
        <v>3.6985696739708302E-3</v>
      </c>
      <c r="Q566">
        <f>model_eui_end_uses!Q566*base_scenario_arch_measures!$F566</f>
        <v>0</v>
      </c>
      <c r="R566" s="187">
        <f>model_eui_end_uses!R566*base_building_arch_areas!$N$7</f>
        <v>0</v>
      </c>
      <c r="S566" s="187">
        <f>model_eui_end_uses!S566*base_building_arch_areas!$N$7</f>
        <v>389724.75241612649</v>
      </c>
      <c r="T566" s="187">
        <f>model_eui_end_uses!T566*base_building_arch_areas!$N$7</f>
        <v>3301.7175801741396</v>
      </c>
      <c r="U566" s="187">
        <f>model_eui_end_uses!U566*base_building_arch_areas!$N$7</f>
        <v>14412.214732668333</v>
      </c>
      <c r="V566" s="187">
        <f>model_eui_end_uses!V566*base_building_arch_areas!$N$7</f>
        <v>0</v>
      </c>
      <c r="W566" s="187">
        <f>model_eui_end_uses!W566*base_building_arch_areas!$N$7</f>
        <v>70944.130529547096</v>
      </c>
      <c r="X566" s="187">
        <f>model_eui_end_uses!X566*base_building_arch_areas!$N$7</f>
        <v>17316.828158490884</v>
      </c>
      <c r="Y566" s="187">
        <f>model_eui_end_uses!Y566*base_building_arch_areas!$N$7</f>
        <v>0</v>
      </c>
      <c r="Z566" s="187">
        <f>model_eui_end_uses!Z566*base_building_arch_areas!$N$7</f>
        <v>17740.593015784805</v>
      </c>
      <c r="AA566" s="187">
        <f>model_eui_end_uses!AA566*base_building_arch_areas!$N$7</f>
        <v>1331.6319522249291</v>
      </c>
      <c r="AB566" s="187">
        <f>model_eui_end_uses!AB566*base_building_arch_areas!$N$7</f>
        <v>0</v>
      </c>
      <c r="AC566" s="187">
        <f>model_eui_end_uses!AC566*base_building_arch_areas!$N$7</f>
        <v>514771.86838501674</v>
      </c>
      <c r="AD566" s="187">
        <f>model_eui_end_uses!AD566*base_building_arch_areas!$N$7</f>
        <v>-3341.0070371418506</v>
      </c>
      <c r="AE566" s="187">
        <f>model_eui_end_uses!AE566*base_building_arch_areas!$N$7</f>
        <v>-10878.969995363426</v>
      </c>
      <c r="AF566" s="187">
        <f t="shared" si="101"/>
        <v>-14219.977032505278</v>
      </c>
      <c r="AG566" s="187">
        <f>model_eui_end_uses!AH566*base_building_arch_areas!$N$7</f>
        <v>-54.124314001697975</v>
      </c>
      <c r="AH566" s="187">
        <f>model_eui_end_uses!AI566*base_building_arch_areas!$N$7</f>
        <v>-1229.3236094760673</v>
      </c>
      <c r="AI566" s="187">
        <f t="shared" si="102"/>
        <v>-1283.4479234777652</v>
      </c>
      <c r="AJ566" s="200">
        <f>sim_annual_output!F566/sim_annual_output!H566*base_building_arch_areas!$N$7</f>
        <v>4152.2566795889825</v>
      </c>
      <c r="AK566">
        <f t="shared" si="103"/>
        <v>-3.2352358078834955</v>
      </c>
    </row>
    <row r="567" spans="1:37">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f>model_eui_end_uses!G567*base_scenario_arch_measures!$F567</f>
        <v>0</v>
      </c>
      <c r="H567">
        <f>model_eui_end_uses!H567*base_scenario_arch_measures!$F567</f>
        <v>1.6984438265771424</v>
      </c>
      <c r="I567">
        <f>model_eui_end_uses!I567*base_scenario_arch_measures!$F567</f>
        <v>3.0843645789327235E-2</v>
      </c>
      <c r="J567">
        <f>model_eui_end_uses!J567*base_scenario_arch_measures!$F567</f>
        <v>6.2275424789105568E-2</v>
      </c>
      <c r="K567">
        <f>model_eui_end_uses!K567*base_scenario_arch_measures!$F567</f>
        <v>0</v>
      </c>
      <c r="L567">
        <f>model_eui_end_uses!L567*base_scenario_arch_measures!$F567</f>
        <v>0.30655079368244459</v>
      </c>
      <c r="M567">
        <f>model_eui_end_uses!M567*base_scenario_arch_measures!$F567</f>
        <v>7.4826308764711483E-2</v>
      </c>
      <c r="N567">
        <f>model_eui_end_uses!N567*base_scenario_arch_measures!$F567</f>
        <v>0</v>
      </c>
      <c r="O567">
        <f>model_eui_end_uses!O567*base_scenario_arch_measures!$F567</f>
        <v>0.10914418475598181</v>
      </c>
      <c r="P567">
        <f>model_eui_end_uses!P567*base_scenario_arch_measures!$F567</f>
        <v>2.8921602204657147E-3</v>
      </c>
      <c r="Q567">
        <f>model_eui_end_uses!Q567*base_scenario_arch_measures!$F567</f>
        <v>0</v>
      </c>
      <c r="R567" s="187">
        <f>model_eui_end_uses!R567*base_building_arch_areas!$N$7</f>
        <v>0</v>
      </c>
      <c r="S567" s="187">
        <f>model_eui_end_uses!S567*base_building_arch_areas!$N$7</f>
        <v>389724.75241612649</v>
      </c>
      <c r="T567" s="187">
        <f>model_eui_end_uses!T567*base_building_arch_areas!$N$7</f>
        <v>3301.7175801741396</v>
      </c>
      <c r="U567" s="187">
        <f>model_eui_end_uses!U567*base_building_arch_areas!$N$7</f>
        <v>14412.214732668333</v>
      </c>
      <c r="V567" s="187">
        <f>model_eui_end_uses!V567*base_building_arch_areas!$N$7</f>
        <v>0</v>
      </c>
      <c r="W567" s="187">
        <f>model_eui_end_uses!W567*base_building_arch_areas!$N$7</f>
        <v>70944.130529547096</v>
      </c>
      <c r="X567" s="187">
        <f>model_eui_end_uses!X567*base_building_arch_areas!$N$7</f>
        <v>17316.828158490884</v>
      </c>
      <c r="Y567" s="187">
        <f>model_eui_end_uses!Y567*base_building_arch_areas!$N$7</f>
        <v>0</v>
      </c>
      <c r="Z567" s="187">
        <f>model_eui_end_uses!Z567*base_building_arch_areas!$N$7</f>
        <v>17740.593015784805</v>
      </c>
      <c r="AA567" s="187">
        <f>model_eui_end_uses!AA567*base_building_arch_areas!$N$7</f>
        <v>1331.6319522249291</v>
      </c>
      <c r="AB567" s="187">
        <f>model_eui_end_uses!AB567*base_building_arch_areas!$N$7</f>
        <v>0</v>
      </c>
      <c r="AC567" s="187">
        <f>model_eui_end_uses!AC567*base_building_arch_areas!$N$7</f>
        <v>514771.86838501674</v>
      </c>
      <c r="AD567" s="187">
        <f>model_eui_end_uses!AD567*base_building_arch_areas!$N$7</f>
        <v>-3341.0070371418506</v>
      </c>
      <c r="AE567" s="187">
        <f>model_eui_end_uses!AE567*base_building_arch_areas!$N$7</f>
        <v>-10692.345074767101</v>
      </c>
      <c r="AF567" s="187">
        <f t="shared" si="101"/>
        <v>-14033.352111908953</v>
      </c>
      <c r="AG567" s="187">
        <f>model_eui_end_uses!AH567*base_building_arch_areas!$N$7</f>
        <v>-54.124314001697975</v>
      </c>
      <c r="AH567" s="187">
        <f>model_eui_end_uses!AI567*base_building_arch_areas!$N$7</f>
        <v>-1208.2349934486824</v>
      </c>
      <c r="AI567" s="187">
        <f t="shared" si="102"/>
        <v>-1262.3593074503804</v>
      </c>
      <c r="AJ567" s="200">
        <f>sim_annual_output!F567/sim_annual_output!H567*base_building_arch_areas!$N$7</f>
        <v>10008.682416656571</v>
      </c>
      <c r="AK567">
        <f t="shared" si="103"/>
        <v>-7.9285527960112763</v>
      </c>
    </row>
    <row r="568" spans="1:37">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f>model_eui_end_uses!G568*base_scenario_arch_measures!$F568</f>
        <v>0</v>
      </c>
      <c r="H568">
        <f>model_eui_end_uses!H568*base_scenario_arch_measures!$F568</f>
        <v>2.6618620831357958</v>
      </c>
      <c r="I568">
        <f>model_eui_end_uses!I568*base_scenario_arch_measures!$F568</f>
        <v>0</v>
      </c>
      <c r="J568">
        <f>model_eui_end_uses!J568*base_scenario_arch_measures!$F568</f>
        <v>1.6891468392989967E-2</v>
      </c>
      <c r="K568">
        <f>model_eui_end_uses!K568*base_scenario_arch_measures!$F568</f>
        <v>0</v>
      </c>
      <c r="L568">
        <f>model_eui_end_uses!L568*base_scenario_arch_measures!$F568</f>
        <v>0.23337617952693163</v>
      </c>
      <c r="M568">
        <f>model_eui_end_uses!M568*base_scenario_arch_measures!$F568</f>
        <v>5.0329474292866799E-2</v>
      </c>
      <c r="N568">
        <f>model_eui_end_uses!N568*base_scenario_arch_measures!$F568</f>
        <v>0</v>
      </c>
      <c r="O568">
        <f>model_eui_end_uses!O568*base_scenario_arch_measures!$F568</f>
        <v>0.18868733972445667</v>
      </c>
      <c r="P568">
        <f>model_eui_end_uses!P568*base_scenario_arch_measures!$F568</f>
        <v>0.17157268075810589</v>
      </c>
      <c r="Q568">
        <f>model_eui_end_uses!Q568*base_scenario_arch_measures!$F568</f>
        <v>0</v>
      </c>
      <c r="R568" s="187">
        <f>model_eui_end_uses!R568*base_building_arch_areas!$N$24</f>
        <v>0</v>
      </c>
      <c r="S568" s="187">
        <f>model_eui_end_uses!S568*base_building_arch_areas!$N$24</f>
        <v>215575.28614875863</v>
      </c>
      <c r="T568" s="187">
        <f>model_eui_end_uses!T568*base_building_arch_areas!$N$24</f>
        <v>0</v>
      </c>
      <c r="U568" s="187">
        <f>model_eui_end_uses!U568*base_building_arch_areas!$N$24</f>
        <v>1331.2496112250089</v>
      </c>
      <c r="V568" s="187">
        <f>model_eui_end_uses!V568*base_building_arch_areas!$N$24</f>
        <v>0</v>
      </c>
      <c r="W568" s="187">
        <f>model_eui_end_uses!W568*base_building_arch_areas!$N$24</f>
        <v>18392.8324664385</v>
      </c>
      <c r="X568" s="187">
        <f>model_eui_end_uses!X568*base_building_arch_areas!$N$24</f>
        <v>3966.5641569292911</v>
      </c>
      <c r="Y568" s="187">
        <f>model_eui_end_uses!Y568*base_building_arch_areas!$N$24</f>
        <v>0</v>
      </c>
      <c r="Z568" s="187">
        <f>model_eui_end_uses!Z568*base_building_arch_areas!$N$24</f>
        <v>12714.433223843898</v>
      </c>
      <c r="AA568" s="187">
        <f>model_eui_end_uses!AA568*base_building_arch_areas!$N$24</f>
        <v>13454.815890507176</v>
      </c>
      <c r="AB568" s="187">
        <f>model_eui_end_uses!AB568*base_building_arch_areas!$N$24</f>
        <v>0</v>
      </c>
      <c r="AC568" s="187">
        <f>model_eui_end_uses!AC568*base_building_arch_areas!$N$24</f>
        <v>265435.18149770249</v>
      </c>
      <c r="AD568" s="187">
        <f>model_eui_end_uses!AD568*base_building_arch_areas!$N$24</f>
        <v>5788.73707270862</v>
      </c>
      <c r="AE568" s="187">
        <f>model_eui_end_uses!AE568*base_building_arch_areas!$N$24</f>
        <v>-2223.5466432848839</v>
      </c>
      <c r="AF568" s="187">
        <f t="shared" si="95"/>
        <v>3565.1904294237361</v>
      </c>
      <c r="AG568" s="187">
        <f>model_eui_end_uses!AH568*base_building_arch_areas!$N$24</f>
        <v>93.777540577879634</v>
      </c>
      <c r="AH568" s="187">
        <f>model_eui_end_uses!AI568*base_building_arch_areas!$N$24</f>
        <v>-251.26077069119191</v>
      </c>
      <c r="AI568" s="187">
        <f t="shared" si="96"/>
        <v>-157.48323011331229</v>
      </c>
      <c r="AJ568" s="200">
        <f>sim_annual_output!F568/sim_annual_output!H568*base_building_arch_areas!$N$24</f>
        <v>8505.8774346441533</v>
      </c>
      <c r="AK568">
        <f t="shared" si="97"/>
        <v>-54.011321894553511</v>
      </c>
    </row>
    <row r="569" spans="1:37">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f>model_eui_end_uses!G569*base_scenario_arch_measures!$F569</f>
        <v>0</v>
      </c>
      <c r="H569">
        <f>model_eui_end_uses!H569*base_scenario_arch_measures!$F569</f>
        <v>2.7353120721410478</v>
      </c>
      <c r="I569">
        <f>model_eui_end_uses!I569*base_scenario_arch_measures!$F569</f>
        <v>0</v>
      </c>
      <c r="J569">
        <f>model_eui_end_uses!J569*base_scenario_arch_measures!$F569</f>
        <v>1.6891468394499041E-2</v>
      </c>
      <c r="K569">
        <f>model_eui_end_uses!K569*base_scenario_arch_measures!$F569</f>
        <v>0</v>
      </c>
      <c r="L569">
        <f>model_eui_end_uses!L569*base_scenario_arch_measures!$F569</f>
        <v>0.23337617954778131</v>
      </c>
      <c r="M569">
        <f>model_eui_end_uses!M569*base_scenario_arch_measures!$F569</f>
        <v>5.0329474297363209E-2</v>
      </c>
      <c r="N569">
        <f>model_eui_end_uses!N569*base_scenario_arch_measures!$F569</f>
        <v>0</v>
      </c>
      <c r="O569">
        <f>model_eui_end_uses!O569*base_scenario_arch_measures!$F569</f>
        <v>0.16132620445004428</v>
      </c>
      <c r="P569">
        <f>model_eui_end_uses!P569*base_scenario_arch_measures!$F569</f>
        <v>0.17072049858416208</v>
      </c>
      <c r="Q569">
        <f>model_eui_end_uses!Q569*base_scenario_arch_measures!$F569</f>
        <v>0</v>
      </c>
      <c r="R569" s="187">
        <f>model_eui_end_uses!R569*base_building_arch_areas!$N$24</f>
        <v>0</v>
      </c>
      <c r="S569" s="187">
        <f>model_eui_end_uses!S569*base_building_arch_areas!$N$24</f>
        <v>215575.28614875863</v>
      </c>
      <c r="T569" s="187">
        <f>model_eui_end_uses!T569*base_building_arch_areas!$N$24</f>
        <v>0</v>
      </c>
      <c r="U569" s="187">
        <f>model_eui_end_uses!U569*base_building_arch_areas!$N$24</f>
        <v>1331.2496112250089</v>
      </c>
      <c r="V569" s="187">
        <f>model_eui_end_uses!V569*base_building_arch_areas!$N$24</f>
        <v>0</v>
      </c>
      <c r="W569" s="187">
        <f>model_eui_end_uses!W569*base_building_arch_areas!$N$24</f>
        <v>18392.8324664385</v>
      </c>
      <c r="X569" s="187">
        <f>model_eui_end_uses!X569*base_building_arch_areas!$N$24</f>
        <v>3966.5641569292911</v>
      </c>
      <c r="Y569" s="187">
        <f>model_eui_end_uses!Y569*base_building_arch_areas!$N$24</f>
        <v>0</v>
      </c>
      <c r="Z569" s="187">
        <f>model_eui_end_uses!Z569*base_building_arch_areas!$N$24</f>
        <v>12714.433223843898</v>
      </c>
      <c r="AA569" s="187">
        <f>model_eui_end_uses!AA569*base_building_arch_areas!$N$24</f>
        <v>13454.815890507176</v>
      </c>
      <c r="AB569" s="187">
        <f>model_eui_end_uses!AB569*base_building_arch_areas!$N$24</f>
        <v>0</v>
      </c>
      <c r="AC569" s="187">
        <f>model_eui_end_uses!AC569*base_building_arch_areas!$N$24</f>
        <v>265435.18149770249</v>
      </c>
      <c r="AD569" s="187">
        <f>model_eui_end_uses!AD569*base_building_arch_areas!$N$24</f>
        <v>0</v>
      </c>
      <c r="AE569" s="187">
        <f>model_eui_end_uses!AE569*base_building_arch_areas!$N$24</f>
        <v>0</v>
      </c>
      <c r="AF569" s="187">
        <f t="shared" ref="AF569:AF589" si="104">SUM(AD569:AE569)</f>
        <v>0</v>
      </c>
      <c r="AG569" s="187">
        <f>model_eui_end_uses!AH569*base_building_arch_areas!$N$24</f>
        <v>0</v>
      </c>
      <c r="AH569" s="187">
        <f>model_eui_end_uses!AI569*base_building_arch_areas!$N$24</f>
        <v>0</v>
      </c>
      <c r="AI569" s="187">
        <f t="shared" ref="AI569:AI589" si="105">SUM(AG569:AH569)</f>
        <v>0</v>
      </c>
      <c r="AJ569" s="200">
        <f>sim_annual_output!F569/sim_annual_output!H569*base_building_arch_areas!$N$24</f>
        <v>0</v>
      </c>
      <c r="AK569">
        <f t="shared" ref="AK569:AK589" si="106">IF(AI569=0,0,AJ569/AI569)</f>
        <v>0</v>
      </c>
    </row>
    <row r="570" spans="1:37">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f>model_eui_end_uses!G570*base_scenario_arch_measures!$F570</f>
        <v>0</v>
      </c>
      <c r="H570">
        <f>model_eui_end_uses!H570*base_scenario_arch_measures!$F570</f>
        <v>2.6588895904996721</v>
      </c>
      <c r="I570">
        <f>model_eui_end_uses!I570*base_scenario_arch_measures!$F570</f>
        <v>0</v>
      </c>
      <c r="J570">
        <f>model_eui_end_uses!J570*base_scenario_arch_measures!$F570</f>
        <v>1.6891468392989967E-2</v>
      </c>
      <c r="K570">
        <f>model_eui_end_uses!K570*base_scenario_arch_measures!$F570</f>
        <v>0</v>
      </c>
      <c r="L570">
        <f>model_eui_end_uses!L570*base_scenario_arch_measures!$F570</f>
        <v>0.23337617952693163</v>
      </c>
      <c r="M570">
        <f>model_eui_end_uses!M570*base_scenario_arch_measures!$F570</f>
        <v>5.0329474292866799E-2</v>
      </c>
      <c r="N570">
        <f>model_eui_end_uses!N570*base_scenario_arch_measures!$F570</f>
        <v>0</v>
      </c>
      <c r="O570">
        <f>model_eui_end_uses!O570*base_scenario_arch_measures!$F570</f>
        <v>0.16117402904470363</v>
      </c>
      <c r="P570">
        <f>model_eui_end_uses!P570*base_scenario_arch_measures!$F570</f>
        <v>0.17146108547142547</v>
      </c>
      <c r="Q570">
        <f>model_eui_end_uses!Q570*base_scenario_arch_measures!$F570</f>
        <v>0</v>
      </c>
      <c r="R570" s="187">
        <f>model_eui_end_uses!R570*base_building_arch_areas!$N$24</f>
        <v>0</v>
      </c>
      <c r="S570" s="187">
        <f>model_eui_end_uses!S570*base_building_arch_areas!$N$24</f>
        <v>215575.28614875863</v>
      </c>
      <c r="T570" s="187">
        <f>model_eui_end_uses!T570*base_building_arch_areas!$N$24</f>
        <v>0</v>
      </c>
      <c r="U570" s="187">
        <f>model_eui_end_uses!U570*base_building_arch_areas!$N$24</f>
        <v>1331.2496112250089</v>
      </c>
      <c r="V570" s="187">
        <f>model_eui_end_uses!V570*base_building_arch_areas!$N$24</f>
        <v>0</v>
      </c>
      <c r="W570" s="187">
        <f>model_eui_end_uses!W570*base_building_arch_areas!$N$24</f>
        <v>18392.8324664385</v>
      </c>
      <c r="X570" s="187">
        <f>model_eui_end_uses!X570*base_building_arch_areas!$N$24</f>
        <v>3966.5641569292911</v>
      </c>
      <c r="Y570" s="187">
        <f>model_eui_end_uses!Y570*base_building_arch_areas!$N$24</f>
        <v>0</v>
      </c>
      <c r="Z570" s="187">
        <f>model_eui_end_uses!Z570*base_building_arch_areas!$N$24</f>
        <v>12714.433223843898</v>
      </c>
      <c r="AA570" s="187">
        <f>model_eui_end_uses!AA570*base_building_arch_areas!$N$24</f>
        <v>13454.815890507176</v>
      </c>
      <c r="AB570" s="187">
        <f>model_eui_end_uses!AB570*base_building_arch_areas!$N$24</f>
        <v>0</v>
      </c>
      <c r="AC570" s="187">
        <f>model_eui_end_uses!AC570*base_building_arch_areas!$N$24</f>
        <v>265435.18149770249</v>
      </c>
      <c r="AD570" s="187">
        <f>model_eui_end_uses!AD570*base_building_arch_areas!$N$24</f>
        <v>6023.0050222906539</v>
      </c>
      <c r="AE570" s="187">
        <f>model_eui_end_uses!AE570*base_building_arch_areas!$N$24</f>
        <v>-46.37385587236129</v>
      </c>
      <c r="AF570" s="187">
        <f t="shared" si="104"/>
        <v>5976.6311664182922</v>
      </c>
      <c r="AG570" s="187">
        <f>model_eui_end_uses!AH570*base_building_arch_areas!$N$24</f>
        <v>97.572681361108593</v>
      </c>
      <c r="AH570" s="187">
        <f>model_eui_end_uses!AI570*base_building_arch_areas!$N$24</f>
        <v>-5.2402457135768259</v>
      </c>
      <c r="AI570" s="187">
        <f t="shared" si="105"/>
        <v>92.332435647531767</v>
      </c>
      <c r="AJ570" s="200">
        <f>sim_annual_output!F570/sim_annual_output!H570*base_building_arch_areas!$N$24</f>
        <v>61446.856846626673</v>
      </c>
      <c r="AK570">
        <f t="shared" si="106"/>
        <v>665.49589443511309</v>
      </c>
    </row>
    <row r="571" spans="1:37">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f>model_eui_end_uses!G571*base_scenario_arch_measures!$F571</f>
        <v>0</v>
      </c>
      <c r="H571">
        <f>model_eui_end_uses!H571*base_scenario_arch_measures!$F571</f>
        <v>1.6435246570988309</v>
      </c>
      <c r="I571">
        <f>model_eui_end_uses!I571*base_scenario_arch_measures!$F571</f>
        <v>0</v>
      </c>
      <c r="J571">
        <f>model_eui_end_uses!J571*base_scenario_arch_measures!$F571</f>
        <v>1.6891468392989967E-2</v>
      </c>
      <c r="K571">
        <f>model_eui_end_uses!K571*base_scenario_arch_measures!$F571</f>
        <v>0</v>
      </c>
      <c r="L571">
        <f>model_eui_end_uses!L571*base_scenario_arch_measures!$F571</f>
        <v>0.23337617952693163</v>
      </c>
      <c r="M571">
        <f>model_eui_end_uses!M571*base_scenario_arch_measures!$F571</f>
        <v>5.0329474292866799E-2</v>
      </c>
      <c r="N571">
        <f>model_eui_end_uses!N571*base_scenario_arch_measures!$F571</f>
        <v>0</v>
      </c>
      <c r="O571">
        <f>model_eui_end_uses!O571*base_scenario_arch_measures!$F571</f>
        <v>0.16117402904470363</v>
      </c>
      <c r="P571">
        <f>model_eui_end_uses!P571*base_scenario_arch_measures!$F571</f>
        <v>0.17146108547142547</v>
      </c>
      <c r="Q571">
        <f>model_eui_end_uses!Q571*base_scenario_arch_measures!$F571</f>
        <v>0</v>
      </c>
      <c r="R571" s="187">
        <f>model_eui_end_uses!R571*base_building_arch_areas!$N$24</f>
        <v>0</v>
      </c>
      <c r="S571" s="187">
        <f>model_eui_end_uses!S571*base_building_arch_areas!$N$24</f>
        <v>215575.28614875863</v>
      </c>
      <c r="T571" s="187">
        <f>model_eui_end_uses!T571*base_building_arch_areas!$N$24</f>
        <v>0</v>
      </c>
      <c r="U571" s="187">
        <f>model_eui_end_uses!U571*base_building_arch_areas!$N$24</f>
        <v>1331.2496112250089</v>
      </c>
      <c r="V571" s="187">
        <f>model_eui_end_uses!V571*base_building_arch_areas!$N$24</f>
        <v>0</v>
      </c>
      <c r="W571" s="187">
        <f>model_eui_end_uses!W571*base_building_arch_areas!$N$24</f>
        <v>18392.8324664385</v>
      </c>
      <c r="X571" s="187">
        <f>model_eui_end_uses!X571*base_building_arch_areas!$N$24</f>
        <v>3966.5641569292911</v>
      </c>
      <c r="Y571" s="187">
        <f>model_eui_end_uses!Y571*base_building_arch_areas!$N$24</f>
        <v>0</v>
      </c>
      <c r="Z571" s="187">
        <f>model_eui_end_uses!Z571*base_building_arch_areas!$N$24</f>
        <v>12714.433223843898</v>
      </c>
      <c r="AA571" s="187">
        <f>model_eui_end_uses!AA571*base_building_arch_areas!$N$24</f>
        <v>13454.815890507176</v>
      </c>
      <c r="AB571" s="187">
        <f>model_eui_end_uses!AB571*base_building_arch_areas!$N$24</f>
        <v>0</v>
      </c>
      <c r="AC571" s="187">
        <f>model_eui_end_uses!AC571*base_building_arch_areas!$N$24</f>
        <v>265435.18149770249</v>
      </c>
      <c r="AD571" s="187">
        <f>model_eui_end_uses!AD571*base_building_arch_areas!$N$24</f>
        <v>86045.898312111429</v>
      </c>
      <c r="AE571" s="187">
        <f>model_eui_end_uses!AE571*base_building_arch_areas!$N$24</f>
        <v>-46.37385587236129</v>
      </c>
      <c r="AF571" s="187">
        <f t="shared" si="104"/>
        <v>85999.524456239073</v>
      </c>
      <c r="AG571" s="187">
        <f>model_eui_end_uses!AH571*base_building_arch_areas!$N$24</f>
        <v>1393.9435526562052</v>
      </c>
      <c r="AH571" s="187">
        <f>model_eui_end_uses!AI571*base_building_arch_areas!$N$24</f>
        <v>-5.2402457135768259</v>
      </c>
      <c r="AI571" s="187">
        <f t="shared" si="105"/>
        <v>1388.7033069426284</v>
      </c>
      <c r="AJ571" s="200">
        <f>sim_annual_output!F571/sim_annual_output!H571*base_building_arch_areas!$N$24</f>
        <v>873.87624972228389</v>
      </c>
      <c r="AK571">
        <f t="shared" si="106"/>
        <v>0.62927498289480666</v>
      </c>
    </row>
    <row r="572" spans="1:37">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f>model_eui_end_uses!G572*base_scenario_arch_measures!$F572</f>
        <v>0</v>
      </c>
      <c r="H572">
        <f>model_eui_end_uses!H572*base_scenario_arch_measures!$F572</f>
        <v>2.3044223798984294</v>
      </c>
      <c r="I572">
        <f>model_eui_end_uses!I572*base_scenario_arch_measures!$F572</f>
        <v>0</v>
      </c>
      <c r="J572">
        <f>model_eui_end_uses!J572*base_scenario_arch_measures!$F572</f>
        <v>1.6891468392989967E-2</v>
      </c>
      <c r="K572">
        <f>model_eui_end_uses!K572*base_scenario_arch_measures!$F572</f>
        <v>0</v>
      </c>
      <c r="L572">
        <f>model_eui_end_uses!L572*base_scenario_arch_measures!$F572</f>
        <v>0.23337617952693163</v>
      </c>
      <c r="M572">
        <f>model_eui_end_uses!M572*base_scenario_arch_measures!$F572</f>
        <v>5.0329474292866799E-2</v>
      </c>
      <c r="N572">
        <f>model_eui_end_uses!N572*base_scenario_arch_measures!$F572</f>
        <v>0</v>
      </c>
      <c r="O572">
        <f>model_eui_end_uses!O572*base_scenario_arch_measures!$F572</f>
        <v>0.16079866308041499</v>
      </c>
      <c r="P572">
        <f>model_eui_end_uses!P572*base_scenario_arch_measures!$F572</f>
        <v>0.17146108547142547</v>
      </c>
      <c r="Q572">
        <f>model_eui_end_uses!Q572*base_scenario_arch_measures!$F572</f>
        <v>0</v>
      </c>
      <c r="R572" s="187">
        <f>model_eui_end_uses!R572*base_building_arch_areas!$N$24</f>
        <v>0</v>
      </c>
      <c r="S572" s="187">
        <f>model_eui_end_uses!S572*base_building_arch_areas!$N$24</f>
        <v>215575.28614875863</v>
      </c>
      <c r="T572" s="187">
        <f>model_eui_end_uses!T572*base_building_arch_areas!$N$24</f>
        <v>0</v>
      </c>
      <c r="U572" s="187">
        <f>model_eui_end_uses!U572*base_building_arch_areas!$N$24</f>
        <v>1331.2496112250089</v>
      </c>
      <c r="V572" s="187">
        <f>model_eui_end_uses!V572*base_building_arch_areas!$N$24</f>
        <v>0</v>
      </c>
      <c r="W572" s="187">
        <f>model_eui_end_uses!W572*base_building_arch_areas!$N$24</f>
        <v>18392.8324664385</v>
      </c>
      <c r="X572" s="187">
        <f>model_eui_end_uses!X572*base_building_arch_areas!$N$24</f>
        <v>3966.5641569292911</v>
      </c>
      <c r="Y572" s="187">
        <f>model_eui_end_uses!Y572*base_building_arch_areas!$N$24</f>
        <v>0</v>
      </c>
      <c r="Z572" s="187">
        <f>model_eui_end_uses!Z572*base_building_arch_areas!$N$24</f>
        <v>12714.433223843898</v>
      </c>
      <c r="AA572" s="187">
        <f>model_eui_end_uses!AA572*base_building_arch_areas!$N$24</f>
        <v>13454.815890507176</v>
      </c>
      <c r="AB572" s="187">
        <f>model_eui_end_uses!AB572*base_building_arch_areas!$N$24</f>
        <v>0</v>
      </c>
      <c r="AC572" s="187">
        <f>model_eui_end_uses!AC572*base_building_arch_areas!$N$24</f>
        <v>265435.18149770249</v>
      </c>
      <c r="AD572" s="187">
        <f>model_eui_end_uses!AD572*base_building_arch_areas!$N$24</f>
        <v>33959.258122618747</v>
      </c>
      <c r="AE572" s="187">
        <f>model_eui_end_uses!AE572*base_building_arch_areas!$N$24</f>
        <v>-16.790531181116599</v>
      </c>
      <c r="AF572" s="187">
        <f t="shared" si="104"/>
        <v>33942.467591437628</v>
      </c>
      <c r="AG572" s="187">
        <f>model_eui_end_uses!AH572*base_building_arch_areas!$N$24</f>
        <v>550.13998158642369</v>
      </c>
      <c r="AH572" s="187">
        <f>model_eui_end_uses!AI572*base_building_arch_areas!$N$24</f>
        <v>-1.8973300234661756</v>
      </c>
      <c r="AI572" s="187">
        <f t="shared" si="105"/>
        <v>548.24265156295746</v>
      </c>
      <c r="AJ572" s="200">
        <f>sim_annual_output!F572/sim_annual_output!H572*base_building_arch_areas!$N$24</f>
        <v>7989.9581574464928</v>
      </c>
      <c r="AK572">
        <f t="shared" si="106"/>
        <v>14.573762429224217</v>
      </c>
    </row>
    <row r="573" spans="1:37">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f>model_eui_end_uses!G573*base_scenario_arch_measures!$F573</f>
        <v>0</v>
      </c>
      <c r="H573">
        <f>model_eui_end_uses!H573*base_scenario_arch_measures!$F573</f>
        <v>2.6588895904996721</v>
      </c>
      <c r="I573">
        <f>model_eui_end_uses!I573*base_scenario_arch_measures!$F573</f>
        <v>0</v>
      </c>
      <c r="J573">
        <f>model_eui_end_uses!J573*base_scenario_arch_measures!$F573</f>
        <v>1.6891468392989967E-2</v>
      </c>
      <c r="K573">
        <f>model_eui_end_uses!K573*base_scenario_arch_measures!$F573</f>
        <v>0</v>
      </c>
      <c r="L573">
        <f>model_eui_end_uses!L573*base_scenario_arch_measures!$F573</f>
        <v>0.23337617952693163</v>
      </c>
      <c r="M573">
        <f>model_eui_end_uses!M573*base_scenario_arch_measures!$F573</f>
        <v>5.0329474292866799E-2</v>
      </c>
      <c r="N573">
        <f>model_eui_end_uses!N573*base_scenario_arch_measures!$F573</f>
        <v>0</v>
      </c>
      <c r="O573">
        <f>model_eui_end_uses!O573*base_scenario_arch_measures!$F573</f>
        <v>0.16117402904470363</v>
      </c>
      <c r="P573">
        <f>model_eui_end_uses!P573*base_scenario_arch_measures!$F573</f>
        <v>0.17146108547142547</v>
      </c>
      <c r="Q573">
        <f>model_eui_end_uses!Q573*base_scenario_arch_measures!$F573</f>
        <v>0</v>
      </c>
      <c r="R573" s="187">
        <f>model_eui_end_uses!R573*base_building_arch_areas!$N$24</f>
        <v>0</v>
      </c>
      <c r="S573" s="187">
        <f>model_eui_end_uses!S573*base_building_arch_areas!$N$24</f>
        <v>215575.28614875863</v>
      </c>
      <c r="T573" s="187">
        <f>model_eui_end_uses!T573*base_building_arch_areas!$N$24</f>
        <v>0</v>
      </c>
      <c r="U573" s="187">
        <f>model_eui_end_uses!U573*base_building_arch_areas!$N$24</f>
        <v>1331.2496112250089</v>
      </c>
      <c r="V573" s="187">
        <f>model_eui_end_uses!V573*base_building_arch_areas!$N$24</f>
        <v>0</v>
      </c>
      <c r="W573" s="187">
        <f>model_eui_end_uses!W573*base_building_arch_areas!$N$24</f>
        <v>18392.8324664385</v>
      </c>
      <c r="X573" s="187">
        <f>model_eui_end_uses!X573*base_building_arch_areas!$N$24</f>
        <v>3966.5641569292911</v>
      </c>
      <c r="Y573" s="187">
        <f>model_eui_end_uses!Y573*base_building_arch_areas!$N$24</f>
        <v>0</v>
      </c>
      <c r="Z573" s="187">
        <f>model_eui_end_uses!Z573*base_building_arch_areas!$N$24</f>
        <v>12714.433223843898</v>
      </c>
      <c r="AA573" s="187">
        <f>model_eui_end_uses!AA573*base_building_arch_areas!$N$24</f>
        <v>13454.815890507176</v>
      </c>
      <c r="AB573" s="187">
        <f>model_eui_end_uses!AB573*base_building_arch_areas!$N$24</f>
        <v>0</v>
      </c>
      <c r="AC573" s="187">
        <f>model_eui_end_uses!AC573*base_building_arch_areas!$N$24</f>
        <v>265435.18149770249</v>
      </c>
      <c r="AD573" s="187">
        <f>model_eui_end_uses!AD573*base_building_arch_areas!$N$24</f>
        <v>6023.0050222906539</v>
      </c>
      <c r="AE573" s="187">
        <f>model_eui_end_uses!AE573*base_building_arch_areas!$N$24</f>
        <v>-46.37385587236129</v>
      </c>
      <c r="AF573" s="187">
        <f t="shared" si="104"/>
        <v>5976.6311664182922</v>
      </c>
      <c r="AG573" s="187">
        <f>model_eui_end_uses!AH573*base_building_arch_areas!$N$24</f>
        <v>97.572681361108593</v>
      </c>
      <c r="AH573" s="187">
        <f>model_eui_end_uses!AI573*base_building_arch_areas!$N$24</f>
        <v>-5.2402457135768259</v>
      </c>
      <c r="AI573" s="187">
        <f t="shared" si="105"/>
        <v>92.332435647531767</v>
      </c>
      <c r="AJ573" s="200">
        <f>sim_annual_output!F573/sim_annual_output!H573*base_building_arch_areas!$N$24</f>
        <v>8505.8774346441533</v>
      </c>
      <c r="AK573">
        <f t="shared" si="106"/>
        <v>92.122311893886803</v>
      </c>
    </row>
    <row r="574" spans="1:37">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f>model_eui_end_uses!G574*base_scenario_arch_measures!$F574</f>
        <v>0</v>
      </c>
      <c r="H574">
        <f>model_eui_end_uses!H574*base_scenario_arch_measures!$F574</f>
        <v>2.6632925318105176</v>
      </c>
      <c r="I574">
        <f>model_eui_end_uses!I574*base_scenario_arch_measures!$F574</f>
        <v>0</v>
      </c>
      <c r="J574">
        <f>model_eui_end_uses!J574*base_scenario_arch_measures!$F574</f>
        <v>1.6891468392989967E-2</v>
      </c>
      <c r="K574">
        <f>model_eui_end_uses!K574*base_scenario_arch_measures!$F574</f>
        <v>0</v>
      </c>
      <c r="L574">
        <f>model_eui_end_uses!L574*base_scenario_arch_measures!$F574</f>
        <v>0.23337617952693163</v>
      </c>
      <c r="M574">
        <f>model_eui_end_uses!M574*base_scenario_arch_measures!$F574</f>
        <v>5.0329474292866799E-2</v>
      </c>
      <c r="N574">
        <f>model_eui_end_uses!N574*base_scenario_arch_measures!$F574</f>
        <v>0</v>
      </c>
      <c r="O574">
        <f>model_eui_end_uses!O574*base_scenario_arch_measures!$F574</f>
        <v>0.16119431909682735</v>
      </c>
      <c r="P574">
        <f>model_eui_end_uses!P574*base_scenario_arch_measures!$F574</f>
        <v>0.16828569231406459</v>
      </c>
      <c r="Q574">
        <f>model_eui_end_uses!Q574*base_scenario_arch_measures!$F574</f>
        <v>0</v>
      </c>
      <c r="R574" s="187">
        <f>model_eui_end_uses!R574*base_building_arch_areas!$N$24</f>
        <v>0</v>
      </c>
      <c r="S574" s="187">
        <f>model_eui_end_uses!S574*base_building_arch_areas!$N$24</f>
        <v>215575.28614875863</v>
      </c>
      <c r="T574" s="187">
        <f>model_eui_end_uses!T574*base_building_arch_areas!$N$24</f>
        <v>0</v>
      </c>
      <c r="U574" s="187">
        <f>model_eui_end_uses!U574*base_building_arch_areas!$N$24</f>
        <v>1331.2496112250089</v>
      </c>
      <c r="V574" s="187">
        <f>model_eui_end_uses!V574*base_building_arch_areas!$N$24</f>
        <v>0</v>
      </c>
      <c r="W574" s="187">
        <f>model_eui_end_uses!W574*base_building_arch_areas!$N$24</f>
        <v>18392.8324664385</v>
      </c>
      <c r="X574" s="187">
        <f>model_eui_end_uses!X574*base_building_arch_areas!$N$24</f>
        <v>3966.5641569292911</v>
      </c>
      <c r="Y574" s="187">
        <f>model_eui_end_uses!Y574*base_building_arch_areas!$N$24</f>
        <v>0</v>
      </c>
      <c r="Z574" s="187">
        <f>model_eui_end_uses!Z574*base_building_arch_areas!$N$24</f>
        <v>12714.433223843898</v>
      </c>
      <c r="AA574" s="187">
        <f>model_eui_end_uses!AA574*base_building_arch_areas!$N$24</f>
        <v>13454.815890507176</v>
      </c>
      <c r="AB574" s="187">
        <f>model_eui_end_uses!AB574*base_building_arch_areas!$N$24</f>
        <v>0</v>
      </c>
      <c r="AC574" s="187">
        <f>model_eui_end_uses!AC574*base_building_arch_areas!$N$24</f>
        <v>265435.18149770249</v>
      </c>
      <c r="AD574" s="187">
        <f>model_eui_end_uses!AD574*base_building_arch_areas!$N$24</f>
        <v>5676.0006191554958</v>
      </c>
      <c r="AE574" s="187">
        <f>model_eui_end_uses!AE574*base_building_arch_areas!$N$24</f>
        <v>202.28598139730079</v>
      </c>
      <c r="AF574" s="187">
        <f t="shared" si="104"/>
        <v>5878.2866005527967</v>
      </c>
      <c r="AG574" s="187">
        <f>model_eui_end_uses!AH574*base_building_arch_areas!$N$24</f>
        <v>91.951210030319018</v>
      </c>
      <c r="AH574" s="187">
        <f>model_eui_end_uses!AI574*base_building_arch_areas!$N$24</f>
        <v>22.85831589789499</v>
      </c>
      <c r="AI574" s="187">
        <f t="shared" si="105"/>
        <v>114.80952592821401</v>
      </c>
      <c r="AJ574" s="200">
        <f>sim_annual_output!F574/sim_annual_output!H574*base_building_arch_areas!$N$24</f>
        <v>3308.3015626157148</v>
      </c>
      <c r="AK574">
        <f t="shared" si="106"/>
        <v>28.815566790897375</v>
      </c>
    </row>
    <row r="575" spans="1:37">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f>model_eui_end_uses!G575*base_scenario_arch_measures!$F575</f>
        <v>0</v>
      </c>
      <c r="H575">
        <f>model_eui_end_uses!H575*base_scenario_arch_measures!$F575</f>
        <v>2.4101436964890293</v>
      </c>
      <c r="I575">
        <f>model_eui_end_uses!I575*base_scenario_arch_measures!$F575</f>
        <v>0</v>
      </c>
      <c r="J575">
        <f>model_eui_end_uses!J575*base_scenario_arch_measures!$F575</f>
        <v>1.6891468392989967E-2</v>
      </c>
      <c r="K575">
        <f>model_eui_end_uses!K575*base_scenario_arch_measures!$F575</f>
        <v>0</v>
      </c>
      <c r="L575">
        <f>model_eui_end_uses!L575*base_scenario_arch_measures!$F575</f>
        <v>0.16336535467406452</v>
      </c>
      <c r="M575">
        <f>model_eui_end_uses!M575*base_scenario_arch_measures!$F575</f>
        <v>5.0329474292866799E-2</v>
      </c>
      <c r="N575">
        <f>model_eui_end_uses!N575*base_scenario_arch_measures!$F575</f>
        <v>0</v>
      </c>
      <c r="O575">
        <f>model_eui_end_uses!O575*base_scenario_arch_measures!$F575</f>
        <v>0.16036242695975519</v>
      </c>
      <c r="P575">
        <f>model_eui_end_uses!P575*base_scenario_arch_measures!$F575</f>
        <v>0.13448246547596096</v>
      </c>
      <c r="Q575">
        <f>model_eui_end_uses!Q575*base_scenario_arch_measures!$F575</f>
        <v>0</v>
      </c>
      <c r="R575" s="187">
        <f>model_eui_end_uses!R575*base_building_arch_areas!$N$24</f>
        <v>0</v>
      </c>
      <c r="S575" s="187">
        <f>model_eui_end_uses!S575*base_building_arch_areas!$N$24</f>
        <v>215575.28614875863</v>
      </c>
      <c r="T575" s="187">
        <f>model_eui_end_uses!T575*base_building_arch_areas!$N$24</f>
        <v>0</v>
      </c>
      <c r="U575" s="187">
        <f>model_eui_end_uses!U575*base_building_arch_areas!$N$24</f>
        <v>1331.2496112250089</v>
      </c>
      <c r="V575" s="187">
        <f>model_eui_end_uses!V575*base_building_arch_areas!$N$24</f>
        <v>0</v>
      </c>
      <c r="W575" s="187">
        <f>model_eui_end_uses!W575*base_building_arch_areas!$N$24</f>
        <v>18392.8324664385</v>
      </c>
      <c r="X575" s="187">
        <f>model_eui_end_uses!X575*base_building_arch_areas!$N$24</f>
        <v>3966.5641569292911</v>
      </c>
      <c r="Y575" s="187">
        <f>model_eui_end_uses!Y575*base_building_arch_areas!$N$24</f>
        <v>0</v>
      </c>
      <c r="Z575" s="187">
        <f>model_eui_end_uses!Z575*base_building_arch_areas!$N$24</f>
        <v>12714.433223843898</v>
      </c>
      <c r="AA575" s="187">
        <f>model_eui_end_uses!AA575*base_building_arch_areas!$N$24</f>
        <v>13454.815890507176</v>
      </c>
      <c r="AB575" s="187">
        <f>model_eui_end_uses!AB575*base_building_arch_areas!$N$24</f>
        <v>0</v>
      </c>
      <c r="AC575" s="187">
        <f>model_eui_end_uses!AC575*base_building_arch_areas!$N$24</f>
        <v>265435.18149770249</v>
      </c>
      <c r="AD575" s="187">
        <f>model_eui_end_uses!AD575*base_building_arch_areas!$N$24</f>
        <v>25627.154700795058</v>
      </c>
      <c r="AE575" s="187">
        <f>model_eui_end_uses!AE575*base_building_arch_areas!$N$24</f>
        <v>8449.6371757271372</v>
      </c>
      <c r="AF575" s="187">
        <f t="shared" si="104"/>
        <v>34076.791876522198</v>
      </c>
      <c r="AG575" s="187">
        <f>model_eui_end_uses!AH575*base_building_arch_areas!$N$24</f>
        <v>415.1599061528799</v>
      </c>
      <c r="AH575" s="187">
        <f>model_eui_end_uses!AI575*base_building_arch_areas!$N$24</f>
        <v>954.80900085716644</v>
      </c>
      <c r="AI575" s="187">
        <f t="shared" si="105"/>
        <v>1369.9689070100462</v>
      </c>
      <c r="AJ575" s="200">
        <f>sim_annual_output!F575/sim_annual_output!H575*base_building_arch_areas!$N$24</f>
        <v>44471.632229874842</v>
      </c>
      <c r="AK575">
        <f t="shared" si="106"/>
        <v>32.461782163314986</v>
      </c>
    </row>
    <row r="576" spans="1:37">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f>model_eui_end_uses!G576*base_scenario_arch_measures!$F576</f>
        <v>0</v>
      </c>
      <c r="H576">
        <f>model_eui_end_uses!H576*base_scenario_arch_measures!$F576</f>
        <v>2.6061557450301458</v>
      </c>
      <c r="I576">
        <f>model_eui_end_uses!I576*base_scenario_arch_measures!$F576</f>
        <v>0</v>
      </c>
      <c r="J576">
        <f>model_eui_end_uses!J576*base_scenario_arch_measures!$F576</f>
        <v>1.6891468392989967E-2</v>
      </c>
      <c r="K576">
        <f>model_eui_end_uses!K576*base_scenario_arch_measures!$F576</f>
        <v>0</v>
      </c>
      <c r="L576">
        <f>model_eui_end_uses!L576*base_scenario_arch_measures!$F576</f>
        <v>0.23337617952693163</v>
      </c>
      <c r="M576">
        <f>model_eui_end_uses!M576*base_scenario_arch_measures!$F576</f>
        <v>5.0329474292866799E-2</v>
      </c>
      <c r="N576">
        <f>model_eui_end_uses!N576*base_scenario_arch_measures!$F576</f>
        <v>0</v>
      </c>
      <c r="O576">
        <f>model_eui_end_uses!O576*base_scenario_arch_measures!$F576</f>
        <v>0.15713630867208467</v>
      </c>
      <c r="P576">
        <f>model_eui_end_uses!P576*base_scenario_arch_measures!$F576</f>
        <v>0.16740307504668314</v>
      </c>
      <c r="Q576">
        <f>model_eui_end_uses!Q576*base_scenario_arch_measures!$F576</f>
        <v>0</v>
      </c>
      <c r="R576" s="187">
        <f>model_eui_end_uses!R576*base_building_arch_areas!$N$24</f>
        <v>0</v>
      </c>
      <c r="S576" s="187">
        <f>model_eui_end_uses!S576*base_building_arch_areas!$N$24</f>
        <v>215575.28614875863</v>
      </c>
      <c r="T576" s="187">
        <f>model_eui_end_uses!T576*base_building_arch_areas!$N$24</f>
        <v>0</v>
      </c>
      <c r="U576" s="187">
        <f>model_eui_end_uses!U576*base_building_arch_areas!$N$24</f>
        <v>1331.2496112250089</v>
      </c>
      <c r="V576" s="187">
        <f>model_eui_end_uses!V576*base_building_arch_areas!$N$24</f>
        <v>0</v>
      </c>
      <c r="W576" s="187">
        <f>model_eui_end_uses!W576*base_building_arch_areas!$N$24</f>
        <v>18392.8324664385</v>
      </c>
      <c r="X576" s="187">
        <f>model_eui_end_uses!X576*base_building_arch_areas!$N$24</f>
        <v>3966.5641569292911</v>
      </c>
      <c r="Y576" s="187">
        <f>model_eui_end_uses!Y576*base_building_arch_areas!$N$24</f>
        <v>0</v>
      </c>
      <c r="Z576" s="187">
        <f>model_eui_end_uses!Z576*base_building_arch_areas!$N$24</f>
        <v>12714.433223843898</v>
      </c>
      <c r="AA576" s="187">
        <f>model_eui_end_uses!AA576*base_building_arch_areas!$N$24</f>
        <v>13454.815890507176</v>
      </c>
      <c r="AB576" s="187">
        <f>model_eui_end_uses!AB576*base_building_arch_areas!$N$24</f>
        <v>0</v>
      </c>
      <c r="AC576" s="187">
        <f>model_eui_end_uses!AC576*base_building_arch_areas!$N$24</f>
        <v>265435.18149770249</v>
      </c>
      <c r="AD576" s="187">
        <f>model_eui_end_uses!AD576*base_building_arch_areas!$N$24</f>
        <v>10179.062366752729</v>
      </c>
      <c r="AE576" s="187">
        <f>model_eui_end_uses!AE576*base_building_arch_areas!$N$24</f>
        <v>591.66649827940398</v>
      </c>
      <c r="AF576" s="187">
        <f t="shared" si="104"/>
        <v>10770.728865032133</v>
      </c>
      <c r="AG576" s="187">
        <f>model_eui_end_uses!AH576*base_building_arch_areas!$N$24</f>
        <v>164.90081034139416</v>
      </c>
      <c r="AH576" s="187">
        <f>model_eui_end_uses!AI576*base_building_arch_areas!$N$24</f>
        <v>66.858314305572648</v>
      </c>
      <c r="AI576" s="187">
        <f t="shared" si="105"/>
        <v>231.75912464696682</v>
      </c>
      <c r="AJ576" s="200">
        <f>sim_annual_output!F576/sim_annual_output!H576*base_building_arch_areas!$N$24</f>
        <v>325986.47426497814</v>
      </c>
      <c r="AK576">
        <f t="shared" si="106"/>
        <v>1406.574497386222</v>
      </c>
    </row>
    <row r="577" spans="1:37">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f>model_eui_end_uses!G577*base_scenario_arch_measures!$F577</f>
        <v>0</v>
      </c>
      <c r="H577">
        <f>model_eui_end_uses!H577*base_scenario_arch_measures!$F577</f>
        <v>2.506399703763917</v>
      </c>
      <c r="I577">
        <f>model_eui_end_uses!I577*base_scenario_arch_measures!$F577</f>
        <v>0</v>
      </c>
      <c r="J577">
        <f>model_eui_end_uses!J577*base_scenario_arch_measures!$F577</f>
        <v>1.6891468392989967E-2</v>
      </c>
      <c r="K577">
        <f>model_eui_end_uses!K577*base_scenario_arch_measures!$F577</f>
        <v>0</v>
      </c>
      <c r="L577">
        <f>model_eui_end_uses!L577*base_scenario_arch_measures!$F577</f>
        <v>0.23337617952693163</v>
      </c>
      <c r="M577">
        <f>model_eui_end_uses!M577*base_scenario_arch_measures!$F577</f>
        <v>5.0329474292866799E-2</v>
      </c>
      <c r="N577">
        <f>model_eui_end_uses!N577*base_scenario_arch_measures!$F577</f>
        <v>0</v>
      </c>
      <c r="O577">
        <f>model_eui_end_uses!O577*base_scenario_arch_measures!$F577</f>
        <v>0.15142465899926019</v>
      </c>
      <c r="P577">
        <f>model_eui_end_uses!P577*base_scenario_arch_measures!$F577</f>
        <v>0.16028126675126034</v>
      </c>
      <c r="Q577">
        <f>model_eui_end_uses!Q577*base_scenario_arch_measures!$F577</f>
        <v>0</v>
      </c>
      <c r="R577" s="187">
        <f>model_eui_end_uses!R577*base_building_arch_areas!$N$24</f>
        <v>0</v>
      </c>
      <c r="S577" s="187">
        <f>model_eui_end_uses!S577*base_building_arch_areas!$N$24</f>
        <v>215575.28614875863</v>
      </c>
      <c r="T577" s="187">
        <f>model_eui_end_uses!T577*base_building_arch_areas!$N$24</f>
        <v>0</v>
      </c>
      <c r="U577" s="187">
        <f>model_eui_end_uses!U577*base_building_arch_areas!$N$24</f>
        <v>1331.2496112250089</v>
      </c>
      <c r="V577" s="187">
        <f>model_eui_end_uses!V577*base_building_arch_areas!$N$24</f>
        <v>0</v>
      </c>
      <c r="W577" s="187">
        <f>model_eui_end_uses!W577*base_building_arch_areas!$N$24</f>
        <v>18392.8324664385</v>
      </c>
      <c r="X577" s="187">
        <f>model_eui_end_uses!X577*base_building_arch_areas!$N$24</f>
        <v>3966.5641569292911</v>
      </c>
      <c r="Y577" s="187">
        <f>model_eui_end_uses!Y577*base_building_arch_areas!$N$24</f>
        <v>0</v>
      </c>
      <c r="Z577" s="187">
        <f>model_eui_end_uses!Z577*base_building_arch_areas!$N$24</f>
        <v>12714.433223843898</v>
      </c>
      <c r="AA577" s="187">
        <f>model_eui_end_uses!AA577*base_building_arch_areas!$N$24</f>
        <v>13454.815890507176</v>
      </c>
      <c r="AB577" s="187">
        <f>model_eui_end_uses!AB577*base_building_arch_areas!$N$24</f>
        <v>0</v>
      </c>
      <c r="AC577" s="187">
        <f>model_eui_end_uses!AC577*base_building_arch_areas!$N$24</f>
        <v>265435.18149770249</v>
      </c>
      <c r="AD577" s="187">
        <f>model_eui_end_uses!AD577*base_building_arch_areas!$N$24</f>
        <v>18041.030790780387</v>
      </c>
      <c r="AE577" s="187">
        <f>model_eui_end_uses!AE577*base_building_arch_areas!$N$24</f>
        <v>1603.0963829936034</v>
      </c>
      <c r="AF577" s="187">
        <f t="shared" si="104"/>
        <v>19644.127173773992</v>
      </c>
      <c r="AG577" s="187">
        <f>model_eui_end_uses!AH577*base_building_arch_areas!$N$24</f>
        <v>292.2646988106423</v>
      </c>
      <c r="AH577" s="187">
        <f>model_eui_end_uses!AI577*base_building_arch_areas!$N$24</f>
        <v>181.14989127827718</v>
      </c>
      <c r="AI577" s="187">
        <f t="shared" si="105"/>
        <v>473.41459008891945</v>
      </c>
      <c r="AJ577" s="200">
        <f>sim_annual_output!F577/sim_annual_output!H577*base_building_arch_areas!$N$24</f>
        <v>347237.92046211951</v>
      </c>
      <c r="AK577">
        <f t="shared" si="106"/>
        <v>733.47532528919157</v>
      </c>
    </row>
    <row r="578" spans="1:37">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f>model_eui_end_uses!G578*base_scenario_arch_measures!$F578</f>
        <v>0</v>
      </c>
      <c r="H578">
        <f>model_eui_end_uses!H578*base_scenario_arch_measures!$F578</f>
        <v>2.6562113036193424</v>
      </c>
      <c r="I578">
        <f>model_eui_end_uses!I578*base_scenario_arch_measures!$F578</f>
        <v>0</v>
      </c>
      <c r="J578">
        <f>model_eui_end_uses!J578*base_scenario_arch_measures!$F578</f>
        <v>1.6891468392989967E-2</v>
      </c>
      <c r="K578">
        <f>model_eui_end_uses!K578*base_scenario_arch_measures!$F578</f>
        <v>0</v>
      </c>
      <c r="L578">
        <f>model_eui_end_uses!L578*base_scenario_arch_measures!$F578</f>
        <v>0.23337617952693163</v>
      </c>
      <c r="M578">
        <f>model_eui_end_uses!M578*base_scenario_arch_measures!$F578</f>
        <v>5.0329474292866799E-2</v>
      </c>
      <c r="N578">
        <f>model_eui_end_uses!N578*base_scenario_arch_measures!$F578</f>
        <v>0</v>
      </c>
      <c r="O578">
        <f>model_eui_end_uses!O578*base_scenario_arch_measures!$F578</f>
        <v>0.16103199867983767</v>
      </c>
      <c r="P578">
        <f>model_eui_end_uses!P578*base_scenario_arch_measures!$F578</f>
        <v>0.17130891008049762</v>
      </c>
      <c r="Q578">
        <f>model_eui_end_uses!Q578*base_scenario_arch_measures!$F578</f>
        <v>0</v>
      </c>
      <c r="R578" s="187">
        <f>model_eui_end_uses!R578*base_building_arch_areas!$N$24</f>
        <v>0</v>
      </c>
      <c r="S578" s="187">
        <f>model_eui_end_uses!S578*base_building_arch_areas!$N$24</f>
        <v>215575.28614875863</v>
      </c>
      <c r="T578" s="187">
        <f>model_eui_end_uses!T578*base_building_arch_areas!$N$24</f>
        <v>0</v>
      </c>
      <c r="U578" s="187">
        <f>model_eui_end_uses!U578*base_building_arch_areas!$N$24</f>
        <v>1331.2496112250089</v>
      </c>
      <c r="V578" s="187">
        <f>model_eui_end_uses!V578*base_building_arch_areas!$N$24</f>
        <v>0</v>
      </c>
      <c r="W578" s="187">
        <f>model_eui_end_uses!W578*base_building_arch_areas!$N$24</f>
        <v>18392.8324664385</v>
      </c>
      <c r="X578" s="187">
        <f>model_eui_end_uses!X578*base_building_arch_areas!$N$24</f>
        <v>3966.5641569292911</v>
      </c>
      <c r="Y578" s="187">
        <f>model_eui_end_uses!Y578*base_building_arch_areas!$N$24</f>
        <v>0</v>
      </c>
      <c r="Z578" s="187">
        <f>model_eui_end_uses!Z578*base_building_arch_areas!$N$24</f>
        <v>12714.433223843898</v>
      </c>
      <c r="AA578" s="187">
        <f>model_eui_end_uses!AA578*base_building_arch_areas!$N$24</f>
        <v>13454.815890507176</v>
      </c>
      <c r="AB578" s="187">
        <f>model_eui_end_uses!AB578*base_building_arch_areas!$N$24</f>
        <v>0</v>
      </c>
      <c r="AC578" s="187">
        <f>model_eui_end_uses!AC578*base_building_arch_areas!$N$24</f>
        <v>265435.18149770249</v>
      </c>
      <c r="AD578" s="187">
        <f>model_eui_end_uses!AD578*base_building_arch_areas!$N$24</f>
        <v>6234.0860417092617</v>
      </c>
      <c r="AE578" s="187">
        <f>model_eui_end_uses!AE578*base_building_arch_areas!$N$24</f>
        <v>-23.186925708953972</v>
      </c>
      <c r="AF578" s="187">
        <f t="shared" si="104"/>
        <v>6210.8991160003079</v>
      </c>
      <c r="AG578" s="187">
        <f>model_eui_end_uses!AH578*base_building_arch_areas!$N$24</f>
        <v>100.99219387569003</v>
      </c>
      <c r="AH578" s="187">
        <f>model_eui_end_uses!AI578*base_building_arch_areas!$N$24</f>
        <v>-2.6201226051117987</v>
      </c>
      <c r="AI578" s="187">
        <f t="shared" si="105"/>
        <v>98.372071270578232</v>
      </c>
      <c r="AJ578" s="200">
        <f>sim_annual_output!F578/sim_annual_output!H578*base_building_arch_areas!$N$24</f>
        <v>4076.2457231726275</v>
      </c>
      <c r="AK578">
        <f t="shared" si="106"/>
        <v>41.437022424389859</v>
      </c>
    </row>
    <row r="579" spans="1:37">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f>model_eui_end_uses!G579*base_scenario_arch_measures!$F579</f>
        <v>0</v>
      </c>
      <c r="H579">
        <f>model_eui_end_uses!H579*base_scenario_arch_measures!$F579</f>
        <v>2.6588895904996721</v>
      </c>
      <c r="I579">
        <f>model_eui_end_uses!I579*base_scenario_arch_measures!$F579</f>
        <v>0</v>
      </c>
      <c r="J579">
        <f>model_eui_end_uses!J579*base_scenario_arch_measures!$F579</f>
        <v>1.6891468392989967E-2</v>
      </c>
      <c r="K579">
        <f>model_eui_end_uses!K579*base_scenario_arch_measures!$F579</f>
        <v>0</v>
      </c>
      <c r="L579">
        <f>model_eui_end_uses!L579*base_scenario_arch_measures!$F579</f>
        <v>0.23337617952693163</v>
      </c>
      <c r="M579">
        <f>model_eui_end_uses!M579*base_scenario_arch_measures!$F579</f>
        <v>5.0329474292866799E-2</v>
      </c>
      <c r="N579">
        <f>model_eui_end_uses!N579*base_scenario_arch_measures!$F579</f>
        <v>0</v>
      </c>
      <c r="O579">
        <f>model_eui_end_uses!O579*base_scenario_arch_measures!$F579</f>
        <v>0.15968271021361083</v>
      </c>
      <c r="P579">
        <f>model_eui_end_uses!P579*base_scenario_arch_measures!$F579</f>
        <v>0.17146108547142547</v>
      </c>
      <c r="Q579">
        <f>model_eui_end_uses!Q579*base_scenario_arch_measures!$F579</f>
        <v>0</v>
      </c>
      <c r="R579" s="187">
        <f>model_eui_end_uses!R579*base_building_arch_areas!$N$24</f>
        <v>0</v>
      </c>
      <c r="S579" s="187">
        <f>model_eui_end_uses!S579*base_building_arch_areas!$N$24</f>
        <v>215575.28614875863</v>
      </c>
      <c r="T579" s="187">
        <f>model_eui_end_uses!T579*base_building_arch_areas!$N$24</f>
        <v>0</v>
      </c>
      <c r="U579" s="187">
        <f>model_eui_end_uses!U579*base_building_arch_areas!$N$24</f>
        <v>1331.2496112250089</v>
      </c>
      <c r="V579" s="187">
        <f>model_eui_end_uses!V579*base_building_arch_areas!$N$24</f>
        <v>0</v>
      </c>
      <c r="W579" s="187">
        <f>model_eui_end_uses!W579*base_building_arch_areas!$N$24</f>
        <v>18392.8324664385</v>
      </c>
      <c r="X579" s="187">
        <f>model_eui_end_uses!X579*base_building_arch_areas!$N$24</f>
        <v>3966.5641569292911</v>
      </c>
      <c r="Y579" s="187">
        <f>model_eui_end_uses!Y579*base_building_arch_areas!$N$24</f>
        <v>0</v>
      </c>
      <c r="Z579" s="187">
        <f>model_eui_end_uses!Z579*base_building_arch_areas!$N$24</f>
        <v>12714.433223843898</v>
      </c>
      <c r="AA579" s="187">
        <f>model_eui_end_uses!AA579*base_building_arch_areas!$N$24</f>
        <v>13454.815890507176</v>
      </c>
      <c r="AB579" s="187">
        <f>model_eui_end_uses!AB579*base_building_arch_areas!$N$24</f>
        <v>0</v>
      </c>
      <c r="AC579" s="187">
        <f>model_eui_end_uses!AC579*base_building_arch_areas!$N$24</f>
        <v>265435.18149770249</v>
      </c>
      <c r="AD579" s="187">
        <f>model_eui_end_uses!AD579*base_building_arch_areas!$N$24</f>
        <v>6023.0050222906539</v>
      </c>
      <c r="AE579" s="187">
        <f>model_eui_end_uses!AE579*base_building_arch_areas!$N$24</f>
        <v>71.159893576640968</v>
      </c>
      <c r="AF579" s="187">
        <f t="shared" si="104"/>
        <v>6094.1649158672944</v>
      </c>
      <c r="AG579" s="187">
        <f>model_eui_end_uses!AH579*base_building_arch_areas!$N$24</f>
        <v>97.572681361108593</v>
      </c>
      <c r="AH579" s="187">
        <f>model_eui_end_uses!AI579*base_building_arch_areas!$N$24</f>
        <v>8.0410679741604287</v>
      </c>
      <c r="AI579" s="187">
        <f t="shared" si="105"/>
        <v>105.61374933526902</v>
      </c>
      <c r="AJ579" s="200">
        <f>sim_annual_output!F579/sim_annual_output!H579*base_building_arch_areas!$N$24</f>
        <v>688.5068503295563</v>
      </c>
      <c r="AK579">
        <f t="shared" si="106"/>
        <v>6.519102433755128</v>
      </c>
    </row>
    <row r="580" spans="1:37">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f>model_eui_end_uses!G580*base_scenario_arch_measures!$F580</f>
        <v>0</v>
      </c>
      <c r="H580">
        <f>model_eui_end_uses!H580*base_scenario_arch_measures!$F580</f>
        <v>2.6614562820933214</v>
      </c>
      <c r="I580">
        <f>model_eui_end_uses!I580*base_scenario_arch_measures!$F580</f>
        <v>0</v>
      </c>
      <c r="J580">
        <f>model_eui_end_uses!J580*base_scenario_arch_measures!$F580</f>
        <v>1.6891468392989967E-2</v>
      </c>
      <c r="K580">
        <f>model_eui_end_uses!K580*base_scenario_arch_measures!$F580</f>
        <v>0</v>
      </c>
      <c r="L580">
        <f>model_eui_end_uses!L580*base_scenario_arch_measures!$F580</f>
        <v>0.23337617952693163</v>
      </c>
      <c r="M580">
        <f>model_eui_end_uses!M580*base_scenario_arch_measures!$F580</f>
        <v>5.0329474292866799E-2</v>
      </c>
      <c r="N580">
        <f>model_eui_end_uses!N580*base_scenario_arch_measures!$F580</f>
        <v>0</v>
      </c>
      <c r="O580">
        <f>model_eui_end_uses!O580*base_scenario_arch_measures!$F580</f>
        <v>0.15967256518754863</v>
      </c>
      <c r="P580">
        <f>model_eui_end_uses!P580*base_scenario_arch_measures!$F580</f>
        <v>0.17146108547142547</v>
      </c>
      <c r="Q580">
        <f>model_eui_end_uses!Q580*base_scenario_arch_measures!$F580</f>
        <v>0</v>
      </c>
      <c r="R580" s="187">
        <f>model_eui_end_uses!R580*base_building_arch_areas!$N$24</f>
        <v>0</v>
      </c>
      <c r="S580" s="187">
        <f>model_eui_end_uses!S580*base_building_arch_areas!$N$24</f>
        <v>215575.28614875863</v>
      </c>
      <c r="T580" s="187">
        <f>model_eui_end_uses!T580*base_building_arch_areas!$N$24</f>
        <v>0</v>
      </c>
      <c r="U580" s="187">
        <f>model_eui_end_uses!U580*base_building_arch_areas!$N$24</f>
        <v>1331.2496112250089</v>
      </c>
      <c r="V580" s="187">
        <f>model_eui_end_uses!V580*base_building_arch_areas!$N$24</f>
        <v>0</v>
      </c>
      <c r="W580" s="187">
        <f>model_eui_end_uses!W580*base_building_arch_areas!$N$24</f>
        <v>18392.8324664385</v>
      </c>
      <c r="X580" s="187">
        <f>model_eui_end_uses!X580*base_building_arch_areas!$N$24</f>
        <v>3966.5641569292911</v>
      </c>
      <c r="Y580" s="187">
        <f>model_eui_end_uses!Y580*base_building_arch_areas!$N$24</f>
        <v>0</v>
      </c>
      <c r="Z580" s="187">
        <f>model_eui_end_uses!Z580*base_building_arch_areas!$N$24</f>
        <v>12714.433223843898</v>
      </c>
      <c r="AA580" s="187">
        <f>model_eui_end_uses!AA580*base_building_arch_areas!$N$24</f>
        <v>13454.815890507176</v>
      </c>
      <c r="AB580" s="187">
        <f>model_eui_end_uses!AB580*base_building_arch_areas!$N$24</f>
        <v>0</v>
      </c>
      <c r="AC580" s="187">
        <f>model_eui_end_uses!AC580*base_building_arch_areas!$N$24</f>
        <v>265435.18149770249</v>
      </c>
      <c r="AD580" s="187">
        <f>model_eui_end_uses!AD580*base_building_arch_areas!$N$24</f>
        <v>5820.719045347807</v>
      </c>
      <c r="AE580" s="187">
        <f>model_eui_end_uses!AE580*base_building_arch_areas!$N$24</f>
        <v>71.959442892649065</v>
      </c>
      <c r="AF580" s="187">
        <f t="shared" si="104"/>
        <v>5892.6784882404563</v>
      </c>
      <c r="AG580" s="187">
        <f>model_eui_end_uses!AH580*base_building_arch_areas!$N$24</f>
        <v>94.295648534634466</v>
      </c>
      <c r="AH580" s="187">
        <f>model_eui_end_uses!AI580*base_building_arch_areas!$N$24</f>
        <v>8.131417046869343</v>
      </c>
      <c r="AI580" s="187">
        <f t="shared" si="105"/>
        <v>102.42706558150381</v>
      </c>
      <c r="AJ580" s="200">
        <f>sim_annual_output!F580/sim_annual_output!H580*base_building_arch_areas!$N$24</f>
        <v>2848.9928904687849</v>
      </c>
      <c r="AK580">
        <f t="shared" si="106"/>
        <v>27.814844389950515</v>
      </c>
    </row>
    <row r="581" spans="1:37">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f>model_eui_end_uses!G581*base_scenario_arch_measures!$F581</f>
        <v>0</v>
      </c>
      <c r="H581">
        <f>model_eui_end_uses!H581*base_scenario_arch_measures!$F581</f>
        <v>2.3664896493448633</v>
      </c>
      <c r="I581">
        <f>model_eui_end_uses!I581*base_scenario_arch_measures!$F581</f>
        <v>0</v>
      </c>
      <c r="J581">
        <f>model_eui_end_uses!J581*base_scenario_arch_measures!$F581</f>
        <v>1.6891468392989967E-2</v>
      </c>
      <c r="K581">
        <f>model_eui_end_uses!K581*base_scenario_arch_measures!$F581</f>
        <v>0</v>
      </c>
      <c r="L581">
        <f>model_eui_end_uses!L581*base_scenario_arch_measures!$F581</f>
        <v>0.23337617952693163</v>
      </c>
      <c r="M581">
        <f>model_eui_end_uses!M581*base_scenario_arch_measures!$F581</f>
        <v>5.0329474292866799E-2</v>
      </c>
      <c r="N581">
        <f>model_eui_end_uses!N581*base_scenario_arch_measures!$F581</f>
        <v>0</v>
      </c>
      <c r="O581">
        <f>model_eui_end_uses!O581*base_scenario_arch_measures!$F581</f>
        <v>0.16062619763736344</v>
      </c>
      <c r="P581">
        <f>model_eui_end_uses!P581*base_scenario_arch_measures!$F581</f>
        <v>0.17149152054961103</v>
      </c>
      <c r="Q581">
        <f>model_eui_end_uses!Q581*base_scenario_arch_measures!$F581</f>
        <v>4.79859732725781E-2</v>
      </c>
      <c r="R581" s="187">
        <f>model_eui_end_uses!R581*base_building_arch_areas!$N$24</f>
        <v>0</v>
      </c>
      <c r="S581" s="187">
        <f>model_eui_end_uses!S581*base_building_arch_areas!$N$24</f>
        <v>215575.28614875863</v>
      </c>
      <c r="T581" s="187">
        <f>model_eui_end_uses!T581*base_building_arch_areas!$N$24</f>
        <v>0</v>
      </c>
      <c r="U581" s="187">
        <f>model_eui_end_uses!U581*base_building_arch_areas!$N$24</f>
        <v>1331.2496112250089</v>
      </c>
      <c r="V581" s="187">
        <f>model_eui_end_uses!V581*base_building_arch_areas!$N$24</f>
        <v>0</v>
      </c>
      <c r="W581" s="187">
        <f>model_eui_end_uses!W581*base_building_arch_areas!$N$24</f>
        <v>18392.8324664385</v>
      </c>
      <c r="X581" s="187">
        <f>model_eui_end_uses!X581*base_building_arch_areas!$N$24</f>
        <v>3966.5641569292911</v>
      </c>
      <c r="Y581" s="187">
        <f>model_eui_end_uses!Y581*base_building_arch_areas!$N$24</f>
        <v>0</v>
      </c>
      <c r="Z581" s="187">
        <f>model_eui_end_uses!Z581*base_building_arch_areas!$N$24</f>
        <v>12714.433223843898</v>
      </c>
      <c r="AA581" s="187">
        <f>model_eui_end_uses!AA581*base_building_arch_areas!$N$24</f>
        <v>13454.815890507176</v>
      </c>
      <c r="AB581" s="187">
        <f>model_eui_end_uses!AB581*base_building_arch_areas!$N$24</f>
        <v>0</v>
      </c>
      <c r="AC581" s="187">
        <f>model_eui_end_uses!AC581*base_building_arch_areas!$N$24</f>
        <v>265435.18149770249</v>
      </c>
      <c r="AD581" s="187">
        <f>model_eui_end_uses!AD581*base_building_arch_areas!$N$24</f>
        <v>29067.615407455403</v>
      </c>
      <c r="AE581" s="187">
        <f>model_eui_end_uses!AE581*base_building_arch_areas!$N$24</f>
        <v>-3787.465105341033</v>
      </c>
      <c r="AF581" s="187">
        <f t="shared" si="104"/>
        <v>25280.150302114369</v>
      </c>
      <c r="AG581" s="187">
        <f>model_eui_end_uses!AH581*base_building_arch_areas!$N$24</f>
        <v>470.89536960077754</v>
      </c>
      <c r="AH581" s="187">
        <f>model_eui_end_uses!AI581*base_building_arch_areas!$N$24</f>
        <v>-427.98355690353674</v>
      </c>
      <c r="AI581" s="187">
        <f t="shared" si="105"/>
        <v>42.911812697240805</v>
      </c>
      <c r="AJ581" s="200">
        <f>sim_annual_output!F581/sim_annual_output!H581*base_building_arch_areas!$N$24</f>
        <v>149644.08212989703</v>
      </c>
      <c r="AK581">
        <f t="shared" si="106"/>
        <v>3487.246814430634</v>
      </c>
    </row>
    <row r="582" spans="1:37">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f>model_eui_end_uses!G582*base_scenario_arch_measures!$F582</f>
        <v>0</v>
      </c>
      <c r="H582">
        <f>model_eui_end_uses!H582*base_scenario_arch_measures!$F582</f>
        <v>1.6758365651058416</v>
      </c>
      <c r="I582">
        <f>model_eui_end_uses!I582*base_scenario_arch_measures!$F582</f>
        <v>0</v>
      </c>
      <c r="J582">
        <f>model_eui_end_uses!J582*base_scenario_arch_measures!$F582</f>
        <v>1.6891468392989967E-2</v>
      </c>
      <c r="K582">
        <f>model_eui_end_uses!K582*base_scenario_arch_measures!$F582</f>
        <v>0</v>
      </c>
      <c r="L582">
        <f>model_eui_end_uses!L582*base_scenario_arch_measures!$F582</f>
        <v>0.23337617952693163</v>
      </c>
      <c r="M582">
        <f>model_eui_end_uses!M582*base_scenario_arch_measures!$F582</f>
        <v>5.0329474292866799E-2</v>
      </c>
      <c r="N582">
        <f>model_eui_end_uses!N582*base_scenario_arch_measures!$F582</f>
        <v>0</v>
      </c>
      <c r="O582">
        <f>model_eui_end_uses!O582*base_scenario_arch_measures!$F582</f>
        <v>0.10093286428940371</v>
      </c>
      <c r="P582">
        <f>model_eui_end_uses!P582*base_scenario_arch_measures!$F582</f>
        <v>0.11028657831843479</v>
      </c>
      <c r="Q582">
        <f>model_eui_end_uses!Q582*base_scenario_arch_measures!$F582</f>
        <v>0</v>
      </c>
      <c r="R582" s="187">
        <f>model_eui_end_uses!R582*base_building_arch_areas!$N$24</f>
        <v>0</v>
      </c>
      <c r="S582" s="187">
        <f>model_eui_end_uses!S582*base_building_arch_areas!$N$24</f>
        <v>215575.28614875863</v>
      </c>
      <c r="T582" s="187">
        <f>model_eui_end_uses!T582*base_building_arch_areas!$N$24</f>
        <v>0</v>
      </c>
      <c r="U582" s="187">
        <f>model_eui_end_uses!U582*base_building_arch_areas!$N$24</f>
        <v>1331.2496112250089</v>
      </c>
      <c r="V582" s="187">
        <f>model_eui_end_uses!V582*base_building_arch_areas!$N$24</f>
        <v>0</v>
      </c>
      <c r="W582" s="187">
        <f>model_eui_end_uses!W582*base_building_arch_areas!$N$24</f>
        <v>18392.8324664385</v>
      </c>
      <c r="X582" s="187">
        <f>model_eui_end_uses!X582*base_building_arch_areas!$N$24</f>
        <v>3966.5641569292911</v>
      </c>
      <c r="Y582" s="187">
        <f>model_eui_end_uses!Y582*base_building_arch_areas!$N$24</f>
        <v>0</v>
      </c>
      <c r="Z582" s="187">
        <f>model_eui_end_uses!Z582*base_building_arch_areas!$N$24</f>
        <v>12714.433223843898</v>
      </c>
      <c r="AA582" s="187">
        <f>model_eui_end_uses!AA582*base_building_arch_areas!$N$24</f>
        <v>13454.815890507176</v>
      </c>
      <c r="AB582" s="187">
        <f>model_eui_end_uses!AB582*base_building_arch_areas!$N$24</f>
        <v>0</v>
      </c>
      <c r="AC582" s="187">
        <f>model_eui_end_uses!AC582*base_building_arch_areas!$N$24</f>
        <v>265435.18149770249</v>
      </c>
      <c r="AD582" s="187">
        <f>model_eui_end_uses!AD582*base_building_arch_areas!$N$24</f>
        <v>83499.33374071632</v>
      </c>
      <c r="AE582" s="187">
        <f>model_eui_end_uses!AE582*base_building_arch_areas!$N$24</f>
        <v>9522.6323577717867</v>
      </c>
      <c r="AF582" s="187">
        <f t="shared" si="104"/>
        <v>93021.966098488105</v>
      </c>
      <c r="AG582" s="187">
        <f>model_eui_end_uses!AH582*base_building_arch_areas!$N$24</f>
        <v>1352.6892065996044</v>
      </c>
      <c r="AH582" s="187">
        <f>model_eui_end_uses!AI582*base_building_arch_areas!$N$24</f>
        <v>1076.0574564282119</v>
      </c>
      <c r="AI582" s="187">
        <f t="shared" si="105"/>
        <v>2428.7466630278163</v>
      </c>
      <c r="AJ582" s="200">
        <f>sim_annual_output!F582/sim_annual_output!H582*base_building_arch_areas!$N$24</f>
        <v>61406.677330963481</v>
      </c>
      <c r="AK582">
        <f t="shared" si="106"/>
        <v>25.283278106251871</v>
      </c>
    </row>
    <row r="583" spans="1:37">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f>model_eui_end_uses!G583*base_scenario_arch_measures!$F583</f>
        <v>0</v>
      </c>
      <c r="H583">
        <f>model_eui_end_uses!H583*base_scenario_arch_measures!$F583</f>
        <v>1.5293525338622926</v>
      </c>
      <c r="I583">
        <f>model_eui_end_uses!I583*base_scenario_arch_measures!$F583</f>
        <v>0</v>
      </c>
      <c r="J583">
        <f>model_eui_end_uses!J583*base_scenario_arch_measures!$F583</f>
        <v>1.69016134205618E-2</v>
      </c>
      <c r="K583">
        <f>model_eui_end_uses!K583*base_scenario_arch_measures!$F583</f>
        <v>0</v>
      </c>
      <c r="L583">
        <f>model_eui_end_uses!L583*base_scenario_arch_measures!$F583</f>
        <v>0.23337617954778131</v>
      </c>
      <c r="M583">
        <f>model_eui_end_uses!M583*base_scenario_arch_measures!$F583</f>
        <v>5.0329474297363209E-2</v>
      </c>
      <c r="N583">
        <f>model_eui_end_uses!N583*base_scenario_arch_measures!$F583</f>
        <v>0</v>
      </c>
      <c r="O583">
        <f>model_eui_end_uses!O583*base_scenario_arch_measures!$F583</f>
        <v>0.11918376618533015</v>
      </c>
      <c r="P583">
        <f>model_eui_end_uses!P583*base_scenario_arch_measures!$F583</f>
        <v>1.5826240657909009E-3</v>
      </c>
      <c r="Q583">
        <f>model_eui_end_uses!Q583*base_scenario_arch_measures!$F583</f>
        <v>0</v>
      </c>
      <c r="R583" s="187">
        <f>model_eui_end_uses!R583*base_building_arch_areas!$N$24</f>
        <v>0</v>
      </c>
      <c r="S583" s="187">
        <f>model_eui_end_uses!S583*base_building_arch_areas!$N$24</f>
        <v>215575.28614875863</v>
      </c>
      <c r="T583" s="187">
        <f>model_eui_end_uses!T583*base_building_arch_areas!$N$24</f>
        <v>0</v>
      </c>
      <c r="U583" s="187">
        <f>model_eui_end_uses!U583*base_building_arch_areas!$N$24</f>
        <v>1331.2496112250089</v>
      </c>
      <c r="V583" s="187">
        <f>model_eui_end_uses!V583*base_building_arch_areas!$N$24</f>
        <v>0</v>
      </c>
      <c r="W583" s="187">
        <f>model_eui_end_uses!W583*base_building_arch_areas!$N$24</f>
        <v>18392.8324664385</v>
      </c>
      <c r="X583" s="187">
        <f>model_eui_end_uses!X583*base_building_arch_areas!$N$24</f>
        <v>3966.5641569292911</v>
      </c>
      <c r="Y583" s="187">
        <f>model_eui_end_uses!Y583*base_building_arch_areas!$N$24</f>
        <v>0</v>
      </c>
      <c r="Z583" s="187">
        <f>model_eui_end_uses!Z583*base_building_arch_areas!$N$24</f>
        <v>12714.433223843898</v>
      </c>
      <c r="AA583" s="187">
        <f>model_eui_end_uses!AA583*base_building_arch_areas!$N$24</f>
        <v>13454.815890507176</v>
      </c>
      <c r="AB583" s="187">
        <f>model_eui_end_uses!AB583*base_building_arch_areas!$N$24</f>
        <v>0</v>
      </c>
      <c r="AC583" s="187">
        <f>model_eui_end_uses!AC583*base_building_arch_areas!$N$24</f>
        <v>265435.18149770249</v>
      </c>
      <c r="AD583" s="187">
        <f>model_eui_end_uses!AD583*base_building_arch_areas!$N$24</f>
        <v>95044.026309134671</v>
      </c>
      <c r="AE583" s="187">
        <f>model_eui_end_uses!AE583*base_building_arch_areas!$N$24</f>
        <v>16650.61450676325</v>
      </c>
      <c r="AF583" s="187">
        <f t="shared" si="104"/>
        <v>111694.64081589792</v>
      </c>
      <c r="AG583" s="187">
        <f>model_eui_end_uses!AH583*base_building_arch_areas!$N$24</f>
        <v>1539.7132262079817</v>
      </c>
      <c r="AH583" s="187">
        <f>model_eui_end_uses!AI583*base_building_arch_areas!$N$24</f>
        <v>1881.519439264247</v>
      </c>
      <c r="AI583" s="187">
        <f t="shared" si="105"/>
        <v>3421.2326654722287</v>
      </c>
      <c r="AJ583" s="200">
        <f>sim_annual_output!F583/sim_annual_output!H583*base_building_arch_areas!$N$24</f>
        <v>65888.358068577349</v>
      </c>
      <c r="AK583">
        <f t="shared" si="106"/>
        <v>19.258660404343726</v>
      </c>
    </row>
    <row r="584" spans="1:37">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f>model_eui_end_uses!G584*base_scenario_arch_measures!$F584</f>
        <v>0</v>
      </c>
      <c r="H584">
        <f>model_eui_end_uses!H584*base_scenario_arch_measures!$F584</f>
        <v>2.7639109002920041</v>
      </c>
      <c r="I584">
        <f>model_eui_end_uses!I584*base_scenario_arch_measures!$F584</f>
        <v>0</v>
      </c>
      <c r="J584">
        <f>model_eui_end_uses!J584*base_scenario_arch_measures!$F584</f>
        <v>1.6891468392989967E-2</v>
      </c>
      <c r="K584">
        <f>model_eui_end_uses!K584*base_scenario_arch_measures!$F584</f>
        <v>0</v>
      </c>
      <c r="L584">
        <f>model_eui_end_uses!L584*base_scenario_arch_measures!$F584</f>
        <v>0.16336535467406452</v>
      </c>
      <c r="M584">
        <f>model_eui_end_uses!M584*base_scenario_arch_measures!$F584</f>
        <v>5.0329474292866799E-2</v>
      </c>
      <c r="N584">
        <f>model_eui_end_uses!N584*base_scenario_arch_measures!$F584</f>
        <v>0</v>
      </c>
      <c r="O584">
        <f>model_eui_end_uses!O584*base_scenario_arch_measures!$F584</f>
        <v>0.1617624405562913</v>
      </c>
      <c r="P584">
        <f>model_eui_end_uses!P584*base_scenario_arch_measures!$F584</f>
        <v>0.17188717656602343</v>
      </c>
      <c r="Q584">
        <f>model_eui_end_uses!Q584*base_scenario_arch_measures!$F584</f>
        <v>0</v>
      </c>
      <c r="R584" s="187">
        <f>model_eui_end_uses!R584*base_building_arch_areas!$N$24</f>
        <v>0</v>
      </c>
      <c r="S584" s="187">
        <f>model_eui_end_uses!S584*base_building_arch_areas!$N$24</f>
        <v>215575.28614875863</v>
      </c>
      <c r="T584" s="187">
        <f>model_eui_end_uses!T584*base_building_arch_areas!$N$24</f>
        <v>0</v>
      </c>
      <c r="U584" s="187">
        <f>model_eui_end_uses!U584*base_building_arch_areas!$N$24</f>
        <v>1331.2496112250089</v>
      </c>
      <c r="V584" s="187">
        <f>model_eui_end_uses!V584*base_building_arch_areas!$N$24</f>
        <v>0</v>
      </c>
      <c r="W584" s="187">
        <f>model_eui_end_uses!W584*base_building_arch_areas!$N$24</f>
        <v>18392.8324664385</v>
      </c>
      <c r="X584" s="187">
        <f>model_eui_end_uses!X584*base_building_arch_areas!$N$24</f>
        <v>3966.5641569292911</v>
      </c>
      <c r="Y584" s="187">
        <f>model_eui_end_uses!Y584*base_building_arch_areas!$N$24</f>
        <v>0</v>
      </c>
      <c r="Z584" s="187">
        <f>model_eui_end_uses!Z584*base_building_arch_areas!$N$24</f>
        <v>12714.433223843898</v>
      </c>
      <c r="AA584" s="187">
        <f>model_eui_end_uses!AA584*base_building_arch_areas!$N$24</f>
        <v>13454.815890507176</v>
      </c>
      <c r="AB584" s="187">
        <f>model_eui_end_uses!AB584*base_building_arch_areas!$N$24</f>
        <v>0</v>
      </c>
      <c r="AC584" s="187">
        <f>model_eui_end_uses!AC584*base_building_arch_areas!$N$24</f>
        <v>265435.18149770249</v>
      </c>
      <c r="AD584" s="187">
        <f>model_eui_end_uses!AD584*base_building_arch_areas!$N$24</f>
        <v>-2253.9294967304518</v>
      </c>
      <c r="AE584" s="187">
        <f>model_eui_end_uses!AE584*base_building_arch_areas!$N$24</f>
        <v>5391.3610421050662</v>
      </c>
      <c r="AF584" s="187">
        <f t="shared" si="104"/>
        <v>3137.4315453746144</v>
      </c>
      <c r="AG584" s="187">
        <f>model_eui_end_uses!AH584*base_building_arch_areas!$N$24</f>
        <v>-36.513657847033315</v>
      </c>
      <c r="AH584" s="187">
        <f>model_eui_end_uses!AI584*base_building_arch_areas!$N$24</f>
        <v>609.22379775787249</v>
      </c>
      <c r="AI584" s="187">
        <f t="shared" si="105"/>
        <v>572.71013991083919</v>
      </c>
      <c r="AJ584" s="200">
        <f>sim_annual_output!F584/sim_annual_output!H584*base_building_arch_areas!$N$24</f>
        <v>23887.681404132414</v>
      </c>
      <c r="AK584">
        <f t="shared" si="106"/>
        <v>41.709897799000558</v>
      </c>
    </row>
    <row r="585" spans="1:37">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f>model_eui_end_uses!G585*base_scenario_arch_measures!$F585</f>
        <v>0</v>
      </c>
      <c r="H585">
        <f>model_eui_end_uses!H585*base_scenario_arch_measures!$F585</f>
        <v>0.96133252460823793</v>
      </c>
      <c r="I585">
        <f>model_eui_end_uses!I585*base_scenario_arch_measures!$F585</f>
        <v>0</v>
      </c>
      <c r="J585">
        <f>model_eui_end_uses!J585*base_scenario_arch_measures!$F585</f>
        <v>1.69016134205618E-2</v>
      </c>
      <c r="K585">
        <f>model_eui_end_uses!K585*base_scenario_arch_measures!$F585</f>
        <v>0</v>
      </c>
      <c r="L585">
        <f>model_eui_end_uses!L585*base_scenario_arch_measures!$F585</f>
        <v>0.23337617954778131</v>
      </c>
      <c r="M585">
        <f>model_eui_end_uses!M585*base_scenario_arch_measures!$F585</f>
        <v>5.0329474297363209E-2</v>
      </c>
      <c r="N585">
        <f>model_eui_end_uses!N585*base_scenario_arch_measures!$F585</f>
        <v>0</v>
      </c>
      <c r="O585">
        <f>model_eui_end_uses!O585*base_scenario_arch_measures!$F585</f>
        <v>0.11918376618533015</v>
      </c>
      <c r="P585">
        <f>model_eui_end_uses!P585*base_scenario_arch_measures!$F585</f>
        <v>1.5826240657909009E-3</v>
      </c>
      <c r="Q585">
        <f>model_eui_end_uses!Q585*base_scenario_arch_measures!$F585</f>
        <v>0</v>
      </c>
      <c r="R585" s="187">
        <f>model_eui_end_uses!R585*base_building_arch_areas!$N$24</f>
        <v>0</v>
      </c>
      <c r="S585" s="187">
        <f>model_eui_end_uses!S585*base_building_arch_areas!$N$24</f>
        <v>215575.28614875863</v>
      </c>
      <c r="T585" s="187">
        <f>model_eui_end_uses!T585*base_building_arch_areas!$N$24</f>
        <v>0</v>
      </c>
      <c r="U585" s="187">
        <f>model_eui_end_uses!U585*base_building_arch_areas!$N$24</f>
        <v>1331.2496112250089</v>
      </c>
      <c r="V585" s="187">
        <f>model_eui_end_uses!V585*base_building_arch_areas!$N$24</f>
        <v>0</v>
      </c>
      <c r="W585" s="187">
        <f>model_eui_end_uses!W585*base_building_arch_areas!$N$24</f>
        <v>18392.8324664385</v>
      </c>
      <c r="X585" s="187">
        <f>model_eui_end_uses!X585*base_building_arch_areas!$N$24</f>
        <v>3966.5641569292911</v>
      </c>
      <c r="Y585" s="187">
        <f>model_eui_end_uses!Y585*base_building_arch_areas!$N$24</f>
        <v>0</v>
      </c>
      <c r="Z585" s="187">
        <f>model_eui_end_uses!Z585*base_building_arch_areas!$N$24</f>
        <v>12714.433223843898</v>
      </c>
      <c r="AA585" s="187">
        <f>model_eui_end_uses!AA585*base_building_arch_areas!$N$24</f>
        <v>13454.815890507176</v>
      </c>
      <c r="AB585" s="187">
        <f>model_eui_end_uses!AB585*base_building_arch_areas!$N$24</f>
        <v>0</v>
      </c>
      <c r="AC585" s="187">
        <f>model_eui_end_uses!AC585*base_building_arch_areas!$N$24</f>
        <v>265435.18149770249</v>
      </c>
      <c r="AD585" s="187">
        <f>model_eui_end_uses!AD585*base_building_arch_areas!$N$24</f>
        <v>139810.7925148333</v>
      </c>
      <c r="AE585" s="187">
        <f>model_eui_end_uses!AE585*base_building_arch_areas!$N$24</f>
        <v>16650.61450676325</v>
      </c>
      <c r="AF585" s="187">
        <f t="shared" si="104"/>
        <v>156461.40702159656</v>
      </c>
      <c r="AG585" s="187">
        <f>model_eui_end_uses!AH585*base_building_arch_areas!$N$24</f>
        <v>2264.9348387402997</v>
      </c>
      <c r="AH585" s="187">
        <f>model_eui_end_uses!AI585*base_building_arch_areas!$N$24</f>
        <v>1881.519439264247</v>
      </c>
      <c r="AI585" s="187">
        <f t="shared" si="105"/>
        <v>4146.4542780045467</v>
      </c>
      <c r="AJ585" s="200">
        <f>sim_annual_output!F585/sim_annual_output!H585*base_building_arch_areas!$N$24</f>
        <v>66762.234318299641</v>
      </c>
      <c r="AK585">
        <f t="shared" si="106"/>
        <v>16.101041960705889</v>
      </c>
    </row>
    <row r="586" spans="1:37">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f>model_eui_end_uses!G586*base_scenario_arch_measures!$F586</f>
        <v>0</v>
      </c>
      <c r="H586">
        <f>model_eui_end_uses!H586*base_scenario_arch_measures!$F586</f>
        <v>2.2536668145109644</v>
      </c>
      <c r="I586">
        <f>model_eui_end_uses!I586*base_scenario_arch_measures!$F586</f>
        <v>0</v>
      </c>
      <c r="J586">
        <f>model_eui_end_uses!J586*base_scenario_arch_measures!$F586</f>
        <v>1.6891468392989967E-2</v>
      </c>
      <c r="K586">
        <f>model_eui_end_uses!K586*base_scenario_arch_measures!$F586</f>
        <v>0</v>
      </c>
      <c r="L586">
        <f>model_eui_end_uses!L586*base_scenario_arch_measures!$F586</f>
        <v>0.23337617952693163</v>
      </c>
      <c r="M586">
        <f>model_eui_end_uses!M586*base_scenario_arch_measures!$F586</f>
        <v>5.0329474292866799E-2</v>
      </c>
      <c r="N586">
        <f>model_eui_end_uses!N586*base_scenario_arch_measures!$F586</f>
        <v>0</v>
      </c>
      <c r="O586">
        <f>model_eui_end_uses!O586*base_scenario_arch_measures!$F586</f>
        <v>0.18774385230070412</v>
      </c>
      <c r="P586">
        <f>model_eui_end_uses!P586*base_scenario_arch_measures!$F586</f>
        <v>0.1944294244754671</v>
      </c>
      <c r="Q586">
        <f>model_eui_end_uses!Q586*base_scenario_arch_measures!$F586</f>
        <v>0</v>
      </c>
      <c r="R586" s="187">
        <f>model_eui_end_uses!R586*base_building_arch_areas!$N$24</f>
        <v>0</v>
      </c>
      <c r="S586" s="187">
        <f>model_eui_end_uses!S586*base_building_arch_areas!$N$24</f>
        <v>215575.28614875863</v>
      </c>
      <c r="T586" s="187">
        <f>model_eui_end_uses!T586*base_building_arch_areas!$N$24</f>
        <v>0</v>
      </c>
      <c r="U586" s="187">
        <f>model_eui_end_uses!U586*base_building_arch_areas!$N$24</f>
        <v>1331.2496112250089</v>
      </c>
      <c r="V586" s="187">
        <f>model_eui_end_uses!V586*base_building_arch_areas!$N$24</f>
        <v>0</v>
      </c>
      <c r="W586" s="187">
        <f>model_eui_end_uses!W586*base_building_arch_areas!$N$24</f>
        <v>18392.8324664385</v>
      </c>
      <c r="X586" s="187">
        <f>model_eui_end_uses!X586*base_building_arch_areas!$N$24</f>
        <v>3966.5641569292911</v>
      </c>
      <c r="Y586" s="187">
        <f>model_eui_end_uses!Y586*base_building_arch_areas!$N$24</f>
        <v>0</v>
      </c>
      <c r="Z586" s="187">
        <f>model_eui_end_uses!Z586*base_building_arch_areas!$N$24</f>
        <v>12714.433223843898</v>
      </c>
      <c r="AA586" s="187">
        <f>model_eui_end_uses!AA586*base_building_arch_areas!$N$24</f>
        <v>13454.815890507176</v>
      </c>
      <c r="AB586" s="187">
        <f>model_eui_end_uses!AB586*base_building_arch_areas!$N$24</f>
        <v>0</v>
      </c>
      <c r="AC586" s="187">
        <f>model_eui_end_uses!AC586*base_building_arch_areas!$N$24</f>
        <v>265435.18149770249</v>
      </c>
      <c r="AD586" s="187">
        <f>model_eui_end_uses!AD586*base_building_arch_areas!$N$24</f>
        <v>37959.403350464803</v>
      </c>
      <c r="AE586" s="187">
        <f>model_eui_end_uses!AE586*base_building_arch_areas!$N$24</f>
        <v>-3950.5731658008735</v>
      </c>
      <c r="AF586" s="187">
        <f t="shared" si="104"/>
        <v>34008.83018466393</v>
      </c>
      <c r="AG586" s="187">
        <f>model_eui_end_uses!AH586*base_building_arch_areas!$N$24</f>
        <v>614.94233427752977</v>
      </c>
      <c r="AH586" s="187">
        <f>model_eui_end_uses!AI586*base_building_arch_areas!$N$24</f>
        <v>-446.41476773549869</v>
      </c>
      <c r="AI586" s="187">
        <f t="shared" si="105"/>
        <v>168.52756654203108</v>
      </c>
      <c r="AJ586" s="200">
        <f>sim_annual_output!F586/sim_annual_output!H586*base_building_arch_areas!$N$24</f>
        <v>4481.680737613864</v>
      </c>
      <c r="AK586">
        <f t="shared" si="106"/>
        <v>26.593161163910384</v>
      </c>
    </row>
    <row r="587" spans="1:37">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f>model_eui_end_uses!G587*base_scenario_arch_measures!$F587</f>
        <v>0</v>
      </c>
      <c r="H587">
        <f>model_eui_end_uses!H587*base_scenario_arch_measures!$F587</f>
        <v>0.73845644710845948</v>
      </c>
      <c r="I587">
        <f>model_eui_end_uses!I587*base_scenario_arch_measures!$F587</f>
        <v>0</v>
      </c>
      <c r="J587">
        <f>model_eui_end_uses!J587*base_scenario_arch_measures!$F587</f>
        <v>1.6891468394499041E-2</v>
      </c>
      <c r="K587">
        <f>model_eui_end_uses!K587*base_scenario_arch_measures!$F587</f>
        <v>0</v>
      </c>
      <c r="L587">
        <f>model_eui_end_uses!L587*base_scenario_arch_measures!$F587</f>
        <v>0.16336535468865948</v>
      </c>
      <c r="M587">
        <f>model_eui_end_uses!M587*base_scenario_arch_measures!$F587</f>
        <v>5.0329474297363209E-2</v>
      </c>
      <c r="N587">
        <f>model_eui_end_uses!N587*base_scenario_arch_measures!$F587</f>
        <v>0</v>
      </c>
      <c r="O587">
        <f>model_eui_end_uses!O587*base_scenario_arch_measures!$F587</f>
        <v>0.11751998191103716</v>
      </c>
      <c r="P587">
        <f>model_eui_end_uses!P587*base_scenario_arch_measures!$F587</f>
        <v>9.5921221423416456E-2</v>
      </c>
      <c r="Q587">
        <f>model_eui_end_uses!Q587*base_scenario_arch_measures!$F587</f>
        <v>0</v>
      </c>
      <c r="R587" s="187">
        <f>model_eui_end_uses!R587*base_building_arch_areas!$N$24</f>
        <v>0</v>
      </c>
      <c r="S587" s="187">
        <f>model_eui_end_uses!S587*base_building_arch_areas!$N$24</f>
        <v>215575.28614875863</v>
      </c>
      <c r="T587" s="187">
        <f>model_eui_end_uses!T587*base_building_arch_areas!$N$24</f>
        <v>0</v>
      </c>
      <c r="U587" s="187">
        <f>model_eui_end_uses!U587*base_building_arch_areas!$N$24</f>
        <v>1331.2496112250089</v>
      </c>
      <c r="V587" s="187">
        <f>model_eui_end_uses!V587*base_building_arch_areas!$N$24</f>
        <v>0</v>
      </c>
      <c r="W587" s="187">
        <f>model_eui_end_uses!W587*base_building_arch_areas!$N$24</f>
        <v>18392.8324664385</v>
      </c>
      <c r="X587" s="187">
        <f>model_eui_end_uses!X587*base_building_arch_areas!$N$24</f>
        <v>3966.5641569292911</v>
      </c>
      <c r="Y587" s="187">
        <f>model_eui_end_uses!Y587*base_building_arch_areas!$N$24</f>
        <v>0</v>
      </c>
      <c r="Z587" s="187">
        <f>model_eui_end_uses!Z587*base_building_arch_areas!$N$24</f>
        <v>12714.433223843898</v>
      </c>
      <c r="AA587" s="187">
        <f>model_eui_end_uses!AA587*base_building_arch_areas!$N$24</f>
        <v>13454.815890507176</v>
      </c>
      <c r="AB587" s="187">
        <f>model_eui_end_uses!AB587*base_building_arch_areas!$N$24</f>
        <v>0</v>
      </c>
      <c r="AC587" s="187">
        <f>model_eui_end_uses!AC587*base_building_arch_areas!$N$24</f>
        <v>265435.18149770249</v>
      </c>
      <c r="AD587" s="187">
        <f>model_eui_end_uses!AD587*base_building_arch_areas!$N$24</f>
        <v>157376.09143340224</v>
      </c>
      <c r="AE587" s="187">
        <f>model_eui_end_uses!AE587*base_building_arch_areas!$N$24</f>
        <v>14865.220884021242</v>
      </c>
      <c r="AF587" s="187">
        <f t="shared" si="104"/>
        <v>172241.31231742349</v>
      </c>
      <c r="AG587" s="187">
        <f>model_eui_end_uses!AH587*base_building_arch_areas!$N$24</f>
        <v>2549.4926812211165</v>
      </c>
      <c r="AH587" s="187">
        <f>model_eui_end_uses!AI587*base_building_arch_areas!$N$24</f>
        <v>1679.7699598944005</v>
      </c>
      <c r="AI587" s="187">
        <f t="shared" si="105"/>
        <v>4229.262641115517</v>
      </c>
      <c r="AJ587" s="200">
        <f>sim_annual_output!F587/sim_annual_output!H587*base_building_arch_areas!$N$24</f>
        <v>122461.79330519143</v>
      </c>
      <c r="AK587">
        <f t="shared" si="106"/>
        <v>28.955826038009008</v>
      </c>
    </row>
    <row r="588" spans="1:37">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f>model_eui_end_uses!G588*base_scenario_arch_measures!$F588</f>
        <v>0</v>
      </c>
      <c r="H588">
        <f>model_eui_end_uses!H588*base_scenario_arch_measures!$F588</f>
        <v>2.6611620763375274</v>
      </c>
      <c r="I588">
        <f>model_eui_end_uses!I588*base_scenario_arch_measures!$F588</f>
        <v>0</v>
      </c>
      <c r="J588">
        <f>model_eui_end_uses!J588*base_scenario_arch_measures!$F588</f>
        <v>1.6891468392989967E-2</v>
      </c>
      <c r="K588">
        <f>model_eui_end_uses!K588*base_scenario_arch_measures!$F588</f>
        <v>0</v>
      </c>
      <c r="L588">
        <f>model_eui_end_uses!L588*base_scenario_arch_measures!$F588</f>
        <v>0.23337617952693163</v>
      </c>
      <c r="M588">
        <f>model_eui_end_uses!M588*base_scenario_arch_measures!$F588</f>
        <v>5.0329474292866799E-2</v>
      </c>
      <c r="N588">
        <f>model_eui_end_uses!N588*base_scenario_arch_measures!$F588</f>
        <v>0</v>
      </c>
      <c r="O588">
        <f>model_eui_end_uses!O588*base_scenario_arch_measures!$F588</f>
        <v>0.16146823480049749</v>
      </c>
      <c r="P588">
        <f>model_eui_end_uses!P588*base_scenario_arch_measures!$F588</f>
        <v>0.1715219556277966</v>
      </c>
      <c r="Q588">
        <f>model_eui_end_uses!Q588*base_scenario_arch_measures!$F588</f>
        <v>0</v>
      </c>
      <c r="R588" s="187">
        <f>model_eui_end_uses!R588*base_building_arch_areas!$N$24</f>
        <v>0</v>
      </c>
      <c r="S588" s="187">
        <f>model_eui_end_uses!S588*base_building_arch_areas!$N$24</f>
        <v>215575.28614875863</v>
      </c>
      <c r="T588" s="187">
        <f>model_eui_end_uses!T588*base_building_arch_areas!$N$24</f>
        <v>0</v>
      </c>
      <c r="U588" s="187">
        <f>model_eui_end_uses!U588*base_building_arch_areas!$N$24</f>
        <v>1331.2496112250089</v>
      </c>
      <c r="V588" s="187">
        <f>model_eui_end_uses!V588*base_building_arch_areas!$N$24</f>
        <v>0</v>
      </c>
      <c r="W588" s="187">
        <f>model_eui_end_uses!W588*base_building_arch_areas!$N$24</f>
        <v>18392.8324664385</v>
      </c>
      <c r="X588" s="187">
        <f>model_eui_end_uses!X588*base_building_arch_areas!$N$24</f>
        <v>3966.5641569292911</v>
      </c>
      <c r="Y588" s="187">
        <f>model_eui_end_uses!Y588*base_building_arch_areas!$N$24</f>
        <v>0</v>
      </c>
      <c r="Z588" s="187">
        <f>model_eui_end_uses!Z588*base_building_arch_areas!$N$24</f>
        <v>12714.433223843898</v>
      </c>
      <c r="AA588" s="187">
        <f>model_eui_end_uses!AA588*base_building_arch_areas!$N$24</f>
        <v>13454.815890507176</v>
      </c>
      <c r="AB588" s="187">
        <f>model_eui_end_uses!AB588*base_building_arch_areas!$N$24</f>
        <v>0</v>
      </c>
      <c r="AC588" s="187">
        <f>model_eui_end_uses!AC588*base_building_arch_areas!$N$24</f>
        <v>265435.18149770249</v>
      </c>
      <c r="AD588" s="187">
        <f>model_eui_end_uses!AD588*base_building_arch_areas!$N$24</f>
        <v>5843.905975511233</v>
      </c>
      <c r="AE588" s="187">
        <f>model_eui_end_uses!AE588*base_building_arch_areas!$N$24</f>
        <v>-74.358081931652947</v>
      </c>
      <c r="AF588" s="187">
        <f t="shared" si="104"/>
        <v>5769.54789357958</v>
      </c>
      <c r="AG588" s="187">
        <f>model_eui_end_uses!AH588*base_building_arch_areas!$N$24</f>
        <v>94.67127680328197</v>
      </c>
      <c r="AH588" s="187">
        <f>model_eui_end_uses!AI588*base_building_arch_areas!$N$24</f>
        <v>-8.402463258276784</v>
      </c>
      <c r="AI588" s="187">
        <f t="shared" si="105"/>
        <v>86.268813545005187</v>
      </c>
      <c r="AJ588" s="200">
        <f>sim_annual_output!F588/sim_annual_output!H588*base_building_arch_areas!$N$24</f>
        <v>2591.4847071021254</v>
      </c>
      <c r="AK588">
        <f t="shared" si="106"/>
        <v>30.039647012766501</v>
      </c>
    </row>
    <row r="589" spans="1:37">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f>model_eui_end_uses!G589*base_scenario_arch_measures!$F589</f>
        <v>0</v>
      </c>
      <c r="H589">
        <f>model_eui_end_uses!H589*base_scenario_arch_measures!$F589</f>
        <v>2.6588895904996721</v>
      </c>
      <c r="I589">
        <f>model_eui_end_uses!I589*base_scenario_arch_measures!$F589</f>
        <v>0</v>
      </c>
      <c r="J589">
        <f>model_eui_end_uses!J589*base_scenario_arch_measures!$F589</f>
        <v>1.6891468392989967E-2</v>
      </c>
      <c r="K589">
        <f>model_eui_end_uses!K589*base_scenario_arch_measures!$F589</f>
        <v>0</v>
      </c>
      <c r="L589">
        <f>model_eui_end_uses!L589*base_scenario_arch_measures!$F589</f>
        <v>0.23337617952693163</v>
      </c>
      <c r="M589">
        <f>model_eui_end_uses!M589*base_scenario_arch_measures!$F589</f>
        <v>5.0329474292866799E-2</v>
      </c>
      <c r="N589">
        <f>model_eui_end_uses!N589*base_scenario_arch_measures!$F589</f>
        <v>0</v>
      </c>
      <c r="O589">
        <f>model_eui_end_uses!O589*base_scenario_arch_measures!$F589</f>
        <v>0.16117402904470363</v>
      </c>
      <c r="P589">
        <f>model_eui_end_uses!P589*base_scenario_arch_measures!$F589</f>
        <v>0.13409695448561043</v>
      </c>
      <c r="Q589">
        <f>model_eui_end_uses!Q589*base_scenario_arch_measures!$F589</f>
        <v>0</v>
      </c>
      <c r="R589" s="187">
        <f>model_eui_end_uses!R589*base_building_arch_areas!$N$24</f>
        <v>0</v>
      </c>
      <c r="S589" s="187">
        <f>model_eui_end_uses!S589*base_building_arch_areas!$N$24</f>
        <v>215575.28614875863</v>
      </c>
      <c r="T589" s="187">
        <f>model_eui_end_uses!T589*base_building_arch_areas!$N$24</f>
        <v>0</v>
      </c>
      <c r="U589" s="187">
        <f>model_eui_end_uses!U589*base_building_arch_areas!$N$24</f>
        <v>1331.2496112250089</v>
      </c>
      <c r="V589" s="187">
        <f>model_eui_end_uses!V589*base_building_arch_areas!$N$24</f>
        <v>0</v>
      </c>
      <c r="W589" s="187">
        <f>model_eui_end_uses!W589*base_building_arch_areas!$N$24</f>
        <v>18392.8324664385</v>
      </c>
      <c r="X589" s="187">
        <f>model_eui_end_uses!X589*base_building_arch_areas!$N$24</f>
        <v>3966.5641569292911</v>
      </c>
      <c r="Y589" s="187">
        <f>model_eui_end_uses!Y589*base_building_arch_areas!$N$24</f>
        <v>0</v>
      </c>
      <c r="Z589" s="187">
        <f>model_eui_end_uses!Z589*base_building_arch_areas!$N$24</f>
        <v>12714.433223843898</v>
      </c>
      <c r="AA589" s="187">
        <f>model_eui_end_uses!AA589*base_building_arch_areas!$N$24</f>
        <v>13454.815890507176</v>
      </c>
      <c r="AB589" s="187">
        <f>model_eui_end_uses!AB589*base_building_arch_areas!$N$24</f>
        <v>0</v>
      </c>
      <c r="AC589" s="187">
        <f>model_eui_end_uses!AC589*base_building_arch_areas!$N$24</f>
        <v>265435.18149770249</v>
      </c>
      <c r="AD589" s="187">
        <f>model_eui_end_uses!AD589*base_building_arch_areas!$N$24</f>
        <v>6023.0050222906539</v>
      </c>
      <c r="AE589" s="187">
        <f>model_eui_end_uses!AE589*base_building_arch_areas!$N$24</f>
        <v>2898.3662748805955</v>
      </c>
      <c r="AF589" s="187">
        <f t="shared" si="104"/>
        <v>8921.3712971712484</v>
      </c>
      <c r="AG589" s="187">
        <f>model_eui_end_uses!AH589*base_building_arch_areas!$N$24</f>
        <v>97.572681361108593</v>
      </c>
      <c r="AH589" s="187">
        <f>model_eui_end_uses!AI589*base_building_arch_areas!$N$24</f>
        <v>327.51538906150728</v>
      </c>
      <c r="AI589" s="187">
        <f t="shared" si="105"/>
        <v>425.08807042261589</v>
      </c>
      <c r="AJ589" s="200">
        <f>sim_annual_output!F589/sim_annual_output!H589*base_building_arch_areas!$N$24</f>
        <v>3058.1013108198176</v>
      </c>
      <c r="AK589">
        <f t="shared" si="106"/>
        <v>7.1940417141781969</v>
      </c>
    </row>
    <row r="590" spans="1:37">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f>model_eui_end_uses!G590*base_scenario_arch_measures!$F590</f>
        <v>0</v>
      </c>
      <c r="H590">
        <f>model_eui_end_uses!H590*base_scenario_arch_measures!$F590</f>
        <v>4.2362594361996333</v>
      </c>
      <c r="I590">
        <f>model_eui_end_uses!I590*base_scenario_arch_measures!$F590</f>
        <v>0</v>
      </c>
      <c r="J590">
        <f>model_eui_end_uses!J590*base_scenario_arch_measures!$F590</f>
        <v>3.8212053857422816E-2</v>
      </c>
      <c r="K590">
        <f>model_eui_end_uses!K590*base_scenario_arch_measures!$F590</f>
        <v>0</v>
      </c>
      <c r="L590">
        <f>model_eui_end_uses!L590*base_scenario_arch_measures!$F590</f>
        <v>0.52794599815985244</v>
      </c>
      <c r="M590">
        <f>model_eui_end_uses!M590*base_scenario_arch_measures!$F590</f>
        <v>0.11385585536737212</v>
      </c>
      <c r="N590">
        <f>model_eui_end_uses!N590*base_scenario_arch_measures!$F590</f>
        <v>0</v>
      </c>
      <c r="O590">
        <f>model_eui_end_uses!O590*base_scenario_arch_measures!$F590</f>
        <v>0.28850674416916644</v>
      </c>
      <c r="P590">
        <f>model_eui_end_uses!P590*base_scenario_arch_measures!$F590</f>
        <v>0.2701695483541029</v>
      </c>
      <c r="Q590">
        <f>model_eui_end_uses!Q590*base_scenario_arch_measures!$F590</f>
        <v>0</v>
      </c>
      <c r="R590" s="187">
        <f>model_eui_end_uses!R590*base_building_arch_areas!$N$25</f>
        <v>0</v>
      </c>
      <c r="S590" s="187">
        <f>model_eui_end_uses!S590*base_building_arch_areas!$N$25</f>
        <v>971157.33175334986</v>
      </c>
      <c r="T590" s="187">
        <f>model_eui_end_uses!T590*base_building_arch_areas!$N$25</f>
        <v>0</v>
      </c>
      <c r="U590" s="187">
        <f>model_eui_end_uses!U590*base_building_arch_areas!$N$25</f>
        <v>8768.4275573993691</v>
      </c>
      <c r="V590" s="187">
        <f>model_eui_end_uses!V590*base_building_arch_areas!$N$25</f>
        <v>0</v>
      </c>
      <c r="W590" s="187">
        <f>model_eui_end_uses!W590*base_building_arch_areas!$N$25</f>
        <v>121146.4910092583</v>
      </c>
      <c r="X590" s="187">
        <f>model_eui_end_uses!X590*base_building_arch_areas!$N$25</f>
        <v>26126.227695050013</v>
      </c>
      <c r="Y590" s="187">
        <f>model_eui_end_uses!Y590*base_building_arch_areas!$N$25</f>
        <v>0</v>
      </c>
      <c r="Z590" s="187">
        <f>model_eui_end_uses!Z590*base_building_arch_areas!$N$25</f>
        <v>56976.346993095358</v>
      </c>
      <c r="AA590" s="187">
        <f>model_eui_end_uses!AA590*base_building_arch_areas!$N$25</f>
        <v>61505.384650370717</v>
      </c>
      <c r="AB590" s="187">
        <f>model_eui_end_uses!AB590*base_building_arch_areas!$N$25</f>
        <v>0</v>
      </c>
      <c r="AC590" s="187">
        <f>model_eui_end_uses!AC590*base_building_arch_areas!$N$25</f>
        <v>1245680.2096585236</v>
      </c>
      <c r="AD590" s="187">
        <f>model_eui_end_uses!AD590*base_building_arch_areas!$N$25</f>
        <v>-926.87277395642741</v>
      </c>
      <c r="AE590" s="187">
        <f>model_eui_end_uses!AE590*base_building_arch_areas!$N$25</f>
        <v>-9716.3656463190418</v>
      </c>
      <c r="AF590" s="187">
        <f t="shared" ref="AF590" si="107">SUM(AD590:AE590)</f>
        <v>-10643.238420275469</v>
      </c>
      <c r="AG590" s="187">
        <f>model_eui_end_uses!AH590*base_building_arch_areas!$N$25</f>
        <v>-15.015338938094125</v>
      </c>
      <c r="AH590" s="187">
        <f>model_eui_end_uses!AI590*base_building_arch_areas!$N$25</f>
        <v>-1097.9493180340517</v>
      </c>
      <c r="AI590" s="187">
        <f t="shared" ref="AI590" si="108">SUM(AG590:AH590)</f>
        <v>-1112.9646569721458</v>
      </c>
      <c r="AJ590" s="200">
        <f>sim_annual_output!F590/sim_annual_output!H590*base_building_arch_areas!$N$25</f>
        <v>56024.932866770352</v>
      </c>
      <c r="AK590">
        <f t="shared" ref="AK590" si="109">IF(AI590=0,0,AJ590/AI590)</f>
        <v>-50.338465391334068</v>
      </c>
    </row>
    <row r="591" spans="1:37">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f>model_eui_end_uses!G591*base_scenario_arch_measures!$F591</f>
        <v>0</v>
      </c>
      <c r="H591">
        <f>model_eui_end_uses!H591*base_scenario_arch_measures!$F591</f>
        <v>4.232220204293033</v>
      </c>
      <c r="I591">
        <f>model_eui_end_uses!I591*base_scenario_arch_measures!$F591</f>
        <v>0</v>
      </c>
      <c r="J591">
        <f>model_eui_end_uses!J591*base_scenario_arch_measures!$F591</f>
        <v>3.8212053860836655E-2</v>
      </c>
      <c r="K591">
        <f>model_eui_end_uses!K591*base_scenario_arch_measures!$F591</f>
        <v>0</v>
      </c>
      <c r="L591">
        <f>model_eui_end_uses!L591*base_scenario_arch_measures!$F591</f>
        <v>0.52794599820701882</v>
      </c>
      <c r="M591">
        <f>model_eui_end_uses!M591*base_scenario_arch_measures!$F591</f>
        <v>0.11385585537754395</v>
      </c>
      <c r="N591">
        <f>model_eui_end_uses!N591*base_scenario_arch_measures!$F591</f>
        <v>0</v>
      </c>
      <c r="O591">
        <f>model_eui_end_uses!O591*base_scenario_arch_measures!$F591</f>
        <v>0.24829802445669175</v>
      </c>
      <c r="P591">
        <f>model_eui_end_uses!P591*base_scenario_arch_measures!$F591</f>
        <v>0.26803518140583266</v>
      </c>
      <c r="Q591">
        <f>model_eui_end_uses!Q591*base_scenario_arch_measures!$F591</f>
        <v>0</v>
      </c>
      <c r="R591" s="187">
        <f>model_eui_end_uses!R591*base_building_arch_areas!$N$25</f>
        <v>0</v>
      </c>
      <c r="S591" s="187">
        <f>model_eui_end_uses!S591*base_building_arch_areas!$N$25</f>
        <v>971157.33175334986</v>
      </c>
      <c r="T591" s="187">
        <f>model_eui_end_uses!T591*base_building_arch_areas!$N$25</f>
        <v>0</v>
      </c>
      <c r="U591" s="187">
        <f>model_eui_end_uses!U591*base_building_arch_areas!$N$25</f>
        <v>8768.4275573993691</v>
      </c>
      <c r="V591" s="187">
        <f>model_eui_end_uses!V591*base_building_arch_areas!$N$25</f>
        <v>0</v>
      </c>
      <c r="W591" s="187">
        <f>model_eui_end_uses!W591*base_building_arch_areas!$N$25</f>
        <v>121146.4910092583</v>
      </c>
      <c r="X591" s="187">
        <f>model_eui_end_uses!X591*base_building_arch_areas!$N$25</f>
        <v>26126.227695050013</v>
      </c>
      <c r="Y591" s="187">
        <f>model_eui_end_uses!Y591*base_building_arch_areas!$N$25</f>
        <v>0</v>
      </c>
      <c r="Z591" s="187">
        <f>model_eui_end_uses!Z591*base_building_arch_areas!$N$25</f>
        <v>56976.346993095358</v>
      </c>
      <c r="AA591" s="187">
        <f>model_eui_end_uses!AA591*base_building_arch_areas!$N$25</f>
        <v>61505.384650370717</v>
      </c>
      <c r="AB591" s="187">
        <f>model_eui_end_uses!AB591*base_building_arch_areas!$N$25</f>
        <v>0</v>
      </c>
      <c r="AC591" s="187">
        <f>model_eui_end_uses!AC591*base_building_arch_areas!$N$25</f>
        <v>1245680.2096585236</v>
      </c>
      <c r="AD591" s="187">
        <f>model_eui_end_uses!AD591*base_building_arch_areas!$N$25</f>
        <v>0</v>
      </c>
      <c r="AE591" s="187">
        <f>model_eui_end_uses!AE591*base_building_arch_areas!$N$25</f>
        <v>0</v>
      </c>
      <c r="AF591" s="187">
        <f t="shared" ref="AF591:AF611" si="110">SUM(AD591:AE591)</f>
        <v>0</v>
      </c>
      <c r="AG591" s="187">
        <f>model_eui_end_uses!AH591*base_building_arch_areas!$N$25</f>
        <v>0</v>
      </c>
      <c r="AH591" s="187">
        <f>model_eui_end_uses!AI591*base_building_arch_areas!$N$25</f>
        <v>0</v>
      </c>
      <c r="AI591" s="187">
        <f t="shared" ref="AI591:AI611" si="111">SUM(AG591:AH591)</f>
        <v>0</v>
      </c>
      <c r="AJ591" s="200">
        <f>sim_annual_output!F591/sim_annual_output!H591*base_building_arch_areas!$N$25</f>
        <v>0</v>
      </c>
      <c r="AK591">
        <f t="shared" ref="AK591:AK611" si="112">IF(AI591=0,0,AJ591/AI591)</f>
        <v>0</v>
      </c>
    </row>
    <row r="592" spans="1:37">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f>model_eui_end_uses!G592*base_scenario_arch_measures!$F592</f>
        <v>0</v>
      </c>
      <c r="H592">
        <f>model_eui_end_uses!H592*base_scenario_arch_measures!$F592</f>
        <v>4.1668351341463579</v>
      </c>
      <c r="I592">
        <f>model_eui_end_uses!I592*base_scenario_arch_measures!$F592</f>
        <v>0</v>
      </c>
      <c r="J592">
        <f>model_eui_end_uses!J592*base_scenario_arch_measures!$F592</f>
        <v>3.8212053857422816E-2</v>
      </c>
      <c r="K592">
        <f>model_eui_end_uses!K592*base_scenario_arch_measures!$F592</f>
        <v>0</v>
      </c>
      <c r="L592">
        <f>model_eui_end_uses!L592*base_scenario_arch_measures!$F592</f>
        <v>0.52794599815985244</v>
      </c>
      <c r="M592">
        <f>model_eui_end_uses!M592*base_scenario_arch_measures!$F592</f>
        <v>0.11385585536737212</v>
      </c>
      <c r="N592">
        <f>model_eui_end_uses!N592*base_scenario_arch_measures!$F592</f>
        <v>0</v>
      </c>
      <c r="O592">
        <f>model_eui_end_uses!O592*base_scenario_arch_measures!$F592</f>
        <v>0.24894062954442356</v>
      </c>
      <c r="P592">
        <f>model_eui_end_uses!P592*base_scenario_arch_measures!$F592</f>
        <v>0.26980234543415166</v>
      </c>
      <c r="Q592">
        <f>model_eui_end_uses!Q592*base_scenario_arch_measures!$F592</f>
        <v>0</v>
      </c>
      <c r="R592" s="187">
        <f>model_eui_end_uses!R592*base_building_arch_areas!$N$25</f>
        <v>0</v>
      </c>
      <c r="S592" s="187">
        <f>model_eui_end_uses!S592*base_building_arch_areas!$N$25</f>
        <v>971157.33175334986</v>
      </c>
      <c r="T592" s="187">
        <f>model_eui_end_uses!T592*base_building_arch_areas!$N$25</f>
        <v>0</v>
      </c>
      <c r="U592" s="187">
        <f>model_eui_end_uses!U592*base_building_arch_areas!$N$25</f>
        <v>8768.4275573993691</v>
      </c>
      <c r="V592" s="187">
        <f>model_eui_end_uses!V592*base_building_arch_areas!$N$25</f>
        <v>0</v>
      </c>
      <c r="W592" s="187">
        <f>model_eui_end_uses!W592*base_building_arch_areas!$N$25</f>
        <v>121146.4910092583</v>
      </c>
      <c r="X592" s="187">
        <f>model_eui_end_uses!X592*base_building_arch_areas!$N$25</f>
        <v>26126.227695050013</v>
      </c>
      <c r="Y592" s="187">
        <f>model_eui_end_uses!Y592*base_building_arch_areas!$N$25</f>
        <v>0</v>
      </c>
      <c r="Z592" s="187">
        <f>model_eui_end_uses!Z592*base_building_arch_areas!$N$25</f>
        <v>56976.346993095358</v>
      </c>
      <c r="AA592" s="187">
        <f>model_eui_end_uses!AA592*base_building_arch_areas!$N$25</f>
        <v>61505.384650370717</v>
      </c>
      <c r="AB592" s="187">
        <f>model_eui_end_uses!AB592*base_building_arch_areas!$N$25</f>
        <v>0</v>
      </c>
      <c r="AC592" s="187">
        <f>model_eui_end_uses!AC592*base_building_arch_areas!$N$25</f>
        <v>1245680.2096585236</v>
      </c>
      <c r="AD592" s="187">
        <f>model_eui_end_uses!AD592*base_building_arch_areas!$N$25</f>
        <v>15003.753867943467</v>
      </c>
      <c r="AE592" s="187">
        <f>model_eui_end_uses!AE592*base_building_arch_areas!$N$25</f>
        <v>-552.96387544106494</v>
      </c>
      <c r="AF592" s="187">
        <f t="shared" si="110"/>
        <v>14450.789992502403</v>
      </c>
      <c r="AG592" s="187">
        <f>model_eui_end_uses!AH592*base_building_arch_areas!$N$25</f>
        <v>243.06081266068415</v>
      </c>
      <c r="AH592" s="187">
        <f>model_eui_end_uses!AI592*base_building_arch_areas!$N$25</f>
        <v>-62.484917924840346</v>
      </c>
      <c r="AI592" s="187">
        <f t="shared" si="111"/>
        <v>180.5758947358438</v>
      </c>
      <c r="AJ592" s="200">
        <f>sim_annual_output!F592/sim_annual_output!H592*base_building_arch_areas!$N$25</f>
        <v>203957.1980300674</v>
      </c>
      <c r="AK592">
        <f t="shared" si="112"/>
        <v>1129.481863171311</v>
      </c>
    </row>
    <row r="593" spans="1:37">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f>model_eui_end_uses!G593*base_scenario_arch_measures!$F593</f>
        <v>0</v>
      </c>
      <c r="H593">
        <f>model_eui_end_uses!H593*base_scenario_arch_measures!$F593</f>
        <v>2.5884822332835715</v>
      </c>
      <c r="I593">
        <f>model_eui_end_uses!I593*base_scenario_arch_measures!$F593</f>
        <v>0</v>
      </c>
      <c r="J593">
        <f>model_eui_end_uses!J593*base_scenario_arch_measures!$F593</f>
        <v>3.8212053857422816E-2</v>
      </c>
      <c r="K593">
        <f>model_eui_end_uses!K593*base_scenario_arch_measures!$F593</f>
        <v>0</v>
      </c>
      <c r="L593">
        <f>model_eui_end_uses!L593*base_scenario_arch_measures!$F593</f>
        <v>0.52794599815985244</v>
      </c>
      <c r="M593">
        <f>model_eui_end_uses!M593*base_scenario_arch_measures!$F593</f>
        <v>0.11385585536737212</v>
      </c>
      <c r="N593">
        <f>model_eui_end_uses!N593*base_scenario_arch_measures!$F593</f>
        <v>0</v>
      </c>
      <c r="O593">
        <f>model_eui_end_uses!O593*base_scenario_arch_measures!$F593</f>
        <v>0.24894062954442356</v>
      </c>
      <c r="P593">
        <f>model_eui_end_uses!P593*base_scenario_arch_measures!$F593</f>
        <v>0.26980234543415166</v>
      </c>
      <c r="Q593">
        <f>model_eui_end_uses!Q593*base_scenario_arch_measures!$F593</f>
        <v>0</v>
      </c>
      <c r="R593" s="187">
        <f>model_eui_end_uses!R593*base_building_arch_areas!$N$25</f>
        <v>0</v>
      </c>
      <c r="S593" s="187">
        <f>model_eui_end_uses!S593*base_building_arch_areas!$N$25</f>
        <v>971157.33175334986</v>
      </c>
      <c r="T593" s="187">
        <f>model_eui_end_uses!T593*base_building_arch_areas!$N$25</f>
        <v>0</v>
      </c>
      <c r="U593" s="187">
        <f>model_eui_end_uses!U593*base_building_arch_areas!$N$25</f>
        <v>8768.4275573993691</v>
      </c>
      <c r="V593" s="187">
        <f>model_eui_end_uses!V593*base_building_arch_areas!$N$25</f>
        <v>0</v>
      </c>
      <c r="W593" s="187">
        <f>model_eui_end_uses!W593*base_building_arch_areas!$N$25</f>
        <v>121146.4910092583</v>
      </c>
      <c r="X593" s="187">
        <f>model_eui_end_uses!X593*base_building_arch_areas!$N$25</f>
        <v>26126.227695050013</v>
      </c>
      <c r="Y593" s="187">
        <f>model_eui_end_uses!Y593*base_building_arch_areas!$N$25</f>
        <v>0</v>
      </c>
      <c r="Z593" s="187">
        <f>model_eui_end_uses!Z593*base_building_arch_areas!$N$25</f>
        <v>56976.346993095358</v>
      </c>
      <c r="AA593" s="187">
        <f>model_eui_end_uses!AA593*base_building_arch_areas!$N$25</f>
        <v>61505.384650370717</v>
      </c>
      <c r="AB593" s="187">
        <f>model_eui_end_uses!AB593*base_building_arch_areas!$N$25</f>
        <v>0</v>
      </c>
      <c r="AC593" s="187">
        <f>model_eui_end_uses!AC593*base_building_arch_areas!$N$25</f>
        <v>1245680.2096585236</v>
      </c>
      <c r="AD593" s="187">
        <f>model_eui_end_uses!AD593*base_building_arch_areas!$N$25</f>
        <v>377184.57570046751</v>
      </c>
      <c r="AE593" s="187">
        <f>model_eui_end_uses!AE593*base_building_arch_areas!$N$25</f>
        <v>-552.96387544106494</v>
      </c>
      <c r="AF593" s="187">
        <f t="shared" si="110"/>
        <v>376631.61182502646</v>
      </c>
      <c r="AG593" s="187">
        <f>model_eui_end_uses!AH593*base_building_arch_areas!$N$25</f>
        <v>6110.3901263475736</v>
      </c>
      <c r="AH593" s="187">
        <f>model_eui_end_uses!AI593*base_building_arch_areas!$N$25</f>
        <v>-62.484917924840346</v>
      </c>
      <c r="AI593" s="187">
        <f t="shared" si="111"/>
        <v>6047.9052084227333</v>
      </c>
      <c r="AJ593" s="200">
        <f>sim_annual_output!F593/sim_annual_output!H593*base_building_arch_areas!$N$25</f>
        <v>5755.8856920684284</v>
      </c>
      <c r="AK593">
        <f t="shared" si="112"/>
        <v>0.95171559303746722</v>
      </c>
    </row>
    <row r="594" spans="1:37">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f>model_eui_end_uses!G594*base_scenario_arch_measures!$F594</f>
        <v>0</v>
      </c>
      <c r="H594">
        <f>model_eui_end_uses!H594*base_scenario_arch_measures!$F594</f>
        <v>3.3812733374582344</v>
      </c>
      <c r="I594">
        <f>model_eui_end_uses!I594*base_scenario_arch_measures!$F594</f>
        <v>0</v>
      </c>
      <c r="J594">
        <f>model_eui_end_uses!J594*base_scenario_arch_measures!$F594</f>
        <v>3.8212053857422816E-2</v>
      </c>
      <c r="K594">
        <f>model_eui_end_uses!K594*base_scenario_arch_measures!$F594</f>
        <v>0</v>
      </c>
      <c r="L594">
        <f>model_eui_end_uses!L594*base_scenario_arch_measures!$F594</f>
        <v>0.52794599815985244</v>
      </c>
      <c r="M594">
        <f>model_eui_end_uses!M594*base_scenario_arch_measures!$F594</f>
        <v>0.11385585536737212</v>
      </c>
      <c r="N594">
        <f>model_eui_end_uses!N594*base_scenario_arch_measures!$F594</f>
        <v>0</v>
      </c>
      <c r="O594">
        <f>model_eui_end_uses!O594*base_scenario_arch_measures!$F594</f>
        <v>0.24696691384968583</v>
      </c>
      <c r="P594">
        <f>model_eui_end_uses!P594*base_scenario_arch_measures!$F594</f>
        <v>0.26980234543415166</v>
      </c>
      <c r="Q594">
        <f>model_eui_end_uses!Q594*base_scenario_arch_measures!$F594</f>
        <v>0</v>
      </c>
      <c r="R594" s="187">
        <f>model_eui_end_uses!R594*base_building_arch_areas!$N$25</f>
        <v>0</v>
      </c>
      <c r="S594" s="187">
        <f>model_eui_end_uses!S594*base_building_arch_areas!$N$25</f>
        <v>971157.33175334986</v>
      </c>
      <c r="T594" s="187">
        <f>model_eui_end_uses!T594*base_building_arch_areas!$N$25</f>
        <v>0</v>
      </c>
      <c r="U594" s="187">
        <f>model_eui_end_uses!U594*base_building_arch_areas!$N$25</f>
        <v>8768.4275573993691</v>
      </c>
      <c r="V594" s="187">
        <f>model_eui_end_uses!V594*base_building_arch_areas!$N$25</f>
        <v>0</v>
      </c>
      <c r="W594" s="187">
        <f>model_eui_end_uses!W594*base_building_arch_areas!$N$25</f>
        <v>121146.4910092583</v>
      </c>
      <c r="X594" s="187">
        <f>model_eui_end_uses!X594*base_building_arch_areas!$N$25</f>
        <v>26126.227695050013</v>
      </c>
      <c r="Y594" s="187">
        <f>model_eui_end_uses!Y594*base_building_arch_areas!$N$25</f>
        <v>0</v>
      </c>
      <c r="Z594" s="187">
        <f>model_eui_end_uses!Z594*base_building_arch_areas!$N$25</f>
        <v>56976.346993095358</v>
      </c>
      <c r="AA594" s="187">
        <f>model_eui_end_uses!AA594*base_building_arch_areas!$N$25</f>
        <v>61505.384650370717</v>
      </c>
      <c r="AB594" s="187">
        <f>model_eui_end_uses!AB594*base_building_arch_areas!$N$25</f>
        <v>0</v>
      </c>
      <c r="AC594" s="187">
        <f>model_eui_end_uses!AC594*base_building_arch_areas!$N$25</f>
        <v>1245680.2096585236</v>
      </c>
      <c r="AD594" s="187">
        <f>model_eui_end_uses!AD594*base_building_arch_areas!$N$25</f>
        <v>195264.71893425539</v>
      </c>
      <c r="AE594" s="187">
        <f>model_eui_end_uses!AE594*base_building_arch_areas!$N$25</f>
        <v>-100.06010975396576</v>
      </c>
      <c r="AF594" s="187">
        <f t="shared" si="110"/>
        <v>195164.65882450141</v>
      </c>
      <c r="AG594" s="187">
        <f>model_eui_end_uses!AH594*base_building_arch_areas!$N$25</f>
        <v>3163.2884467349372</v>
      </c>
      <c r="AH594" s="187">
        <f>model_eui_end_uses!AI594*base_building_arch_areas!$N$25</f>
        <v>-11.306792402198132</v>
      </c>
      <c r="AI594" s="187">
        <f t="shared" si="111"/>
        <v>3151.9816543327393</v>
      </c>
      <c r="AJ594" s="200">
        <f>sim_annual_output!F594/sim_annual_output!H594*base_building_arch_areas!$N$25</f>
        <v>52626.771643338514</v>
      </c>
      <c r="AK594">
        <f t="shared" si="112"/>
        <v>16.696407979087482</v>
      </c>
    </row>
    <row r="595" spans="1:37">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f>model_eui_end_uses!G595*base_scenario_arch_measures!$F595</f>
        <v>0</v>
      </c>
      <c r="H595">
        <f>model_eui_end_uses!H595*base_scenario_arch_measures!$F595</f>
        <v>4.1668351341463579</v>
      </c>
      <c r="I595">
        <f>model_eui_end_uses!I595*base_scenario_arch_measures!$F595</f>
        <v>0</v>
      </c>
      <c r="J595">
        <f>model_eui_end_uses!J595*base_scenario_arch_measures!$F595</f>
        <v>3.8212053857422816E-2</v>
      </c>
      <c r="K595">
        <f>model_eui_end_uses!K595*base_scenario_arch_measures!$F595</f>
        <v>0</v>
      </c>
      <c r="L595">
        <f>model_eui_end_uses!L595*base_scenario_arch_measures!$F595</f>
        <v>0.52794599815985244</v>
      </c>
      <c r="M595">
        <f>model_eui_end_uses!M595*base_scenario_arch_measures!$F595</f>
        <v>0.11385585536737212</v>
      </c>
      <c r="N595">
        <f>model_eui_end_uses!N595*base_scenario_arch_measures!$F595</f>
        <v>0</v>
      </c>
      <c r="O595">
        <f>model_eui_end_uses!O595*base_scenario_arch_measures!$F595</f>
        <v>0.24894062954442356</v>
      </c>
      <c r="P595">
        <f>model_eui_end_uses!P595*base_scenario_arch_measures!$F595</f>
        <v>0.26980234543415166</v>
      </c>
      <c r="Q595">
        <f>model_eui_end_uses!Q595*base_scenario_arch_measures!$F595</f>
        <v>0</v>
      </c>
      <c r="R595" s="187">
        <f>model_eui_end_uses!R595*base_building_arch_areas!$N$25</f>
        <v>0</v>
      </c>
      <c r="S595" s="187">
        <f>model_eui_end_uses!S595*base_building_arch_areas!$N$25</f>
        <v>971157.33175334986</v>
      </c>
      <c r="T595" s="187">
        <f>model_eui_end_uses!T595*base_building_arch_areas!$N$25</f>
        <v>0</v>
      </c>
      <c r="U595" s="187">
        <f>model_eui_end_uses!U595*base_building_arch_areas!$N$25</f>
        <v>8768.4275573993691</v>
      </c>
      <c r="V595" s="187">
        <f>model_eui_end_uses!V595*base_building_arch_areas!$N$25</f>
        <v>0</v>
      </c>
      <c r="W595" s="187">
        <f>model_eui_end_uses!W595*base_building_arch_areas!$N$25</f>
        <v>121146.4910092583</v>
      </c>
      <c r="X595" s="187">
        <f>model_eui_end_uses!X595*base_building_arch_areas!$N$25</f>
        <v>26126.227695050013</v>
      </c>
      <c r="Y595" s="187">
        <f>model_eui_end_uses!Y595*base_building_arch_areas!$N$25</f>
        <v>0</v>
      </c>
      <c r="Z595" s="187">
        <f>model_eui_end_uses!Z595*base_building_arch_areas!$N$25</f>
        <v>56976.346993095358</v>
      </c>
      <c r="AA595" s="187">
        <f>model_eui_end_uses!AA595*base_building_arch_areas!$N$25</f>
        <v>61505.384650370717</v>
      </c>
      <c r="AB595" s="187">
        <f>model_eui_end_uses!AB595*base_building_arch_areas!$N$25</f>
        <v>0</v>
      </c>
      <c r="AC595" s="187">
        <f>model_eui_end_uses!AC595*base_building_arch_areas!$N$25</f>
        <v>1245680.2096585236</v>
      </c>
      <c r="AD595" s="187">
        <f>model_eui_end_uses!AD595*base_building_arch_areas!$N$25</f>
        <v>15003.753867943467</v>
      </c>
      <c r="AE595" s="187">
        <f>model_eui_end_uses!AE595*base_building_arch_areas!$N$25</f>
        <v>-552.96387544106494</v>
      </c>
      <c r="AF595" s="187">
        <f t="shared" si="110"/>
        <v>14450.789992502403</v>
      </c>
      <c r="AG595" s="187">
        <f>model_eui_end_uses!AH595*base_building_arch_areas!$N$25</f>
        <v>243.06081266068415</v>
      </c>
      <c r="AH595" s="187">
        <f>model_eui_end_uses!AI595*base_building_arch_areas!$N$25</f>
        <v>-62.484917924840346</v>
      </c>
      <c r="AI595" s="187">
        <f t="shared" si="111"/>
        <v>180.5758947358438</v>
      </c>
      <c r="AJ595" s="200">
        <f>sim_annual_output!F595/sim_annual_output!H595*base_building_arch_areas!$N$25</f>
        <v>56024.932866770352</v>
      </c>
      <c r="AK595">
        <f t="shared" si="112"/>
        <v>310.25698612058193</v>
      </c>
    </row>
    <row r="596" spans="1:37">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f>model_eui_end_uses!G596*base_scenario_arch_measures!$F596</f>
        <v>0</v>
      </c>
      <c r="H596">
        <f>model_eui_end_uses!H596*base_scenario_arch_measures!$F596</f>
        <v>4.1781725242998515</v>
      </c>
      <c r="I596">
        <f>model_eui_end_uses!I596*base_scenario_arch_measures!$F596</f>
        <v>0</v>
      </c>
      <c r="J596">
        <f>model_eui_end_uses!J596*base_scenario_arch_measures!$F596</f>
        <v>3.8212053857422816E-2</v>
      </c>
      <c r="K596">
        <f>model_eui_end_uses!K596*base_scenario_arch_measures!$F596</f>
        <v>0</v>
      </c>
      <c r="L596">
        <f>model_eui_end_uses!L596*base_scenario_arch_measures!$F596</f>
        <v>0.52794599815985244</v>
      </c>
      <c r="M596">
        <f>model_eui_end_uses!M596*base_scenario_arch_measures!$F596</f>
        <v>0.11385585536737212</v>
      </c>
      <c r="N596">
        <f>model_eui_end_uses!N596*base_scenario_arch_measures!$F596</f>
        <v>0</v>
      </c>
      <c r="O596">
        <f>model_eui_end_uses!O596*base_scenario_arch_measures!$F596</f>
        <v>0.24896357972692051</v>
      </c>
      <c r="P596">
        <f>model_eui_end_uses!P596*base_scenario_arch_measures!$F596</f>
        <v>0.26181568192521287</v>
      </c>
      <c r="Q596">
        <f>model_eui_end_uses!Q596*base_scenario_arch_measures!$F596</f>
        <v>0</v>
      </c>
      <c r="R596" s="187">
        <f>model_eui_end_uses!R596*base_building_arch_areas!$N$25</f>
        <v>0</v>
      </c>
      <c r="S596" s="187">
        <f>model_eui_end_uses!S596*base_building_arch_areas!$N$25</f>
        <v>971157.33175334986</v>
      </c>
      <c r="T596" s="187">
        <f>model_eui_end_uses!T596*base_building_arch_areas!$N$25</f>
        <v>0</v>
      </c>
      <c r="U596" s="187">
        <f>model_eui_end_uses!U596*base_building_arch_areas!$N$25</f>
        <v>8768.4275573993691</v>
      </c>
      <c r="V596" s="187">
        <f>model_eui_end_uses!V596*base_building_arch_areas!$N$25</f>
        <v>0</v>
      </c>
      <c r="W596" s="187">
        <f>model_eui_end_uses!W596*base_building_arch_areas!$N$25</f>
        <v>121146.4910092583</v>
      </c>
      <c r="X596" s="187">
        <f>model_eui_end_uses!X596*base_building_arch_areas!$N$25</f>
        <v>26126.227695050013</v>
      </c>
      <c r="Y596" s="187">
        <f>model_eui_end_uses!Y596*base_building_arch_areas!$N$25</f>
        <v>0</v>
      </c>
      <c r="Z596" s="187">
        <f>model_eui_end_uses!Z596*base_building_arch_areas!$N$25</f>
        <v>56976.346993095358</v>
      </c>
      <c r="AA596" s="187">
        <f>model_eui_end_uses!AA596*base_building_arch_areas!$N$25</f>
        <v>61505.384650370717</v>
      </c>
      <c r="AB596" s="187">
        <f>model_eui_end_uses!AB596*base_building_arch_areas!$N$25</f>
        <v>0</v>
      </c>
      <c r="AC596" s="187">
        <f>model_eui_end_uses!AC596*base_building_arch_areas!$N$25</f>
        <v>1245680.2096585236</v>
      </c>
      <c r="AD596" s="187">
        <f>model_eui_end_uses!AD596*base_building_arch_areas!$N$25</f>
        <v>12402.190376671268</v>
      </c>
      <c r="AE596" s="187">
        <f>model_eui_end_uses!AE596*base_building_arch_areas!$N$25</f>
        <v>1274.4501558777079</v>
      </c>
      <c r="AF596" s="187">
        <f t="shared" si="110"/>
        <v>13676.640532548976</v>
      </c>
      <c r="AG596" s="187">
        <f>model_eui_end_uses!AH596*base_building_arch_areas!$N$25</f>
        <v>200.91548410207454</v>
      </c>
      <c r="AH596" s="187">
        <f>model_eui_end_uses!AI596*base_building_arch_areas!$N$25</f>
        <v>144.012867614181</v>
      </c>
      <c r="AI596" s="187">
        <f t="shared" si="111"/>
        <v>344.92835171625552</v>
      </c>
      <c r="AJ596" s="200">
        <f>sim_annual_output!F596/sim_annual_output!H596*base_building_arch_areas!$N$25</f>
        <v>21790.505961638155</v>
      </c>
      <c r="AK596">
        <f t="shared" si="112"/>
        <v>63.174006581991357</v>
      </c>
    </row>
    <row r="597" spans="1:37">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f>model_eui_end_uses!G597*base_scenario_arch_measures!$F597</f>
        <v>0</v>
      </c>
      <c r="H597">
        <f>model_eui_end_uses!H597*base_scenario_arch_measures!$F597</f>
        <v>3.6076539376081556</v>
      </c>
      <c r="I597">
        <f>model_eui_end_uses!I597*base_scenario_arch_measures!$F597</f>
        <v>0</v>
      </c>
      <c r="J597">
        <f>model_eui_end_uses!J597*base_scenario_arch_measures!$F597</f>
        <v>3.8212053857422816E-2</v>
      </c>
      <c r="K597">
        <f>model_eui_end_uses!K597*base_scenario_arch_measures!$F597</f>
        <v>0</v>
      </c>
      <c r="L597">
        <f>model_eui_end_uses!L597*base_scenario_arch_measures!$F597</f>
        <v>0.3695667887483961</v>
      </c>
      <c r="M597">
        <f>model_eui_end_uses!M597*base_scenario_arch_measures!$F597</f>
        <v>0.11385585536737212</v>
      </c>
      <c r="N597">
        <f>model_eui_end_uses!N597*base_scenario_arch_measures!$F597</f>
        <v>0</v>
      </c>
      <c r="O597">
        <f>model_eui_end_uses!O597*base_scenario_arch_measures!$F597</f>
        <v>0.24611775709729863</v>
      </c>
      <c r="P597">
        <f>model_eui_end_uses!P597*base_scenario_arch_measures!$F597</f>
        <v>0.21205968627182392</v>
      </c>
      <c r="Q597">
        <f>model_eui_end_uses!Q597*base_scenario_arch_measures!$F597</f>
        <v>0</v>
      </c>
      <c r="R597" s="187">
        <f>model_eui_end_uses!R597*base_building_arch_areas!$N$25</f>
        <v>0</v>
      </c>
      <c r="S597" s="187">
        <f>model_eui_end_uses!S597*base_building_arch_areas!$N$25</f>
        <v>971157.33175334986</v>
      </c>
      <c r="T597" s="187">
        <f>model_eui_end_uses!T597*base_building_arch_areas!$N$25</f>
        <v>0</v>
      </c>
      <c r="U597" s="187">
        <f>model_eui_end_uses!U597*base_building_arch_areas!$N$25</f>
        <v>8768.4275573993691</v>
      </c>
      <c r="V597" s="187">
        <f>model_eui_end_uses!V597*base_building_arch_areas!$N$25</f>
        <v>0</v>
      </c>
      <c r="W597" s="187">
        <f>model_eui_end_uses!W597*base_building_arch_areas!$N$25</f>
        <v>121146.4910092583</v>
      </c>
      <c r="X597" s="187">
        <f>model_eui_end_uses!X597*base_building_arch_areas!$N$25</f>
        <v>26126.227695050013</v>
      </c>
      <c r="Y597" s="187">
        <f>model_eui_end_uses!Y597*base_building_arch_areas!$N$25</f>
        <v>0</v>
      </c>
      <c r="Z597" s="187">
        <f>model_eui_end_uses!Z597*base_building_arch_areas!$N$25</f>
        <v>56976.346993095358</v>
      </c>
      <c r="AA597" s="187">
        <f>model_eui_end_uses!AA597*base_building_arch_areas!$N$25</f>
        <v>61505.384650370717</v>
      </c>
      <c r="AB597" s="187">
        <f>model_eui_end_uses!AB597*base_building_arch_areas!$N$25</f>
        <v>0</v>
      </c>
      <c r="AC597" s="187">
        <f>model_eui_end_uses!AC597*base_building_arch_areas!$N$25</f>
        <v>1245680.2096585236</v>
      </c>
      <c r="AD597" s="187">
        <f>model_eui_end_uses!AD597*base_building_arch_areas!$N$25</f>
        <v>143317.71027451946</v>
      </c>
      <c r="AE597" s="187">
        <f>model_eui_end_uses!AE597*base_building_arch_areas!$N$25</f>
        <v>49687.75617868307</v>
      </c>
      <c r="AF597" s="187">
        <f t="shared" si="110"/>
        <v>193005.46645320253</v>
      </c>
      <c r="AG597" s="187">
        <f>model_eui_end_uses!AH597*base_building_arch_areas!$N$25</f>
        <v>2321.7469064472152</v>
      </c>
      <c r="AH597" s="187">
        <f>model_eui_end_uses!AI597*base_building_arch_areas!$N$25</f>
        <v>5614.7164481911868</v>
      </c>
      <c r="AI597" s="187">
        <f t="shared" si="111"/>
        <v>7936.4633546384021</v>
      </c>
      <c r="AJ597" s="200">
        <f>sim_annual_output!F597/sim_annual_output!H597*base_building_arch_areas!$N$25</f>
        <v>268378.35329186107</v>
      </c>
      <c r="AK597">
        <f t="shared" si="112"/>
        <v>33.81586246914496</v>
      </c>
    </row>
    <row r="598" spans="1:37">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f>model_eui_end_uses!G598*base_scenario_arch_measures!$F598</f>
        <v>0</v>
      </c>
      <c r="H598">
        <f>model_eui_end_uses!H598*base_scenario_arch_measures!$F598</f>
        <v>4.0561464039635649</v>
      </c>
      <c r="I598">
        <f>model_eui_end_uses!I598*base_scenario_arch_measures!$F598</f>
        <v>0</v>
      </c>
      <c r="J598">
        <f>model_eui_end_uses!J598*base_scenario_arch_measures!$F598</f>
        <v>3.8212053857422816E-2</v>
      </c>
      <c r="K598">
        <f>model_eui_end_uses!K598*base_scenario_arch_measures!$F598</f>
        <v>0</v>
      </c>
      <c r="L598">
        <f>model_eui_end_uses!L598*base_scenario_arch_measures!$F598</f>
        <v>0.52794599815985244</v>
      </c>
      <c r="M598">
        <f>model_eui_end_uses!M598*base_scenario_arch_measures!$F598</f>
        <v>0.11385585536737212</v>
      </c>
      <c r="N598">
        <f>model_eui_end_uses!N598*base_scenario_arch_measures!$F598</f>
        <v>0</v>
      </c>
      <c r="O598">
        <f>model_eui_end_uses!O598*base_scenario_arch_measures!$F598</f>
        <v>0.24118346786045425</v>
      </c>
      <c r="P598">
        <f>model_eui_end_uses!P598*base_scenario_arch_measures!$F598</f>
        <v>0.26165503064773421</v>
      </c>
      <c r="Q598">
        <f>model_eui_end_uses!Q598*base_scenario_arch_measures!$F598</f>
        <v>0</v>
      </c>
      <c r="R598" s="187">
        <f>model_eui_end_uses!R598*base_building_arch_areas!$N$25</f>
        <v>0</v>
      </c>
      <c r="S598" s="187">
        <f>model_eui_end_uses!S598*base_building_arch_areas!$N$25</f>
        <v>971157.33175334986</v>
      </c>
      <c r="T598" s="187">
        <f>model_eui_end_uses!T598*base_building_arch_areas!$N$25</f>
        <v>0</v>
      </c>
      <c r="U598" s="187">
        <f>model_eui_end_uses!U598*base_building_arch_areas!$N$25</f>
        <v>8768.4275573993691</v>
      </c>
      <c r="V598" s="187">
        <f>model_eui_end_uses!V598*base_building_arch_areas!$N$25</f>
        <v>0</v>
      </c>
      <c r="W598" s="187">
        <f>model_eui_end_uses!W598*base_building_arch_areas!$N$25</f>
        <v>121146.4910092583</v>
      </c>
      <c r="X598" s="187">
        <f>model_eui_end_uses!X598*base_building_arch_areas!$N$25</f>
        <v>26126.227695050013</v>
      </c>
      <c r="Y598" s="187">
        <f>model_eui_end_uses!Y598*base_building_arch_areas!$N$25</f>
        <v>0</v>
      </c>
      <c r="Z598" s="187">
        <f>model_eui_end_uses!Z598*base_building_arch_areas!$N$25</f>
        <v>56976.346993095358</v>
      </c>
      <c r="AA598" s="187">
        <f>model_eui_end_uses!AA598*base_building_arch_areas!$N$25</f>
        <v>61505.384650370717</v>
      </c>
      <c r="AB598" s="187">
        <f>model_eui_end_uses!AB598*base_building_arch_areas!$N$25</f>
        <v>0</v>
      </c>
      <c r="AC598" s="187">
        <f>model_eui_end_uses!AC598*base_building_arch_areas!$N$25</f>
        <v>1245680.2096585236</v>
      </c>
      <c r="AD598" s="187">
        <f>model_eui_end_uses!AD598*base_building_arch_areas!$N$25</f>
        <v>40403.229006417459</v>
      </c>
      <c r="AE598" s="187">
        <f>model_eui_end_uses!AE598*base_building_arch_areas!$N$25</f>
        <v>3096.5978643396747</v>
      </c>
      <c r="AF598" s="187">
        <f t="shared" si="110"/>
        <v>43499.826870757133</v>
      </c>
      <c r="AG598" s="187">
        <f>model_eui_end_uses!AH598*base_building_arch_areas!$N$25</f>
        <v>654.53230990396276</v>
      </c>
      <c r="AH598" s="187">
        <f>model_eui_end_uses!AI598*base_building_arch_areas!$N$25</f>
        <v>349.91555867038329</v>
      </c>
      <c r="AI598" s="187">
        <f t="shared" si="111"/>
        <v>1004.4478685743461</v>
      </c>
      <c r="AJ598" s="200">
        <f>sim_annual_output!F598/sim_annual_output!H598*base_building_arch_areas!$N$25</f>
        <v>2147147.1316744429</v>
      </c>
      <c r="AK598">
        <f t="shared" si="112"/>
        <v>2137.6391934824619</v>
      </c>
    </row>
    <row r="599" spans="1:37">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f>model_eui_end_uses!G599*base_scenario_arch_measures!$F599</f>
        <v>0</v>
      </c>
      <c r="H599">
        <f>model_eui_end_uses!H599*base_scenario_arch_measures!$F599</f>
        <v>3.9640014212383083</v>
      </c>
      <c r="I599">
        <f>model_eui_end_uses!I599*base_scenario_arch_measures!$F599</f>
        <v>0</v>
      </c>
      <c r="J599">
        <f>model_eui_end_uses!J599*base_scenario_arch_measures!$F599</f>
        <v>3.8212053857422816E-2</v>
      </c>
      <c r="K599">
        <f>model_eui_end_uses!K599*base_scenario_arch_measures!$F599</f>
        <v>0</v>
      </c>
      <c r="L599">
        <f>model_eui_end_uses!L599*base_scenario_arch_measures!$F599</f>
        <v>0.52794599815985244</v>
      </c>
      <c r="M599">
        <f>model_eui_end_uses!M599*base_scenario_arch_measures!$F599</f>
        <v>0.11385585536737212</v>
      </c>
      <c r="N599">
        <f>model_eui_end_uses!N599*base_scenario_arch_measures!$F599</f>
        <v>0</v>
      </c>
      <c r="O599">
        <f>model_eui_end_uses!O599*base_scenario_arch_measures!$F599</f>
        <v>0.23553772296620443</v>
      </c>
      <c r="P599">
        <f>model_eui_end_uses!P599*base_scenario_arch_measures!$F599</f>
        <v>0.25470112535115819</v>
      </c>
      <c r="Q599">
        <f>model_eui_end_uses!Q599*base_scenario_arch_measures!$F599</f>
        <v>0</v>
      </c>
      <c r="R599" s="187">
        <f>model_eui_end_uses!R599*base_building_arch_areas!$N$25</f>
        <v>0</v>
      </c>
      <c r="S599" s="187">
        <f>model_eui_end_uses!S599*base_building_arch_areas!$N$25</f>
        <v>971157.33175334986</v>
      </c>
      <c r="T599" s="187">
        <f>model_eui_end_uses!T599*base_building_arch_areas!$N$25</f>
        <v>0</v>
      </c>
      <c r="U599" s="187">
        <f>model_eui_end_uses!U599*base_building_arch_areas!$N$25</f>
        <v>8768.4275573993691</v>
      </c>
      <c r="V599" s="187">
        <f>model_eui_end_uses!V599*base_building_arch_areas!$N$25</f>
        <v>0</v>
      </c>
      <c r="W599" s="187">
        <f>model_eui_end_uses!W599*base_building_arch_areas!$N$25</f>
        <v>121146.4910092583</v>
      </c>
      <c r="X599" s="187">
        <f>model_eui_end_uses!X599*base_building_arch_areas!$N$25</f>
        <v>26126.227695050013</v>
      </c>
      <c r="Y599" s="187">
        <f>model_eui_end_uses!Y599*base_building_arch_areas!$N$25</f>
        <v>0</v>
      </c>
      <c r="Z599" s="187">
        <f>model_eui_end_uses!Z599*base_building_arch_areas!$N$25</f>
        <v>56976.346993095358</v>
      </c>
      <c r="AA599" s="187">
        <f>model_eui_end_uses!AA599*base_building_arch_areas!$N$25</f>
        <v>61505.384650370717</v>
      </c>
      <c r="AB599" s="187">
        <f>model_eui_end_uses!AB599*base_building_arch_areas!$N$25</f>
        <v>0</v>
      </c>
      <c r="AC599" s="187">
        <f>model_eui_end_uses!AC599*base_building_arch_areas!$N$25</f>
        <v>1245680.2096585236</v>
      </c>
      <c r="AD599" s="187">
        <f>model_eui_end_uses!AD599*base_building_arch_areas!$N$25</f>
        <v>61547.515276575446</v>
      </c>
      <c r="AE599" s="187">
        <f>model_eui_end_uses!AE599*base_building_arch_areas!$N$25</f>
        <v>5987.8091127373646</v>
      </c>
      <c r="AF599" s="187">
        <f t="shared" si="110"/>
        <v>67535.324389312809</v>
      </c>
      <c r="AG599" s="187">
        <f>model_eui_end_uses!AH599*base_building_arch_areas!$N$25</f>
        <v>997.06974748052221</v>
      </c>
      <c r="AH599" s="187">
        <f>model_eui_end_uses!AI599*base_building_arch_areas!$N$25</f>
        <v>676.62242973932223</v>
      </c>
      <c r="AI599" s="187">
        <f t="shared" si="111"/>
        <v>1673.6921772198443</v>
      </c>
      <c r="AJ599" s="200">
        <f>sim_annual_output!F599/sim_annual_output!H599*base_building_arch_areas!$N$25</f>
        <v>2287122.208398134</v>
      </c>
      <c r="AK599">
        <f t="shared" si="112"/>
        <v>1366.5130539101001</v>
      </c>
    </row>
    <row r="600" spans="1:37">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f>model_eui_end_uses!G600*base_scenario_arch_measures!$F600</f>
        <v>0</v>
      </c>
      <c r="H600">
        <f>model_eui_end_uses!H600*base_scenario_arch_measures!$F600</f>
        <v>4.1621303467344832</v>
      </c>
      <c r="I600">
        <f>model_eui_end_uses!I600*base_scenario_arch_measures!$F600</f>
        <v>0</v>
      </c>
      <c r="J600">
        <f>model_eui_end_uses!J600*base_scenario_arch_measures!$F600</f>
        <v>3.8212053857422816E-2</v>
      </c>
      <c r="K600">
        <f>model_eui_end_uses!K600*base_scenario_arch_measures!$F600</f>
        <v>0</v>
      </c>
      <c r="L600">
        <f>model_eui_end_uses!L600*base_scenario_arch_measures!$F600</f>
        <v>0.52794599815985244</v>
      </c>
      <c r="M600">
        <f>model_eui_end_uses!M600*base_scenario_arch_measures!$F600</f>
        <v>0.11385585536737212</v>
      </c>
      <c r="N600">
        <f>model_eui_end_uses!N600*base_scenario_arch_measures!$F600</f>
        <v>0</v>
      </c>
      <c r="O600">
        <f>model_eui_end_uses!O600*base_scenario_arch_measures!$F600</f>
        <v>0.24873407790195104</v>
      </c>
      <c r="P600">
        <f>model_eui_end_uses!P600*base_scenario_arch_measures!$F600</f>
        <v>0.26954989342668523</v>
      </c>
      <c r="Q600">
        <f>model_eui_end_uses!Q600*base_scenario_arch_measures!$F600</f>
        <v>0</v>
      </c>
      <c r="R600" s="187">
        <f>model_eui_end_uses!R600*base_building_arch_areas!$N$25</f>
        <v>0</v>
      </c>
      <c r="S600" s="187">
        <f>model_eui_end_uses!S600*base_building_arch_areas!$N$25</f>
        <v>971157.33175334986</v>
      </c>
      <c r="T600" s="187">
        <f>model_eui_end_uses!T600*base_building_arch_areas!$N$25</f>
        <v>0</v>
      </c>
      <c r="U600" s="187">
        <f>model_eui_end_uses!U600*base_building_arch_areas!$N$25</f>
        <v>8768.4275573993691</v>
      </c>
      <c r="V600" s="187">
        <f>model_eui_end_uses!V600*base_building_arch_areas!$N$25</f>
        <v>0</v>
      </c>
      <c r="W600" s="187">
        <f>model_eui_end_uses!W600*base_building_arch_areas!$N$25</f>
        <v>121146.4910092583</v>
      </c>
      <c r="X600" s="187">
        <f>model_eui_end_uses!X600*base_building_arch_areas!$N$25</f>
        <v>26126.227695050013</v>
      </c>
      <c r="Y600" s="187">
        <f>model_eui_end_uses!Y600*base_building_arch_areas!$N$25</f>
        <v>0</v>
      </c>
      <c r="Z600" s="187">
        <f>model_eui_end_uses!Z600*base_building_arch_areas!$N$25</f>
        <v>56976.346993095358</v>
      </c>
      <c r="AA600" s="187">
        <f>model_eui_end_uses!AA600*base_building_arch_areas!$N$25</f>
        <v>61505.384650370717</v>
      </c>
      <c r="AB600" s="187">
        <f>model_eui_end_uses!AB600*base_building_arch_areas!$N$25</f>
        <v>0</v>
      </c>
      <c r="AC600" s="187">
        <f>model_eui_end_uses!AC600*base_building_arch_areas!$N$25</f>
        <v>1245680.2096585236</v>
      </c>
      <c r="AD600" s="187">
        <f>model_eui_end_uses!AD600*base_building_arch_areas!$N$25</f>
        <v>16083.350053592885</v>
      </c>
      <c r="AE600" s="187">
        <f>model_eui_end_uses!AE600*base_building_arch_areas!$N$25</f>
        <v>-447.63741830453023</v>
      </c>
      <c r="AF600" s="187">
        <f t="shared" si="110"/>
        <v>15635.712635288355</v>
      </c>
      <c r="AG600" s="187">
        <f>model_eui_end_uses!AH600*base_building_arch_areas!$N$25</f>
        <v>260.55027086820473</v>
      </c>
      <c r="AH600" s="187">
        <f>model_eui_end_uses!AI600*base_building_arch_areas!$N$25</f>
        <v>-50.583028268411923</v>
      </c>
      <c r="AI600" s="187">
        <f t="shared" si="111"/>
        <v>209.96724259979283</v>
      </c>
      <c r="AJ600" s="200">
        <f>sim_annual_output!F600/sim_annual_output!H600*base_building_arch_areas!$N$25</f>
        <v>26848.657853810259</v>
      </c>
      <c r="AK600">
        <f t="shared" si="112"/>
        <v>127.87069793065307</v>
      </c>
    </row>
    <row r="601" spans="1:37">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f>model_eui_end_uses!G601*base_scenario_arch_measures!$F601</f>
        <v>0</v>
      </c>
      <c r="H601">
        <f>model_eui_end_uses!H601*base_scenario_arch_measures!$F601</f>
        <v>4.1668351341463579</v>
      </c>
      <c r="I601">
        <f>model_eui_end_uses!I601*base_scenario_arch_measures!$F601</f>
        <v>0</v>
      </c>
      <c r="J601">
        <f>model_eui_end_uses!J601*base_scenario_arch_measures!$F601</f>
        <v>3.8212053857422816E-2</v>
      </c>
      <c r="K601">
        <f>model_eui_end_uses!K601*base_scenario_arch_measures!$F601</f>
        <v>0</v>
      </c>
      <c r="L601">
        <f>model_eui_end_uses!L601*base_scenario_arch_measures!$F601</f>
        <v>0.52794599815985244</v>
      </c>
      <c r="M601">
        <f>model_eui_end_uses!M601*base_scenario_arch_measures!$F601</f>
        <v>0.11385585536737212</v>
      </c>
      <c r="N601">
        <f>model_eui_end_uses!N601*base_scenario_arch_measures!$F601</f>
        <v>0</v>
      </c>
      <c r="O601">
        <f>model_eui_end_uses!O601*base_scenario_arch_measures!$F601</f>
        <v>0.24556695271737183</v>
      </c>
      <c r="P601">
        <f>model_eui_end_uses!P601*base_scenario_arch_measures!$F601</f>
        <v>0.26980234543415166</v>
      </c>
      <c r="Q601">
        <f>model_eui_end_uses!Q601*base_scenario_arch_measures!$F601</f>
        <v>0</v>
      </c>
      <c r="R601" s="187">
        <f>model_eui_end_uses!R601*base_building_arch_areas!$N$25</f>
        <v>0</v>
      </c>
      <c r="S601" s="187">
        <f>model_eui_end_uses!S601*base_building_arch_areas!$N$25</f>
        <v>971157.33175334986</v>
      </c>
      <c r="T601" s="187">
        <f>model_eui_end_uses!T601*base_building_arch_areas!$N$25</f>
        <v>0</v>
      </c>
      <c r="U601" s="187">
        <f>model_eui_end_uses!U601*base_building_arch_areas!$N$25</f>
        <v>8768.4275573993691</v>
      </c>
      <c r="V601" s="187">
        <f>model_eui_end_uses!V601*base_building_arch_areas!$N$25</f>
        <v>0</v>
      </c>
      <c r="W601" s="187">
        <f>model_eui_end_uses!W601*base_building_arch_areas!$N$25</f>
        <v>121146.4910092583</v>
      </c>
      <c r="X601" s="187">
        <f>model_eui_end_uses!X601*base_building_arch_areas!$N$25</f>
        <v>26126.227695050013</v>
      </c>
      <c r="Y601" s="187">
        <f>model_eui_end_uses!Y601*base_building_arch_areas!$N$25</f>
        <v>0</v>
      </c>
      <c r="Z601" s="187">
        <f>model_eui_end_uses!Z601*base_building_arch_areas!$N$25</f>
        <v>56976.346993095358</v>
      </c>
      <c r="AA601" s="187">
        <f>model_eui_end_uses!AA601*base_building_arch_areas!$N$25</f>
        <v>61505.384650370717</v>
      </c>
      <c r="AB601" s="187">
        <f>model_eui_end_uses!AB601*base_building_arch_areas!$N$25</f>
        <v>0</v>
      </c>
      <c r="AC601" s="187">
        <f>model_eui_end_uses!AC601*base_building_arch_areas!$N$25</f>
        <v>1245680.2096585236</v>
      </c>
      <c r="AD601" s="187">
        <f>model_eui_end_uses!AD601*base_building_arch_areas!$N$25</f>
        <v>15003.753867943467</v>
      </c>
      <c r="AE601" s="187">
        <f>model_eui_end_uses!AE601*base_building_arch_areas!$N$25</f>
        <v>221.18558451244425</v>
      </c>
      <c r="AF601" s="187">
        <f t="shared" si="110"/>
        <v>15224.939452455912</v>
      </c>
      <c r="AG601" s="187">
        <f>model_eui_end_uses!AH601*base_building_arch_areas!$N$25</f>
        <v>243.06081266068415</v>
      </c>
      <c r="AH601" s="187">
        <f>model_eui_end_uses!AI601*base_building_arch_areas!$N$25</f>
        <v>24.9939710499062</v>
      </c>
      <c r="AI601" s="187">
        <f t="shared" si="111"/>
        <v>268.05478371059036</v>
      </c>
      <c r="AJ601" s="200">
        <f>sim_annual_output!F601/sim_annual_output!H601*base_building_arch_areas!$N$25</f>
        <v>4534.9289787454636</v>
      </c>
      <c r="AK601">
        <f t="shared" si="112"/>
        <v>16.917918479088485</v>
      </c>
    </row>
    <row r="602" spans="1:37">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f>model_eui_end_uses!G602*base_scenario_arch_measures!$F602</f>
        <v>0</v>
      </c>
      <c r="H602">
        <f>model_eui_end_uses!H602*base_scenario_arch_measures!$F602</f>
        <v>4.1706907648058458</v>
      </c>
      <c r="I602">
        <f>model_eui_end_uses!I602*base_scenario_arch_measures!$F602</f>
        <v>0</v>
      </c>
      <c r="J602">
        <f>model_eui_end_uses!J602*base_scenario_arch_measures!$F602</f>
        <v>3.8212053857422816E-2</v>
      </c>
      <c r="K602">
        <f>model_eui_end_uses!K602*base_scenario_arch_measures!$F602</f>
        <v>0</v>
      </c>
      <c r="L602">
        <f>model_eui_end_uses!L602*base_scenario_arch_measures!$F602</f>
        <v>0.52794599815985244</v>
      </c>
      <c r="M602">
        <f>model_eui_end_uses!M602*base_scenario_arch_measures!$F602</f>
        <v>0.11385585536737212</v>
      </c>
      <c r="N602">
        <f>model_eui_end_uses!N602*base_scenario_arch_measures!$F602</f>
        <v>0</v>
      </c>
      <c r="O602">
        <f>model_eui_end_uses!O602*base_scenario_arch_measures!$F602</f>
        <v>0.24659971092973459</v>
      </c>
      <c r="P602">
        <f>model_eui_end_uses!P602*base_scenario_arch_measures!$F602</f>
        <v>0.26980234543415166</v>
      </c>
      <c r="Q602">
        <f>model_eui_end_uses!Q602*base_scenario_arch_measures!$F602</f>
        <v>0</v>
      </c>
      <c r="R602" s="187">
        <f>model_eui_end_uses!R602*base_building_arch_areas!$N$25</f>
        <v>0</v>
      </c>
      <c r="S602" s="187">
        <f>model_eui_end_uses!S602*base_building_arch_areas!$N$25</f>
        <v>971157.33175334986</v>
      </c>
      <c r="T602" s="187">
        <f>model_eui_end_uses!T602*base_building_arch_areas!$N$25</f>
        <v>0</v>
      </c>
      <c r="U602" s="187">
        <f>model_eui_end_uses!U602*base_building_arch_areas!$N$25</f>
        <v>8768.4275573993691</v>
      </c>
      <c r="V602" s="187">
        <f>model_eui_end_uses!V602*base_building_arch_areas!$N$25</f>
        <v>0</v>
      </c>
      <c r="W602" s="187">
        <f>model_eui_end_uses!W602*base_building_arch_areas!$N$25</f>
        <v>121146.4910092583</v>
      </c>
      <c r="X602" s="187">
        <f>model_eui_end_uses!X602*base_building_arch_areas!$N$25</f>
        <v>26126.227695050013</v>
      </c>
      <c r="Y602" s="187">
        <f>model_eui_end_uses!Y602*base_building_arch_areas!$N$25</f>
        <v>0</v>
      </c>
      <c r="Z602" s="187">
        <f>model_eui_end_uses!Z602*base_building_arch_areas!$N$25</f>
        <v>56976.346993095358</v>
      </c>
      <c r="AA602" s="187">
        <f>model_eui_end_uses!AA602*base_building_arch_areas!$N$25</f>
        <v>61505.384650370717</v>
      </c>
      <c r="AB602" s="187">
        <f>model_eui_end_uses!AB602*base_building_arch_areas!$N$25</f>
        <v>0</v>
      </c>
      <c r="AC602" s="187">
        <f>model_eui_end_uses!AC602*base_building_arch_areas!$N$25</f>
        <v>1245680.2096585236</v>
      </c>
      <c r="AD602" s="187">
        <f>model_eui_end_uses!AD602*base_building_arch_areas!$N$25</f>
        <v>14119.011627996742</v>
      </c>
      <c r="AE602" s="187">
        <f>model_eui_end_uses!AE602*base_building_arch_areas!$N$25</f>
        <v>-15.798944044738008</v>
      </c>
      <c r="AF602" s="187">
        <f t="shared" si="110"/>
        <v>14103.212683952004</v>
      </c>
      <c r="AG602" s="187">
        <f>model_eui_end_uses!AH602*base_building_arch_areas!$N$25</f>
        <v>228.72798837354722</v>
      </c>
      <c r="AH602" s="187">
        <f>model_eui_end_uses!AI602*base_building_arch_areas!$N$25</f>
        <v>-1.7852806770553951</v>
      </c>
      <c r="AI602" s="187">
        <f t="shared" si="111"/>
        <v>226.94270769649182</v>
      </c>
      <c r="AJ602" s="200">
        <f>sim_annual_output!F602/sim_annual_output!H602*base_building_arch_areas!$N$25</f>
        <v>18765.21695178849</v>
      </c>
      <c r="AK602">
        <f t="shared" si="112"/>
        <v>82.687023267937207</v>
      </c>
    </row>
    <row r="603" spans="1:37">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f>model_eui_end_uses!G603*base_scenario_arch_measures!$F603</f>
        <v>0</v>
      </c>
      <c r="H603">
        <f>model_eui_end_uses!H603*base_scenario_arch_measures!$F603</f>
        <v>3.515394203970414</v>
      </c>
      <c r="I603">
        <f>model_eui_end_uses!I603*base_scenario_arch_measures!$F603</f>
        <v>0</v>
      </c>
      <c r="J603">
        <f>model_eui_end_uses!J603*base_scenario_arch_measures!$F603</f>
        <v>3.8212053857422816E-2</v>
      </c>
      <c r="K603">
        <f>model_eui_end_uses!K603*base_scenario_arch_measures!$F603</f>
        <v>0</v>
      </c>
      <c r="L603">
        <f>model_eui_end_uses!L603*base_scenario_arch_measures!$F603</f>
        <v>0.52794599815985244</v>
      </c>
      <c r="M603">
        <f>model_eui_end_uses!M603*base_scenario_arch_measures!$F603</f>
        <v>0.11385585536737212</v>
      </c>
      <c r="N603">
        <f>model_eui_end_uses!N603*base_scenario_arch_measures!$F603</f>
        <v>0</v>
      </c>
      <c r="O603">
        <f>model_eui_end_uses!O603*base_scenario_arch_measures!$F603</f>
        <v>0.24721936585715223</v>
      </c>
      <c r="P603">
        <f>model_eui_end_uses!P603*base_scenario_arch_measures!$F603</f>
        <v>0.2701695483541029</v>
      </c>
      <c r="Q603">
        <f>model_eui_end_uses!Q603*base_scenario_arch_measures!$F603</f>
        <v>0.10855436321057652</v>
      </c>
      <c r="R603" s="187">
        <f>model_eui_end_uses!R603*base_building_arch_areas!$N$25</f>
        <v>0</v>
      </c>
      <c r="S603" s="187">
        <f>model_eui_end_uses!S603*base_building_arch_areas!$N$25</f>
        <v>971157.33175334986</v>
      </c>
      <c r="T603" s="187">
        <f>model_eui_end_uses!T603*base_building_arch_areas!$N$25</f>
        <v>0</v>
      </c>
      <c r="U603" s="187">
        <f>model_eui_end_uses!U603*base_building_arch_areas!$N$25</f>
        <v>8768.4275573993691</v>
      </c>
      <c r="V603" s="187">
        <f>model_eui_end_uses!V603*base_building_arch_areas!$N$25</f>
        <v>0</v>
      </c>
      <c r="W603" s="187">
        <f>model_eui_end_uses!W603*base_building_arch_areas!$N$25</f>
        <v>121146.4910092583</v>
      </c>
      <c r="X603" s="187">
        <f>model_eui_end_uses!X603*base_building_arch_areas!$N$25</f>
        <v>26126.227695050013</v>
      </c>
      <c r="Y603" s="187">
        <f>model_eui_end_uses!Y603*base_building_arch_areas!$N$25</f>
        <v>0</v>
      </c>
      <c r="Z603" s="187">
        <f>model_eui_end_uses!Z603*base_building_arch_areas!$N$25</f>
        <v>56976.346993095358</v>
      </c>
      <c r="AA603" s="187">
        <f>model_eui_end_uses!AA603*base_building_arch_areas!$N$25</f>
        <v>61505.384650370717</v>
      </c>
      <c r="AB603" s="187">
        <f>model_eui_end_uses!AB603*base_building_arch_areas!$N$25</f>
        <v>0</v>
      </c>
      <c r="AC603" s="187">
        <f>model_eui_end_uses!AC603*base_building_arch_areas!$N$25</f>
        <v>1245680.2096585236</v>
      </c>
      <c r="AD603" s="187">
        <f>model_eui_end_uses!AD603*base_building_arch_areas!$N$25</f>
        <v>164488.3281589617</v>
      </c>
      <c r="AE603" s="187">
        <f>model_eui_end_uses!AE603*base_building_arch_areas!$N$25</f>
        <v>-25151.957939677308</v>
      </c>
      <c r="AF603" s="187">
        <f t="shared" si="110"/>
        <v>139336.37021928438</v>
      </c>
      <c r="AG603" s="187">
        <f>model_eui_end_uses!AH603*base_building_arch_areas!$N$25</f>
        <v>2664.7109161751796</v>
      </c>
      <c r="AH603" s="187">
        <f>model_eui_end_uses!AI603*base_building_arch_areas!$N$25</f>
        <v>-2842.1712471835358</v>
      </c>
      <c r="AI603" s="187">
        <f t="shared" si="111"/>
        <v>-177.46033100835621</v>
      </c>
      <c r="AJ603" s="200">
        <f>sim_annual_output!F603/sim_annual_output!H603*base_building_arch_areas!$N$25</f>
        <v>985647.83229652653</v>
      </c>
      <c r="AK603">
        <f t="shared" si="112"/>
        <v>-5554.1868241534758</v>
      </c>
    </row>
    <row r="604" spans="1:37">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f>model_eui_end_uses!G604*base_scenario_arch_measures!$F604</f>
        <v>0</v>
      </c>
      <c r="H604">
        <f>model_eui_end_uses!H604*base_scenario_arch_measures!$F604</f>
        <v>3.4479895179768705</v>
      </c>
      <c r="I604">
        <f>model_eui_end_uses!I604*base_scenario_arch_measures!$F604</f>
        <v>0</v>
      </c>
      <c r="J604">
        <f>model_eui_end_uses!J604*base_scenario_arch_measures!$F604</f>
        <v>3.8212053857422816E-2</v>
      </c>
      <c r="K604">
        <f>model_eui_end_uses!K604*base_scenario_arch_measures!$F604</f>
        <v>0</v>
      </c>
      <c r="L604">
        <f>model_eui_end_uses!L604*base_scenario_arch_measures!$F604</f>
        <v>0.52794599815985244</v>
      </c>
      <c r="M604">
        <f>model_eui_end_uses!M604*base_scenario_arch_measures!$F604</f>
        <v>0.11385585536737212</v>
      </c>
      <c r="N604">
        <f>model_eui_end_uses!N604*base_scenario_arch_measures!$F604</f>
        <v>0</v>
      </c>
      <c r="O604">
        <f>model_eui_end_uses!O604*base_scenario_arch_measures!$F604</f>
        <v>0.20522053188773259</v>
      </c>
      <c r="P604">
        <f>model_eui_end_uses!P604*base_scenario_arch_measures!$F604</f>
        <v>0.22472818701014063</v>
      </c>
      <c r="Q604">
        <f>model_eui_end_uses!Q604*base_scenario_arch_measures!$F604</f>
        <v>0</v>
      </c>
      <c r="R604" s="187">
        <f>model_eui_end_uses!R604*base_building_arch_areas!$N$25</f>
        <v>0</v>
      </c>
      <c r="S604" s="187">
        <f>model_eui_end_uses!S604*base_building_arch_areas!$N$25</f>
        <v>971157.33175334986</v>
      </c>
      <c r="T604" s="187">
        <f>model_eui_end_uses!T604*base_building_arch_areas!$N$25</f>
        <v>0</v>
      </c>
      <c r="U604" s="187">
        <f>model_eui_end_uses!U604*base_building_arch_areas!$N$25</f>
        <v>8768.4275573993691</v>
      </c>
      <c r="V604" s="187">
        <f>model_eui_end_uses!V604*base_building_arch_areas!$N$25</f>
        <v>0</v>
      </c>
      <c r="W604" s="187">
        <f>model_eui_end_uses!W604*base_building_arch_areas!$N$25</f>
        <v>121146.4910092583</v>
      </c>
      <c r="X604" s="187">
        <f>model_eui_end_uses!X604*base_building_arch_areas!$N$25</f>
        <v>26126.227695050013</v>
      </c>
      <c r="Y604" s="187">
        <f>model_eui_end_uses!Y604*base_building_arch_areas!$N$25</f>
        <v>0</v>
      </c>
      <c r="Z604" s="187">
        <f>model_eui_end_uses!Z604*base_building_arch_areas!$N$25</f>
        <v>56976.346993095358</v>
      </c>
      <c r="AA604" s="187">
        <f>model_eui_end_uses!AA604*base_building_arch_areas!$N$25</f>
        <v>61505.384650370717</v>
      </c>
      <c r="AB604" s="187">
        <f>model_eui_end_uses!AB604*base_building_arch_areas!$N$25</f>
        <v>0</v>
      </c>
      <c r="AC604" s="187">
        <f>model_eui_end_uses!AC604*base_building_arch_areas!$N$25</f>
        <v>1245680.2096585236</v>
      </c>
      <c r="AD604" s="187">
        <f>model_eui_end_uses!AD604*base_building_arch_areas!$N$25</f>
        <v>179955.51838946083</v>
      </c>
      <c r="AE604" s="187">
        <f>model_eui_end_uses!AE604*base_building_arch_areas!$N$25</f>
        <v>19822.439257620386</v>
      </c>
      <c r="AF604" s="187">
        <f t="shared" si="110"/>
        <v>199777.95764708123</v>
      </c>
      <c r="AG604" s="187">
        <f>model_eui_end_uses!AH604*base_building_arch_areas!$N$25</f>
        <v>2915.2793979092653</v>
      </c>
      <c r="AH604" s="187">
        <f>model_eui_end_uses!AI604*base_building_arch_areas!$N$25</f>
        <v>2239.9356361111036</v>
      </c>
      <c r="AI604" s="187">
        <f t="shared" si="111"/>
        <v>5155.2150340203689</v>
      </c>
      <c r="AJ604" s="200">
        <f>sim_annual_output!F604/sim_annual_output!H604*base_building_arch_areas!$N$25</f>
        <v>373740.12182477966</v>
      </c>
      <c r="AK604">
        <f t="shared" si="112"/>
        <v>72.497484461538164</v>
      </c>
    </row>
    <row r="605" spans="1:37">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f>model_eui_end_uses!G605*base_scenario_arch_measures!$F605</f>
        <v>0</v>
      </c>
      <c r="H605">
        <f>model_eui_end_uses!H605*base_scenario_arch_measures!$F605</f>
        <v>3.1239788417640155</v>
      </c>
      <c r="I605">
        <f>model_eui_end_uses!I605*base_scenario_arch_measures!$F605</f>
        <v>0</v>
      </c>
      <c r="J605">
        <f>model_eui_end_uses!J605*base_scenario_arch_measures!$F605</f>
        <v>3.8235004043335657E-2</v>
      </c>
      <c r="K605">
        <f>model_eui_end_uses!K605*base_scenario_arch_measures!$F605</f>
        <v>0</v>
      </c>
      <c r="L605">
        <f>model_eui_end_uses!L605*base_scenario_arch_measures!$F605</f>
        <v>0.52794599820701882</v>
      </c>
      <c r="M605">
        <f>model_eui_end_uses!M605*base_scenario_arch_measures!$F605</f>
        <v>0.11385585537754395</v>
      </c>
      <c r="N605">
        <f>model_eui_end_uses!N605*base_scenario_arch_measures!$F605</f>
        <v>0</v>
      </c>
      <c r="O605">
        <f>model_eui_end_uses!O605*base_scenario_arch_measures!$F605</f>
        <v>0.24327193448941056</v>
      </c>
      <c r="P605">
        <f>model_eui_end_uses!P605*base_scenario_arch_measures!$F605</f>
        <v>3.2818760973571419E-3</v>
      </c>
      <c r="Q605">
        <f>model_eui_end_uses!Q605*base_scenario_arch_measures!$F605</f>
        <v>0</v>
      </c>
      <c r="R605" s="187">
        <f>model_eui_end_uses!R605*base_building_arch_areas!$N$25</f>
        <v>0</v>
      </c>
      <c r="S605" s="187">
        <f>model_eui_end_uses!S605*base_building_arch_areas!$N$25</f>
        <v>971157.33175334986</v>
      </c>
      <c r="T605" s="187">
        <f>model_eui_end_uses!T605*base_building_arch_areas!$N$25</f>
        <v>0</v>
      </c>
      <c r="U605" s="187">
        <f>model_eui_end_uses!U605*base_building_arch_areas!$N$25</f>
        <v>8768.4275573993691</v>
      </c>
      <c r="V605" s="187">
        <f>model_eui_end_uses!V605*base_building_arch_areas!$N$25</f>
        <v>0</v>
      </c>
      <c r="W605" s="187">
        <f>model_eui_end_uses!W605*base_building_arch_areas!$N$25</f>
        <v>121146.4910092583</v>
      </c>
      <c r="X605" s="187">
        <f>model_eui_end_uses!X605*base_building_arch_areas!$N$25</f>
        <v>26126.227695050013</v>
      </c>
      <c r="Y605" s="187">
        <f>model_eui_end_uses!Y605*base_building_arch_areas!$N$25</f>
        <v>0</v>
      </c>
      <c r="Z605" s="187">
        <f>model_eui_end_uses!Z605*base_building_arch_areas!$N$25</f>
        <v>56976.346993095358</v>
      </c>
      <c r="AA605" s="187">
        <f>model_eui_end_uses!AA605*base_building_arch_areas!$N$25</f>
        <v>61505.384650370717</v>
      </c>
      <c r="AB605" s="187">
        <f>model_eui_end_uses!AB605*base_building_arch_areas!$N$25</f>
        <v>0</v>
      </c>
      <c r="AC605" s="187">
        <f>model_eui_end_uses!AC605*base_building_arch_areas!$N$25</f>
        <v>1245680.2096585236</v>
      </c>
      <c r="AD605" s="187">
        <f>model_eui_end_uses!AD605*base_building_arch_areas!$N$25</f>
        <v>254305.46441809321</v>
      </c>
      <c r="AE605" s="187">
        <f>model_eui_end_uses!AE605*base_building_arch_areas!$N$25</f>
        <v>61900.358864667942</v>
      </c>
      <c r="AF605" s="187">
        <f t="shared" si="110"/>
        <v>316205.82328276115</v>
      </c>
      <c r="AG605" s="187">
        <f>model_eui_end_uses!AH605*base_building_arch_areas!$N$25</f>
        <v>4119.7485235731092</v>
      </c>
      <c r="AH605" s="187">
        <f>model_eui_end_uses!AI605*base_building_arch_areas!$N$25</f>
        <v>6994.7405517074785</v>
      </c>
      <c r="AI605" s="187">
        <f t="shared" si="111"/>
        <v>11114.489075280588</v>
      </c>
      <c r="AJ605" s="200">
        <f>sim_annual_output!F605/sim_annual_output!H605*base_building_arch_areas!$N$25</f>
        <v>403259.22369103163</v>
      </c>
      <c r="AK605">
        <f t="shared" si="112"/>
        <v>36.282299704437946</v>
      </c>
    </row>
    <row r="606" spans="1:37">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f>model_eui_end_uses!G606*base_scenario_arch_measures!$F606</f>
        <v>0</v>
      </c>
      <c r="H606">
        <f>model_eui_end_uses!H606*base_scenario_arch_measures!$F606</f>
        <v>4.3952353503560113</v>
      </c>
      <c r="I606">
        <f>model_eui_end_uses!I606*base_scenario_arch_measures!$F606</f>
        <v>0</v>
      </c>
      <c r="J606">
        <f>model_eui_end_uses!J606*base_scenario_arch_measures!$F606</f>
        <v>3.8212053857422816E-2</v>
      </c>
      <c r="K606">
        <f>model_eui_end_uses!K606*base_scenario_arch_measures!$F606</f>
        <v>0</v>
      </c>
      <c r="L606">
        <f>model_eui_end_uses!L606*base_scenario_arch_measures!$F606</f>
        <v>0.3695667887483961</v>
      </c>
      <c r="M606">
        <f>model_eui_end_uses!M606*base_scenario_arch_measures!$F606</f>
        <v>0.11385585536737212</v>
      </c>
      <c r="N606">
        <f>model_eui_end_uses!N606*base_scenario_arch_measures!$F606</f>
        <v>0</v>
      </c>
      <c r="O606">
        <f>model_eui_end_uses!O606*base_scenario_arch_measures!$F606</f>
        <v>0.25068484341419184</v>
      </c>
      <c r="P606">
        <f>model_eui_end_uses!P606*base_scenario_arch_measures!$F606</f>
        <v>0.27099575492399314</v>
      </c>
      <c r="Q606">
        <f>model_eui_end_uses!Q606*base_scenario_arch_measures!$F606</f>
        <v>0</v>
      </c>
      <c r="R606" s="187">
        <f>model_eui_end_uses!R606*base_building_arch_areas!$N$25</f>
        <v>0</v>
      </c>
      <c r="S606" s="187">
        <f>model_eui_end_uses!S606*base_building_arch_areas!$N$25</f>
        <v>971157.33175334986</v>
      </c>
      <c r="T606" s="187">
        <f>model_eui_end_uses!T606*base_building_arch_areas!$N$25</f>
        <v>0</v>
      </c>
      <c r="U606" s="187">
        <f>model_eui_end_uses!U606*base_building_arch_areas!$N$25</f>
        <v>8768.4275573993691</v>
      </c>
      <c r="V606" s="187">
        <f>model_eui_end_uses!V606*base_building_arch_areas!$N$25</f>
        <v>0</v>
      </c>
      <c r="W606" s="187">
        <f>model_eui_end_uses!W606*base_building_arch_areas!$N$25</f>
        <v>121146.4910092583</v>
      </c>
      <c r="X606" s="187">
        <f>model_eui_end_uses!X606*base_building_arch_areas!$N$25</f>
        <v>26126.227695050013</v>
      </c>
      <c r="Y606" s="187">
        <f>model_eui_end_uses!Y606*base_building_arch_areas!$N$25</f>
        <v>0</v>
      </c>
      <c r="Z606" s="187">
        <f>model_eui_end_uses!Z606*base_building_arch_areas!$N$25</f>
        <v>56976.346993095358</v>
      </c>
      <c r="AA606" s="187">
        <f>model_eui_end_uses!AA606*base_building_arch_areas!$N$25</f>
        <v>61505.384650370717</v>
      </c>
      <c r="AB606" s="187">
        <f>model_eui_end_uses!AB606*base_building_arch_areas!$N$25</f>
        <v>0</v>
      </c>
      <c r="AC606" s="187">
        <f>model_eui_end_uses!AC606*base_building_arch_areas!$N$25</f>
        <v>1245680.2096585236</v>
      </c>
      <c r="AD606" s="187">
        <f>model_eui_end_uses!AD606*base_building_arch_areas!$N$25</f>
        <v>-37406.691203193201</v>
      </c>
      <c r="AE606" s="187">
        <f>model_eui_end_uses!AE606*base_building_arch_areas!$N$25</f>
        <v>35115.840833844348</v>
      </c>
      <c r="AF606" s="187">
        <f t="shared" si="110"/>
        <v>-2290.8503693488528</v>
      </c>
      <c r="AG606" s="187">
        <f>model_eui_end_uses!AH606*base_building_arch_areas!$N$25</f>
        <v>-605.98839749172976</v>
      </c>
      <c r="AH606" s="187">
        <f>model_eui_end_uses!AI606*base_building_arch_areas!$N$25</f>
        <v>3968.0900142244113</v>
      </c>
      <c r="AI606" s="187">
        <f t="shared" si="111"/>
        <v>3362.1016167326816</v>
      </c>
      <c r="AJ606" s="200">
        <f>sim_annual_output!F606/sim_annual_output!H606*base_building_arch_areas!$N$25</f>
        <v>157338.94090202177</v>
      </c>
      <c r="AK606">
        <f t="shared" si="112"/>
        <v>46.797794605305555</v>
      </c>
    </row>
    <row r="607" spans="1:37">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f>model_eui_end_uses!G607*base_scenario_arch_measures!$F607</f>
        <v>0</v>
      </c>
      <c r="H607">
        <f>model_eui_end_uses!H607*base_scenario_arch_measures!$F607</f>
        <v>1.9697453136722409</v>
      </c>
      <c r="I607">
        <f>model_eui_end_uses!I607*base_scenario_arch_measures!$F607</f>
        <v>0</v>
      </c>
      <c r="J607">
        <f>model_eui_end_uses!J607*base_scenario_arch_measures!$F607</f>
        <v>3.8235004043335657E-2</v>
      </c>
      <c r="K607">
        <f>model_eui_end_uses!K607*base_scenario_arch_measures!$F607</f>
        <v>0</v>
      </c>
      <c r="L607">
        <f>model_eui_end_uses!L607*base_scenario_arch_measures!$F607</f>
        <v>0.52794599820701882</v>
      </c>
      <c r="M607">
        <f>model_eui_end_uses!M607*base_scenario_arch_measures!$F607</f>
        <v>0.11385585537754395</v>
      </c>
      <c r="N607">
        <f>model_eui_end_uses!N607*base_scenario_arch_measures!$F607</f>
        <v>0</v>
      </c>
      <c r="O607">
        <f>model_eui_end_uses!O607*base_scenario_arch_measures!$F607</f>
        <v>0.24327193448941056</v>
      </c>
      <c r="P607">
        <f>model_eui_end_uses!P607*base_scenario_arch_measures!$F607</f>
        <v>3.2818760973571419E-3</v>
      </c>
      <c r="Q607">
        <f>model_eui_end_uses!Q607*base_scenario_arch_measures!$F607</f>
        <v>0</v>
      </c>
      <c r="R607" s="187">
        <f>model_eui_end_uses!R607*base_building_arch_areas!$N$25</f>
        <v>0</v>
      </c>
      <c r="S607" s="187">
        <f>model_eui_end_uses!S607*base_building_arch_areas!$N$25</f>
        <v>971157.33175334986</v>
      </c>
      <c r="T607" s="187">
        <f>model_eui_end_uses!T607*base_building_arch_areas!$N$25</f>
        <v>0</v>
      </c>
      <c r="U607" s="187">
        <f>model_eui_end_uses!U607*base_building_arch_areas!$N$25</f>
        <v>8768.4275573993691</v>
      </c>
      <c r="V607" s="187">
        <f>model_eui_end_uses!V607*base_building_arch_areas!$N$25</f>
        <v>0</v>
      </c>
      <c r="W607" s="187">
        <f>model_eui_end_uses!W607*base_building_arch_areas!$N$25</f>
        <v>121146.4910092583</v>
      </c>
      <c r="X607" s="187">
        <f>model_eui_end_uses!X607*base_building_arch_areas!$N$25</f>
        <v>26126.227695050013</v>
      </c>
      <c r="Y607" s="187">
        <f>model_eui_end_uses!Y607*base_building_arch_areas!$N$25</f>
        <v>0</v>
      </c>
      <c r="Z607" s="187">
        <f>model_eui_end_uses!Z607*base_building_arch_areas!$N$25</f>
        <v>56976.346993095358</v>
      </c>
      <c r="AA607" s="187">
        <f>model_eui_end_uses!AA607*base_building_arch_areas!$N$25</f>
        <v>61505.384650370717</v>
      </c>
      <c r="AB607" s="187">
        <f>model_eui_end_uses!AB607*base_building_arch_areas!$N$25</f>
        <v>0</v>
      </c>
      <c r="AC607" s="187">
        <f>model_eui_end_uses!AC607*base_building_arch_areas!$N$25</f>
        <v>1245680.2096585236</v>
      </c>
      <c r="AD607" s="187">
        <f>model_eui_end_uses!AD607*base_building_arch_areas!$N$25</f>
        <v>519164.63980429218</v>
      </c>
      <c r="AE607" s="187">
        <f>model_eui_end_uses!AE607*base_building_arch_areas!$N$25</f>
        <v>61900.358864667942</v>
      </c>
      <c r="AF607" s="187">
        <f t="shared" si="110"/>
        <v>581064.99866896006</v>
      </c>
      <c r="AG607" s="187">
        <f>model_eui_end_uses!AH607*base_building_arch_areas!$N$25</f>
        <v>8410.4671648295316</v>
      </c>
      <c r="AH607" s="187">
        <f>model_eui_end_uses!AI607*base_building_arch_areas!$N$25</f>
        <v>6994.7405517074785</v>
      </c>
      <c r="AI607" s="187">
        <f t="shared" si="111"/>
        <v>15405.20771653701</v>
      </c>
      <c r="AJ607" s="200">
        <f>sim_annual_output!F607/sim_annual_output!H607*base_building_arch_areas!$N$25</f>
        <v>409015.04743390362</v>
      </c>
      <c r="AK607">
        <f t="shared" si="112"/>
        <v>26.550440277078426</v>
      </c>
    </row>
    <row r="608" spans="1:37">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f>model_eui_end_uses!G608*base_scenario_arch_measures!$F608</f>
        <v>0</v>
      </c>
      <c r="H608">
        <f>model_eui_end_uses!H608*base_scenario_arch_measures!$F608</f>
        <v>3.4897129497563264</v>
      </c>
      <c r="I608">
        <f>model_eui_end_uses!I608*base_scenario_arch_measures!$F608</f>
        <v>0</v>
      </c>
      <c r="J608">
        <f>model_eui_end_uses!J608*base_scenario_arch_measures!$F608</f>
        <v>3.8212053857422816E-2</v>
      </c>
      <c r="K608">
        <f>model_eui_end_uses!K608*base_scenario_arch_measures!$F608</f>
        <v>0</v>
      </c>
      <c r="L608">
        <f>model_eui_end_uses!L608*base_scenario_arch_measures!$F608</f>
        <v>0.52794599815985244</v>
      </c>
      <c r="M608">
        <f>model_eui_end_uses!M608*base_scenario_arch_measures!$F608</f>
        <v>0.11385585536737212</v>
      </c>
      <c r="N608">
        <f>model_eui_end_uses!N608*base_scenario_arch_measures!$F608</f>
        <v>0</v>
      </c>
      <c r="O608">
        <f>model_eui_end_uses!O608*base_scenario_arch_measures!$F608</f>
        <v>0.29277547811359927</v>
      </c>
      <c r="P608">
        <f>model_eui_end_uses!P608*base_scenario_arch_measures!$F608</f>
        <v>0.30730294363416905</v>
      </c>
      <c r="Q608">
        <f>model_eui_end_uses!Q608*base_scenario_arch_measures!$F608</f>
        <v>0</v>
      </c>
      <c r="R608" s="187">
        <f>model_eui_end_uses!R608*base_building_arch_areas!$N$25</f>
        <v>0</v>
      </c>
      <c r="S608" s="187">
        <f>model_eui_end_uses!S608*base_building_arch_areas!$N$25</f>
        <v>971157.33175334986</v>
      </c>
      <c r="T608" s="187">
        <f>model_eui_end_uses!T608*base_building_arch_areas!$N$25</f>
        <v>0</v>
      </c>
      <c r="U608" s="187">
        <f>model_eui_end_uses!U608*base_building_arch_areas!$N$25</f>
        <v>8768.4275573993691</v>
      </c>
      <c r="V608" s="187">
        <f>model_eui_end_uses!V608*base_building_arch_areas!$N$25</f>
        <v>0</v>
      </c>
      <c r="W608" s="187">
        <f>model_eui_end_uses!W608*base_building_arch_areas!$N$25</f>
        <v>121146.4910092583</v>
      </c>
      <c r="X608" s="187">
        <f>model_eui_end_uses!X608*base_building_arch_areas!$N$25</f>
        <v>26126.227695050013</v>
      </c>
      <c r="Y608" s="187">
        <f>model_eui_end_uses!Y608*base_building_arch_areas!$N$25</f>
        <v>0</v>
      </c>
      <c r="Z608" s="187">
        <f>model_eui_end_uses!Z608*base_building_arch_areas!$N$25</f>
        <v>56976.346993095358</v>
      </c>
      <c r="AA608" s="187">
        <f>model_eui_end_uses!AA608*base_building_arch_areas!$N$25</f>
        <v>61505.384650370717</v>
      </c>
      <c r="AB608" s="187">
        <f>model_eui_end_uses!AB608*base_building_arch_areas!$N$25</f>
        <v>0</v>
      </c>
      <c r="AC608" s="187">
        <f>model_eui_end_uses!AC608*base_building_arch_areas!$N$25</f>
        <v>1245680.2096585236</v>
      </c>
      <c r="AD608" s="187">
        <f>model_eui_end_uses!AD608*base_building_arch_areas!$N$25</f>
        <v>170381.34343575046</v>
      </c>
      <c r="AE608" s="187">
        <f>model_eui_end_uses!AE608*base_building_arch_areas!$N$25</f>
        <v>-19216.812080033887</v>
      </c>
      <c r="AF608" s="187">
        <f t="shared" si="110"/>
        <v>151164.53135571658</v>
      </c>
      <c r="AG608" s="187">
        <f>model_eui_end_uses!AH608*base_building_arch_areas!$N$25</f>
        <v>2760.1777636591573</v>
      </c>
      <c r="AH608" s="187">
        <f>model_eui_end_uses!AI608*base_building_arch_areas!$N$25</f>
        <v>-2171.4997650438295</v>
      </c>
      <c r="AI608" s="187">
        <f t="shared" si="111"/>
        <v>588.67799861532785</v>
      </c>
      <c r="AJ608" s="200">
        <f>sim_annual_output!F608/sim_annual_output!H608*base_building_arch_areas!$N$25</f>
        <v>29519.101866251945</v>
      </c>
      <c r="AK608">
        <f t="shared" si="112"/>
        <v>50.144734363584099</v>
      </c>
    </row>
    <row r="609" spans="1:37">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f>model_eui_end_uses!G609*base_scenario_arch_measures!$F609</f>
        <v>0</v>
      </c>
      <c r="H609">
        <f>model_eui_end_uses!H609*base_scenario_arch_measures!$F609</f>
        <v>1.4872177266307447</v>
      </c>
      <c r="I609">
        <f>model_eui_end_uses!I609*base_scenario_arch_measures!$F609</f>
        <v>0</v>
      </c>
      <c r="J609">
        <f>model_eui_end_uses!J609*base_scenario_arch_measures!$F609</f>
        <v>3.8212053860836655E-2</v>
      </c>
      <c r="K609">
        <f>model_eui_end_uses!K609*base_scenario_arch_measures!$F609</f>
        <v>0</v>
      </c>
      <c r="L609">
        <f>model_eui_end_uses!L609*base_scenario_arch_measures!$F609</f>
        <v>0.36956678878141302</v>
      </c>
      <c r="M609">
        <f>model_eui_end_uses!M609*base_scenario_arch_measures!$F609</f>
        <v>0.11385585537754395</v>
      </c>
      <c r="N609">
        <f>model_eui_end_uses!N609*base_scenario_arch_measures!$F609</f>
        <v>0</v>
      </c>
      <c r="O609">
        <f>model_eui_end_uses!O609*base_scenario_arch_measures!$F609</f>
        <v>0.23923270236958638</v>
      </c>
      <c r="P609">
        <f>model_eui_end_uses!P609*base_scenario_arch_measures!$F609</f>
        <v>0.19587980762897347</v>
      </c>
      <c r="Q609">
        <f>model_eui_end_uses!Q609*base_scenario_arch_measures!$F609</f>
        <v>0</v>
      </c>
      <c r="R609" s="187">
        <f>model_eui_end_uses!R609*base_building_arch_areas!$N$25</f>
        <v>0</v>
      </c>
      <c r="S609" s="187">
        <f>model_eui_end_uses!S609*base_building_arch_areas!$N$25</f>
        <v>971157.33175334986</v>
      </c>
      <c r="T609" s="187">
        <f>model_eui_end_uses!T609*base_building_arch_areas!$N$25</f>
        <v>0</v>
      </c>
      <c r="U609" s="187">
        <f>model_eui_end_uses!U609*base_building_arch_areas!$N$25</f>
        <v>8768.4275573993691</v>
      </c>
      <c r="V609" s="187">
        <f>model_eui_end_uses!V609*base_building_arch_areas!$N$25</f>
        <v>0</v>
      </c>
      <c r="W609" s="187">
        <f>model_eui_end_uses!W609*base_building_arch_areas!$N$25</f>
        <v>121146.4910092583</v>
      </c>
      <c r="X609" s="187">
        <f>model_eui_end_uses!X609*base_building_arch_areas!$N$25</f>
        <v>26126.227695050013</v>
      </c>
      <c r="Y609" s="187">
        <f>model_eui_end_uses!Y609*base_building_arch_areas!$N$25</f>
        <v>0</v>
      </c>
      <c r="Z609" s="187">
        <f>model_eui_end_uses!Z609*base_building_arch_areas!$N$25</f>
        <v>56976.346993095358</v>
      </c>
      <c r="AA609" s="187">
        <f>model_eui_end_uses!AA609*base_building_arch_areas!$N$25</f>
        <v>61505.384650370717</v>
      </c>
      <c r="AB609" s="187">
        <f>model_eui_end_uses!AB609*base_building_arch_areas!$N$25</f>
        <v>0</v>
      </c>
      <c r="AC609" s="187">
        <f>model_eui_end_uses!AC609*base_building_arch_areas!$N$25</f>
        <v>1245680.2096585236</v>
      </c>
      <c r="AD609" s="187">
        <f>model_eui_end_uses!AD609*base_building_arch_areas!$N$25</f>
        <v>629889.07787895994</v>
      </c>
      <c r="AE609" s="187">
        <f>model_eui_end_uses!AE609*base_building_arch_areas!$N$25</f>
        <v>54980.410630179809</v>
      </c>
      <c r="AF609" s="187">
        <f t="shared" si="110"/>
        <v>684869.48850913974</v>
      </c>
      <c r="AG609" s="187">
        <f>model_eui_end_uses!AH609*base_building_arch_areas!$N$25</f>
        <v>10204.203061639151</v>
      </c>
      <c r="AH609" s="187">
        <f>model_eui_end_uses!AI609*base_building_arch_areas!$N$25</f>
        <v>6212.7864012103191</v>
      </c>
      <c r="AI609" s="187">
        <f t="shared" si="111"/>
        <v>16416.989462849469</v>
      </c>
      <c r="AJ609" s="200">
        <f>sim_annual_output!F609/sim_annual_output!H609*base_building_arch_areas!$N$25</f>
        <v>775886.61404872988</v>
      </c>
      <c r="AK609">
        <f t="shared" si="112"/>
        <v>47.261199491204437</v>
      </c>
    </row>
    <row r="610" spans="1:37">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f>model_eui_end_uses!G610*base_scenario_arch_measures!$F610</f>
        <v>0</v>
      </c>
      <c r="H610">
        <f>model_eui_end_uses!H610*base_scenario_arch_measures!$F610</f>
        <v>4.1726874306830801</v>
      </c>
      <c r="I610">
        <f>model_eui_end_uses!I610*base_scenario_arch_measures!$F610</f>
        <v>0</v>
      </c>
      <c r="J610">
        <f>model_eui_end_uses!J610*base_scenario_arch_measures!$F610</f>
        <v>3.8212053857422816E-2</v>
      </c>
      <c r="K610">
        <f>model_eui_end_uses!K610*base_scenario_arch_measures!$F610</f>
        <v>0</v>
      </c>
      <c r="L610">
        <f>model_eui_end_uses!L610*base_scenario_arch_measures!$F610</f>
        <v>0.52794599815985244</v>
      </c>
      <c r="M610">
        <f>model_eui_end_uses!M610*base_scenario_arch_measures!$F610</f>
        <v>0.11385585536737212</v>
      </c>
      <c r="N610">
        <f>model_eui_end_uses!N610*base_scenario_arch_measures!$F610</f>
        <v>0</v>
      </c>
      <c r="O610">
        <f>model_eui_end_uses!O610*base_scenario_arch_measures!$F610</f>
        <v>0.24889472917942965</v>
      </c>
      <c r="P610">
        <f>model_eui_end_uses!P610*base_scenario_arch_measures!$F610</f>
        <v>0.2699859468941273</v>
      </c>
      <c r="Q610">
        <f>model_eui_end_uses!Q610*base_scenario_arch_measures!$F610</f>
        <v>0</v>
      </c>
      <c r="R610" s="187">
        <f>model_eui_end_uses!R610*base_building_arch_areas!$N$25</f>
        <v>0</v>
      </c>
      <c r="S610" s="187">
        <f>model_eui_end_uses!S610*base_building_arch_areas!$N$25</f>
        <v>971157.33175334986</v>
      </c>
      <c r="T610" s="187">
        <f>model_eui_end_uses!T610*base_building_arch_areas!$N$25</f>
        <v>0</v>
      </c>
      <c r="U610" s="187">
        <f>model_eui_end_uses!U610*base_building_arch_areas!$N$25</f>
        <v>8768.4275573993691</v>
      </c>
      <c r="V610" s="187">
        <f>model_eui_end_uses!V610*base_building_arch_areas!$N$25</f>
        <v>0</v>
      </c>
      <c r="W610" s="187">
        <f>model_eui_end_uses!W610*base_building_arch_areas!$N$25</f>
        <v>121146.4910092583</v>
      </c>
      <c r="X610" s="187">
        <f>model_eui_end_uses!X610*base_building_arch_areas!$N$25</f>
        <v>26126.227695050013</v>
      </c>
      <c r="Y610" s="187">
        <f>model_eui_end_uses!Y610*base_building_arch_areas!$N$25</f>
        <v>0</v>
      </c>
      <c r="Z610" s="187">
        <f>model_eui_end_uses!Z610*base_building_arch_areas!$N$25</f>
        <v>56976.346993095358</v>
      </c>
      <c r="AA610" s="187">
        <f>model_eui_end_uses!AA610*base_building_arch_areas!$N$25</f>
        <v>61505.384650370717</v>
      </c>
      <c r="AB610" s="187">
        <f>model_eui_end_uses!AB610*base_building_arch_areas!$N$25</f>
        <v>0</v>
      </c>
      <c r="AC610" s="187">
        <f>model_eui_end_uses!AC610*base_building_arch_areas!$N$25</f>
        <v>1245680.2096585236</v>
      </c>
      <c r="AD610" s="187">
        <f>model_eui_end_uses!AD610*base_building_arch_areas!$N$25</f>
        <v>13660.841539452837</v>
      </c>
      <c r="AE610" s="187">
        <f>model_eui_end_uses!AE610*base_building_arch_areas!$N$25</f>
        <v>-584.56181258198376</v>
      </c>
      <c r="AF610" s="187">
        <f t="shared" si="110"/>
        <v>13076.279726870853</v>
      </c>
      <c r="AG610" s="187">
        <f>model_eui_end_uses!AH610*base_building_arch_areas!$N$25</f>
        <v>221.30563293913593</v>
      </c>
      <c r="AH610" s="187">
        <f>model_eui_end_uses!AI610*base_building_arch_areas!$N$25</f>
        <v>-66.055484821764168</v>
      </c>
      <c r="AI610" s="187">
        <f t="shared" si="111"/>
        <v>155.25014811737177</v>
      </c>
      <c r="AJ610" s="200">
        <f>sim_annual_output!F610/sim_annual_output!H610*base_building_arch_areas!$N$25</f>
        <v>17069.109901503369</v>
      </c>
      <c r="AK610">
        <f t="shared" si="112"/>
        <v>109.94585260298</v>
      </c>
    </row>
    <row r="611" spans="1:37">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f>model_eui_end_uses!G611*base_scenario_arch_measures!$F611</f>
        <v>0</v>
      </c>
      <c r="H611">
        <f>model_eui_end_uses!H611*base_scenario_arch_measures!$F611</f>
        <v>4.1668351341463579</v>
      </c>
      <c r="I611">
        <f>model_eui_end_uses!I611*base_scenario_arch_measures!$F611</f>
        <v>0</v>
      </c>
      <c r="J611">
        <f>model_eui_end_uses!J611*base_scenario_arch_measures!$F611</f>
        <v>3.8212053857422816E-2</v>
      </c>
      <c r="K611">
        <f>model_eui_end_uses!K611*base_scenario_arch_measures!$F611</f>
        <v>0</v>
      </c>
      <c r="L611">
        <f>model_eui_end_uses!L611*base_scenario_arch_measures!$F611</f>
        <v>0.52794599815985244</v>
      </c>
      <c r="M611">
        <f>model_eui_end_uses!M611*base_scenario_arch_measures!$F611</f>
        <v>0.11385585536737212</v>
      </c>
      <c r="N611">
        <f>model_eui_end_uses!N611*base_scenario_arch_measures!$F611</f>
        <v>0</v>
      </c>
      <c r="O611">
        <f>model_eui_end_uses!O611*base_scenario_arch_measures!$F611</f>
        <v>0.24894062954442356</v>
      </c>
      <c r="P611">
        <f>model_eui_end_uses!P611*base_scenario_arch_measures!$F611</f>
        <v>0.21100397787696415</v>
      </c>
      <c r="Q611">
        <f>model_eui_end_uses!Q611*base_scenario_arch_measures!$F611</f>
        <v>0</v>
      </c>
      <c r="R611" s="187">
        <f>model_eui_end_uses!R611*base_building_arch_areas!$N$25</f>
        <v>0</v>
      </c>
      <c r="S611" s="187">
        <f>model_eui_end_uses!S611*base_building_arch_areas!$N$25</f>
        <v>971157.33175334986</v>
      </c>
      <c r="T611" s="187">
        <f>model_eui_end_uses!T611*base_building_arch_areas!$N$25</f>
        <v>0</v>
      </c>
      <c r="U611" s="187">
        <f>model_eui_end_uses!U611*base_building_arch_areas!$N$25</f>
        <v>8768.4275573993691</v>
      </c>
      <c r="V611" s="187">
        <f>model_eui_end_uses!V611*base_building_arch_areas!$N$25</f>
        <v>0</v>
      </c>
      <c r="W611" s="187">
        <f>model_eui_end_uses!W611*base_building_arch_areas!$N$25</f>
        <v>121146.4910092583</v>
      </c>
      <c r="X611" s="187">
        <f>model_eui_end_uses!X611*base_building_arch_areas!$N$25</f>
        <v>26126.227695050013</v>
      </c>
      <c r="Y611" s="187">
        <f>model_eui_end_uses!Y611*base_building_arch_areas!$N$25</f>
        <v>0</v>
      </c>
      <c r="Z611" s="187">
        <f>model_eui_end_uses!Z611*base_building_arch_areas!$N$25</f>
        <v>56976.346993095358</v>
      </c>
      <c r="AA611" s="187">
        <f>model_eui_end_uses!AA611*base_building_arch_areas!$N$25</f>
        <v>61505.384650370717</v>
      </c>
      <c r="AB611" s="187">
        <f>model_eui_end_uses!AB611*base_building_arch_areas!$N$25</f>
        <v>0</v>
      </c>
      <c r="AC611" s="187">
        <f>model_eui_end_uses!AC611*base_building_arch_areas!$N$25</f>
        <v>1245680.2096585236</v>
      </c>
      <c r="AD611" s="187">
        <f>model_eui_end_uses!AD611*base_building_arch_areas!$N$25</f>
        <v>15003.753867943467</v>
      </c>
      <c r="AE611" s="187">
        <f>model_eui_end_uses!AE611*base_building_arch_areas!$N$25</f>
        <v>12939.355283748238</v>
      </c>
      <c r="AF611" s="187">
        <f t="shared" si="110"/>
        <v>27943.109151691708</v>
      </c>
      <c r="AG611" s="187">
        <f>model_eui_end_uses!AH611*base_building_arch_areas!$N$25</f>
        <v>243.06081266068415</v>
      </c>
      <c r="AH611" s="187">
        <f>model_eui_end_uses!AI611*base_building_arch_areas!$N$25</f>
        <v>1462.1471470635511</v>
      </c>
      <c r="AI611" s="187">
        <f t="shared" si="111"/>
        <v>1705.2079597242353</v>
      </c>
      <c r="AJ611" s="200">
        <f>sim_annual_output!F611/sim_annual_output!H611*base_building_arch_areas!$N$25</f>
        <v>20142.533437013997</v>
      </c>
      <c r="AK611">
        <f t="shared" si="112"/>
        <v>11.812361842523554</v>
      </c>
    </row>
    <row r="612" spans="1:37">
      <c r="R612" s="187">
        <f>model_eui_end_uses!R612*F612*231281</f>
        <v>0</v>
      </c>
      <c r="S612" s="187">
        <f>model_eui_end_uses!S612*F612*231281</f>
        <v>0</v>
      </c>
      <c r="T612" s="187">
        <f>model_eui_end_uses!T612*F612*231281</f>
        <v>0</v>
      </c>
      <c r="U612" s="187">
        <f>model_eui_end_uses!U612*F612*231281</f>
        <v>0</v>
      </c>
      <c r="V612" s="187">
        <f>model_eui_end_uses!V612*F612*231281</f>
        <v>0</v>
      </c>
      <c r="W612" s="187">
        <f>model_eui_end_uses!W612*F612*231281</f>
        <v>0</v>
      </c>
      <c r="X612" s="187">
        <f>model_eui_end_uses!X612*F612*231281</f>
        <v>0</v>
      </c>
      <c r="Y612" s="187">
        <f>model_eui_end_uses!Y612*F612*231281</f>
        <v>0</v>
      </c>
      <c r="Z612" s="187">
        <f>model_eui_end_uses!Z612*F612*231281</f>
        <v>0</v>
      </c>
      <c r="AA612" s="187">
        <f>model_eui_end_uses!AA612*F612*231281</f>
        <v>0</v>
      </c>
      <c r="AB612" s="187">
        <f>model_eui_end_uses!AB612*F612*231281</f>
        <v>0</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sheetPr>
    <tabColor rgb="FF7030A0"/>
  </sheetPr>
  <dimension ref="A1:BM29"/>
  <sheetViews>
    <sheetView zoomScaleNormal="100" workbookViewId="0">
      <selection activeCell="AH9" sqref="AH9:AH27"/>
    </sheetView>
  </sheetViews>
  <sheetFormatPr defaultRowHeight="14.4"/>
  <cols>
    <col min="1" max="1" width="5" bestFit="1" customWidth="1"/>
    <col min="2" max="2" width="28" bestFit="1" customWidth="1"/>
    <col min="3" max="32" width="15.6640625" hidden="1" customWidth="1"/>
    <col min="33" max="33" width="15.6640625" style="191" hidden="1" customWidth="1"/>
    <col min="34" max="36" width="15.6640625" style="191" customWidth="1"/>
    <col min="37" max="43" width="15.6640625" customWidth="1"/>
    <col min="44" max="44" width="10.44140625" customWidth="1"/>
  </cols>
  <sheetData>
    <row r="1" spans="1:65" ht="57.6">
      <c r="A1" s="177" t="s">
        <v>992</v>
      </c>
      <c r="B1" s="177" t="s">
        <v>774</v>
      </c>
      <c r="C1" s="201" t="str">
        <f>sim_annual_output!I1&amp;"/m2"</f>
        <v>Electricity-Heating KWh/m2</v>
      </c>
      <c r="D1" s="201" t="str">
        <f>sim_annual_output!J1&amp;"/m2"</f>
        <v>Natural Gas-Heating KWh/m2</v>
      </c>
      <c r="E1" s="201" t="str">
        <f>sim_annual_output!K1&amp;"/m2"</f>
        <v>Electricity-Cooling KWh/m2</v>
      </c>
      <c r="F1" s="201" t="str">
        <f>sim_annual_output!L1&amp;"/m2"</f>
        <v>Electricity-Water Systems KWh/m2</v>
      </c>
      <c r="G1" s="201" t="str">
        <f>sim_annual_output!M1&amp;"/m2"</f>
        <v>Natural Gas-Water Systems KWh/m2</v>
      </c>
      <c r="H1" s="201" t="str">
        <f>sim_annual_output!N1&amp;"/m2"</f>
        <v>Electricity-Interior Lighting KWh/m2</v>
      </c>
      <c r="I1" s="201" t="str">
        <f>sim_annual_output!O1&amp;"/m2"</f>
        <v>Electricity-Interior Equipment KWh/m2</v>
      </c>
      <c r="J1" s="201" t="str">
        <f>sim_annual_output!P1&amp;"/m2"</f>
        <v>District Heating-Interior Equipment KWh/m2</v>
      </c>
      <c r="K1" s="201" t="str">
        <f>sim_annual_output!Q1&amp;"/m2"</f>
        <v>Electricity-Fans KWh/m2</v>
      </c>
      <c r="L1" s="201" t="str">
        <f>sim_annual_output!R1&amp;"/m2"</f>
        <v>Electricity-Pumps KWh/m2</v>
      </c>
      <c r="M1" s="201" t="str">
        <f>sim_annual_output!S1&amp;"/m2"</f>
        <v>Electricity-Heat Recovery KWh/m2</v>
      </c>
      <c r="N1" s="181" t="str">
        <f t="shared" ref="N1:X1" si="0">"Savings "&amp;C1</f>
        <v>Savings Electricity-Heating KWh/m2</v>
      </c>
      <c r="O1" s="181" t="str">
        <f t="shared" si="0"/>
        <v>Savings Natural Gas-Heating KWh/m2</v>
      </c>
      <c r="P1" s="181" t="str">
        <f t="shared" si="0"/>
        <v>Savings Electricity-Cooling KWh/m2</v>
      </c>
      <c r="Q1" s="181" t="str">
        <f t="shared" si="0"/>
        <v>Savings Electricity-Water Systems KWh/m2</v>
      </c>
      <c r="R1" s="181" t="str">
        <f t="shared" si="0"/>
        <v>Savings Natural Gas-Water Systems KWh/m2</v>
      </c>
      <c r="S1" s="181" t="str">
        <f t="shared" si="0"/>
        <v>Savings Electricity-Interior Lighting KWh/m2</v>
      </c>
      <c r="T1" s="181" t="str">
        <f t="shared" si="0"/>
        <v>Savings Electricity-Interior Equipment KWh/m2</v>
      </c>
      <c r="U1" s="181" t="str">
        <f t="shared" si="0"/>
        <v>Savings District Heating-Interior Equipment KWh/m2</v>
      </c>
      <c r="V1" s="181" t="str">
        <f t="shared" si="0"/>
        <v>Savings Electricity-Fans KWh/m2</v>
      </c>
      <c r="W1" s="181" t="str">
        <f t="shared" si="0"/>
        <v>Savings Electricity-Pumps KWh/m2</v>
      </c>
      <c r="X1" s="181" t="str">
        <f t="shared" si="0"/>
        <v>Savings Electricity-Heat Recovery KWh/m2</v>
      </c>
      <c r="Y1" s="181" t="s">
        <v>997</v>
      </c>
      <c r="Z1" s="181" t="s">
        <v>996</v>
      </c>
      <c r="AA1" s="181" t="s">
        <v>995</v>
      </c>
      <c r="AB1" s="181" t="s">
        <v>994</v>
      </c>
      <c r="AC1" s="181" t="s">
        <v>1098</v>
      </c>
      <c r="AD1" s="181" t="s">
        <v>998</v>
      </c>
      <c r="AE1" s="181" t="s">
        <v>1138</v>
      </c>
      <c r="AF1" s="181" t="s">
        <v>1139</v>
      </c>
      <c r="AG1" s="202" t="s">
        <v>1053</v>
      </c>
      <c r="AH1" s="203" t="s">
        <v>1052</v>
      </c>
      <c r="AI1" s="203" t="s">
        <v>1027</v>
      </c>
      <c r="AJ1" s="210" t="s">
        <v>1140</v>
      </c>
      <c r="AK1" s="204" t="s">
        <v>1071</v>
      </c>
      <c r="AL1" s="204" t="s">
        <v>1100</v>
      </c>
      <c r="AM1" s="204" t="s">
        <v>1101</v>
      </c>
      <c r="AN1" s="204" t="s">
        <v>1102</v>
      </c>
      <c r="AO1" s="204" t="s">
        <v>1103</v>
      </c>
      <c r="AP1" s="195" t="s">
        <v>1104</v>
      </c>
      <c r="AQ1" s="209" t="s">
        <v>1105</v>
      </c>
      <c r="AR1" s="195" t="s">
        <v>1135</v>
      </c>
      <c r="AS1" s="195" t="s">
        <v>1136</v>
      </c>
      <c r="AT1" s="195" t="s">
        <v>1137</v>
      </c>
      <c r="AU1" s="195" t="s">
        <v>1168</v>
      </c>
      <c r="AV1" s="195" t="s">
        <v>1169</v>
      </c>
      <c r="AW1" s="195"/>
      <c r="AX1" s="195"/>
      <c r="AY1" s="195"/>
      <c r="AZ1" s="195"/>
      <c r="BA1" s="195"/>
      <c r="BB1" s="195"/>
      <c r="BC1" s="195"/>
      <c r="BD1" s="195"/>
      <c r="BE1" s="195"/>
      <c r="BF1" s="195"/>
      <c r="BG1" s="195"/>
      <c r="BH1" s="195"/>
      <c r="BI1" s="195"/>
      <c r="BJ1" s="195"/>
      <c r="BK1" s="195"/>
      <c r="BL1" s="195"/>
      <c r="BM1" s="195"/>
    </row>
    <row r="2" spans="1:65">
      <c r="A2">
        <v>2015</v>
      </c>
      <c r="B2" s="184" t="s">
        <v>832</v>
      </c>
      <c r="C2">
        <f>SUMIFS(base_scenario_arch_measures!G:G,base_scenario_arch_measures!$E:$E,base_energy_ecm!$B2,base_scenario_arch_measures!$D:$D,base_energy_ecm!$A2)</f>
        <v>0.67421442540886278</v>
      </c>
      <c r="D2">
        <f>SUMIFS(base_scenario_arch_measures!H:H,base_scenario_arch_measures!$E:$E,base_energy_ecm!$B2,base_scenario_arch_measures!$D:$D,base_energy_ecm!$A2)</f>
        <v>331.97654613301768</v>
      </c>
      <c r="E2">
        <f>SUMIFS(base_scenario_arch_measures!I:I,base_scenario_arch_measures!$E:$E,base_energy_ecm!$B2,base_scenario_arch_measures!$D:$D,base_energy_ecm!$A2)</f>
        <v>3.7335574985104141</v>
      </c>
      <c r="F2">
        <f>SUMIFS(base_scenario_arch_measures!J:J,base_scenario_arch_measures!$E:$E,base_energy_ecm!$B2,base_scenario_arch_measures!$D:$D,base_energy_ecm!$A2)</f>
        <v>3.0947627295778233</v>
      </c>
      <c r="G2">
        <f>SUMIFS(base_scenario_arch_measures!K:K,base_scenario_arch_measures!$E:$E,base_energy_ecm!$B2,base_scenario_arch_measures!$D:$D,base_energy_ecm!$A2)</f>
        <v>12.97952381122068</v>
      </c>
      <c r="H2">
        <f>SUMIFS(base_scenario_arch_measures!L:L,base_scenario_arch_measures!$E:$E,base_energy_ecm!$B2,base_scenario_arch_measures!$D:$D,base_energy_ecm!$A2)</f>
        <v>40.106305884043586</v>
      </c>
      <c r="I2">
        <f>SUMIFS(base_scenario_arch_measures!M:M,base_scenario_arch_measures!$E:$E,base_energy_ecm!$B2,base_scenario_arch_measures!$D:$D,base_energy_ecm!$A2)</f>
        <v>6.5602404051349685</v>
      </c>
      <c r="J2">
        <f>SUMIFS(base_scenario_arch_measures!N:N,base_scenario_arch_measures!$E:$E,base_energy_ecm!$B2,base_scenario_arch_measures!$D:$D,base_energy_ecm!$A2)</f>
        <v>0.34781670798042902</v>
      </c>
      <c r="K2">
        <f>SUMIFS(base_scenario_arch_measures!O:O,base_scenario_arch_measures!$E:$E,base_energy_ecm!$B2,base_scenario_arch_measures!$D:$D,base_energy_ecm!$A2)</f>
        <v>15.448369617775018</v>
      </c>
      <c r="L2">
        <f>SUMIFS(base_scenario_arch_measures!P:P,base_scenario_arch_measures!$E:$E,base_energy_ecm!$B2,base_scenario_arch_measures!$D:$D,base_energy_ecm!$A2)</f>
        <v>8.9453797840638831</v>
      </c>
      <c r="M2">
        <f>SUMIFS(base_scenario_arch_measures!Q:Q,base_scenario_arch_measures!$E:$E,base_energy_ecm!$B2,base_scenario_arch_measures!$D:$D,base_energy_ecm!$A2)</f>
        <v>0</v>
      </c>
      <c r="N2">
        <f t="array" ref="N2">INDEX(C$2:C$21,MATCH($A2&amp;"baseline",$A$2:$A$500&amp;$B$2:$B$500,0)) - C2</f>
        <v>0.17500399735559702</v>
      </c>
      <c r="O2">
        <f t="array" ref="O2">INDEX(D$2:D$21,MATCH($A2&amp;"baseline",$A$2:$A$500&amp;$B$2:$B$500,0)) - D2</f>
        <v>12.56977466779631</v>
      </c>
      <c r="P2">
        <f t="array" ref="P2">INDEX(E$2:E$21,MATCH($A2&amp;"baseline",$A$2:$A$500&amp;$B$2:$B$500,0)) - E2</f>
        <v>-0.60861160533583236</v>
      </c>
      <c r="Q2">
        <f t="array" ref="Q2">INDEX(F$2:F$21,MATCH($A2&amp;"baseline",$A$2:$A$500&amp;$B$2:$B$500,0)) - F2</f>
        <v>-1.8389680868091673E-4</v>
      </c>
      <c r="R2">
        <f t="array" ref="R2">INDEX(G$2:G$21,MATCH($A2&amp;"baseline",$A$2:$A$500&amp;$B$2:$B$500,0)) - G2</f>
        <v>6.8956007404885611E-4</v>
      </c>
      <c r="S2">
        <f t="array" ref="S2">INDEX(H$2:H$21,MATCH($A2&amp;"baseline",$A$2:$A$500&amp;$B$2:$B$500,0)) - H2</f>
        <v>1.775808888720313</v>
      </c>
      <c r="T2">
        <f t="array" ref="T2">INDEX(I$2:I$21,MATCH($A2&amp;"baseline",$A$2:$A$500&amp;$B$2:$B$500,0)) - I2</f>
        <v>0.16450908587496738</v>
      </c>
      <c r="U2">
        <f t="array" ref="U2">INDEX(J$2:J$21,MATCH($A2&amp;"baseline",$A$2:$A$500&amp;$B$2:$B$500,0)) - J2</f>
        <v>0</v>
      </c>
      <c r="V2">
        <f t="array" ref="V2">INDEX(K$2:K$21,MATCH($A2&amp;"baseline",$A$2:$A$500&amp;$B$2:$B$500,0)) - K2</f>
        <v>0.17198734495616286</v>
      </c>
      <c r="W2">
        <f t="array" ref="W2">INDEX(L$2:L$21,MATCH($A2&amp;"baseline",$A$2:$A$500&amp;$B$2:$B$500,0)) - L2</f>
        <v>-0.48697197430330164</v>
      </c>
      <c r="X2">
        <f t="array" ref="X2">INDEX(M$2:M$21,MATCH($A2&amp;"baseline",$A$2:$A$500&amp;$B$2:$B$500,0)) - M2</f>
        <v>0</v>
      </c>
      <c r="Y2">
        <f t="shared" ref="Y2:Y21" si="1">N2+P2+Q2+S2+T2+V2+W2+X2</f>
        <v>1.1915418404592253</v>
      </c>
      <c r="Z2">
        <f>O2+R2+U2</f>
        <v>12.570464227870358</v>
      </c>
      <c r="AA2">
        <f>Y2*constants!$N$2</f>
        <v>0.13464422797189246</v>
      </c>
      <c r="AB2">
        <f>Z2*constants!$O$2</f>
        <v>0.20364152049149981</v>
      </c>
      <c r="AC2">
        <f>((Y2+Z2)/SUM($C$3:$M$3))*100</f>
        <v>3.1446761473843128</v>
      </c>
      <c r="AD2">
        <f>AA2+AB2</f>
        <v>0.33828574846339227</v>
      </c>
      <c r="AE2">
        <f>AA2*base_building_arch_areas!$P$5</f>
        <v>27312.850932554331</v>
      </c>
      <c r="AF2">
        <f>AB2*base_building_arch_areas!$P$5</f>
        <v>41309.08971474172</v>
      </c>
      <c r="AG2" s="191">
        <f>AD2*base_building_arch_areas!$P$5</f>
        <v>68621.940647296055</v>
      </c>
      <c r="AH2" s="191">
        <f>(Y2*constants!$G$2+Z2*constants!$F$2)*base_building_arch_areas!$P$5/1000000</f>
        <v>666.72472342592675</v>
      </c>
      <c r="AJ2">
        <f>SUMIFS(base_scenario_arch_measures!$AJ:$AJ,base_scenario_arch_measures!$E:$E,base_energy_ecm!$B2,base_scenario_arch_measures!$D:$D,base_energy_ecm!$A2)</f>
        <v>631774.46402930038</v>
      </c>
      <c r="AK2">
        <f>SUMIFS(base_scenario_arch_measures!AJ:AJ,base_scenario_arch_measures!$E:$E,base_energy_ecm!$B2,base_scenario_arch_measures!$D:$D,base_energy_ecm!$A2)/AG2</f>
        <v>9.2065957049583158</v>
      </c>
      <c r="AL2">
        <f>SUM(C2:M2)</f>
        <v>423.86671699673343</v>
      </c>
      <c r="AM2">
        <f>AL2*base_building_arch_areas!$P$3/base_building_arch_areas!$P$2</f>
        <v>424.885050616623</v>
      </c>
      <c r="AN2">
        <f>AL2*base_building_arch_areas!$P$4/base_building_arch_areas!$P$2</f>
        <v>410.79504964933795</v>
      </c>
      <c r="AO2">
        <f>AL2*base_building_arch_areas!$P$5/base_building_arch_areas!$P$2</f>
        <v>371.53059615438718</v>
      </c>
      <c r="AP2">
        <f>AL2*base_building_arch_areas!$P$6/base_building_arch_areas!$P$2</f>
        <v>360.93882758636312</v>
      </c>
      <c r="AQ2">
        <f>AL2*base_building_arch_areas!$P$7/base_building_arch_areas!$P$2</f>
        <v>360.93882758636312</v>
      </c>
      <c r="AR2">
        <f>Y2*base_building_arch_areas!$P$5</f>
        <v>241706.64542083477</v>
      </c>
      <c r="AS2">
        <f>(Z2*base_building_arch_areas!$P$5)*0.095</f>
        <v>242244.66190743601</v>
      </c>
      <c r="AT2">
        <f>(Y2+Z2)*base_building_arch_areas!$P$5</f>
        <v>2791650.4549727924</v>
      </c>
    </row>
    <row r="3" spans="1:65">
      <c r="A3">
        <v>2015</v>
      </c>
      <c r="B3" s="184" t="s">
        <v>869</v>
      </c>
      <c r="C3">
        <f>SUMIFS(base_scenario_arch_measures!G:G,base_scenario_arch_measures!$E:$E,base_energy_ecm!$B3,base_scenario_arch_measures!$D:$D,base_energy_ecm!$A3)</f>
        <v>0.8492184227644598</v>
      </c>
      <c r="D3">
        <f>SUMIFS(base_scenario_arch_measures!H:H,base_scenario_arch_measures!$E:$E,base_energy_ecm!$B3,base_scenario_arch_measures!$D:$D,base_energy_ecm!$A3)</f>
        <v>344.54632080081399</v>
      </c>
      <c r="E3">
        <f>SUMIFS(base_scenario_arch_measures!I:I,base_scenario_arch_measures!$E:$E,base_energy_ecm!$B3,base_scenario_arch_measures!$D:$D,base_energy_ecm!$A3)</f>
        <v>3.1249458931745817</v>
      </c>
      <c r="F3">
        <f>SUMIFS(base_scenario_arch_measures!J:J,base_scenario_arch_measures!$E:$E,base_energy_ecm!$B3,base_scenario_arch_measures!$D:$D,base_energy_ecm!$A3)</f>
        <v>3.0945788327691424</v>
      </c>
      <c r="G3">
        <f>SUMIFS(base_scenario_arch_measures!K:K,base_scenario_arch_measures!$E:$E,base_energy_ecm!$B3,base_scenario_arch_measures!$D:$D,base_energy_ecm!$A3)</f>
        <v>12.980213371294729</v>
      </c>
      <c r="H3">
        <f>SUMIFS(base_scenario_arch_measures!L:L,base_scenario_arch_measures!$E:$E,base_energy_ecm!$B3,base_scenario_arch_measures!$D:$D,base_energy_ecm!$A3)</f>
        <v>41.882114772763899</v>
      </c>
      <c r="I3">
        <f>SUMIFS(base_scenario_arch_measures!M:M,base_scenario_arch_measures!$E:$E,base_energy_ecm!$B3,base_scenario_arch_measures!$D:$D,base_energy_ecm!$A3)</f>
        <v>6.7247494910099359</v>
      </c>
      <c r="J3">
        <f>SUMIFS(base_scenario_arch_measures!N:N,base_scenario_arch_measures!$E:$E,base_energy_ecm!$B3,base_scenario_arch_measures!$D:$D,base_energy_ecm!$A3)</f>
        <v>0.34781670798042902</v>
      </c>
      <c r="K3">
        <f>SUMIFS(base_scenario_arch_measures!O:O,base_scenario_arch_measures!$E:$E,base_energy_ecm!$B3,base_scenario_arch_measures!$D:$D,base_energy_ecm!$A3)</f>
        <v>15.620356962731181</v>
      </c>
      <c r="L3">
        <f>SUMIFS(base_scenario_arch_measures!P:P,base_scenario_arch_measures!$E:$E,base_energy_ecm!$B3,base_scenario_arch_measures!$D:$D,base_energy_ecm!$A3)</f>
        <v>8.4584078097605815</v>
      </c>
      <c r="M3">
        <f>SUMIFS(base_scenario_arch_measures!Q:Q,base_scenario_arch_measures!$E:$E,base_energy_ecm!$B3,base_scenario_arch_measures!$D:$D,base_energy_ecm!$A3)</f>
        <v>0</v>
      </c>
      <c r="N3">
        <f t="array" ref="N3">INDEX(C$2:C$21,MATCH($A3&amp;"baseline",$A$2:$A$500&amp;$B$2:$B$500,0)) - C3</f>
        <v>0</v>
      </c>
      <c r="O3">
        <f t="array" ref="O3">INDEX(D$2:D$21,MATCH($A3&amp;"baseline",$A$2:$A$500&amp;$B$2:$B$500,0)) - D3</f>
        <v>0</v>
      </c>
      <c r="P3">
        <f t="array" ref="P3">INDEX(E$2:E$21,MATCH($A3&amp;"baseline",$A$2:$A$500&amp;$B$2:$B$500,0)) - E3</f>
        <v>0</v>
      </c>
      <c r="Q3">
        <f t="array" ref="Q3">INDEX(F$2:F$21,MATCH($A3&amp;"baseline",$A$2:$A$500&amp;$B$2:$B$500,0)) - F3</f>
        <v>0</v>
      </c>
      <c r="R3">
        <f t="array" ref="R3">INDEX(G$2:G$21,MATCH($A3&amp;"baseline",$A$2:$A$500&amp;$B$2:$B$500,0)) - G3</f>
        <v>0</v>
      </c>
      <c r="S3">
        <f t="array" ref="S3">INDEX(H$2:H$21,MATCH($A3&amp;"baseline",$A$2:$A$500&amp;$B$2:$B$500,0)) - H3</f>
        <v>0</v>
      </c>
      <c r="T3">
        <f t="array" ref="T3">INDEX(I$2:I$21,MATCH($A3&amp;"baseline",$A$2:$A$500&amp;$B$2:$B$500,0)) - I3</f>
        <v>0</v>
      </c>
      <c r="U3">
        <f t="array" ref="U3">INDEX(J$2:J$21,MATCH($A3&amp;"baseline",$A$2:$A$500&amp;$B$2:$B$500,0)) - J3</f>
        <v>0</v>
      </c>
      <c r="V3">
        <f t="array" ref="V3">INDEX(K$2:K$21,MATCH($A3&amp;"baseline",$A$2:$A$500&amp;$B$2:$B$500,0)) - K3</f>
        <v>0</v>
      </c>
      <c r="W3">
        <f t="array" ref="W3">INDEX(L$2:L$21,MATCH($A3&amp;"baseline",$A$2:$A$500&amp;$B$2:$B$500,0)) - L3</f>
        <v>0</v>
      </c>
      <c r="X3">
        <f t="array" ref="X3">INDEX(M$2:M$21,MATCH($A3&amp;"baseline",$A$2:$A$500&amp;$B$2:$B$500,0)) - M3</f>
        <v>0</v>
      </c>
      <c r="Y3">
        <f t="shared" si="1"/>
        <v>0</v>
      </c>
      <c r="Z3">
        <f t="shared" ref="Z3:Z21" si="2">O3+R3+U3</f>
        <v>0</v>
      </c>
      <c r="AA3">
        <f>Y3*constants!$N$2</f>
        <v>0</v>
      </c>
      <c r="AB3">
        <f>Z3*constants!$O$2</f>
        <v>0</v>
      </c>
      <c r="AC3">
        <f t="shared" ref="AC3:AC26" si="3">((Y3+Z3)/SUM($C$3:$M$3))*100</f>
        <v>0</v>
      </c>
      <c r="AD3">
        <f t="shared" ref="AD3:AD21" si="4">AA3+AB3</f>
        <v>0</v>
      </c>
      <c r="AE3">
        <f>AA3*base_building_arch_areas!$P$5</f>
        <v>0</v>
      </c>
      <c r="AF3">
        <f>AB3*base_building_arch_areas!$P$5</f>
        <v>0</v>
      </c>
      <c r="AG3" s="191">
        <f>AD3*base_building_arch_areas!$P$5</f>
        <v>0</v>
      </c>
      <c r="AH3" s="191">
        <f>(Y3*constants!$G$2+Z3*constants!$F$2)*base_building_arch_areas!$P$5/1000000</f>
        <v>0</v>
      </c>
      <c r="AJ3">
        <f>SUMIFS(base_scenario_arch_measures!$AJ:$AJ,base_scenario_arch_measures!$E:$E,base_energy_ecm!$B3,base_scenario_arch_measures!$D:$D,base_energy_ecm!$A3)</f>
        <v>0</v>
      </c>
      <c r="AK3" t="e">
        <f>SUMIFS(base_scenario_arch_measures!AJ:AJ,base_scenario_arch_measures!$E:$E,base_energy_ecm!$B3,base_scenario_arch_measures!$D:$D,base_energy_ecm!$A3)/AG3</f>
        <v>#DIV/0!</v>
      </c>
      <c r="AL3">
        <f t="shared" ref="AL3:AL27" si="5">SUM(C3:M3)</f>
        <v>437.6287230650629</v>
      </c>
      <c r="AM3">
        <f>AL3*base_building_arch_areas!$P$3/base_building_arch_areas!$P$2</f>
        <v>438.68011970428034</v>
      </c>
      <c r="AN3">
        <f>AL3*base_building_arch_areas!$P$4/base_building_arch_areas!$P$2</f>
        <v>424.13264785985632</v>
      </c>
      <c r="AO3">
        <f>AL3*base_building_arch_areas!$P$5/base_building_arch_areas!$P$2</f>
        <v>383.59336521319528</v>
      </c>
      <c r="AP3">
        <f>AL3*base_building_arch_areas!$P$6/base_building_arch_areas!$P$2</f>
        <v>372.65770556464406</v>
      </c>
      <c r="AQ3">
        <f>AL3*base_building_arch_areas!$P$7/base_building_arch_areas!$P$2</f>
        <v>372.65770556464406</v>
      </c>
      <c r="AR3">
        <f>Y3*base_building_arch_areas!$P$5</f>
        <v>0</v>
      </c>
      <c r="AS3">
        <f>(Z3*base_building_arch_areas!$P$5)*0.095</f>
        <v>0</v>
      </c>
      <c r="AT3">
        <f>(Y3+Z3)*base_building_arch_areas!$P$5</f>
        <v>0</v>
      </c>
    </row>
    <row r="4" spans="1:65">
      <c r="A4">
        <v>2015</v>
      </c>
      <c r="B4" s="184" t="s">
        <v>896</v>
      </c>
      <c r="C4">
        <f>SUMIFS(base_scenario_arch_measures!G:G,base_scenario_arch_measures!$E:$E,base_energy_ecm!$B4,base_scenario_arch_measures!$D:$D,base_energy_ecm!$A4)</f>
        <v>0.83324149889468391</v>
      </c>
      <c r="D4">
        <f>SUMIFS(base_scenario_arch_measures!H:H,base_scenario_arch_measures!$E:$E,base_energy_ecm!$B4,base_scenario_arch_measures!$D:$D,base_energy_ecm!$A4)</f>
        <v>330.06806042056138</v>
      </c>
      <c r="E4">
        <f>SUMIFS(base_scenario_arch_measures!I:I,base_scenario_arch_measures!$E:$E,base_energy_ecm!$B4,base_scenario_arch_measures!$D:$D,base_energy_ecm!$A4)</f>
        <v>3.7322153820443491</v>
      </c>
      <c r="F4">
        <f>SUMIFS(base_scenario_arch_measures!J:J,base_scenario_arch_measures!$E:$E,base_energy_ecm!$B4,base_scenario_arch_measures!$D:$D,base_energy_ecm!$A4)</f>
        <v>3.0222409685341898</v>
      </c>
      <c r="G4">
        <f>SUMIFS(base_scenario_arch_measures!K:K,base_scenario_arch_measures!$E:$E,base_energy_ecm!$B4,base_scenario_arch_measures!$D:$D,base_energy_ecm!$A4)</f>
        <v>12.980171021163287</v>
      </c>
      <c r="H4">
        <f>SUMIFS(base_scenario_arch_measures!L:L,base_scenario_arch_measures!$E:$E,base_energy_ecm!$B4,base_scenario_arch_measures!$D:$D,base_energy_ecm!$A4)</f>
        <v>39.772146904758351</v>
      </c>
      <c r="I4">
        <f>SUMIFS(base_scenario_arch_measures!M:M,base_scenario_arch_measures!$E:$E,base_energy_ecm!$B4,base_scenario_arch_measures!$D:$D,base_energy_ecm!$A4)</f>
        <v>6.4802212177514145</v>
      </c>
      <c r="J4">
        <f>SUMIFS(base_scenario_arch_measures!N:N,base_scenario_arch_measures!$E:$E,base_energy_ecm!$B4,base_scenario_arch_measures!$D:$D,base_energy_ecm!$A4)</f>
        <v>0.34781670798042902</v>
      </c>
      <c r="K4">
        <f>SUMIFS(base_scenario_arch_measures!O:O,base_scenario_arch_measures!$E:$E,base_energy_ecm!$B4,base_scenario_arch_measures!$D:$D,base_energy_ecm!$A4)</f>
        <v>15.095119431207356</v>
      </c>
      <c r="L4">
        <f>SUMIFS(base_scenario_arch_measures!P:P,base_scenario_arch_measures!$E:$E,base_energy_ecm!$B4,base_scenario_arch_measures!$D:$D,base_energy_ecm!$A4)</f>
        <v>8.536921001431617</v>
      </c>
      <c r="M4">
        <f>SUMIFS(base_scenario_arch_measures!Q:Q,base_scenario_arch_measures!$E:$E,base_energy_ecm!$B4,base_scenario_arch_measures!$D:$D,base_energy_ecm!$A4)</f>
        <v>0</v>
      </c>
      <c r="N4">
        <f t="array" ref="N4">INDEX(C$2:C$21,MATCH($A4&amp;"baseline",$A$2:$A$500&amp;$B$2:$B$500,0)) - C4</f>
        <v>1.5976923869775894E-2</v>
      </c>
      <c r="O4">
        <f t="array" ref="O4">INDEX(D$2:D$21,MATCH($A4&amp;"baseline",$A$2:$A$500&amp;$B$2:$B$500,0)) - D4</f>
        <v>14.478260380252607</v>
      </c>
      <c r="P4">
        <f t="array" ref="P4">INDEX(E$2:E$21,MATCH($A4&amp;"baseline",$A$2:$A$500&amp;$B$2:$B$500,0)) - E4</f>
        <v>-0.60726948886976739</v>
      </c>
      <c r="Q4">
        <f t="array" ref="Q4">INDEX(F$2:F$21,MATCH($A4&amp;"baseline",$A$2:$A$500&amp;$B$2:$B$500,0)) - F4</f>
        <v>7.2337864234952587E-2</v>
      </c>
      <c r="R4">
        <f t="array" ref="R4">INDEX(G$2:G$21,MATCH($A4&amp;"baseline",$A$2:$A$500&amp;$B$2:$B$500,0)) - G4</f>
        <v>4.2350131442603356E-5</v>
      </c>
      <c r="S4">
        <f t="array" ref="S4">INDEX(H$2:H$21,MATCH($A4&amp;"baseline",$A$2:$A$500&amp;$B$2:$B$500,0)) - H4</f>
        <v>2.1099678680055476</v>
      </c>
      <c r="T4">
        <f t="array" ref="T4">INDEX(I$2:I$21,MATCH($A4&amp;"baseline",$A$2:$A$500&amp;$B$2:$B$500,0)) - I4</f>
        <v>0.24452827325852144</v>
      </c>
      <c r="U4">
        <f t="array" ref="U4">INDEX(J$2:J$21,MATCH($A4&amp;"baseline",$A$2:$A$500&amp;$B$2:$B$500,0)) - J4</f>
        <v>0</v>
      </c>
      <c r="V4">
        <f t="array" ref="V4">INDEX(K$2:K$21,MATCH($A4&amp;"baseline",$A$2:$A$500&amp;$B$2:$B$500,0)) - K4</f>
        <v>0.52523753152382469</v>
      </c>
      <c r="W4">
        <f t="array" ref="W4">INDEX(L$2:L$21,MATCH($A4&amp;"baseline",$A$2:$A$500&amp;$B$2:$B$500,0)) - L4</f>
        <v>-7.8513191671035543E-2</v>
      </c>
      <c r="X4">
        <f t="array" ref="X4">INDEX(M$2:M$21,MATCH($A4&amp;"baseline",$A$2:$A$500&amp;$B$2:$B$500,0)) - M4</f>
        <v>0</v>
      </c>
      <c r="Y4">
        <f t="shared" si="1"/>
        <v>2.2822657803518194</v>
      </c>
      <c r="Z4">
        <f t="shared" si="2"/>
        <v>14.478302730384049</v>
      </c>
      <c r="AA4">
        <f>Y4*constants!$N$2</f>
        <v>0.25789603317975562</v>
      </c>
      <c r="AB4">
        <f>Z4*constants!$O$2</f>
        <v>0.23454850423222159</v>
      </c>
      <c r="AC4">
        <f t="shared" si="3"/>
        <v>3.8298602507962096</v>
      </c>
      <c r="AD4">
        <f t="shared" si="4"/>
        <v>0.49244453741197725</v>
      </c>
      <c r="AE4">
        <f>AA4*base_building_arch_areas!$P$5</f>
        <v>52314.726122579785</v>
      </c>
      <c r="AF4">
        <f>AB4*base_building_arch_areas!$P$5</f>
        <v>47578.633180514618</v>
      </c>
      <c r="AG4" s="191">
        <f>AD4*base_building_arch_areas!$P$5</f>
        <v>99893.359303094403</v>
      </c>
      <c r="AH4" s="191">
        <f>(Y4*constants!$G$2+Z4*constants!$F$2)*base_building_arch_areas!$P$5/1000000</f>
        <v>928.49162204408844</v>
      </c>
      <c r="AJ4">
        <f>SUMIFS(base_scenario_arch_measures!$AJ:$AJ,base_scenario_arch_measures!$E:$E,base_energy_ecm!$B4,base_scenario_arch_measures!$D:$D,base_energy_ecm!$A4)</f>
        <v>3284997.9457446192</v>
      </c>
      <c r="AK4">
        <f>SUMIFS(base_scenario_arch_measures!AJ:AJ,base_scenario_arch_measures!$E:$E,base_energy_ecm!$B4,base_scenario_arch_measures!$D:$D,base_energy_ecm!$A4)/AG4</f>
        <v>32.885048302133328</v>
      </c>
      <c r="AL4">
        <f t="shared" si="5"/>
        <v>420.86815455432702</v>
      </c>
      <c r="AM4">
        <f>AL4*base_building_arch_areas!$P$3/base_building_arch_areas!$P$2</f>
        <v>421.87928417158088</v>
      </c>
      <c r="AN4">
        <f>AL4*base_building_arch_areas!$P$4/base_building_arch_areas!$P$2</f>
        <v>407.88896016882217</v>
      </c>
      <c r="AO4">
        <f>AL4*base_building_arch_areas!$P$5/base_building_arch_areas!$P$2</f>
        <v>368.90227539420357</v>
      </c>
      <c r="AP4">
        <f>AL4*base_building_arch_areas!$P$6/base_building_arch_areas!$P$2</f>
        <v>358.38543622769458</v>
      </c>
      <c r="AQ4">
        <f>AL4*base_building_arch_areas!$P$7/base_building_arch_areas!$P$2</f>
        <v>358.38543622769458</v>
      </c>
      <c r="AR4">
        <f>Y4*base_building_arch_areas!$P$5</f>
        <v>462962.17807592725</v>
      </c>
      <c r="AS4">
        <f>(Z4*base_building_arch_areas!$P$5)*0.095</f>
        <v>279010.50321906718</v>
      </c>
      <c r="AT4">
        <f>(Y4+Z4)*base_building_arch_areas!$P$5</f>
        <v>3399914.8435397926</v>
      </c>
    </row>
    <row r="5" spans="1:65">
      <c r="A5">
        <v>2015</v>
      </c>
      <c r="B5" s="184" t="s">
        <v>840</v>
      </c>
      <c r="C5">
        <f>SUMIFS(base_scenario_arch_measures!G:G,base_scenario_arch_measures!$E:$E,base_energy_ecm!$B5,base_scenario_arch_measures!$D:$D,base_energy_ecm!$A5)</f>
        <v>0.85001421826860446</v>
      </c>
      <c r="D5">
        <f>SUMIFS(base_scenario_arch_measures!H:H,base_scenario_arch_measures!$E:$E,base_energy_ecm!$B5,base_scenario_arch_measures!$D:$D,base_energy_ecm!$A5)</f>
        <v>252.71190242430322</v>
      </c>
      <c r="E5">
        <f>SUMIFS(base_scenario_arch_measures!I:I,base_scenario_arch_measures!$E:$E,base_energy_ecm!$B5,base_scenario_arch_measures!$D:$D,base_energy_ecm!$A5)</f>
        <v>3.7660728124942935</v>
      </c>
      <c r="F5">
        <f>SUMIFS(base_scenario_arch_measures!J:J,base_scenario_arch_measures!$E:$E,base_energy_ecm!$B5,base_scenario_arch_measures!$D:$D,base_energy_ecm!$A5)</f>
        <v>3.0945666754343701</v>
      </c>
      <c r="G5">
        <f>SUMIFS(base_scenario_arch_measures!K:K,base_scenario_arch_measures!$E:$E,base_energy_ecm!$B5,base_scenario_arch_measures!$D:$D,base_energy_ecm!$A5)</f>
        <v>12.980171021163287</v>
      </c>
      <c r="H5">
        <f>SUMIFS(base_scenario_arch_measures!L:L,base_scenario_arch_measures!$E:$E,base_energy_ecm!$B5,base_scenario_arch_measures!$D:$D,base_energy_ecm!$A5)</f>
        <v>40.106305884043586</v>
      </c>
      <c r="I5">
        <f>SUMIFS(base_scenario_arch_measures!M:M,base_scenario_arch_measures!$E:$E,base_energy_ecm!$B5,base_scenario_arch_measures!$D:$D,base_energy_ecm!$A5)</f>
        <v>6.5602404051349685</v>
      </c>
      <c r="J5">
        <f>SUMIFS(base_scenario_arch_measures!N:N,base_scenario_arch_measures!$E:$E,base_energy_ecm!$B5,base_scenario_arch_measures!$D:$D,base_energy_ecm!$A5)</f>
        <v>0.34781670798042902</v>
      </c>
      <c r="K5">
        <f>SUMIFS(base_scenario_arch_measures!O:O,base_scenario_arch_measures!$E:$E,base_energy_ecm!$B5,base_scenario_arch_measures!$D:$D,base_energy_ecm!$A5)</f>
        <v>15.268464615294517</v>
      </c>
      <c r="L5">
        <f>SUMIFS(base_scenario_arch_measures!P:P,base_scenario_arch_measures!$E:$E,base_energy_ecm!$B5,base_scenario_arch_measures!$D:$D,base_energy_ecm!$A5)</f>
        <v>4.6359754072622126</v>
      </c>
      <c r="M5">
        <f>SUMIFS(base_scenario_arch_measures!Q:Q,base_scenario_arch_measures!$E:$E,base_energy_ecm!$B5,base_scenario_arch_measures!$D:$D,base_energy_ecm!$A5)</f>
        <v>0</v>
      </c>
      <c r="N5">
        <f t="array" ref="N5">INDEX(C$2:C$21,MATCH($A5&amp;"baseline",$A$2:$A$500&amp;$B$2:$B$500,0)) - C5</f>
        <v>-7.9579550414465849E-4</v>
      </c>
      <c r="O5">
        <f t="array" ref="O5">INDEX(D$2:D$21,MATCH($A5&amp;"baseline",$A$2:$A$500&amp;$B$2:$B$500,0)) - D5</f>
        <v>91.834418376510769</v>
      </c>
      <c r="P5">
        <f t="array" ref="P5">INDEX(E$2:E$21,MATCH($A5&amp;"baseline",$A$2:$A$500&amp;$B$2:$B$500,0)) - E5</f>
        <v>-0.64112691931971177</v>
      </c>
      <c r="Q5">
        <f t="array" ref="Q5">INDEX(F$2:F$21,MATCH($A5&amp;"baseline",$A$2:$A$500&amp;$B$2:$B$500,0)) - F5</f>
        <v>1.2157334772222583E-5</v>
      </c>
      <c r="R5">
        <f t="array" ref="R5">INDEX(G$2:G$21,MATCH($A5&amp;"baseline",$A$2:$A$500&amp;$B$2:$B$500,0)) - G5</f>
        <v>4.2350131442603356E-5</v>
      </c>
      <c r="S5">
        <f t="array" ref="S5">INDEX(H$2:H$21,MATCH($A5&amp;"baseline",$A$2:$A$500&amp;$B$2:$B$500,0)) - H5</f>
        <v>1.775808888720313</v>
      </c>
      <c r="T5">
        <f t="array" ref="T5">INDEX(I$2:I$21,MATCH($A5&amp;"baseline",$A$2:$A$500&amp;$B$2:$B$500,0)) - I5</f>
        <v>0.16450908587496738</v>
      </c>
      <c r="U5">
        <f t="array" ref="U5">INDEX(J$2:J$21,MATCH($A5&amp;"baseline",$A$2:$A$500&amp;$B$2:$B$500,0)) - J5</f>
        <v>0</v>
      </c>
      <c r="V5">
        <f t="array" ref="V5">INDEX(K$2:K$21,MATCH($A5&amp;"baseline",$A$2:$A$500&amp;$B$2:$B$500,0)) - K5</f>
        <v>0.35189234743666375</v>
      </c>
      <c r="W5">
        <f t="array" ref="W5">INDEX(L$2:L$21,MATCH($A5&amp;"baseline",$A$2:$A$500&amp;$B$2:$B$500,0)) - L5</f>
        <v>3.8224324024983689</v>
      </c>
      <c r="X5">
        <f t="array" ref="X5">INDEX(M$2:M$21,MATCH($A5&amp;"baseline",$A$2:$A$500&amp;$B$2:$B$500,0)) - M5</f>
        <v>0</v>
      </c>
      <c r="Y5">
        <f t="shared" si="1"/>
        <v>5.4727321670412286</v>
      </c>
      <c r="Z5">
        <f t="shared" si="2"/>
        <v>91.834460726642206</v>
      </c>
      <c r="AA5">
        <f>Y5*constants!$N$2</f>
        <v>0.61841873487565879</v>
      </c>
      <c r="AB5">
        <f>Z5*constants!$O$2</f>
        <v>1.4877182637716038</v>
      </c>
      <c r="AC5">
        <f t="shared" si="3"/>
        <v>22.235101986031349</v>
      </c>
      <c r="AD5">
        <f t="shared" si="4"/>
        <v>2.1061369986472624</v>
      </c>
      <c r="AE5">
        <f>AA5*base_building_arch_areas!$P$5</f>
        <v>125447.47720699714</v>
      </c>
      <c r="AF5">
        <f>AB5*base_building_arch_areas!$P$5</f>
        <v>301786.62524259737</v>
      </c>
      <c r="AG5" s="191">
        <f>AD5*base_building_arch_areas!$P$5</f>
        <v>427234.10244959447</v>
      </c>
      <c r="AH5" s="191">
        <f>(Y5*constants!$G$2+Z5*constants!$F$2)*base_building_arch_areas!$P$5/1000000</f>
        <v>4300.3904799177517</v>
      </c>
      <c r="AJ5">
        <f>SUMIFS(base_scenario_arch_measures!$AJ:$AJ,base_scenario_arch_measures!$E:$E,base_energy_ecm!$B5,base_scenario_arch_measures!$D:$D,base_energy_ecm!$A5)</f>
        <v>52574.359032506683</v>
      </c>
      <c r="AK5">
        <f>SUMIFS(base_scenario_arch_measures!AJ:AJ,base_scenario_arch_measures!$E:$E,base_energy_ecm!$B5,base_scenario_arch_measures!$D:$D,base_energy_ecm!$A5)/AG5</f>
        <v>0.12305749641956416</v>
      </c>
      <c r="AL5">
        <f t="shared" si="5"/>
        <v>340.32153017137949</v>
      </c>
      <c r="AM5">
        <f>AL5*base_building_arch_areas!$P$3/base_building_arch_areas!$P$2</f>
        <v>341.1391476955892</v>
      </c>
      <c r="AN5">
        <f>AL5*base_building_arch_areas!$P$4/base_building_arch_areas!$P$2</f>
        <v>329.82632105216203</v>
      </c>
      <c r="AO5">
        <f>AL5*base_building_arch_areas!$P$5/base_building_arch_areas!$P$2</f>
        <v>298.30098924639162</v>
      </c>
      <c r="AP5">
        <f>AL5*base_building_arch_areas!$P$6/base_building_arch_areas!$P$2</f>
        <v>289.79688467354106</v>
      </c>
      <c r="AQ5">
        <f>AL5*base_building_arch_areas!$P$7/base_building_arch_areas!$P$2</f>
        <v>289.79688467354106</v>
      </c>
      <c r="AR5">
        <f>Y5*base_building_arch_areas!$P$5</f>
        <v>1110154.6655486473</v>
      </c>
      <c r="AS5">
        <f>(Z5*base_building_arch_areas!$P$5)*0.095</f>
        <v>1769736.3825954783</v>
      </c>
      <c r="AT5">
        <f>(Y5+Z5)*base_building_arch_areas!$P$5</f>
        <v>19738958.692869473</v>
      </c>
    </row>
    <row r="6" spans="1:65">
      <c r="A6">
        <v>2015</v>
      </c>
      <c r="B6" s="184" t="s">
        <v>839</v>
      </c>
      <c r="C6">
        <f>SUMIFS(base_scenario_arch_measures!G:G,base_scenario_arch_measures!$E:$E,base_energy_ecm!$B6,base_scenario_arch_measures!$D:$D,base_energy_ecm!$A6)</f>
        <v>0.85001421826860446</v>
      </c>
      <c r="D6">
        <f>SUMIFS(base_scenario_arch_measures!H:H,base_scenario_arch_measures!$E:$E,base_energy_ecm!$B6,base_scenario_arch_measures!$D:$D,base_energy_ecm!$A6)</f>
        <v>324.24457973492423</v>
      </c>
      <c r="E6">
        <f>SUMIFS(base_scenario_arch_measures!I:I,base_scenario_arch_measures!$E:$E,base_energy_ecm!$B6,base_scenario_arch_measures!$D:$D,base_energy_ecm!$A6)</f>
        <v>2.8976352645704764</v>
      </c>
      <c r="F6">
        <f>SUMIFS(base_scenario_arch_measures!J:J,base_scenario_arch_measures!$E:$E,base_energy_ecm!$B6,base_scenario_arch_measures!$D:$D,base_energy_ecm!$A6)</f>
        <v>3.0394631531839575</v>
      </c>
      <c r="G6">
        <f>SUMIFS(base_scenario_arch_measures!K:K,base_scenario_arch_measures!$E:$E,base_energy_ecm!$B6,base_scenario_arch_measures!$D:$D,base_energy_ecm!$A6)</f>
        <v>12.980171021163287</v>
      </c>
      <c r="H6">
        <f>SUMIFS(base_scenario_arch_measures!L:L,base_scenario_arch_measures!$E:$E,base_energy_ecm!$B6,base_scenario_arch_measures!$D:$D,base_energy_ecm!$A6)</f>
        <v>39.344983706356807</v>
      </c>
      <c r="I6">
        <f>SUMIFS(base_scenario_arch_measures!M:M,base_scenario_arch_measures!$E:$E,base_energy_ecm!$B6,base_scenario_arch_measures!$D:$D,base_energy_ecm!$A6)</f>
        <v>6.3960550754747292</v>
      </c>
      <c r="J6">
        <f>SUMIFS(base_scenario_arch_measures!N:N,base_scenario_arch_measures!$E:$E,base_energy_ecm!$B6,base_scenario_arch_measures!$D:$D,base_energy_ecm!$A6)</f>
        <v>0.34781670798042902</v>
      </c>
      <c r="K6">
        <f>SUMIFS(base_scenario_arch_measures!O:O,base_scenario_arch_measures!$E:$E,base_energy_ecm!$B6,base_scenario_arch_measures!$D:$D,base_energy_ecm!$A6)</f>
        <v>14.858349956705391</v>
      </c>
      <c r="L6">
        <f>SUMIFS(base_scenario_arch_measures!P:P,base_scenario_arch_measures!$E:$E,base_energy_ecm!$B6,base_scenario_arch_measures!$D:$D,base_energy_ecm!$A6)</f>
        <v>8.0958296547999833</v>
      </c>
      <c r="M6">
        <f>SUMIFS(base_scenario_arch_measures!Q:Q,base_scenario_arch_measures!$E:$E,base_energy_ecm!$B6,base_scenario_arch_measures!$D:$D,base_energy_ecm!$A6)</f>
        <v>0</v>
      </c>
      <c r="N6">
        <f t="array" ref="N6">INDEX(C$2:C$21,MATCH($A6&amp;"baseline",$A$2:$A$500&amp;$B$2:$B$500,0)) - C6</f>
        <v>-7.9579550414465849E-4</v>
      </c>
      <c r="O6">
        <f t="array" ref="O6">INDEX(D$2:D$21,MATCH($A6&amp;"baseline",$A$2:$A$500&amp;$B$2:$B$500,0)) - D6</f>
        <v>20.301741065889757</v>
      </c>
      <c r="P6">
        <f t="array" ref="P6">INDEX(E$2:E$21,MATCH($A6&amp;"baseline",$A$2:$A$500&amp;$B$2:$B$500,0)) - E6</f>
        <v>0.22731062860410534</v>
      </c>
      <c r="Q6">
        <f t="array" ref="Q6">INDEX(F$2:F$21,MATCH($A6&amp;"baseline",$A$2:$A$500&amp;$B$2:$B$500,0)) - F6</f>
        <v>5.5115679585184818E-2</v>
      </c>
      <c r="R6">
        <f t="array" ref="R6">INDEX(G$2:G$21,MATCH($A6&amp;"baseline",$A$2:$A$500&amp;$B$2:$B$500,0)) - G6</f>
        <v>4.2350131442603356E-5</v>
      </c>
      <c r="S6">
        <f t="array" ref="S6">INDEX(H$2:H$21,MATCH($A6&amp;"baseline",$A$2:$A$500&amp;$B$2:$B$500,0)) - H6</f>
        <v>2.5371310664070919</v>
      </c>
      <c r="T6">
        <f t="array" ref="T6">INDEX(I$2:I$21,MATCH($A6&amp;"baseline",$A$2:$A$500&amp;$B$2:$B$500,0)) - I6</f>
        <v>0.32869441553520673</v>
      </c>
      <c r="U6">
        <f t="array" ref="U6">INDEX(J$2:J$21,MATCH($A6&amp;"baseline",$A$2:$A$500&amp;$B$2:$B$500,0)) - J6</f>
        <v>0</v>
      </c>
      <c r="V6">
        <f t="array" ref="V6">INDEX(K$2:K$21,MATCH($A6&amp;"baseline",$A$2:$A$500&amp;$B$2:$B$500,0)) - K6</f>
        <v>0.76200700602579019</v>
      </c>
      <c r="W6">
        <f t="array" ref="W6">INDEX(L$2:L$21,MATCH($A6&amp;"baseline",$A$2:$A$500&amp;$B$2:$B$500,0)) - L6</f>
        <v>0.3625781549605982</v>
      </c>
      <c r="X6">
        <f t="array" ref="X6">INDEX(M$2:M$21,MATCH($A6&amp;"baseline",$A$2:$A$500&amp;$B$2:$B$500,0)) - M6</f>
        <v>0</v>
      </c>
      <c r="Y6">
        <f t="shared" si="1"/>
        <v>4.2720411556138327</v>
      </c>
      <c r="Z6">
        <f t="shared" si="2"/>
        <v>20.301783416021202</v>
      </c>
      <c r="AA6">
        <f>Y6*constants!$N$2</f>
        <v>0.48274065058436311</v>
      </c>
      <c r="AB6">
        <f>Z6*constants!$O$2</f>
        <v>0.32888889133954347</v>
      </c>
      <c r="AC6">
        <f t="shared" si="3"/>
        <v>5.6152220538736461</v>
      </c>
      <c r="AD6">
        <f t="shared" si="4"/>
        <v>0.81162954192390657</v>
      </c>
      <c r="AE6">
        <f>AA6*base_building_arch_areas!$P$5</f>
        <v>97924.90645233923</v>
      </c>
      <c r="AF6">
        <f>AB6*base_building_arch_areas!$P$5</f>
        <v>66715.769386009066</v>
      </c>
      <c r="AG6" s="191">
        <f>AD6*base_building_arch_areas!$P$5</f>
        <v>164640.67583834831</v>
      </c>
      <c r="AH6" s="191">
        <f>(Y6*constants!$G$2+Z6*constants!$F$2)*base_building_arch_areas!$P$5/1000000</f>
        <v>1491.1031896154675</v>
      </c>
      <c r="AJ6">
        <f>SUMIFS(base_scenario_arch_measures!$AJ:$AJ,base_scenario_arch_measures!$E:$E,base_energy_ecm!$B6,base_scenario_arch_measures!$D:$D,base_energy_ecm!$A6)</f>
        <v>792658.5620647599</v>
      </c>
      <c r="AK6">
        <f>SUMIFS(base_scenario_arch_measures!AJ:AJ,base_scenario_arch_measures!$E:$E,base_energy_ecm!$B6,base_scenario_arch_measures!$D:$D,base_energy_ecm!$A6)/AG6</f>
        <v>4.8144758761985891</v>
      </c>
      <c r="AL6">
        <f t="shared" si="5"/>
        <v>413.05489849342786</v>
      </c>
      <c r="AM6">
        <f>AL6*base_building_arch_areas!$P$3/base_building_arch_areas!$P$2</f>
        <v>414.04725687668628</v>
      </c>
      <c r="AN6">
        <f>AL6*base_building_arch_areas!$P$4/base_building_arch_areas!$P$2</f>
        <v>400.31665787955137</v>
      </c>
      <c r="AO6">
        <f>AL6*base_building_arch_areas!$P$5/base_building_arch_areas!$P$2</f>
        <v>362.0537459725478</v>
      </c>
      <c r="AP6">
        <f>AL6*base_building_arch_areas!$P$6/base_building_arch_areas!$P$2</f>
        <v>351.73214789631868</v>
      </c>
      <c r="AQ6">
        <f>AL6*base_building_arch_areas!$P$7/base_building_arch_areas!$P$2</f>
        <v>351.73214789631868</v>
      </c>
      <c r="AR6">
        <f>Y6*base_building_arch_areas!$P$5</f>
        <v>866592.0924985772</v>
      </c>
      <c r="AS6">
        <f>(Z6*base_building_arch_areas!$P$5)*0.095</f>
        <v>391234.45010313962</v>
      </c>
      <c r="AT6">
        <f>(Y6+Z6)*base_building_arch_areas!$P$5</f>
        <v>4984849.4620053107</v>
      </c>
    </row>
    <row r="7" spans="1:65">
      <c r="A7">
        <v>2015</v>
      </c>
      <c r="B7" s="184" t="s">
        <v>805</v>
      </c>
      <c r="C7">
        <f>SUMIFS(base_scenario_arch_measures!G:G,base_scenario_arch_measures!$E:$E,base_energy_ecm!$B7,base_scenario_arch_measures!$D:$D,base_energy_ecm!$A7)</f>
        <v>0.82563827364555553</v>
      </c>
      <c r="D7">
        <f>SUMIFS(base_scenario_arch_measures!H:H,base_scenario_arch_measures!$E:$E,base_energy_ecm!$B7,base_scenario_arch_measures!$D:$D,base_energy_ecm!$A7)</f>
        <v>284.73836232373787</v>
      </c>
      <c r="E7">
        <f>SUMIFS(base_scenario_arch_measures!I:I,base_scenario_arch_measures!$E:$E,base_energy_ecm!$B7,base_scenario_arch_measures!$D:$D,base_energy_ecm!$A7)</f>
        <v>3.9970575425301322</v>
      </c>
      <c r="F7">
        <f>SUMIFS(base_scenario_arch_measures!J:J,base_scenario_arch_measures!$E:$E,base_energy_ecm!$B7,base_scenario_arch_measures!$D:$D,base_energy_ecm!$A7)</f>
        <v>3.0945505277966969</v>
      </c>
      <c r="G7">
        <f>SUMIFS(base_scenario_arch_measures!K:K,base_scenario_arch_measures!$E:$E,base_energy_ecm!$B7,base_scenario_arch_measures!$D:$D,base_energy_ecm!$A7)</f>
        <v>12.980140890205778</v>
      </c>
      <c r="H7">
        <f>SUMIFS(base_scenario_arch_measures!L:L,base_scenario_arch_measures!$E:$E,base_energy_ecm!$B7,base_scenario_arch_measures!$D:$D,base_energy_ecm!$A7)</f>
        <v>41.882114773191383</v>
      </c>
      <c r="I7">
        <f>SUMIFS(base_scenario_arch_measures!M:M,base_scenario_arch_measures!$E:$E,base_energy_ecm!$B7,base_scenario_arch_measures!$D:$D,base_energy_ecm!$A7)</f>
        <v>6.7247494910099519</v>
      </c>
      <c r="J7">
        <f>SUMIFS(base_scenario_arch_measures!N:N,base_scenario_arch_measures!$E:$E,base_energy_ecm!$B7,base_scenario_arch_measures!$D:$D,base_energy_ecm!$A7)</f>
        <v>0.34781670798042902</v>
      </c>
      <c r="K7">
        <f>SUMIFS(base_scenario_arch_measures!O:O,base_scenario_arch_measures!$E:$E,base_energy_ecm!$B7,base_scenario_arch_measures!$D:$D,base_energy_ecm!$A7)</f>
        <v>15.726900358065175</v>
      </c>
      <c r="L7">
        <f>SUMIFS(base_scenario_arch_measures!P:P,base_scenario_arch_measures!$E:$E,base_energy_ecm!$B7,base_scenario_arch_measures!$D:$D,base_energy_ecm!$A7)</f>
        <v>8.4197376359465945</v>
      </c>
      <c r="M7">
        <f>SUMIFS(base_scenario_arch_measures!Q:Q,base_scenario_arch_measures!$E:$E,base_energy_ecm!$B7,base_scenario_arch_measures!$D:$D,base_energy_ecm!$A7)</f>
        <v>0</v>
      </c>
      <c r="N7">
        <f t="array" ref="N7">INDEX(C$2:C$21,MATCH($A7&amp;"baseline",$A$2:$A$500&amp;$B$2:$B$500,0)) - C7</f>
        <v>2.358014911890427E-2</v>
      </c>
      <c r="O7">
        <f t="array" ref="O7">INDEX(D$2:D$21,MATCH($A7&amp;"baseline",$A$2:$A$500&amp;$B$2:$B$500,0)) - D7</f>
        <v>59.807958477076113</v>
      </c>
      <c r="P7">
        <f t="array" ref="P7">INDEX(E$2:E$21,MATCH($A7&amp;"baseline",$A$2:$A$500&amp;$B$2:$B$500,0)) - E7</f>
        <v>-0.87211164935555052</v>
      </c>
      <c r="Q7">
        <f t="array" ref="Q7">INDEX(F$2:F$21,MATCH($A7&amp;"baseline",$A$2:$A$500&amp;$B$2:$B$500,0)) - F7</f>
        <v>2.8304972445436505E-5</v>
      </c>
      <c r="R7">
        <f t="array" ref="R7">INDEX(G$2:G$21,MATCH($A7&amp;"baseline",$A$2:$A$500&amp;$B$2:$B$500,0)) - G7</f>
        <v>7.2481088951192874E-5</v>
      </c>
      <c r="S7">
        <f t="array" ref="S7">INDEX(H$2:H$21,MATCH($A7&amp;"baseline",$A$2:$A$500&amp;$B$2:$B$500,0)) - H7</f>
        <v>-4.2748382611534907E-10</v>
      </c>
      <c r="T7">
        <f t="array" ref="T7">INDEX(I$2:I$21,MATCH($A7&amp;"baseline",$A$2:$A$500&amp;$B$2:$B$500,0)) - I7</f>
        <v>-1.5987211554602254E-14</v>
      </c>
      <c r="U7">
        <f t="array" ref="U7">INDEX(J$2:J$21,MATCH($A7&amp;"baseline",$A$2:$A$500&amp;$B$2:$B$500,0)) - J7</f>
        <v>0</v>
      </c>
      <c r="V7">
        <f t="array" ref="V7">INDEX(K$2:K$21,MATCH($A7&amp;"baseline",$A$2:$A$500&amp;$B$2:$B$500,0)) - K7</f>
        <v>-0.10654339533399337</v>
      </c>
      <c r="W7">
        <f t="array" ref="W7">INDEX(L$2:L$21,MATCH($A7&amp;"baseline",$A$2:$A$500&amp;$B$2:$B$500,0)) - L7</f>
        <v>3.8670173813986963E-2</v>
      </c>
      <c r="X7">
        <f t="array" ref="X7">INDEX(M$2:M$21,MATCH($A7&amp;"baseline",$A$2:$A$500&amp;$B$2:$B$500,0)) - M7</f>
        <v>0</v>
      </c>
      <c r="Y7">
        <f t="shared" si="1"/>
        <v>-0.91637641721170704</v>
      </c>
      <c r="Z7">
        <f t="shared" si="2"/>
        <v>59.808030958165062</v>
      </c>
      <c r="AA7">
        <f>Y7*constants!$N$2</f>
        <v>-0.10355053514492289</v>
      </c>
      <c r="AB7">
        <f>Z7*constants!$O$2</f>
        <v>0.96889010152227395</v>
      </c>
      <c r="AC7">
        <f t="shared" si="3"/>
        <v>13.456990237863762</v>
      </c>
      <c r="AD7">
        <f t="shared" si="4"/>
        <v>0.8653395663773511</v>
      </c>
      <c r="AE7">
        <f>AA7*base_building_arch_areas!$P$5</f>
        <v>-21005.433155217899</v>
      </c>
      <c r="AF7">
        <f>AB7*base_building_arch_areas!$P$5</f>
        <v>196541.29487399632</v>
      </c>
      <c r="AG7" s="191">
        <f>AD7*base_building_arch_areas!$P$5</f>
        <v>175535.86171877841</v>
      </c>
      <c r="AH7" s="191">
        <f>(Y7*constants!$G$2+Z7*constants!$F$2)*base_building_arch_areas!$P$5/1000000</f>
        <v>2009.9367401544205</v>
      </c>
      <c r="AJ7">
        <f>SUMIFS(base_scenario_arch_measures!$AJ:$AJ,base_scenario_arch_measures!$E:$E,base_energy_ecm!$B7,base_scenario_arch_measures!$D:$D,base_energy_ecm!$A7)</f>
        <v>1624430.1321254908</v>
      </c>
      <c r="AK7">
        <f>SUMIFS(base_scenario_arch_measures!AJ:AJ,base_scenario_arch_measures!$E:$E,base_energy_ecm!$B7,base_scenario_arch_measures!$D:$D,base_energy_ecm!$A7)/AG7</f>
        <v>9.254121159173442</v>
      </c>
      <c r="AL7">
        <f t="shared" si="5"/>
        <v>378.73706852410959</v>
      </c>
      <c r="AM7">
        <f>AL7*base_building_arch_areas!$P$3/base_building_arch_areas!$P$2</f>
        <v>379.64697882022631</v>
      </c>
      <c r="AN7">
        <f>AL7*base_building_arch_areas!$P$4/base_building_arch_areas!$P$2</f>
        <v>367.05715884176237</v>
      </c>
      <c r="AO7">
        <f>AL7*base_building_arch_areas!$P$5/base_building_arch_areas!$P$2</f>
        <v>331.97324350336254</v>
      </c>
      <c r="AP7">
        <f>AL7*base_building_arch_areas!$P$6/base_building_arch_areas!$P$2</f>
        <v>322.50919450616283</v>
      </c>
      <c r="AQ7">
        <f>AL7*base_building_arch_areas!$P$7/base_building_arch_areas!$P$2</f>
        <v>322.50919450616283</v>
      </c>
      <c r="AR7">
        <f>Y7*base_building_arch_areas!$P$5</f>
        <v>-185888.78898422921</v>
      </c>
      <c r="AS7">
        <f>(Z7*base_building_arch_areas!$P$5)*0.095</f>
        <v>1152556.9761129415</v>
      </c>
      <c r="AT7">
        <f>(Y7+Z7)*base_building_arch_areas!$P$5</f>
        <v>11946289.90694147</v>
      </c>
    </row>
    <row r="8" spans="1:65">
      <c r="A8">
        <v>2015</v>
      </c>
      <c r="B8" s="184" t="s">
        <v>877</v>
      </c>
      <c r="C8">
        <f>SUMIFS(base_scenario_arch_measures!G:G,base_scenario_arch_measures!$E:$E,base_energy_ecm!$B8,base_scenario_arch_measures!$D:$D,base_energy_ecm!$A8)</f>
        <v>0.99155218062559658</v>
      </c>
      <c r="D8">
        <f>SUMIFS(base_scenario_arch_measures!H:H,base_scenario_arch_measures!$E:$E,base_energy_ecm!$B8,base_scenario_arch_measures!$D:$D,base_energy_ecm!$A8)</f>
        <v>324.27367098384212</v>
      </c>
      <c r="E8">
        <f>SUMIFS(base_scenario_arch_measures!I:I,base_scenario_arch_measures!$E:$E,base_energy_ecm!$B8,base_scenario_arch_measures!$D:$D,base_energy_ecm!$A8)</f>
        <v>2.2203641516788366</v>
      </c>
      <c r="F8">
        <f>SUMIFS(base_scenario_arch_measures!J:J,base_scenario_arch_measures!$E:$E,base_energy_ecm!$B8,base_scenario_arch_measures!$D:$D,base_energy_ecm!$A8)</f>
        <v>3.0951494079913831</v>
      </c>
      <c r="G8">
        <f>SUMIFS(base_scenario_arch_measures!K:K,base_scenario_arch_measures!$E:$E,base_energy_ecm!$B8,base_scenario_arch_measures!$D:$D,base_energy_ecm!$A8)</f>
        <v>12.980104551573815</v>
      </c>
      <c r="H8">
        <f>SUMIFS(base_scenario_arch_measures!L:L,base_scenario_arch_measures!$E:$E,base_energy_ecm!$B8,base_scenario_arch_measures!$D:$D,base_energy_ecm!$A8)</f>
        <v>41.882114773191383</v>
      </c>
      <c r="I8">
        <f>SUMIFS(base_scenario_arch_measures!M:M,base_scenario_arch_measures!$E:$E,base_energy_ecm!$B8,base_scenario_arch_measures!$D:$D,base_energy_ecm!$A8)</f>
        <v>6.7247494910099519</v>
      </c>
      <c r="J8">
        <f>SUMIFS(base_scenario_arch_measures!N:N,base_scenario_arch_measures!$E:$E,base_energy_ecm!$B8,base_scenario_arch_measures!$D:$D,base_energy_ecm!$A8)</f>
        <v>0.34781670798042902</v>
      </c>
      <c r="K8">
        <f>SUMIFS(base_scenario_arch_measures!O:O,base_scenario_arch_measures!$E:$E,base_energy_ecm!$B8,base_scenario_arch_measures!$D:$D,base_energy_ecm!$A8)</f>
        <v>15.797945159261351</v>
      </c>
      <c r="L8">
        <f>SUMIFS(base_scenario_arch_measures!P:P,base_scenario_arch_measures!$E:$E,base_energy_ecm!$B8,base_scenario_arch_measures!$D:$D,base_energy_ecm!$A8)</f>
        <v>8.4700403205206438</v>
      </c>
      <c r="M8">
        <f>SUMIFS(base_scenario_arch_measures!Q:Q,base_scenario_arch_measures!$E:$E,base_energy_ecm!$B8,base_scenario_arch_measures!$D:$D,base_energy_ecm!$A8)</f>
        <v>0</v>
      </c>
      <c r="N8">
        <f t="array" ref="N8">INDEX(C$2:C$21,MATCH($A8&amp;"baseline",$A$2:$A$500&amp;$B$2:$B$500,0)) - C8</f>
        <v>-0.14233375786113678</v>
      </c>
      <c r="O8">
        <f t="array" ref="O8">INDEX(D$2:D$21,MATCH($A8&amp;"baseline",$A$2:$A$500&amp;$B$2:$B$500,0)) - D8</f>
        <v>20.272649816971864</v>
      </c>
      <c r="P8">
        <f t="array" ref="P8">INDEX(E$2:E$21,MATCH($A8&amp;"baseline",$A$2:$A$500&amp;$B$2:$B$500,0)) - E8</f>
        <v>0.90458174149574511</v>
      </c>
      <c r="Q8">
        <f t="array" ref="Q8">INDEX(F$2:F$21,MATCH($A8&amp;"baseline",$A$2:$A$500&amp;$B$2:$B$500,0)) - F8</f>
        <v>-5.7057522224068791E-4</v>
      </c>
      <c r="R8">
        <f t="array" ref="R8">INDEX(G$2:G$21,MATCH($A8&amp;"baseline",$A$2:$A$500&amp;$B$2:$B$500,0)) - G8</f>
        <v>1.0881972091425496E-4</v>
      </c>
      <c r="S8">
        <f t="array" ref="S8">INDEX(H$2:H$21,MATCH($A8&amp;"baseline",$A$2:$A$500&amp;$B$2:$B$500,0)) - H8</f>
        <v>-4.2748382611534907E-10</v>
      </c>
      <c r="T8">
        <f t="array" ref="T8">INDEX(I$2:I$21,MATCH($A8&amp;"baseline",$A$2:$A$500&amp;$B$2:$B$500,0)) - I8</f>
        <v>-1.5987211554602254E-14</v>
      </c>
      <c r="U8">
        <f t="array" ref="U8">INDEX(J$2:J$21,MATCH($A8&amp;"baseline",$A$2:$A$500&amp;$B$2:$B$500,0)) - J8</f>
        <v>0</v>
      </c>
      <c r="V8">
        <f t="array" ref="V8">INDEX(K$2:K$21,MATCH($A8&amp;"baseline",$A$2:$A$500&amp;$B$2:$B$500,0)) - K8</f>
        <v>-0.17758819653016999</v>
      </c>
      <c r="W8">
        <f t="array" ref="W8">INDEX(L$2:L$21,MATCH($A8&amp;"baseline",$A$2:$A$500&amp;$B$2:$B$500,0)) - L8</f>
        <v>-1.1632510760062331E-2</v>
      </c>
      <c r="X8">
        <f t="array" ref="X8">INDEX(M$2:M$21,MATCH($A8&amp;"baseline",$A$2:$A$500&amp;$B$2:$B$500,0)) - M8</f>
        <v>0</v>
      </c>
      <c r="Y8">
        <f t="shared" si="1"/>
        <v>0.5724567006946355</v>
      </c>
      <c r="Z8">
        <f t="shared" si="2"/>
        <v>20.272758636692778</v>
      </c>
      <c r="AA8">
        <f>Y8*constants!$N$2</f>
        <v>6.4687607178493811E-2</v>
      </c>
      <c r="AB8">
        <f>Z8*constants!$O$2</f>
        <v>0.32841868991442297</v>
      </c>
      <c r="AC8">
        <f t="shared" si="3"/>
        <v>4.7632191944330691</v>
      </c>
      <c r="AD8">
        <f t="shared" si="4"/>
        <v>0.39310629709291678</v>
      </c>
      <c r="AE8">
        <f>AA8*base_building_arch_areas!$P$5</f>
        <v>13122.010491371826</v>
      </c>
      <c r="AF8">
        <f>AB8*base_building_arch_areas!$P$5</f>
        <v>66620.388086520528</v>
      </c>
      <c r="AG8" s="191">
        <f>AD8*base_building_arch_areas!$P$5</f>
        <v>79742.398577892352</v>
      </c>
      <c r="AH8" s="191">
        <f>(Y8*constants!$G$2+Z8*constants!$F$2)*base_building_arch_areas!$P$5/1000000</f>
        <v>837.14203304460023</v>
      </c>
      <c r="AJ8">
        <f>SUMIFS(base_scenario_arch_measures!$AJ:$AJ,base_scenario_arch_measures!$E:$E,base_energy_ecm!$B8,base_scenario_arch_measures!$D:$D,base_energy_ecm!$A8)</f>
        <v>631774.46402930038</v>
      </c>
      <c r="AK8">
        <f>SUMIFS(base_scenario_arch_measures!AJ:AJ,base_scenario_arch_measures!$E:$E,base_energy_ecm!$B8,base_scenario_arch_measures!$D:$D,base_energy_ecm!$A8)/AG8</f>
        <v>7.9226920094732698</v>
      </c>
      <c r="AL8">
        <f t="shared" si="5"/>
        <v>416.7835077276755</v>
      </c>
      <c r="AM8">
        <f>AL8*base_building_arch_areas!$P$3/base_building_arch_areas!$P$2</f>
        <v>417.78482404036407</v>
      </c>
      <c r="AN8">
        <f>AL8*base_building_arch_areas!$P$4/base_building_arch_areas!$P$2</f>
        <v>403.93028016713839</v>
      </c>
      <c r="AO8">
        <f>AL8*base_building_arch_areas!$P$5/base_building_arch_areas!$P$2</f>
        <v>365.32197241278863</v>
      </c>
      <c r="AP8">
        <f>AL8*base_building_arch_areas!$P$6/base_building_arch_areas!$P$2</f>
        <v>354.90720220365506</v>
      </c>
      <c r="AQ8">
        <f>AL8*base_building_arch_areas!$P$7/base_building_arch_areas!$P$2</f>
        <v>354.90720220365506</v>
      </c>
      <c r="AR8">
        <f>Y8*base_building_arch_areas!$P$5</f>
        <v>116123.98664930819</v>
      </c>
      <c r="AS8">
        <f>(Z8*base_building_arch_areas!$P$5)*0.095</f>
        <v>390675.1153221883</v>
      </c>
      <c r="AT8">
        <f>(Y8+Z8)*base_building_arch_areas!$P$5</f>
        <v>4228493.6216197116</v>
      </c>
    </row>
    <row r="9" spans="1:65">
      <c r="A9">
        <v>2015</v>
      </c>
      <c r="B9" s="184" t="s">
        <v>838</v>
      </c>
      <c r="C9">
        <f>SUMIFS(base_scenario_arch_measures!G:G,base_scenario_arch_measures!$E:$E,base_energy_ecm!$B9,base_scenario_arch_measures!$D:$D,base_energy_ecm!$A9)</f>
        <v>0.85024020044990589</v>
      </c>
      <c r="D9">
        <f>SUMIFS(base_scenario_arch_measures!H:H,base_scenario_arch_measures!$E:$E,base_energy_ecm!$B9,base_scenario_arch_measures!$D:$D,base_energy_ecm!$A9)</f>
        <v>331.10648793665814</v>
      </c>
      <c r="E9">
        <f>SUMIFS(base_scenario_arch_measures!I:I,base_scenario_arch_measures!$E:$E,base_energy_ecm!$B9,base_scenario_arch_measures!$D:$D,base_energy_ecm!$A9)</f>
        <v>3.6350277898657555</v>
      </c>
      <c r="F9">
        <f>SUMIFS(base_scenario_arch_measures!J:J,base_scenario_arch_measures!$E:$E,base_energy_ecm!$B9,base_scenario_arch_measures!$D:$D,base_energy_ecm!$A9)</f>
        <v>3.0945666754343701</v>
      </c>
      <c r="G9">
        <f>SUMIFS(base_scenario_arch_measures!K:K,base_scenario_arch_measures!$E:$E,base_energy_ecm!$B9,base_scenario_arch_measures!$D:$D,base_energy_ecm!$A9)</f>
        <v>12.980171021163287</v>
      </c>
      <c r="H9">
        <f>SUMIFS(base_scenario_arch_measures!L:L,base_scenario_arch_measures!$E:$E,base_energy_ecm!$B9,base_scenario_arch_measures!$D:$D,base_energy_ecm!$A9)</f>
        <v>40.106305884043586</v>
      </c>
      <c r="I9">
        <f>SUMIFS(base_scenario_arch_measures!M:M,base_scenario_arch_measures!$E:$E,base_energy_ecm!$B9,base_scenario_arch_measures!$D:$D,base_energy_ecm!$A9)</f>
        <v>6.5602404051349685</v>
      </c>
      <c r="J9">
        <f>SUMIFS(base_scenario_arch_measures!N:N,base_scenario_arch_measures!$E:$E,base_energy_ecm!$B9,base_scenario_arch_measures!$D:$D,base_energy_ecm!$A9)</f>
        <v>0.34781670798042902</v>
      </c>
      <c r="K9">
        <f>SUMIFS(base_scenario_arch_measures!O:O,base_scenario_arch_measures!$E:$E,base_energy_ecm!$B9,base_scenario_arch_measures!$D:$D,base_energy_ecm!$A9)</f>
        <v>15.268799416398826</v>
      </c>
      <c r="L9">
        <f>SUMIFS(base_scenario_arch_measures!P:P,base_scenario_arch_measures!$E:$E,base_energy_ecm!$B9,base_scenario_arch_measures!$D:$D,base_energy_ecm!$A9)</f>
        <v>8.5107645058694423</v>
      </c>
      <c r="M9">
        <f>SUMIFS(base_scenario_arch_measures!Q:Q,base_scenario_arch_measures!$E:$E,base_energy_ecm!$B9,base_scenario_arch_measures!$D:$D,base_energy_ecm!$A9)</f>
        <v>0</v>
      </c>
      <c r="N9">
        <f t="array" ref="N9">INDEX(C$2:C$21,MATCH($A9&amp;"baseline",$A$2:$A$500&amp;$B$2:$B$500,0)) - C9</f>
        <v>-1.0217776854460903E-3</v>
      </c>
      <c r="O9">
        <f t="array" ref="O9">INDEX(D$2:D$21,MATCH($A9&amp;"baseline",$A$2:$A$500&amp;$B$2:$B$500,0)) - D9</f>
        <v>13.439832864155846</v>
      </c>
      <c r="P9">
        <f t="array" ref="P9">INDEX(E$2:E$21,MATCH($A9&amp;"baseline",$A$2:$A$500&amp;$B$2:$B$500,0)) - E9</f>
        <v>-0.51008189669117376</v>
      </c>
      <c r="Q9">
        <f t="array" ref="Q9">INDEX(F$2:F$21,MATCH($A9&amp;"baseline",$A$2:$A$500&amp;$B$2:$B$500,0)) - F9</f>
        <v>1.2157334772222583E-5</v>
      </c>
      <c r="R9">
        <f t="array" ref="R9">INDEX(G$2:G$21,MATCH($A9&amp;"baseline",$A$2:$A$500&amp;$B$2:$B$500,0)) - G9</f>
        <v>4.2350131442603356E-5</v>
      </c>
      <c r="S9">
        <f t="array" ref="S9">INDEX(H$2:H$21,MATCH($A9&amp;"baseline",$A$2:$A$500&amp;$B$2:$B$500,0)) - H9</f>
        <v>1.775808888720313</v>
      </c>
      <c r="T9">
        <f t="array" ref="T9">INDEX(I$2:I$21,MATCH($A9&amp;"baseline",$A$2:$A$500&amp;$B$2:$B$500,0)) - I9</f>
        <v>0.16450908587496738</v>
      </c>
      <c r="U9">
        <f t="array" ref="U9">INDEX(J$2:J$21,MATCH($A9&amp;"baseline",$A$2:$A$500&amp;$B$2:$B$500,0)) - J9</f>
        <v>0</v>
      </c>
      <c r="V9">
        <f t="array" ref="V9">INDEX(K$2:K$21,MATCH($A9&amp;"baseline",$A$2:$A$500&amp;$B$2:$B$500,0)) - K9</f>
        <v>0.35155754633235503</v>
      </c>
      <c r="W9">
        <f t="array" ref="W9">INDEX(L$2:L$21,MATCH($A9&amp;"baseline",$A$2:$A$500&amp;$B$2:$B$500,0)) - L9</f>
        <v>-5.2356696108860845E-2</v>
      </c>
      <c r="X9">
        <f t="array" ref="X9">INDEX(M$2:M$21,MATCH($A9&amp;"baseline",$A$2:$A$500&amp;$B$2:$B$500,0)) - M9</f>
        <v>0</v>
      </c>
      <c r="Y9">
        <f t="shared" si="1"/>
        <v>1.728427307776927</v>
      </c>
      <c r="Z9">
        <f t="shared" si="2"/>
        <v>13.439875214287289</v>
      </c>
      <c r="AA9">
        <f>Y9*constants!$N$2</f>
        <v>0.19531228577879275</v>
      </c>
      <c r="AB9">
        <f>Z9*constants!$O$2</f>
        <v>0.21772597847145406</v>
      </c>
      <c r="AC9">
        <f t="shared" si="3"/>
        <v>3.4660207894556141</v>
      </c>
      <c r="AD9">
        <f t="shared" si="4"/>
        <v>0.41303826425024681</v>
      </c>
      <c r="AE9">
        <f>AA9*base_building_arch_areas!$P$5</f>
        <v>39619.487794799665</v>
      </c>
      <c r="AF9">
        <f>AB9*base_building_arch_areas!$P$5</f>
        <v>44166.150184891398</v>
      </c>
      <c r="AG9" s="191">
        <f>AD9*base_building_arch_areas!$P$5</f>
        <v>83785.637979691062</v>
      </c>
      <c r="AH9" s="191">
        <f>(Y9*constants!$G$2+Z9*constants!$F$2)*base_building_arch_areas!$P$5/1000000</f>
        <v>793.04369101371412</v>
      </c>
      <c r="AJ9">
        <f>SUMIFS(base_scenario_arch_measures!$AJ:$AJ,base_scenario_arch_measures!$E:$E,base_energy_ecm!$B9,base_scenario_arch_measures!$D:$D,base_energy_ecm!$A9)</f>
        <v>238982.78735016158</v>
      </c>
      <c r="AK9">
        <f>SUMIFS(base_scenario_arch_measures!AJ:AJ,base_scenario_arch_measures!$E:$E,base_energy_ecm!$B9,base_scenario_arch_measures!$D:$D,base_energy_ecm!$A9)/AG9</f>
        <v>2.852312080121524</v>
      </c>
      <c r="AL9">
        <f t="shared" si="5"/>
        <v>422.46042054299869</v>
      </c>
      <c r="AM9">
        <f>AL9*base_building_arch_areas!$P$3/base_building_arch_areas!$P$2</f>
        <v>423.47537555612121</v>
      </c>
      <c r="AN9">
        <f>AL9*base_building_arch_areas!$P$4/base_building_arch_areas!$P$2</f>
        <v>409.4321221101651</v>
      </c>
      <c r="AO9">
        <f>AL9*base_building_arch_areas!$P$5/base_building_arch_areas!$P$2</f>
        <v>370.29793942793356</v>
      </c>
      <c r="AP9">
        <f>AL9*base_building_arch_areas!$P$6/base_building_arch_areas!$P$2</f>
        <v>359.74131201626523</v>
      </c>
      <c r="AQ9">
        <f>AL9*base_building_arch_areas!$P$7/base_building_arch_areas!$P$2</f>
        <v>359.74131201626523</v>
      </c>
      <c r="AR9">
        <f>Y9*base_building_arch_areas!$P$5</f>
        <v>350614.93623716518</v>
      </c>
      <c r="AS9">
        <f>(Z9*base_building_arch_areas!$P$5)*0.095</f>
        <v>258999.02886201753</v>
      </c>
      <c r="AT9">
        <f>(Y9+Z9)*base_building_arch_areas!$P$5</f>
        <v>3076920.5032057706</v>
      </c>
    </row>
    <row r="10" spans="1:65">
      <c r="A10">
        <v>2015</v>
      </c>
      <c r="B10" s="184" t="s">
        <v>893</v>
      </c>
      <c r="C10">
        <f>SUMIFS(base_scenario_arch_measures!G:G,base_scenario_arch_measures!$E:$E,base_energy_ecm!$B10,base_scenario_arch_measures!$D:$D,base_energy_ecm!$A10)</f>
        <v>0.81581200806249032</v>
      </c>
      <c r="D10">
        <f>SUMIFS(base_scenario_arch_measures!H:H,base_scenario_arch_measures!$E:$E,base_energy_ecm!$B10,base_scenario_arch_measures!$D:$D,base_energy_ecm!$A10)</f>
        <v>321.74470916892164</v>
      </c>
      <c r="E10">
        <f>SUMIFS(base_scenario_arch_measures!I:I,base_scenario_arch_measures!$E:$E,base_energy_ecm!$B10,base_scenario_arch_measures!$D:$D,base_energy_ecm!$A10)</f>
        <v>3.5356320018331333</v>
      </c>
      <c r="F10">
        <f>SUMIFS(base_scenario_arch_measures!J:J,base_scenario_arch_measures!$E:$E,base_energy_ecm!$B10,base_scenario_arch_measures!$D:$D,base_energy_ecm!$A10)</f>
        <v>3.0943323150891544</v>
      </c>
      <c r="G10">
        <f>SUMIFS(base_scenario_arch_measures!K:K,base_scenario_arch_measures!$E:$E,base_energy_ecm!$B10,base_scenario_arch_measures!$D:$D,base_energy_ecm!$A10)</f>
        <v>12.980005300896993</v>
      </c>
      <c r="H10">
        <f>SUMIFS(base_scenario_arch_measures!L:L,base_scenario_arch_measures!$E:$E,base_energy_ecm!$B10,base_scenario_arch_measures!$D:$D,base_energy_ecm!$A10)</f>
        <v>41.882114773191383</v>
      </c>
      <c r="I10">
        <f>SUMIFS(base_scenario_arch_measures!M:M,base_scenario_arch_measures!$E:$E,base_energy_ecm!$B10,base_scenario_arch_measures!$D:$D,base_energy_ecm!$A10)</f>
        <v>6.7247494910099519</v>
      </c>
      <c r="J10">
        <f>SUMIFS(base_scenario_arch_measures!N:N,base_scenario_arch_measures!$E:$E,base_energy_ecm!$B10,base_scenario_arch_measures!$D:$D,base_energy_ecm!$A10)</f>
        <v>0.34781670798042902</v>
      </c>
      <c r="K10">
        <f>SUMIFS(base_scenario_arch_measures!O:O,base_scenario_arch_measures!$E:$E,base_energy_ecm!$B10,base_scenario_arch_measures!$D:$D,base_energy_ecm!$A10)</f>
        <v>15.033245009170438</v>
      </c>
      <c r="L10">
        <f>SUMIFS(base_scenario_arch_measures!P:P,base_scenario_arch_measures!$E:$E,base_energy_ecm!$B10,base_scenario_arch_measures!$D:$D,base_energy_ecm!$A10)</f>
        <v>8.1075030469157774</v>
      </c>
      <c r="M10">
        <f>SUMIFS(base_scenario_arch_measures!Q:Q,base_scenario_arch_measures!$E:$E,base_energy_ecm!$B10,base_scenario_arch_measures!$D:$D,base_energy_ecm!$A10)</f>
        <v>0</v>
      </c>
      <c r="N10">
        <f t="array" ref="N10">INDEX(C$2:C$21,MATCH($A10&amp;"baseline",$A$2:$A$500&amp;$B$2:$B$500,0)) - C10</f>
        <v>3.3406414701969478E-2</v>
      </c>
      <c r="O10">
        <f t="array" ref="O10">INDEX(D$2:D$21,MATCH($A10&amp;"baseline",$A$2:$A$500&amp;$B$2:$B$500,0)) - D10</f>
        <v>22.801611631892342</v>
      </c>
      <c r="P10">
        <f t="array" ref="P10">INDEX(E$2:E$21,MATCH($A10&amp;"baseline",$A$2:$A$500&amp;$B$2:$B$500,0)) - E10</f>
        <v>-0.4106861086585516</v>
      </c>
      <c r="Q10">
        <f t="array" ref="Q10">INDEX(F$2:F$21,MATCH($A10&amp;"baseline",$A$2:$A$500&amp;$B$2:$B$500,0)) - F10</f>
        <v>2.4651767998795648E-4</v>
      </c>
      <c r="R10">
        <f t="array" ref="R10">INDEX(G$2:G$21,MATCH($A10&amp;"baseline",$A$2:$A$500&amp;$B$2:$B$500,0)) - G10</f>
        <v>2.0807039773629299E-4</v>
      </c>
      <c r="S10">
        <f t="array" ref="S10">INDEX(H$2:H$21,MATCH($A10&amp;"baseline",$A$2:$A$500&amp;$B$2:$B$500,0)) - H10</f>
        <v>-4.2748382611534907E-10</v>
      </c>
      <c r="T10">
        <f t="array" ref="T10">INDEX(I$2:I$21,MATCH($A10&amp;"baseline",$A$2:$A$500&amp;$B$2:$B$500,0)) - I10</f>
        <v>-1.5987211554602254E-14</v>
      </c>
      <c r="U10">
        <f t="array" ref="U10">INDEX(J$2:J$21,MATCH($A10&amp;"baseline",$A$2:$A$500&amp;$B$2:$B$500,0)) - J10</f>
        <v>0</v>
      </c>
      <c r="V10">
        <f t="array" ref="V10">INDEX(K$2:K$21,MATCH($A10&amp;"baseline",$A$2:$A$500&amp;$B$2:$B$500,0)) - K10</f>
        <v>0.58711195356074342</v>
      </c>
      <c r="W10">
        <f t="array" ref="W10">INDEX(L$2:L$21,MATCH($A10&amp;"baseline",$A$2:$A$500&amp;$B$2:$B$500,0)) - L10</f>
        <v>0.3509047628448041</v>
      </c>
      <c r="X10">
        <f t="array" ref="X10">INDEX(M$2:M$21,MATCH($A10&amp;"baseline",$A$2:$A$500&amp;$B$2:$B$500,0)) - M10</f>
        <v>0</v>
      </c>
      <c r="Y10">
        <f t="shared" si="1"/>
        <v>0.56098353970145354</v>
      </c>
      <c r="Z10">
        <f t="shared" si="2"/>
        <v>22.801819702290079</v>
      </c>
      <c r="AA10">
        <f>Y10*constants!$N$2</f>
        <v>6.339113998626425E-2</v>
      </c>
      <c r="AB10">
        <f>Z10*constants!$O$2</f>
        <v>0.36938947917709924</v>
      </c>
      <c r="AC10">
        <f t="shared" si="3"/>
        <v>5.3384985972500143</v>
      </c>
      <c r="AD10">
        <f t="shared" si="4"/>
        <v>0.43278061916336352</v>
      </c>
      <c r="AE10">
        <f>AA10*base_building_arch_areas!$P$5</f>
        <v>12859.019528493676</v>
      </c>
      <c r="AF10">
        <f>AB10*base_building_arch_areas!$P$5</f>
        <v>74931.394630032941</v>
      </c>
      <c r="AG10" s="191">
        <f>AD10*base_building_arch_areas!$P$5</f>
        <v>87790.414158526619</v>
      </c>
      <c r="AH10" s="191">
        <f>(Y10*constants!$G$2+Z10*constants!$F$2)*base_building_arch_areas!$P$5/1000000</f>
        <v>926.9487274206632</v>
      </c>
      <c r="AJ10">
        <f>SUMIFS(base_scenario_arch_measures!$AJ:$AJ,base_scenario_arch_measures!$E:$E,base_energy_ecm!$B10,base_scenario_arch_measures!$D:$D,base_energy_ecm!$A10)</f>
        <v>28452014.952155184</v>
      </c>
      <c r="AK10">
        <f>SUMIFS(base_scenario_arch_measures!AJ:AJ,base_scenario_arch_measures!$E:$E,base_energy_ecm!$B10,base_scenario_arch_measures!$D:$D,base_energy_ecm!$A10)/AG10</f>
        <v>324.09022357245357</v>
      </c>
      <c r="AL10">
        <f t="shared" si="5"/>
        <v>414.26591982307144</v>
      </c>
      <c r="AM10">
        <f>AL10*base_building_arch_areas!$P$3/base_building_arch_areas!$P$2</f>
        <v>415.2611876674527</v>
      </c>
      <c r="AN10">
        <f>AL10*base_building_arch_areas!$P$4/base_building_arch_areas!$P$2</f>
        <v>401.4903324033786</v>
      </c>
      <c r="AO10">
        <f>AL10*base_building_arch_areas!$P$5/base_building_arch_areas!$P$2</f>
        <v>363.11523879214479</v>
      </c>
      <c r="AP10">
        <f>AL10*base_building_arch_areas!$P$6/base_building_arch_areas!$P$2</f>
        <v>352.76337918053156</v>
      </c>
      <c r="AQ10">
        <f>AL10*base_building_arch_areas!$P$7/base_building_arch_areas!$P$2</f>
        <v>352.76337918053156</v>
      </c>
      <c r="AR10">
        <f>Y10*base_building_arch_areas!$P$5</f>
        <v>113796.63299551925</v>
      </c>
      <c r="AS10">
        <f>(Z10*base_building_arch_areas!$P$5)*0.095</f>
        <v>439412.49937364995</v>
      </c>
      <c r="AT10">
        <f>(Y10+Z10)*base_building_arch_areas!$P$5</f>
        <v>4739191.3632444665</v>
      </c>
    </row>
    <row r="11" spans="1:65">
      <c r="A11">
        <v>2015</v>
      </c>
      <c r="B11" s="184" t="s">
        <v>892</v>
      </c>
      <c r="C11">
        <f>SUMIFS(base_scenario_arch_measures!G:G,base_scenario_arch_measures!$E:$E,base_energy_ecm!$B11,base_scenario_arch_measures!$D:$D,base_energy_ecm!$A11)</f>
        <v>0.92097142955667854</v>
      </c>
      <c r="D11">
        <f>SUMIFS(base_scenario_arch_measures!H:H,base_scenario_arch_measures!$E:$E,base_energy_ecm!$B11,base_scenario_arch_measures!$D:$D,base_energy_ecm!$A11)</f>
        <v>331.60362263295264</v>
      </c>
      <c r="E11">
        <f>SUMIFS(base_scenario_arch_measures!I:I,base_scenario_arch_measures!$E:$E,base_energy_ecm!$B11,base_scenario_arch_measures!$D:$D,base_energy_ecm!$A11)</f>
        <v>3.6876055244479087</v>
      </c>
      <c r="F11">
        <f>SUMIFS(base_scenario_arch_measures!J:J,base_scenario_arch_measures!$E:$E,base_energy_ecm!$B11,base_scenario_arch_measures!$D:$D,base_energy_ecm!$A11)</f>
        <v>3.0942663804957111</v>
      </c>
      <c r="G11">
        <f>SUMIFS(base_scenario_arch_measures!K:K,base_scenario_arch_measures!$E:$E,base_energy_ecm!$B11,base_scenario_arch_measures!$D:$D,base_energy_ecm!$A11)</f>
        <v>12.980020366375751</v>
      </c>
      <c r="H11">
        <f>SUMIFS(base_scenario_arch_measures!L:L,base_scenario_arch_measures!$E:$E,base_energy_ecm!$B11,base_scenario_arch_measures!$D:$D,base_energy_ecm!$A11)</f>
        <v>41.882114773191383</v>
      </c>
      <c r="I11">
        <f>SUMIFS(base_scenario_arch_measures!M:M,base_scenario_arch_measures!$E:$E,base_energy_ecm!$B11,base_scenario_arch_measures!$D:$D,base_energy_ecm!$A11)</f>
        <v>6.7247494910099519</v>
      </c>
      <c r="J11">
        <f>SUMIFS(base_scenario_arch_measures!N:N,base_scenario_arch_measures!$E:$E,base_energy_ecm!$B11,base_scenario_arch_measures!$D:$D,base_energy_ecm!$A11)</f>
        <v>0.34781670798042902</v>
      </c>
      <c r="K11">
        <f>SUMIFS(base_scenario_arch_measures!O:O,base_scenario_arch_measures!$E:$E,base_energy_ecm!$B11,base_scenario_arch_measures!$D:$D,base_energy_ecm!$A11)</f>
        <v>15.219983750895928</v>
      </c>
      <c r="L11">
        <f>SUMIFS(base_scenario_arch_measures!P:P,base_scenario_arch_measures!$E:$E,base_energy_ecm!$B11,base_scenario_arch_measures!$D:$D,base_energy_ecm!$A11)</f>
        <v>8.1043588780788021</v>
      </c>
      <c r="M11">
        <f>SUMIFS(base_scenario_arch_measures!Q:Q,base_scenario_arch_measures!$E:$E,base_energy_ecm!$B11,base_scenario_arch_measures!$D:$D,base_energy_ecm!$A11)</f>
        <v>0</v>
      </c>
      <c r="N11">
        <f t="array" ref="N11">INDEX(C$2:C$21,MATCH($A11&amp;"baseline",$A$2:$A$500&amp;$B$2:$B$500,0)) - C11</f>
        <v>-7.1753006792218743E-2</v>
      </c>
      <c r="O11">
        <f t="array" ref="O11">INDEX(D$2:D$21,MATCH($A11&amp;"baseline",$A$2:$A$500&amp;$B$2:$B$500,0)) - D11</f>
        <v>12.942698167861352</v>
      </c>
      <c r="P11">
        <f t="array" ref="P11">INDEX(E$2:E$21,MATCH($A11&amp;"baseline",$A$2:$A$500&amp;$B$2:$B$500,0)) - E11</f>
        <v>-0.56265963127332697</v>
      </c>
      <c r="Q11">
        <f t="array" ref="Q11">INDEX(F$2:F$21,MATCH($A11&amp;"baseline",$A$2:$A$500&amp;$B$2:$B$500,0)) - F11</f>
        <v>3.1245227343124071E-4</v>
      </c>
      <c r="R11">
        <f t="array" ref="R11">INDEX(G$2:G$21,MATCH($A11&amp;"baseline",$A$2:$A$500&amp;$B$2:$B$500,0)) - G11</f>
        <v>1.9300491897844552E-4</v>
      </c>
      <c r="S11">
        <f t="array" ref="S11">INDEX(H$2:H$21,MATCH($A11&amp;"baseline",$A$2:$A$500&amp;$B$2:$B$500,0)) - H11</f>
        <v>-4.2748382611534907E-10</v>
      </c>
      <c r="T11">
        <f t="array" ref="T11">INDEX(I$2:I$21,MATCH($A11&amp;"baseline",$A$2:$A$500&amp;$B$2:$B$500,0)) - I11</f>
        <v>-1.5987211554602254E-14</v>
      </c>
      <c r="U11">
        <f t="array" ref="U11">INDEX(J$2:J$21,MATCH($A11&amp;"baseline",$A$2:$A$500&amp;$B$2:$B$500,0)) - J11</f>
        <v>0</v>
      </c>
      <c r="V11">
        <f t="array" ref="V11">INDEX(K$2:K$21,MATCH($A11&amp;"baseline",$A$2:$A$500&amp;$B$2:$B$500,0)) - K11</f>
        <v>0.40037321183525343</v>
      </c>
      <c r="W11">
        <f t="array" ref="W11">INDEX(L$2:L$21,MATCH($A11&amp;"baseline",$A$2:$A$500&amp;$B$2:$B$500,0)) - L11</f>
        <v>0.35404893168177942</v>
      </c>
      <c r="X11">
        <f t="array" ref="X11">INDEX(M$2:M$21,MATCH($A11&amp;"baseline",$A$2:$A$500&amp;$B$2:$B$500,0)) - M11</f>
        <v>0</v>
      </c>
      <c r="Y11">
        <f t="shared" si="1"/>
        <v>0.12032195729741857</v>
      </c>
      <c r="Z11">
        <f t="shared" si="2"/>
        <v>12.94289117278033</v>
      </c>
      <c r="AA11">
        <f>Y11*constants!$N$2</f>
        <v>1.3596381174608299E-2</v>
      </c>
      <c r="AB11">
        <f>Z11*constants!$O$2</f>
        <v>0.20967483699904133</v>
      </c>
      <c r="AC11">
        <f t="shared" si="3"/>
        <v>2.9849990280769623</v>
      </c>
      <c r="AD11">
        <f t="shared" si="4"/>
        <v>0.22327121817364962</v>
      </c>
      <c r="AE11">
        <f>AA11*base_building_arch_areas!$P$5</f>
        <v>2758.053114031643</v>
      </c>
      <c r="AF11">
        <f>AB11*base_building_arch_areas!$P$5</f>
        <v>42532.960034929529</v>
      </c>
      <c r="AG11" s="191">
        <f>AD11*base_building_arch_areas!$P$5</f>
        <v>45291.013148961174</v>
      </c>
      <c r="AH11" s="191">
        <f>(Y11*constants!$G$2+Z11*constants!$F$2)*base_building_arch_areas!$P$5/1000000</f>
        <v>491.19752169544506</v>
      </c>
      <c r="AJ11">
        <f>SUMIFS(base_scenario_arch_measures!$AJ:$AJ,base_scenario_arch_measures!$E:$E,base_energy_ecm!$B11,base_scenario_arch_measures!$D:$D,base_energy_ecm!$A11)</f>
        <v>24844217.739596792</v>
      </c>
      <c r="AK11">
        <f>SUMIFS(base_scenario_arch_measures!AJ:AJ,base_scenario_arch_measures!$E:$E,base_energy_ecm!$B11,base_scenario_arch_measures!$D:$D,base_energy_ecm!$A11)/AG11</f>
        <v>548.54630118086982</v>
      </c>
      <c r="AL11">
        <f t="shared" si="5"/>
        <v>424.56550993498524</v>
      </c>
      <c r="AM11">
        <f>AL11*base_building_arch_areas!$P$3/base_building_arch_areas!$P$2</f>
        <v>425.58552239474085</v>
      </c>
      <c r="AN11">
        <f>AL11*base_building_arch_areas!$P$4/base_building_arch_areas!$P$2</f>
        <v>411.47229244348262</v>
      </c>
      <c r="AO11">
        <f>AL11*base_building_arch_areas!$P$5/base_building_arch_areas!$P$2</f>
        <v>372.1431069898137</v>
      </c>
      <c r="AP11">
        <f>AL11*base_building_arch_areas!$P$6/base_building_arch_areas!$P$2</f>
        <v>361.5338766754856</v>
      </c>
      <c r="AQ11">
        <f>AL11*base_building_arch_areas!$P$7/base_building_arch_areas!$P$2</f>
        <v>361.5338766754856</v>
      </c>
      <c r="AR11">
        <f>Y11*base_building_arch_areas!$P$5</f>
        <v>24407.549681695953</v>
      </c>
      <c r="AS11">
        <f>(Z11*base_building_arch_areas!$P$5)*0.095</f>
        <v>249421.67921717939</v>
      </c>
      <c r="AT11">
        <f>(Y11+Z11)*base_building_arch_areas!$P$5</f>
        <v>2649898.9098625313</v>
      </c>
    </row>
    <row r="12" spans="1:65">
      <c r="A12">
        <v>2015</v>
      </c>
      <c r="B12" s="184" t="s">
        <v>894</v>
      </c>
      <c r="C12">
        <f>SUMIFS(base_scenario_arch_measures!G:G,base_scenario_arch_measures!$E:$E,base_energy_ecm!$B12,base_scenario_arch_measures!$D:$D,base_energy_ecm!$A12)</f>
        <v>0.97410862253667441</v>
      </c>
      <c r="D12">
        <f>SUMIFS(base_scenario_arch_measures!H:H,base_scenario_arch_measures!$E:$E,base_energy_ecm!$B12,base_scenario_arch_measures!$D:$D,base_energy_ecm!$A12)</f>
        <v>339.77726053243134</v>
      </c>
      <c r="E12">
        <f>SUMIFS(base_scenario_arch_measures!I:I,base_scenario_arch_measures!$E:$E,base_energy_ecm!$B12,base_scenario_arch_measures!$D:$D,base_energy_ecm!$A12)</f>
        <v>3.7950360085473851</v>
      </c>
      <c r="F12">
        <f>SUMIFS(base_scenario_arch_measures!J:J,base_scenario_arch_measures!$E:$E,base_energy_ecm!$B12,base_scenario_arch_measures!$D:$D,base_energy_ecm!$A12)</f>
        <v>3.0945403875674877</v>
      </c>
      <c r="G12">
        <f>SUMIFS(base_scenario_arch_measures!K:K,base_scenario_arch_measures!$E:$E,base_energy_ecm!$B12,base_scenario_arch_measures!$D:$D,base_energy_ecm!$A12)</f>
        <v>12.980020366375751</v>
      </c>
      <c r="H12">
        <f>SUMIFS(base_scenario_arch_measures!L:L,base_scenario_arch_measures!$E:$E,base_energy_ecm!$B12,base_scenario_arch_measures!$D:$D,base_energy_ecm!$A12)</f>
        <v>41.882114773191383</v>
      </c>
      <c r="I12">
        <f>SUMIFS(base_scenario_arch_measures!M:M,base_scenario_arch_measures!$E:$E,base_energy_ecm!$B12,base_scenario_arch_measures!$D:$D,base_energy_ecm!$A12)</f>
        <v>6.7247494910099519</v>
      </c>
      <c r="J12">
        <f>SUMIFS(base_scenario_arch_measures!N:N,base_scenario_arch_measures!$E:$E,base_energy_ecm!$B12,base_scenario_arch_measures!$D:$D,base_energy_ecm!$A12)</f>
        <v>0.34781670798042902</v>
      </c>
      <c r="K12">
        <f>SUMIFS(base_scenario_arch_measures!O:O,base_scenario_arch_measures!$E:$E,base_energy_ecm!$B12,base_scenario_arch_measures!$D:$D,base_energy_ecm!$A12)</f>
        <v>15.586027151013701</v>
      </c>
      <c r="L12">
        <f>SUMIFS(base_scenario_arch_measures!P:P,base_scenario_arch_measures!$E:$E,base_energy_ecm!$B12,base_scenario_arch_measures!$D:$D,base_energy_ecm!$A12)</f>
        <v>8.4364298788135486</v>
      </c>
      <c r="M12">
        <f>SUMIFS(base_scenario_arch_measures!Q:Q,base_scenario_arch_measures!$E:$E,base_energy_ecm!$B12,base_scenario_arch_measures!$D:$D,base_energy_ecm!$A12)</f>
        <v>0</v>
      </c>
      <c r="N12">
        <f t="array" ref="N12">INDEX(C$2:C$21,MATCH($A12&amp;"baseline",$A$2:$A$500&amp;$B$2:$B$500,0)) - C12</f>
        <v>-0.12489019977221461</v>
      </c>
      <c r="O12">
        <f t="array" ref="O12">INDEX(D$2:D$21,MATCH($A12&amp;"baseline",$A$2:$A$500&amp;$B$2:$B$500,0)) - D12</f>
        <v>4.7690602683826455</v>
      </c>
      <c r="P12">
        <f t="array" ref="P12">INDEX(E$2:E$21,MATCH($A12&amp;"baseline",$A$2:$A$500&amp;$B$2:$B$500,0)) - E12</f>
        <v>-0.67009011537280339</v>
      </c>
      <c r="Q12">
        <f t="array" ref="Q12">INDEX(F$2:F$21,MATCH($A12&amp;"baseline",$A$2:$A$500&amp;$B$2:$B$500,0)) - F12</f>
        <v>3.8445201654635497E-5</v>
      </c>
      <c r="R12">
        <f t="array" ref="R12">INDEX(G$2:G$21,MATCH($A12&amp;"baseline",$A$2:$A$500&amp;$B$2:$B$500,0)) - G12</f>
        <v>1.9300491897844552E-4</v>
      </c>
      <c r="S12">
        <f t="array" ref="S12">INDEX(H$2:H$21,MATCH($A12&amp;"baseline",$A$2:$A$500&amp;$B$2:$B$500,0)) - H12</f>
        <v>-4.2748382611534907E-10</v>
      </c>
      <c r="T12">
        <f t="array" ref="T12">INDEX(I$2:I$21,MATCH($A12&amp;"baseline",$A$2:$A$500&amp;$B$2:$B$500,0)) - I12</f>
        <v>-1.5987211554602254E-14</v>
      </c>
      <c r="U12">
        <f t="array" ref="U12">INDEX(J$2:J$21,MATCH($A12&amp;"baseline",$A$2:$A$500&amp;$B$2:$B$500,0)) - J12</f>
        <v>0</v>
      </c>
      <c r="V12">
        <f t="array" ref="V12">INDEX(K$2:K$21,MATCH($A12&amp;"baseline",$A$2:$A$500&amp;$B$2:$B$500,0)) - K12</f>
        <v>3.4329811717480396E-2</v>
      </c>
      <c r="W12">
        <f t="array" ref="W12">INDEX(L$2:L$21,MATCH($A12&amp;"baseline",$A$2:$A$500&amp;$B$2:$B$500,0)) - L12</f>
        <v>2.1977930947032931E-2</v>
      </c>
      <c r="X12">
        <f t="array" ref="X12">INDEX(M$2:M$21,MATCH($A12&amp;"baseline",$A$2:$A$500&amp;$B$2:$B$500,0)) - M12</f>
        <v>0</v>
      </c>
      <c r="Y12">
        <f t="shared" si="1"/>
        <v>-0.73863412770634984</v>
      </c>
      <c r="Z12">
        <f t="shared" si="2"/>
        <v>4.769253273301624</v>
      </c>
      <c r="AA12">
        <f>Y12*constants!$N$2</f>
        <v>-8.3465656430817534E-2</v>
      </c>
      <c r="AB12">
        <f>Z12*constants!$O$2</f>
        <v>7.7261903027486298E-2</v>
      </c>
      <c r="AC12">
        <f t="shared" si="3"/>
        <v>0.92101339175491825</v>
      </c>
      <c r="AD12">
        <f t="shared" si="4"/>
        <v>-6.2037534033312358E-3</v>
      </c>
      <c r="AE12">
        <f>AA12*base_building_arch_areas!$P$5</f>
        <v>-16931.175338304198</v>
      </c>
      <c r="AF12">
        <f>AB12*base_building_arch_areas!$P$5</f>
        <v>15672.731552931651</v>
      </c>
      <c r="AG12" s="191">
        <f>AD12*base_building_arch_areas!$P$5</f>
        <v>-1258.4437853725478</v>
      </c>
      <c r="AH12" s="191">
        <f>(Y12*constants!$G$2+Z12*constants!$F$2)*base_building_arch_areas!$P$5/1000000</f>
        <v>42.818942370309834</v>
      </c>
      <c r="AJ12">
        <f>SUMIFS(base_scenario_arch_measures!$AJ:$AJ,base_scenario_arch_measures!$E:$E,base_energy_ecm!$B12,base_scenario_arch_measures!$D:$D,base_energy_ecm!$A12)</f>
        <v>39931393.243731342</v>
      </c>
      <c r="AK12">
        <f>SUMIFS(base_scenario_arch_measures!AJ:AJ,base_scenario_arch_measures!$E:$E,base_energy_ecm!$B12,base_scenario_arch_measures!$D:$D,base_energy_ecm!$A12)/AG12</f>
        <v>-31730.772329977466</v>
      </c>
      <c r="AL12">
        <f t="shared" si="5"/>
        <v>433.59810391946769</v>
      </c>
      <c r="AM12">
        <f>AL12*base_building_arch_areas!$P$3/base_building_arch_areas!$P$2</f>
        <v>434.63981705483747</v>
      </c>
      <c r="AN12">
        <f>AL12*base_building_arch_areas!$P$4/base_building_arch_areas!$P$2</f>
        <v>420.22632937426232</v>
      </c>
      <c r="AO12">
        <f>AL12*base_building_arch_areas!$P$5/base_building_arch_areas!$P$2</f>
        <v>380.06041894969843</v>
      </c>
      <c r="AP12">
        <f>AL12*base_building_arch_areas!$P$6/base_building_arch_areas!$P$2</f>
        <v>369.22547819098713</v>
      </c>
      <c r="AQ12">
        <f>AL12*base_building_arch_areas!$P$7/base_building_arch_areas!$P$2</f>
        <v>369.22547819098713</v>
      </c>
      <c r="AR12">
        <f>Y12*base_building_arch_areas!$P$5</f>
        <v>-149833.41007348849</v>
      </c>
      <c r="AS12">
        <f>(Z12*base_building_arch_areas!$P$5)*0.095</f>
        <v>91907.993674599202</v>
      </c>
      <c r="AT12">
        <f>(Y12+Z12)*base_building_arch_areas!$P$5</f>
        <v>817619.15492229257</v>
      </c>
    </row>
    <row r="13" spans="1:65">
      <c r="A13">
        <v>2015</v>
      </c>
      <c r="B13" s="184" t="s">
        <v>837</v>
      </c>
      <c r="C13">
        <f>SUMIFS(base_scenario_arch_measures!G:G,base_scenario_arch_measures!$E:$E,base_energy_ecm!$B13,base_scenario_arch_measures!$D:$D,base_energy_ecm!$A13)</f>
        <v>1.6772719373920504E-2</v>
      </c>
      <c r="D13">
        <f>SUMIFS(base_scenario_arch_measures!H:H,base_scenario_arch_measures!$E:$E,base_energy_ecm!$B13,base_scenario_arch_measures!$D:$D,base_energy_ecm!$A13)</f>
        <v>308.56027051023335</v>
      </c>
      <c r="E13">
        <f>SUMIFS(base_scenario_arch_measures!I:I,base_scenario_arch_measures!$E:$E,base_energy_ecm!$B13,base_scenario_arch_measures!$D:$D,base_energy_ecm!$A13)</f>
        <v>3.564204717835203</v>
      </c>
      <c r="F13">
        <f>SUMIFS(base_scenario_arch_measures!J:J,base_scenario_arch_measures!$E:$E,base_energy_ecm!$B13,base_scenario_arch_measures!$D:$D,base_energy_ecm!$A13)</f>
        <v>2.9628155490180825</v>
      </c>
      <c r="G13">
        <f>SUMIFS(base_scenario_arch_measures!K:K,base_scenario_arch_measures!$E:$E,base_energy_ecm!$B13,base_scenario_arch_measures!$D:$D,base_energy_ecm!$A13)</f>
        <v>9.4496610023950769</v>
      </c>
      <c r="H13">
        <f>SUMIFS(base_scenario_arch_measures!L:L,base_scenario_arch_measures!$E:$E,base_energy_ecm!$B13,base_scenario_arch_measures!$D:$D,base_energy_ecm!$A13)</f>
        <v>36.82269855188558</v>
      </c>
      <c r="I13">
        <f>SUMIFS(base_scenario_arch_measures!M:M,base_scenario_arch_measures!$E:$E,base_energy_ecm!$B13,base_scenario_arch_measures!$D:$D,base_energy_ecm!$A13)</f>
        <v>5.8759424874650747</v>
      </c>
      <c r="J13">
        <f>SUMIFS(base_scenario_arch_measures!N:N,base_scenario_arch_measures!$E:$E,base_energy_ecm!$B13,base_scenario_arch_measures!$D:$D,base_energy_ecm!$A13)</f>
        <v>0</v>
      </c>
      <c r="K13">
        <f>SUMIFS(base_scenario_arch_measures!O:O,base_scenario_arch_measures!$E:$E,base_energy_ecm!$B13,base_scenario_arch_measures!$D:$D,base_energy_ecm!$A13)</f>
        <v>10.370969471430856</v>
      </c>
      <c r="L13">
        <f>SUMIFS(base_scenario_arch_measures!P:P,base_scenario_arch_measures!$E:$E,base_energy_ecm!$B13,base_scenario_arch_measures!$D:$D,base_energy_ecm!$A13)</f>
        <v>7.8153236546359679</v>
      </c>
      <c r="M13">
        <f>SUMIFS(base_scenario_arch_measures!Q:Q,base_scenario_arch_measures!$E:$E,base_energy_ecm!$B13,base_scenario_arch_measures!$D:$D,base_energy_ecm!$A13)</f>
        <v>0</v>
      </c>
      <c r="N13">
        <f t="array" ref="N13">INDEX(C$2:C$21,MATCH($A13&amp;"baseline",$A$2:$A$500&amp;$B$2:$B$500,0)) - C13</f>
        <v>0.83244570339053925</v>
      </c>
      <c r="O13">
        <f t="array" ref="O13">INDEX(D$2:D$21,MATCH($A13&amp;"baseline",$A$2:$A$500&amp;$B$2:$B$500,0)) - D13</f>
        <v>35.986050290580636</v>
      </c>
      <c r="P13">
        <f t="array" ref="P13">INDEX(E$2:E$21,MATCH($A13&amp;"baseline",$A$2:$A$500&amp;$B$2:$B$500,0)) - E13</f>
        <v>-0.43925882466062127</v>
      </c>
      <c r="Q13">
        <f t="array" ref="Q13">INDEX(F$2:F$21,MATCH($A13&amp;"baseline",$A$2:$A$500&amp;$B$2:$B$500,0)) - F13</f>
        <v>0.13176328375105983</v>
      </c>
      <c r="R13">
        <f t="array" ref="R13">INDEX(G$2:G$21,MATCH($A13&amp;"baseline",$A$2:$A$500&amp;$B$2:$B$500,0)) - G13</f>
        <v>3.5305523688996523</v>
      </c>
      <c r="S13">
        <f t="array" ref="S13">INDEX(H$2:H$21,MATCH($A13&amp;"baseline",$A$2:$A$500&amp;$B$2:$B$500,0)) - H13</f>
        <v>5.0594162208783189</v>
      </c>
      <c r="T13">
        <f t="array" ref="T13">INDEX(I$2:I$21,MATCH($A13&amp;"baseline",$A$2:$A$500&amp;$B$2:$B$500,0)) - I13</f>
        <v>0.84880700354486116</v>
      </c>
      <c r="U13">
        <f t="array" ref="U13">INDEX(J$2:J$21,MATCH($A13&amp;"baseline",$A$2:$A$500&amp;$B$2:$B$500,0)) - J13</f>
        <v>0.34781670798042902</v>
      </c>
      <c r="V13">
        <f t="array" ref="V13">INDEX(K$2:K$21,MATCH($A13&amp;"baseline",$A$2:$A$500&amp;$B$2:$B$500,0)) - K13</f>
        <v>5.2493874913003253</v>
      </c>
      <c r="W13">
        <f t="array" ref="W13">INDEX(L$2:L$21,MATCH($A13&amp;"baseline",$A$2:$A$500&amp;$B$2:$B$500,0)) - L13</f>
        <v>0.64308415512461359</v>
      </c>
      <c r="X13">
        <f t="array" ref="X13">INDEX(M$2:M$21,MATCH($A13&amp;"baseline",$A$2:$A$500&amp;$B$2:$B$500,0)) - M13</f>
        <v>0</v>
      </c>
      <c r="Y13">
        <f t="shared" si="1"/>
        <v>12.325645033329097</v>
      </c>
      <c r="Z13">
        <f t="shared" si="2"/>
        <v>39.864419367460712</v>
      </c>
      <c r="AA13">
        <f>Y13*constants!$N$2</f>
        <v>1.392797888766188</v>
      </c>
      <c r="AB13">
        <f>Z13*constants!$O$2</f>
        <v>0.64580359375286356</v>
      </c>
      <c r="AC13">
        <f t="shared" si="3"/>
        <v>11.925648763468077</v>
      </c>
      <c r="AD13">
        <f t="shared" si="4"/>
        <v>2.0386014825190517</v>
      </c>
      <c r="AE13">
        <f>AA13*base_building_arch_areas!$P$5</f>
        <v>282531.8373319988</v>
      </c>
      <c r="AF13">
        <f>AB13*base_building_arch_areas!$P$5</f>
        <v>131002.55059995588</v>
      </c>
      <c r="AG13" s="191">
        <f>AD13*base_building_arch_areas!$P$5</f>
        <v>413534.3879319547</v>
      </c>
      <c r="AH13" s="191">
        <f>(Y13*constants!$G$2+Z13*constants!$F$2)*base_building_arch_areas!$P$5/1000000</f>
        <v>3622.7424376392978</v>
      </c>
      <c r="AJ13">
        <f>SUMIFS(base_scenario_arch_measures!$AJ:$AJ,base_scenario_arch_measures!$E:$E,base_energy_ecm!$B13,base_scenario_arch_measures!$D:$D,base_energy_ecm!$A13)</f>
        <v>138358.51105167199</v>
      </c>
      <c r="AK13">
        <f>SUMIFS(base_scenario_arch_measures!AJ:AJ,base_scenario_arch_measures!$E:$E,base_energy_ecm!$B13,base_scenario_arch_measures!$D:$D,base_energy_ecm!$A13)/AG13</f>
        <v>0.33457558812361277</v>
      </c>
      <c r="AL13">
        <f t="shared" si="5"/>
        <v>385.43865866427313</v>
      </c>
      <c r="AM13">
        <f>AL13*base_building_arch_areas!$P$3/base_building_arch_areas!$P$2</f>
        <v>386.36466943318663</v>
      </c>
      <c r="AN13">
        <f>AL13*base_building_arch_areas!$P$4/base_building_arch_areas!$P$2</f>
        <v>373.55207798489295</v>
      </c>
      <c r="AO13">
        <f>AL13*base_building_arch_areas!$P$5/base_building_arch_areas!$P$2</f>
        <v>337.84736779790234</v>
      </c>
      <c r="AP13">
        <f>AL13*base_building_arch_areas!$P$6/base_building_arch_areas!$P$2</f>
        <v>328.21585650900556</v>
      </c>
      <c r="AQ13">
        <f>AL13*base_building_arch_areas!$P$7/base_building_arch_areas!$P$2</f>
        <v>328.21585650900556</v>
      </c>
      <c r="AR13">
        <f>Y13*base_building_arch_areas!$P$5</f>
        <v>2500281.7463008743</v>
      </c>
      <c r="AS13">
        <f>(Z13*base_building_arch_areas!$P$5)*0.095</f>
        <v>768224.83376517333</v>
      </c>
      <c r="AT13">
        <f>(Y13+Z13)*base_building_arch_areas!$P$5</f>
        <v>10586858.943829015</v>
      </c>
    </row>
    <row r="14" spans="1:65">
      <c r="A14">
        <v>2015</v>
      </c>
      <c r="B14" s="184" t="s">
        <v>833</v>
      </c>
      <c r="C14">
        <f>SUMIFS(base_scenario_arch_measures!G:G,base_scenario_arch_measures!$E:$E,base_energy_ecm!$B14,base_scenario_arch_measures!$D:$D,base_energy_ecm!$A14)</f>
        <v>0.85007063709299402</v>
      </c>
      <c r="D14">
        <f>SUMIFS(base_scenario_arch_measures!H:H,base_scenario_arch_measures!$E:$E,base_energy_ecm!$B14,base_scenario_arch_measures!$D:$D,base_energy_ecm!$A14)</f>
        <v>331.23715515073451</v>
      </c>
      <c r="E14">
        <f>SUMIFS(base_scenario_arch_measures!I:I,base_scenario_arch_measures!$E:$E,base_energy_ecm!$B14,base_scenario_arch_measures!$D:$D,base_energy_ecm!$A14)</f>
        <v>3.7633970902517064</v>
      </c>
      <c r="F14">
        <f>SUMIFS(base_scenario_arch_measures!J:J,base_scenario_arch_measures!$E:$E,base_energy_ecm!$B14,base_scenario_arch_measures!$D:$D,base_energy_ecm!$A14)</f>
        <v>3.0945666754343701</v>
      </c>
      <c r="G14">
        <f>SUMIFS(base_scenario_arch_measures!K:K,base_scenario_arch_measures!$E:$E,base_energy_ecm!$B14,base_scenario_arch_measures!$D:$D,base_energy_ecm!$A14)</f>
        <v>12.980171021163287</v>
      </c>
      <c r="H14">
        <f>SUMIFS(base_scenario_arch_measures!L:L,base_scenario_arch_measures!$E:$E,base_energy_ecm!$B14,base_scenario_arch_measures!$D:$D,base_energy_ecm!$A14)</f>
        <v>40.106305884043586</v>
      </c>
      <c r="I14">
        <f>SUMIFS(base_scenario_arch_measures!M:M,base_scenario_arch_measures!$E:$E,base_energy_ecm!$B14,base_scenario_arch_measures!$D:$D,base_energy_ecm!$A14)</f>
        <v>6.5602404051349685</v>
      </c>
      <c r="J14">
        <f>SUMIFS(base_scenario_arch_measures!N:N,base_scenario_arch_measures!$E:$E,base_energy_ecm!$B14,base_scenario_arch_measures!$D:$D,base_energy_ecm!$A14)</f>
        <v>0.34781670798042902</v>
      </c>
      <c r="K14">
        <f>SUMIFS(base_scenario_arch_measures!O:O,base_scenario_arch_measures!$E:$E,base_energy_ecm!$B14,base_scenario_arch_measures!$D:$D,base_energy_ecm!$A14)</f>
        <v>15.152740155657799</v>
      </c>
      <c r="L14">
        <f>SUMIFS(base_scenario_arch_measures!P:P,base_scenario_arch_measures!$E:$E,base_energy_ecm!$B14,base_scenario_arch_measures!$D:$D,base_energy_ecm!$A14)</f>
        <v>8.5314504254093695</v>
      </c>
      <c r="M14">
        <f>SUMIFS(base_scenario_arch_measures!Q:Q,base_scenario_arch_measures!$E:$E,base_energy_ecm!$B14,base_scenario_arch_measures!$D:$D,base_energy_ecm!$A14)</f>
        <v>0</v>
      </c>
      <c r="N14">
        <f t="array" ref="N14">INDEX(C$2:C$21,MATCH($A14&amp;"baseline",$A$2:$A$500&amp;$B$2:$B$500,0)) - C14</f>
        <v>-8.5221432853421764E-4</v>
      </c>
      <c r="O14">
        <f t="array" ref="O14">INDEX(D$2:D$21,MATCH($A14&amp;"baseline",$A$2:$A$500&amp;$B$2:$B$500,0)) - D14</f>
        <v>13.309165650079478</v>
      </c>
      <c r="P14">
        <f t="array" ref="P14">INDEX(E$2:E$21,MATCH($A14&amp;"baseline",$A$2:$A$500&amp;$B$2:$B$500,0)) - E14</f>
        <v>-0.63845119707712472</v>
      </c>
      <c r="Q14">
        <f t="array" ref="Q14">INDEX(F$2:F$21,MATCH($A14&amp;"baseline",$A$2:$A$500&amp;$B$2:$B$500,0)) - F14</f>
        <v>1.2157334772222583E-5</v>
      </c>
      <c r="R14">
        <f t="array" ref="R14">INDEX(G$2:G$21,MATCH($A14&amp;"baseline",$A$2:$A$500&amp;$B$2:$B$500,0)) - G14</f>
        <v>4.2350131442603356E-5</v>
      </c>
      <c r="S14">
        <f t="array" ref="S14">INDEX(H$2:H$21,MATCH($A14&amp;"baseline",$A$2:$A$500&amp;$B$2:$B$500,0)) - H14</f>
        <v>1.775808888720313</v>
      </c>
      <c r="T14">
        <f t="array" ref="T14">INDEX(I$2:I$21,MATCH($A14&amp;"baseline",$A$2:$A$500&amp;$B$2:$B$500,0)) - I14</f>
        <v>0.16450908587496738</v>
      </c>
      <c r="U14">
        <f t="array" ref="U14">INDEX(J$2:J$21,MATCH($A14&amp;"baseline",$A$2:$A$500&amp;$B$2:$B$500,0)) - J14</f>
        <v>0</v>
      </c>
      <c r="V14">
        <f t="array" ref="V14">INDEX(K$2:K$21,MATCH($A14&amp;"baseline",$A$2:$A$500&amp;$B$2:$B$500,0)) - K14</f>
        <v>0.46761680707338193</v>
      </c>
      <c r="W14">
        <f t="array" ref="W14">INDEX(L$2:L$21,MATCH($A14&amp;"baseline",$A$2:$A$500&amp;$B$2:$B$500,0)) - L14</f>
        <v>-7.3042615648788001E-2</v>
      </c>
      <c r="X14">
        <f t="array" ref="X14">INDEX(M$2:M$21,MATCH($A14&amp;"baseline",$A$2:$A$500&amp;$B$2:$B$500,0)) - M14</f>
        <v>0</v>
      </c>
      <c r="Y14">
        <f t="shared" si="1"/>
        <v>1.6956009119489877</v>
      </c>
      <c r="Z14">
        <f t="shared" si="2"/>
        <v>13.309208000210921</v>
      </c>
      <c r="AA14">
        <f>Y14*constants!$N$2</f>
        <v>0.19160290305023561</v>
      </c>
      <c r="AB14">
        <f>Z14*constants!$O$2</f>
        <v>0.21560916960341692</v>
      </c>
      <c r="AC14">
        <f t="shared" si="3"/>
        <v>3.4286618133904163</v>
      </c>
      <c r="AD14">
        <f t="shared" si="4"/>
        <v>0.40721207265365256</v>
      </c>
      <c r="AE14">
        <f>AA14*base_building_arch_areas!$P$5</f>
        <v>38867.032089546396</v>
      </c>
      <c r="AF14">
        <f>AB14*base_building_arch_areas!$P$5</f>
        <v>43736.751272392328</v>
      </c>
      <c r="AG14" s="191">
        <f>AD14*base_building_arch_areas!$P$5</f>
        <v>82603.783361938724</v>
      </c>
      <c r="AH14" s="191">
        <f>(Y14*constants!$G$2+Z14*constants!$F$2)*base_building_arch_areas!$P$5/1000000</f>
        <v>782.50585505121092</v>
      </c>
      <c r="AJ14">
        <f>SUMIFS(base_scenario_arch_measures!$AJ:$AJ,base_scenario_arch_measures!$E:$E,base_energy_ecm!$B14,base_scenario_arch_measures!$D:$D,base_energy_ecm!$A14)</f>
        <v>213728.33103045836</v>
      </c>
      <c r="AK14">
        <f>SUMIFS(base_scenario_arch_measures!AJ:AJ,base_scenario_arch_measures!$E:$E,base_energy_ecm!$B14,base_scenario_arch_measures!$D:$D,base_energy_ecm!$A14)/AG14</f>
        <v>2.5873915495369162</v>
      </c>
      <c r="AL14">
        <f t="shared" si="5"/>
        <v>422.62391415290301</v>
      </c>
      <c r="AM14">
        <f>AL14*base_building_arch_areas!$P$3/base_building_arch_areas!$P$2</f>
        <v>423.63926195704431</v>
      </c>
      <c r="AN14">
        <f>AL14*base_building_arch_areas!$P$4/base_building_arch_areas!$P$2</f>
        <v>409.59057372456374</v>
      </c>
      <c r="AO14">
        <f>AL14*base_building_arch_areas!$P$5/base_building_arch_areas!$P$2</f>
        <v>370.44124598143122</v>
      </c>
      <c r="AP14">
        <f>AL14*base_building_arch_areas!$P$6/base_building_arch_areas!$P$2</f>
        <v>359.88053311929224</v>
      </c>
      <c r="AQ14">
        <f>AL14*base_building_arch_areas!$P$7/base_building_arch_areas!$P$2</f>
        <v>359.88053311929224</v>
      </c>
      <c r="AR14">
        <f>Y14*base_building_arch_areas!$P$5</f>
        <v>343956.03619067604</v>
      </c>
      <c r="AS14">
        <f>(Z14*base_building_arch_areas!$P$5)*0.095</f>
        <v>256480.94881958465</v>
      </c>
      <c r="AT14">
        <f>(Y14+Z14)*base_building_arch_areas!$P$5</f>
        <v>3043755.4974494618</v>
      </c>
    </row>
    <row r="15" spans="1:65">
      <c r="A15">
        <v>2015</v>
      </c>
      <c r="B15" s="184" t="s">
        <v>835</v>
      </c>
      <c r="C15">
        <f>SUMIFS(base_scenario_arch_measures!G:G,base_scenario_arch_measures!$E:$E,base_energy_ecm!$B15,base_scenario_arch_measures!$D:$D,base_energy_ecm!$A15)</f>
        <v>0.79645644130016235</v>
      </c>
      <c r="D15">
        <f>SUMIFS(base_scenario_arch_measures!H:H,base_scenario_arch_measures!$E:$E,base_energy_ecm!$B15,base_scenario_arch_measures!$D:$D,base_energy_ecm!$A15)</f>
        <v>285.25877122693862</v>
      </c>
      <c r="E15">
        <f>SUMIFS(base_scenario_arch_measures!I:I,base_scenario_arch_measures!$E:$E,base_energy_ecm!$B15,base_scenario_arch_measures!$D:$D,base_energy_ecm!$A15)</f>
        <v>4.167054877574115</v>
      </c>
      <c r="F15">
        <f>SUMIFS(base_scenario_arch_measures!J:J,base_scenario_arch_measures!$E:$E,base_energy_ecm!$B15,base_scenario_arch_measures!$D:$D,base_energy_ecm!$A15)</f>
        <v>3.0945666754343701</v>
      </c>
      <c r="G15">
        <f>SUMIFS(base_scenario_arch_measures!K:K,base_scenario_arch_measures!$E:$E,base_energy_ecm!$B15,base_scenario_arch_measures!$D:$D,base_energy_ecm!$A15)</f>
        <v>12.980091002047867</v>
      </c>
      <c r="H15">
        <f>SUMIFS(base_scenario_arch_measures!L:L,base_scenario_arch_measures!$E:$E,base_energy_ecm!$B15,base_scenario_arch_measures!$D:$D,base_energy_ecm!$A15)</f>
        <v>41.882114773191383</v>
      </c>
      <c r="I15">
        <f>SUMIFS(base_scenario_arch_measures!M:M,base_scenario_arch_measures!$E:$E,base_energy_ecm!$B15,base_scenario_arch_measures!$D:$D,base_energy_ecm!$A15)</f>
        <v>6.7247494910099519</v>
      </c>
      <c r="J15">
        <f>SUMIFS(base_scenario_arch_measures!N:N,base_scenario_arch_measures!$E:$E,base_energy_ecm!$B15,base_scenario_arch_measures!$D:$D,base_energy_ecm!$A15)</f>
        <v>0.34781670798042902</v>
      </c>
      <c r="K15">
        <f>SUMIFS(base_scenario_arch_measures!O:O,base_scenario_arch_measures!$E:$E,base_energy_ecm!$B15,base_scenario_arch_measures!$D:$D,base_energy_ecm!$A15)</f>
        <v>15.732853347410087</v>
      </c>
      <c r="L15">
        <f>SUMIFS(base_scenario_arch_measures!P:P,base_scenario_arch_measures!$E:$E,base_energy_ecm!$B15,base_scenario_arch_measures!$D:$D,base_energy_ecm!$A15)</f>
        <v>8.4088857556015135</v>
      </c>
      <c r="M15">
        <f>SUMIFS(base_scenario_arch_measures!Q:Q,base_scenario_arch_measures!$E:$E,base_energy_ecm!$B15,base_scenario_arch_measures!$D:$D,base_energy_ecm!$A15)</f>
        <v>3.0424969531454367</v>
      </c>
      <c r="N15">
        <f t="array" ref="N15">INDEX(C$2:C$21,MATCH($A15&amp;"baseline",$A$2:$A$500&amp;$B$2:$B$500,0)) - C15</f>
        <v>5.2761981464297447E-2</v>
      </c>
      <c r="O15">
        <f t="array" ref="O15">INDEX(D$2:D$21,MATCH($A15&amp;"baseline",$A$2:$A$500&amp;$B$2:$B$500,0)) - D15</f>
        <v>59.287549573875367</v>
      </c>
      <c r="P15">
        <f t="array" ref="P15">INDEX(E$2:E$21,MATCH($A15&amp;"baseline",$A$2:$A$500&amp;$B$2:$B$500,0)) - E15</f>
        <v>-1.0421089843995333</v>
      </c>
      <c r="Q15">
        <f t="array" ref="Q15">INDEX(F$2:F$21,MATCH($A15&amp;"baseline",$A$2:$A$500&amp;$B$2:$B$500,0)) - F15</f>
        <v>1.2157334772222583E-5</v>
      </c>
      <c r="R15">
        <f t="array" ref="R15">INDEX(G$2:G$21,MATCH($A15&amp;"baseline",$A$2:$A$500&amp;$B$2:$B$500,0)) - G15</f>
        <v>1.223692468617088E-4</v>
      </c>
      <c r="S15">
        <f t="array" ref="S15">INDEX(H$2:H$21,MATCH($A15&amp;"baseline",$A$2:$A$500&amp;$B$2:$B$500,0)) - H15</f>
        <v>-4.2748382611534907E-10</v>
      </c>
      <c r="T15">
        <f t="array" ref="T15">INDEX(I$2:I$21,MATCH($A15&amp;"baseline",$A$2:$A$500&amp;$B$2:$B$500,0)) - I15</f>
        <v>-1.5987211554602254E-14</v>
      </c>
      <c r="U15">
        <f t="array" ref="U15">INDEX(J$2:J$21,MATCH($A15&amp;"baseline",$A$2:$A$500&amp;$B$2:$B$500,0)) - J15</f>
        <v>0</v>
      </c>
      <c r="V15">
        <f t="array" ref="V15">INDEX(K$2:K$21,MATCH($A15&amp;"baseline",$A$2:$A$500&amp;$B$2:$B$500,0)) - K15</f>
        <v>-0.11249638467890577</v>
      </c>
      <c r="W15">
        <f t="array" ref="W15">INDEX(L$2:L$21,MATCH($A15&amp;"baseline",$A$2:$A$500&amp;$B$2:$B$500,0)) - L15</f>
        <v>4.9522054159067963E-2</v>
      </c>
      <c r="X15">
        <f t="array" ref="X15">INDEX(M$2:M$21,MATCH($A15&amp;"baseline",$A$2:$A$500&amp;$B$2:$B$500,0)) - M15</f>
        <v>-3.0424969531454367</v>
      </c>
      <c r="Y15">
        <f t="shared" si="1"/>
        <v>-4.0948061296932377</v>
      </c>
      <c r="Z15">
        <f t="shared" si="2"/>
        <v>59.287671943122227</v>
      </c>
      <c r="AA15">
        <f>Y15*constants!$N$2</f>
        <v>-0.46271309265533589</v>
      </c>
      <c r="AB15">
        <f>Z15*constants!$O$2</f>
        <v>0.96046028547857998</v>
      </c>
      <c r="AC15">
        <f t="shared" si="3"/>
        <v>12.61180148936965</v>
      </c>
      <c r="AD15">
        <f t="shared" si="4"/>
        <v>0.49774719282324409</v>
      </c>
      <c r="AE15">
        <f>AA15*base_building_arch_areas!$P$5</f>
        <v>-93862.276271320196</v>
      </c>
      <c r="AF15">
        <f>AB15*base_building_arch_areas!$P$5</f>
        <v>194831.2898299009</v>
      </c>
      <c r="AG15" s="191">
        <f>AD15*base_building_arch_areas!$P$5</f>
        <v>100969.01355858071</v>
      </c>
      <c r="AH15" s="191">
        <f>(Y15*constants!$G$2+Z15*constants!$F$2)*base_building_arch_areas!$P$5/1000000</f>
        <v>1430.1090230642519</v>
      </c>
      <c r="AJ15">
        <f>SUMIFS(base_scenario_arch_measures!$AJ:$AJ,base_scenario_arch_measures!$E:$E,base_energy_ecm!$B15,base_scenario_arch_measures!$D:$D,base_energy_ecm!$A15)</f>
        <v>11751069.834840981</v>
      </c>
      <c r="AK15">
        <f>SUMIFS(base_scenario_arch_measures!AJ:AJ,base_scenario_arch_measures!$E:$E,base_energy_ecm!$B15,base_scenario_arch_measures!$D:$D,base_energy_ecm!$A15)/AG15</f>
        <v>116.38293195786434</v>
      </c>
      <c r="AL15">
        <f t="shared" si="5"/>
        <v>382.43585725163388</v>
      </c>
      <c r="AM15">
        <f>AL15*base_building_arch_areas!$P$3/base_building_arch_areas!$P$2</f>
        <v>383.35465383384729</v>
      </c>
      <c r="AN15">
        <f>AL15*base_building_arch_areas!$P$4/base_building_arch_areas!$P$2</f>
        <v>370.64188026016399</v>
      </c>
      <c r="AO15">
        <f>AL15*base_building_arch_areas!$P$5/base_building_arch_areas!$P$2</f>
        <v>335.21533146611432</v>
      </c>
      <c r="AP15">
        <f>AL15*base_building_arch_areas!$P$6/base_building_arch_areas!$P$2</f>
        <v>325.6588555039915</v>
      </c>
      <c r="AQ15">
        <f>AL15*base_building_arch_areas!$P$7/base_building_arch_areas!$P$2</f>
        <v>325.6588555039915</v>
      </c>
      <c r="AR15">
        <f>Y15*base_building_arch_areas!$P$5</f>
        <v>-830639.61302053265</v>
      </c>
      <c r="AS15">
        <f>(Z15*base_building_arch_areas!$P$5)*0.095</f>
        <v>1142529.1687555918</v>
      </c>
      <c r="AT15">
        <f>(Y15+Z15)*base_building_arch_areas!$P$5</f>
        <v>11195983.215985697</v>
      </c>
    </row>
    <row r="16" spans="1:65">
      <c r="A16">
        <v>2015</v>
      </c>
      <c r="B16" s="184" t="s">
        <v>863</v>
      </c>
      <c r="C16">
        <f>SUMIFS(base_scenario_arch_measures!G:G,base_scenario_arch_measures!$E:$E,base_energy_ecm!$B16,base_scenario_arch_measures!$D:$D,base_energy_ecm!$A16)</f>
        <v>0.58751287300874899</v>
      </c>
      <c r="D16">
        <f>SUMIFS(base_scenario_arch_measures!H:H,base_scenario_arch_measures!$E:$E,base_energy_ecm!$B16,base_scenario_arch_measures!$D:$D,base_energy_ecm!$A16)</f>
        <v>223.55343612169867</v>
      </c>
      <c r="E16">
        <f>SUMIFS(base_scenario_arch_measures!I:I,base_scenario_arch_measures!$E:$E,base_energy_ecm!$B16,base_scenario_arch_measures!$D:$D,base_energy_ecm!$A16)</f>
        <v>3.6623431142182761</v>
      </c>
      <c r="F16">
        <f>SUMIFS(base_scenario_arch_measures!J:J,base_scenario_arch_measures!$E:$E,base_energy_ecm!$B16,base_scenario_arch_measures!$D:$D,base_energy_ecm!$A16)</f>
        <v>3.0251886533554142</v>
      </c>
      <c r="G16">
        <f>SUMIFS(base_scenario_arch_measures!K:K,base_scenario_arch_measures!$E:$E,base_energy_ecm!$B16,base_scenario_arch_measures!$D:$D,base_energy_ecm!$A16)</f>
        <v>12.979815650149803</v>
      </c>
      <c r="H16">
        <f>SUMIFS(base_scenario_arch_measures!L:L,base_scenario_arch_measures!$E:$E,base_energy_ecm!$B16,base_scenario_arch_measures!$D:$D,base_energy_ecm!$A16)</f>
        <v>41.472205149926481</v>
      </c>
      <c r="I16">
        <f>SUMIFS(base_scenario_arch_measures!M:M,base_scenario_arch_measures!$E:$E,base_energy_ecm!$B16,base_scenario_arch_measures!$D:$D,base_energy_ecm!$A16)</f>
        <v>6.6362547745814116</v>
      </c>
      <c r="J16">
        <f>SUMIFS(base_scenario_arch_measures!N:N,base_scenario_arch_measures!$E:$E,base_energy_ecm!$B16,base_scenario_arch_measures!$D:$D,base_energy_ecm!$A16)</f>
        <v>0.34781670798042902</v>
      </c>
      <c r="K16">
        <f>SUMIFS(base_scenario_arch_measures!O:O,base_scenario_arch_measures!$E:$E,base_energy_ecm!$B16,base_scenario_arch_measures!$D:$D,base_energy_ecm!$A16)</f>
        <v>12.635233678385179</v>
      </c>
      <c r="L16">
        <f>SUMIFS(base_scenario_arch_measures!P:P,base_scenario_arch_measures!$E:$E,base_energy_ecm!$B16,base_scenario_arch_measures!$D:$D,base_energy_ecm!$A16)</f>
        <v>5.8257261012911785</v>
      </c>
      <c r="M16">
        <f>SUMIFS(base_scenario_arch_measures!Q:Q,base_scenario_arch_measures!$E:$E,base_energy_ecm!$B16,base_scenario_arch_measures!$D:$D,base_energy_ecm!$A16)</f>
        <v>0</v>
      </c>
      <c r="N16">
        <f t="array" ref="N16">INDEX(C$2:C$21,MATCH($A16&amp;"baseline",$A$2:$A$500&amp;$B$2:$B$500,0)) - C16</f>
        <v>0.26170554975571081</v>
      </c>
      <c r="O16">
        <f t="array" ref="O16">INDEX(D$2:D$21,MATCH($A16&amp;"baseline",$A$2:$A$500&amp;$B$2:$B$500,0)) - D16</f>
        <v>120.99288467911532</v>
      </c>
      <c r="P16">
        <f t="array" ref="P16">INDEX(E$2:E$21,MATCH($A16&amp;"baseline",$A$2:$A$500&amp;$B$2:$B$500,0)) - E16</f>
        <v>-0.53739722104369436</v>
      </c>
      <c r="Q16">
        <f t="array" ref="Q16">INDEX(F$2:F$21,MATCH($A16&amp;"baseline",$A$2:$A$500&amp;$B$2:$B$500,0)) - F16</f>
        <v>6.9390179413728159E-2</v>
      </c>
      <c r="R16">
        <f t="array" ref="R16">INDEX(G$2:G$21,MATCH($A16&amp;"baseline",$A$2:$A$500&amp;$B$2:$B$500,0)) - G16</f>
        <v>3.9772114492642174E-4</v>
      </c>
      <c r="S16">
        <f t="array" ref="S16">INDEX(H$2:H$21,MATCH($A16&amp;"baseline",$A$2:$A$500&amp;$B$2:$B$500,0)) - H16</f>
        <v>0.40990962283741794</v>
      </c>
      <c r="T16">
        <f t="array" ref="T16">INDEX(I$2:I$21,MATCH($A16&amp;"baseline",$A$2:$A$500&amp;$B$2:$B$500,0)) - I16</f>
        <v>8.8494716428524356E-2</v>
      </c>
      <c r="U16">
        <f t="array" ref="U16">INDEX(J$2:J$21,MATCH($A16&amp;"baseline",$A$2:$A$500&amp;$B$2:$B$500,0)) - J16</f>
        <v>0</v>
      </c>
      <c r="V16">
        <f t="array" ref="V16">INDEX(K$2:K$21,MATCH($A16&amp;"baseline",$A$2:$A$500&amp;$B$2:$B$500,0)) - K16</f>
        <v>2.9851232843460025</v>
      </c>
      <c r="W16">
        <f t="array" ref="W16">INDEX(L$2:L$21,MATCH($A16&amp;"baseline",$A$2:$A$500&amp;$B$2:$B$500,0)) - L16</f>
        <v>2.632681708469403</v>
      </c>
      <c r="X16">
        <f t="array" ref="X16">INDEX(M$2:M$21,MATCH($A16&amp;"baseline",$A$2:$A$500&amp;$B$2:$B$500,0)) - M16</f>
        <v>0</v>
      </c>
      <c r="Y16">
        <f t="shared" si="1"/>
        <v>5.9099078402070919</v>
      </c>
      <c r="Z16">
        <f t="shared" si="2"/>
        <v>120.99328240026024</v>
      </c>
      <c r="AA16">
        <f>Y16*constants!$N$2</f>
        <v>0.66781958594340141</v>
      </c>
      <c r="AB16">
        <f>Z16*constants!$O$2</f>
        <v>1.9600911748842158</v>
      </c>
      <c r="AC16">
        <f t="shared" si="3"/>
        <v>28.997911597681046</v>
      </c>
      <c r="AD16">
        <f t="shared" si="4"/>
        <v>2.6279107608276173</v>
      </c>
      <c r="AE16">
        <f>AA16*base_building_arch_areas!$P$5</f>
        <v>135468.53864779088</v>
      </c>
      <c r="AF16">
        <f>AB16*base_building_arch_areas!$P$5</f>
        <v>397608.41500761296</v>
      </c>
      <c r="AG16" s="191">
        <f>AD16*base_building_arch_areas!$P$5</f>
        <v>533076.95365540381</v>
      </c>
      <c r="AH16" s="191">
        <f>(Y16*constants!$G$2+Z16*constants!$F$2)*base_building_arch_areas!$P$5/1000000</f>
        <v>5436.3154124663779</v>
      </c>
      <c r="AJ16">
        <f>SUMIFS(base_scenario_arch_measures!$AJ:$AJ,base_scenario_arch_measures!$E:$E,base_energy_ecm!$B16,base_scenario_arch_measures!$D:$D,base_energy_ecm!$A16)</f>
        <v>3868326.8867802159</v>
      </c>
      <c r="AK16">
        <f>SUMIFS(base_scenario_arch_measures!AJ:AJ,base_scenario_arch_measures!$E:$E,base_energy_ecm!$B16,base_scenario_arch_measures!$D:$D,base_energy_ecm!$A16)/AG16</f>
        <v>7.2566012472578452</v>
      </c>
      <c r="AL16">
        <f t="shared" si="5"/>
        <v>310.72553282459563</v>
      </c>
      <c r="AM16">
        <f>AL16*base_building_arch_areas!$P$3/base_building_arch_areas!$P$2</f>
        <v>311.4720463958318</v>
      </c>
      <c r="AN16">
        <f>AL16*base_building_arch_areas!$P$4/base_building_arch_areas!$P$2</f>
        <v>301.14303757655136</v>
      </c>
      <c r="AO16">
        <f>AL16*base_building_arch_areas!$P$5/base_building_arch_areas!$P$2</f>
        <v>272.35930027410313</v>
      </c>
      <c r="AP16">
        <f>AL16*base_building_arch_areas!$P$6/base_building_arch_areas!$P$2</f>
        <v>264.5947535430621</v>
      </c>
      <c r="AQ16">
        <f>AL16*base_building_arch_areas!$P$7/base_building_arch_areas!$P$2</f>
        <v>264.5947535430621</v>
      </c>
      <c r="AR16">
        <f>Y16*base_building_arch_areas!$P$5</f>
        <v>1198836.6252016891</v>
      </c>
      <c r="AS16">
        <f>(Z16*base_building_arch_areas!$P$5)*0.095</f>
        <v>2331654.2855384713</v>
      </c>
      <c r="AT16">
        <f>(Y16+Z16)*base_building_arch_areas!$P$5</f>
        <v>25742565.946659282</v>
      </c>
    </row>
    <row r="17" spans="1:46">
      <c r="A17">
        <v>2015</v>
      </c>
      <c r="B17" s="184" t="s">
        <v>860</v>
      </c>
      <c r="C17">
        <f>SUMIFS(base_scenario_arch_measures!G:G,base_scenario_arch_measures!$E:$E,base_energy_ecm!$B17,base_scenario_arch_measures!$D:$D,base_energy_ecm!$A17)</f>
        <v>0.91226386833938089</v>
      </c>
      <c r="D17">
        <f>SUMIFS(base_scenario_arch_measures!H:H,base_scenario_arch_measures!$E:$E,base_energy_ecm!$B17,base_scenario_arch_measures!$D:$D,base_energy_ecm!$A17)</f>
        <v>354.21039863558087</v>
      </c>
      <c r="E17">
        <f>SUMIFS(base_scenario_arch_measures!I:I,base_scenario_arch_measures!$E:$E,base_energy_ecm!$B17,base_scenario_arch_measures!$D:$D,base_energy_ecm!$A17)</f>
        <v>3.2155589257632728</v>
      </c>
      <c r="F17">
        <f>SUMIFS(base_scenario_arch_measures!J:J,base_scenario_arch_measures!$E:$E,base_energy_ecm!$B17,base_scenario_arch_measures!$D:$D,base_energy_ecm!$A17)</f>
        <v>3.0946634802687183</v>
      </c>
      <c r="G17">
        <f>SUMIFS(base_scenario_arch_measures!K:K,base_scenario_arch_measures!$E:$E,base_energy_ecm!$B17,base_scenario_arch_measures!$D:$D,base_energy_ecm!$A17)</f>
        <v>12.9802312830783</v>
      </c>
      <c r="H17">
        <f>SUMIFS(base_scenario_arch_measures!L:L,base_scenario_arch_measures!$E:$E,base_energy_ecm!$B17,base_scenario_arch_measures!$D:$D,base_energy_ecm!$A17)</f>
        <v>29.317712325578199</v>
      </c>
      <c r="I17">
        <f>SUMIFS(base_scenario_arch_measures!M:M,base_scenario_arch_measures!$E:$E,base_energy_ecm!$B17,base_scenario_arch_measures!$D:$D,base_energy_ecm!$A17)</f>
        <v>6.7247494910099519</v>
      </c>
      <c r="J17">
        <f>SUMIFS(base_scenario_arch_measures!N:N,base_scenario_arch_measures!$E:$E,base_energy_ecm!$B17,base_scenario_arch_measures!$D:$D,base_energy_ecm!$A17)</f>
        <v>0.34781670798042902</v>
      </c>
      <c r="K17">
        <f>SUMIFS(base_scenario_arch_measures!O:O,base_scenario_arch_measures!$E:$E,base_energy_ecm!$B17,base_scenario_arch_measures!$D:$D,base_energy_ecm!$A17)</f>
        <v>15.737531358517323</v>
      </c>
      <c r="L17">
        <f>SUMIFS(base_scenario_arch_measures!P:P,base_scenario_arch_measures!$E:$E,base_energy_ecm!$B17,base_scenario_arch_measures!$D:$D,base_energy_ecm!$A17)</f>
        <v>8.5933282912577198</v>
      </c>
      <c r="M17">
        <f>SUMIFS(base_scenario_arch_measures!Q:Q,base_scenario_arch_measures!$E:$E,base_energy_ecm!$B17,base_scenario_arch_measures!$D:$D,base_energy_ecm!$A17)</f>
        <v>0</v>
      </c>
      <c r="N17">
        <f t="array" ref="N17">INDEX(C$2:C$21,MATCH($A17&amp;"baseline",$A$2:$A$500&amp;$B$2:$B$500,0)) - C17</f>
        <v>-6.3045445574921088E-2</v>
      </c>
      <c r="O17">
        <f t="array" ref="O17">INDEX(D$2:D$21,MATCH($A17&amp;"baseline",$A$2:$A$500&amp;$B$2:$B$500,0)) - D17</f>
        <v>-9.6640778347668856</v>
      </c>
      <c r="P17">
        <f t="array" ref="P17">INDEX(E$2:E$21,MATCH($A17&amp;"baseline",$A$2:$A$500&amp;$B$2:$B$500,0)) - E17</f>
        <v>-9.0613032588691134E-2</v>
      </c>
      <c r="Q17">
        <f t="array" ref="Q17">INDEX(F$2:F$21,MATCH($A17&amp;"baseline",$A$2:$A$500&amp;$B$2:$B$500,0)) - F17</f>
        <v>-8.464749957592943E-5</v>
      </c>
      <c r="R17">
        <f t="array" ref="R17">INDEX(G$2:G$21,MATCH($A17&amp;"baseline",$A$2:$A$500&amp;$B$2:$B$500,0)) - G17</f>
        <v>-1.7911783571022966E-5</v>
      </c>
      <c r="S17">
        <f t="array" ref="S17">INDEX(H$2:H$21,MATCH($A17&amp;"baseline",$A$2:$A$500&amp;$B$2:$B$500,0)) - H17</f>
        <v>12.564402447185699</v>
      </c>
      <c r="T17">
        <f t="array" ref="T17">INDEX(I$2:I$21,MATCH($A17&amp;"baseline",$A$2:$A$500&amp;$B$2:$B$500,0)) - I17</f>
        <v>-1.5987211554602254E-14</v>
      </c>
      <c r="U17">
        <f t="array" ref="U17">INDEX(J$2:J$21,MATCH($A17&amp;"baseline",$A$2:$A$500&amp;$B$2:$B$500,0)) - J17</f>
        <v>0</v>
      </c>
      <c r="V17">
        <f t="array" ref="V17">INDEX(K$2:K$21,MATCH($A17&amp;"baseline",$A$2:$A$500&amp;$B$2:$B$500,0)) - K17</f>
        <v>-0.11717439578614197</v>
      </c>
      <c r="W17">
        <f t="array" ref="W17">INDEX(L$2:L$21,MATCH($A17&amp;"baseline",$A$2:$A$500&amp;$B$2:$B$500,0)) - L17</f>
        <v>-0.13492048149713831</v>
      </c>
      <c r="X17">
        <f t="array" ref="X17">INDEX(M$2:M$21,MATCH($A17&amp;"baseline",$A$2:$A$500&amp;$B$2:$B$500,0)) - M17</f>
        <v>0</v>
      </c>
      <c r="Y17">
        <f t="shared" si="1"/>
        <v>12.158564444239214</v>
      </c>
      <c r="Z17">
        <f t="shared" si="2"/>
        <v>-9.6640957465504567</v>
      </c>
      <c r="AA17">
        <f>Y17*constants!$N$2</f>
        <v>1.3739177821990314</v>
      </c>
      <c r="AB17">
        <f>Z17*constants!$O$2</f>
        <v>-0.15655835109411739</v>
      </c>
      <c r="AC17">
        <f t="shared" si="3"/>
        <v>0.56999656700273338</v>
      </c>
      <c r="AD17">
        <f t="shared" si="4"/>
        <v>1.2173594311049141</v>
      </c>
      <c r="AE17">
        <f>AA17*base_building_arch_areas!$P$5</f>
        <v>278701.96995463793</v>
      </c>
      <c r="AF17">
        <f>AB17*base_building_arch_areas!$P$5</f>
        <v>-31758.1746361439</v>
      </c>
      <c r="AG17" s="191">
        <f>AD17*base_building_arch_areas!$P$5</f>
        <v>246943.79531849403</v>
      </c>
      <c r="AH17" s="191">
        <f>(Y17*constants!$G$2+Z17*constants!$F$2)*base_building_arch_areas!$P$5/1000000</f>
        <v>1794.8503038213612</v>
      </c>
      <c r="AJ17">
        <f>SUMIFS(base_scenario_arch_measures!$AJ:$AJ,base_scenario_arch_measures!$E:$E,base_energy_ecm!$B17,base_scenario_arch_measures!$D:$D,base_energy_ecm!$A17)</f>
        <v>4187706.7432645475</v>
      </c>
      <c r="AK17">
        <f>SUMIFS(base_scenario_arch_measures!AJ:AJ,base_scenario_arch_measures!$E:$E,base_energy_ecm!$B17,base_scenario_arch_measures!$D:$D,base_energy_ecm!$A17)/AG17</f>
        <v>16.958137125346607</v>
      </c>
      <c r="AL17">
        <f t="shared" si="5"/>
        <v>435.13425436737418</v>
      </c>
      <c r="AM17">
        <f>AL17*base_building_arch_areas!$P$3/base_building_arch_areas!$P$2</f>
        <v>436.17965808184249</v>
      </c>
      <c r="AN17">
        <f>AL17*base_building_arch_areas!$P$4/base_building_arch_areas!$P$2</f>
        <v>421.71510632751733</v>
      </c>
      <c r="AO17">
        <f>AL17*base_building_arch_areas!$P$5/base_building_arch_areas!$P$2</f>
        <v>381.40689620022988</v>
      </c>
      <c r="AP17">
        <f>AL17*base_building_arch_areas!$P$6/base_building_arch_areas!$P$2</f>
        <v>370.53356943625448</v>
      </c>
      <c r="AQ17">
        <f>AL17*base_building_arch_areas!$P$7/base_building_arch_areas!$P$2</f>
        <v>370.53356943625448</v>
      </c>
      <c r="AR17">
        <f>Y17*base_building_arch_areas!$P$5</f>
        <v>2466389.1146428133</v>
      </c>
      <c r="AS17">
        <f>(Z17*base_building_arch_areas!$P$5)*0.095</f>
        <v>-186236.20928602907</v>
      </c>
      <c r="AT17">
        <f>(Y17+Z17)*base_building_arch_areas!$P$5</f>
        <v>506007.9642635599</v>
      </c>
    </row>
    <row r="18" spans="1:46">
      <c r="A18">
        <v>2015</v>
      </c>
      <c r="B18" s="184" t="s">
        <v>836</v>
      </c>
      <c r="C18">
        <f>SUMIFS(base_scenario_arch_measures!G:G,base_scenario_arch_measures!$E:$E,base_energy_ecm!$B18,base_scenario_arch_measures!$D:$D,base_energy_ecm!$A18)</f>
        <v>1.1104472385811113</v>
      </c>
      <c r="D18">
        <f>SUMIFS(base_scenario_arch_measures!H:H,base_scenario_arch_measures!$E:$E,base_energy_ecm!$B18,base_scenario_arch_measures!$D:$D,base_energy_ecm!$A18)</f>
        <v>316.65965502381096</v>
      </c>
      <c r="E18">
        <f>SUMIFS(base_scenario_arch_measures!I:I,base_scenario_arch_measures!$E:$E,base_energy_ecm!$B18,base_scenario_arch_measures!$D:$D,base_energy_ecm!$A18)</f>
        <v>3.9724538859504119</v>
      </c>
      <c r="F18">
        <f>SUMIFS(base_scenario_arch_measures!J:J,base_scenario_arch_measures!$E:$E,base_energy_ecm!$B18,base_scenario_arch_measures!$D:$D,base_energy_ecm!$A18)</f>
        <v>3.0947906381258421</v>
      </c>
      <c r="G18">
        <f>SUMIFS(base_scenario_arch_measures!K:K,base_scenario_arch_measures!$E:$E,base_energy_ecm!$B18,base_scenario_arch_measures!$D:$D,base_energy_ecm!$A18)</f>
        <v>12.979542047420656</v>
      </c>
      <c r="H18">
        <f>SUMIFS(base_scenario_arch_measures!L:L,base_scenario_arch_measures!$E:$E,base_energy_ecm!$B18,base_scenario_arch_measures!$D:$D,base_energy_ecm!$A18)</f>
        <v>41.882114773191383</v>
      </c>
      <c r="I18">
        <f>SUMIFS(base_scenario_arch_measures!M:M,base_scenario_arch_measures!$E:$E,base_energy_ecm!$B18,base_scenario_arch_measures!$D:$D,base_energy_ecm!$A18)</f>
        <v>6.7247494910099519</v>
      </c>
      <c r="J18">
        <f>SUMIFS(base_scenario_arch_measures!N:N,base_scenario_arch_measures!$E:$E,base_energy_ecm!$B18,base_scenario_arch_measures!$D:$D,base_energy_ecm!$A18)</f>
        <v>0.34781670798042902</v>
      </c>
      <c r="K18">
        <f>SUMIFS(base_scenario_arch_measures!O:O,base_scenario_arch_measures!$E:$E,base_energy_ecm!$B18,base_scenario_arch_measures!$D:$D,base_energy_ecm!$A18)</f>
        <v>15.544169695615128</v>
      </c>
      <c r="L18">
        <f>SUMIFS(base_scenario_arch_measures!P:P,base_scenario_arch_measures!$E:$E,base_energy_ecm!$B18,base_scenario_arch_measures!$D:$D,base_energy_ecm!$A18)</f>
        <v>8.3073171393373357</v>
      </c>
      <c r="M18">
        <f>SUMIFS(base_scenario_arch_measures!Q:Q,base_scenario_arch_measures!$E:$E,base_energy_ecm!$B18,base_scenario_arch_measures!$D:$D,base_energy_ecm!$A18)</f>
        <v>0</v>
      </c>
      <c r="N18">
        <f t="array" ref="N18">INDEX(C$2:C$21,MATCH($A18&amp;"baseline",$A$2:$A$500&amp;$B$2:$B$500,0)) - C18</f>
        <v>-0.26122881581665147</v>
      </c>
      <c r="O18">
        <f t="array" ref="O18">INDEX(D$2:D$21,MATCH($A18&amp;"baseline",$A$2:$A$500&amp;$B$2:$B$500,0)) - D18</f>
        <v>27.886665777003032</v>
      </c>
      <c r="P18">
        <f t="array" ref="P18">INDEX(E$2:E$21,MATCH($A18&amp;"baseline",$A$2:$A$500&amp;$B$2:$B$500,0)) - E18</f>
        <v>-0.84750799277583022</v>
      </c>
      <c r="Q18">
        <f t="array" ref="Q18">INDEX(F$2:F$21,MATCH($A18&amp;"baseline",$A$2:$A$500&amp;$B$2:$B$500,0)) - F18</f>
        <v>-2.1180535669973466E-4</v>
      </c>
      <c r="R18">
        <f t="array" ref="R18">INDEX(G$2:G$21,MATCH($A18&amp;"baseline",$A$2:$A$500&amp;$B$2:$B$500,0)) - G18</f>
        <v>6.7132387407298211E-4</v>
      </c>
      <c r="S18">
        <f t="array" ref="S18">INDEX(H$2:H$21,MATCH($A18&amp;"baseline",$A$2:$A$500&amp;$B$2:$B$500,0)) - H18</f>
        <v>-4.2748382611534907E-10</v>
      </c>
      <c r="T18">
        <f t="array" ref="T18">INDEX(I$2:I$21,MATCH($A18&amp;"baseline",$A$2:$A$500&amp;$B$2:$B$500,0)) - I18</f>
        <v>-1.5987211554602254E-14</v>
      </c>
      <c r="U18">
        <f t="array" ref="U18">INDEX(J$2:J$21,MATCH($A18&amp;"baseline",$A$2:$A$500&amp;$B$2:$B$500,0)) - J18</f>
        <v>0</v>
      </c>
      <c r="V18">
        <f t="array" ref="V18">INDEX(K$2:K$21,MATCH($A18&amp;"baseline",$A$2:$A$500&amp;$B$2:$B$500,0)) - K18</f>
        <v>7.6187267116052837E-2</v>
      </c>
      <c r="W18">
        <f t="array" ref="W18">INDEX(L$2:L$21,MATCH($A18&amp;"baseline",$A$2:$A$500&amp;$B$2:$B$500,0)) - L18</f>
        <v>0.15109067042324575</v>
      </c>
      <c r="X18">
        <f t="array" ref="X18">INDEX(M$2:M$21,MATCH($A18&amp;"baseline",$A$2:$A$500&amp;$B$2:$B$500,0)) - M18</f>
        <v>0</v>
      </c>
      <c r="Y18">
        <f t="shared" si="1"/>
        <v>-0.88167067683738276</v>
      </c>
      <c r="Z18">
        <f t="shared" si="2"/>
        <v>27.887337100877104</v>
      </c>
      <c r="AA18">
        <f>Y18*constants!$N$2</f>
        <v>-9.9628786482624257E-2</v>
      </c>
      <c r="AB18">
        <f>Z18*constants!$O$2</f>
        <v>0.45177486103420905</v>
      </c>
      <c r="AC18">
        <f t="shared" si="3"/>
        <v>6.1709081238766741</v>
      </c>
      <c r="AD18">
        <f t="shared" si="4"/>
        <v>0.35214607455158481</v>
      </c>
      <c r="AE18">
        <f>AA18*base_building_arch_areas!$P$5</f>
        <v>-20209.898595573297</v>
      </c>
      <c r="AF18">
        <f>AB18*base_building_arch_areas!$P$5</f>
        <v>91643.434110511371</v>
      </c>
      <c r="AG18" s="191">
        <f>AD18*base_building_arch_areas!$P$5</f>
        <v>71433.535514938078</v>
      </c>
      <c r="AH18" s="191">
        <f>(Y18*constants!$G$2+Z18*constants!$F$2)*base_building_arch_areas!$P$5/1000000</f>
        <v>857.00504258019453</v>
      </c>
      <c r="AJ18">
        <f>SUMIFS(base_scenario_arch_measures!$AJ:$AJ,base_scenario_arch_measures!$E:$E,base_energy_ecm!$B18,base_scenario_arch_measures!$D:$D,base_energy_ecm!$A18)</f>
        <v>929500.25251080119</v>
      </c>
      <c r="AK18">
        <f>SUMIFS(base_scenario_arch_measures!AJ:AJ,base_scenario_arch_measures!$E:$E,base_energy_ecm!$B18,base_scenario_arch_measures!$D:$D,base_energy_ecm!$A18)/AG18</f>
        <v>13.01209923056973</v>
      </c>
      <c r="AL18">
        <f t="shared" si="5"/>
        <v>410.62305664102325</v>
      </c>
      <c r="AM18">
        <f>AL18*base_building_arch_areas!$P$3/base_building_arch_areas!$P$2</f>
        <v>411.60957255961705</v>
      </c>
      <c r="AN18">
        <f>AL18*base_building_arch_areas!$P$4/base_building_arch_areas!$P$2</f>
        <v>397.95981183705925</v>
      </c>
      <c r="AO18">
        <f>AL18*base_building_arch_areas!$P$5/base_building_arch_areas!$P$2</f>
        <v>359.9221710766023</v>
      </c>
      <c r="AP18">
        <f>AL18*base_building_arch_areas!$P$6/base_building_arch_areas!$P$2</f>
        <v>349.66134093770307</v>
      </c>
      <c r="AQ18">
        <f>AL18*base_building_arch_areas!$P$7/base_building_arch_areas!$P$2</f>
        <v>349.66134093770307</v>
      </c>
      <c r="AR18">
        <f>Y18*base_building_arch_areas!$P$5</f>
        <v>-178848.66013781677</v>
      </c>
      <c r="AS18">
        <f>(Z18*base_building_arch_areas!$P$5)*0.095</f>
        <v>537415.20003077656</v>
      </c>
      <c r="AT18">
        <f>(Y18+Z18)*base_building_arch_areas!$P$5</f>
        <v>5478153.4454493057</v>
      </c>
    </row>
    <row r="19" spans="1:46">
      <c r="A19">
        <v>2015</v>
      </c>
      <c r="B19" s="184" t="s">
        <v>859</v>
      </c>
      <c r="C19">
        <f>SUMIFS(base_scenario_arch_measures!G:G,base_scenario_arch_measures!$E:$E,base_energy_ecm!$B19,base_scenario_arch_measures!$D:$D,base_energy_ecm!$A19)</f>
        <v>0.84969368748411556</v>
      </c>
      <c r="D19">
        <f>SUMIFS(base_scenario_arch_measures!H:H,base_scenario_arch_measures!$E:$E,base_energy_ecm!$B19,base_scenario_arch_measures!$D:$D,base_energy_ecm!$A19)</f>
        <v>342.85848269978425</v>
      </c>
      <c r="E19">
        <f>SUMIFS(base_scenario_arch_measures!I:I,base_scenario_arch_measures!$E:$E,base_energy_ecm!$B19,base_scenario_arch_measures!$D:$D,base_energy_ecm!$A19)</f>
        <v>3.7380433816832226</v>
      </c>
      <c r="F19">
        <f>SUMIFS(base_scenario_arch_measures!J:J,base_scenario_arch_measures!$E:$E,base_energy_ecm!$B19,base_scenario_arch_measures!$D:$D,base_energy_ecm!$A19)</f>
        <v>3.0945403875674877</v>
      </c>
      <c r="G19">
        <f>SUMIFS(base_scenario_arch_measures!K:K,base_scenario_arch_measures!$E:$E,base_energy_ecm!$B19,base_scenario_arch_measures!$D:$D,base_energy_ecm!$A19)</f>
        <v>12.980171021163287</v>
      </c>
      <c r="H19">
        <f>SUMIFS(base_scenario_arch_measures!L:L,base_scenario_arch_measures!$E:$E,base_energy_ecm!$B19,base_scenario_arch_measures!$D:$D,base_energy_ecm!$A19)</f>
        <v>41.882114773191383</v>
      </c>
      <c r="I19">
        <f>SUMIFS(base_scenario_arch_measures!M:M,base_scenario_arch_measures!$E:$E,base_energy_ecm!$B19,base_scenario_arch_measures!$D:$D,base_energy_ecm!$A19)</f>
        <v>6.7247494910099519</v>
      </c>
      <c r="J19">
        <f>SUMIFS(base_scenario_arch_measures!N:N,base_scenario_arch_measures!$E:$E,base_energy_ecm!$B19,base_scenario_arch_measures!$D:$D,base_energy_ecm!$A19)</f>
        <v>0.34781670798042902</v>
      </c>
      <c r="K19">
        <f>SUMIFS(base_scenario_arch_measures!O:O,base_scenario_arch_measures!$E:$E,base_energy_ecm!$B19,base_scenario_arch_measures!$D:$D,base_energy_ecm!$A19)</f>
        <v>15.749017449054572</v>
      </c>
      <c r="L19">
        <f>SUMIFS(base_scenario_arch_measures!P:P,base_scenario_arch_measures!$E:$E,base_energy_ecm!$B19,base_scenario_arch_measures!$D:$D,base_energy_ecm!$A19)</f>
        <v>8.5388236503352211</v>
      </c>
      <c r="M19">
        <f>SUMIFS(base_scenario_arch_measures!Q:Q,base_scenario_arch_measures!$E:$E,base_energy_ecm!$B19,base_scenario_arch_measures!$D:$D,base_energy_ecm!$A19)</f>
        <v>0</v>
      </c>
      <c r="N19">
        <f t="array" ref="N19">INDEX(C$2:C$21,MATCH($A19&amp;"baseline",$A$2:$A$500&amp;$B$2:$B$500,0)) - C19</f>
        <v>-4.7526471965575467E-4</v>
      </c>
      <c r="O19">
        <f t="array" ref="O19">INDEX(D$2:D$21,MATCH($A19&amp;"baseline",$A$2:$A$500&amp;$B$2:$B$500,0)) - D19</f>
        <v>1.6878381010297403</v>
      </c>
      <c r="P19">
        <f t="array" ref="P19">INDEX(E$2:E$21,MATCH($A19&amp;"baseline",$A$2:$A$500&amp;$B$2:$B$500,0)) - E19</f>
        <v>-0.61309748850864088</v>
      </c>
      <c r="Q19">
        <f t="array" ref="Q19">INDEX(F$2:F$21,MATCH($A19&amp;"baseline",$A$2:$A$500&amp;$B$2:$B$500,0)) - F19</f>
        <v>3.8445201654635497E-5</v>
      </c>
      <c r="R19">
        <f t="array" ref="R19">INDEX(G$2:G$21,MATCH($A19&amp;"baseline",$A$2:$A$500&amp;$B$2:$B$500,0)) - G19</f>
        <v>4.2350131442603356E-5</v>
      </c>
      <c r="S19">
        <f t="array" ref="S19">INDEX(H$2:H$21,MATCH($A19&amp;"baseline",$A$2:$A$500&amp;$B$2:$B$500,0)) - H19</f>
        <v>-4.2748382611534907E-10</v>
      </c>
      <c r="T19">
        <f t="array" ref="T19">INDEX(I$2:I$21,MATCH($A19&amp;"baseline",$A$2:$A$500&amp;$B$2:$B$500,0)) - I19</f>
        <v>-1.5987211554602254E-14</v>
      </c>
      <c r="U19">
        <f t="array" ref="U19">INDEX(J$2:J$21,MATCH($A19&amp;"baseline",$A$2:$A$500&amp;$B$2:$B$500,0)) - J19</f>
        <v>0</v>
      </c>
      <c r="V19">
        <f t="array" ref="V19">INDEX(K$2:K$21,MATCH($A19&amp;"baseline",$A$2:$A$500&amp;$B$2:$B$500,0)) - K19</f>
        <v>-0.12866048632339044</v>
      </c>
      <c r="W19">
        <f t="array" ref="W19">INDEX(L$2:L$21,MATCH($A19&amp;"baseline",$A$2:$A$500&amp;$B$2:$B$500,0)) - L19</f>
        <v>-8.0415840574639574E-2</v>
      </c>
      <c r="X19">
        <f t="array" ref="X19">INDEX(M$2:M$21,MATCH($A19&amp;"baseline",$A$2:$A$500&amp;$B$2:$B$500,0)) - M19</f>
        <v>0</v>
      </c>
      <c r="Y19">
        <f t="shared" si="1"/>
        <v>-0.82261063535217183</v>
      </c>
      <c r="Z19">
        <f t="shared" si="2"/>
        <v>1.6878804511611829</v>
      </c>
      <c r="AA19">
        <f>Y19*constants!$N$2</f>
        <v>-9.2955001794795419E-2</v>
      </c>
      <c r="AB19">
        <f>Z19*constants!$O$2</f>
        <v>2.7343663308811161E-2</v>
      </c>
      <c r="AC19">
        <f t="shared" si="3"/>
        <v>0.19771778455235675</v>
      </c>
      <c r="AD19">
        <f t="shared" si="4"/>
        <v>-6.5611338485984258E-2</v>
      </c>
      <c r="AE19">
        <f>AA19*base_building_arch_areas!$P$5</f>
        <v>-18856.108024077839</v>
      </c>
      <c r="AF19">
        <f>AB19*base_building_arch_areas!$P$5</f>
        <v>5546.7167895189614</v>
      </c>
      <c r="AG19" s="191">
        <f>AD19*base_building_arch_areas!$P$5</f>
        <v>-13309.391234558878</v>
      </c>
      <c r="AH19" s="191">
        <f>(Y19*constants!$G$2+Z19*constants!$F$2)*base_building_arch_areas!$P$5/1000000</f>
        <v>-83.88754833920737</v>
      </c>
      <c r="AJ19">
        <f>SUMIFS(base_scenario_arch_measures!$AJ:$AJ,base_scenario_arch_measures!$E:$E,base_energy_ecm!$B19,base_scenario_arch_measures!$D:$D,base_energy_ecm!$A19)</f>
        <v>537436.15942964843</v>
      </c>
      <c r="AK19">
        <f>SUMIFS(base_scenario_arch_measures!AJ:AJ,base_scenario_arch_measures!$E:$E,base_energy_ecm!$B19,base_scenario_arch_measures!$D:$D,base_energy_ecm!$A19)/AG19</f>
        <v>-40.380221000202724</v>
      </c>
      <c r="AL19">
        <f t="shared" si="5"/>
        <v>436.76345324925393</v>
      </c>
      <c r="AM19">
        <f>AL19*base_building_arch_areas!$P$3/base_building_arch_areas!$P$2</f>
        <v>437.81277109032948</v>
      </c>
      <c r="AN19">
        <f>AL19*base_building_arch_areas!$P$4/base_building_arch_areas!$P$2</f>
        <v>423.29406218494461</v>
      </c>
      <c r="AO19">
        <f>AL19*base_building_arch_areas!$P$5/base_building_arch_areas!$P$2</f>
        <v>382.83493290980596</v>
      </c>
      <c r="AP19">
        <f>AL19*base_building_arch_areas!$P$6/base_building_arch_areas!$P$2</f>
        <v>371.92089500523804</v>
      </c>
      <c r="AQ19">
        <f>AL19*base_building_arch_areas!$P$7/base_building_arch_areas!$P$2</f>
        <v>371.92089500523804</v>
      </c>
      <c r="AR19">
        <f>Y19*base_building_arch_areas!$P$5</f>
        <v>-166868.21260245875</v>
      </c>
      <c r="AS19">
        <f>(Z19*base_building_arch_areas!$P$5)*0.095</f>
        <v>32527.042901500085</v>
      </c>
      <c r="AT19">
        <f>(Y19+Z19)*base_building_arch_areas!$P$5</f>
        <v>175521.71267648952</v>
      </c>
    </row>
    <row r="20" spans="1:46">
      <c r="A20">
        <v>2015</v>
      </c>
      <c r="B20" s="184" t="s">
        <v>865</v>
      </c>
      <c r="C20">
        <f>SUMIFS(base_scenario_arch_measures!G:G,base_scenario_arch_measures!$E:$E,base_energy_ecm!$B20,base_scenario_arch_measures!$D:$D,base_energy_ecm!$A20)</f>
        <v>0.85001421826860446</v>
      </c>
      <c r="D20">
        <f>SUMIFS(base_scenario_arch_measures!H:H,base_scenario_arch_measures!$E:$E,base_energy_ecm!$B20,base_scenario_arch_measures!$D:$D,base_energy_ecm!$A20)</f>
        <v>331.07030445957025</v>
      </c>
      <c r="E20">
        <f>SUMIFS(base_scenario_arch_measures!I:I,base_scenario_arch_measures!$E:$E,base_energy_ecm!$B20,base_scenario_arch_measures!$D:$D,base_energy_ecm!$A20)</f>
        <v>3.7660728124942935</v>
      </c>
      <c r="F20">
        <f>SUMIFS(base_scenario_arch_measures!J:J,base_scenario_arch_measures!$E:$E,base_energy_ecm!$B20,base_scenario_arch_measures!$D:$D,base_energy_ecm!$A20)</f>
        <v>3.0945666754343701</v>
      </c>
      <c r="G20">
        <f>SUMIFS(base_scenario_arch_measures!K:K,base_scenario_arch_measures!$E:$E,base_energy_ecm!$B20,base_scenario_arch_measures!$D:$D,base_energy_ecm!$A20)</f>
        <v>12.980171021163287</v>
      </c>
      <c r="H20">
        <f>SUMIFS(base_scenario_arch_measures!L:L,base_scenario_arch_measures!$E:$E,base_energy_ecm!$B20,base_scenario_arch_measures!$D:$D,base_energy_ecm!$A20)</f>
        <v>40.106305884043586</v>
      </c>
      <c r="I20">
        <f>SUMIFS(base_scenario_arch_measures!M:M,base_scenario_arch_measures!$E:$E,base_energy_ecm!$B20,base_scenario_arch_measures!$D:$D,base_energy_ecm!$A20)</f>
        <v>6.5602404051349685</v>
      </c>
      <c r="J20">
        <f>SUMIFS(base_scenario_arch_measures!N:N,base_scenario_arch_measures!$E:$E,base_energy_ecm!$B20,base_scenario_arch_measures!$D:$D,base_energy_ecm!$A20)</f>
        <v>0.34781670798042902</v>
      </c>
      <c r="K20">
        <f>SUMIFS(base_scenario_arch_measures!O:O,base_scenario_arch_measures!$E:$E,base_energy_ecm!$B20,base_scenario_arch_measures!$D:$D,base_energy_ecm!$A20)</f>
        <v>15.268464615294517</v>
      </c>
      <c r="L20">
        <f>SUMIFS(base_scenario_arch_measures!P:P,base_scenario_arch_measures!$E:$E,base_energy_ecm!$B20,base_scenario_arch_measures!$D:$D,base_energy_ecm!$A20)</f>
        <v>6.6769888459150755</v>
      </c>
      <c r="M20">
        <f>SUMIFS(base_scenario_arch_measures!Q:Q,base_scenario_arch_measures!$E:$E,base_energy_ecm!$B20,base_scenario_arch_measures!$D:$D,base_energy_ecm!$A20)</f>
        <v>0</v>
      </c>
      <c r="N20">
        <f t="array" ref="N20">INDEX(C$2:C$21,MATCH($A20&amp;"baseline",$A$2:$A$500&amp;$B$2:$B$500,0)) - C20</f>
        <v>-7.9579550414465849E-4</v>
      </c>
      <c r="O20">
        <f t="array" ref="O20">INDEX(D$2:D$21,MATCH($A20&amp;"baseline",$A$2:$A$500&amp;$B$2:$B$500,0)) - D20</f>
        <v>13.476016341243735</v>
      </c>
      <c r="P20">
        <f t="array" ref="P20">INDEX(E$2:E$21,MATCH($A20&amp;"baseline",$A$2:$A$500&amp;$B$2:$B$500,0)) - E20</f>
        <v>-0.64112691931971177</v>
      </c>
      <c r="Q20">
        <f t="array" ref="Q20">INDEX(F$2:F$21,MATCH($A20&amp;"baseline",$A$2:$A$500&amp;$B$2:$B$500,0)) - F20</f>
        <v>1.2157334772222583E-5</v>
      </c>
      <c r="R20">
        <f t="array" ref="R20">INDEX(G$2:G$21,MATCH($A20&amp;"baseline",$A$2:$A$500&amp;$B$2:$B$500,0)) - G20</f>
        <v>4.2350131442603356E-5</v>
      </c>
      <c r="S20">
        <f t="array" ref="S20">INDEX(H$2:H$21,MATCH($A20&amp;"baseline",$A$2:$A$500&amp;$B$2:$B$500,0)) - H20</f>
        <v>1.775808888720313</v>
      </c>
      <c r="T20">
        <f t="array" ref="T20">INDEX(I$2:I$21,MATCH($A20&amp;"baseline",$A$2:$A$500&amp;$B$2:$B$500,0)) - I20</f>
        <v>0.16450908587496738</v>
      </c>
      <c r="U20">
        <f t="array" ref="U20">INDEX(J$2:J$21,MATCH($A20&amp;"baseline",$A$2:$A$500&amp;$B$2:$B$500,0)) - J20</f>
        <v>0</v>
      </c>
      <c r="V20">
        <f t="array" ref="V20">INDEX(K$2:K$21,MATCH($A20&amp;"baseline",$A$2:$A$500&amp;$B$2:$B$500,0)) - K20</f>
        <v>0.35189234743666375</v>
      </c>
      <c r="W20">
        <f t="array" ref="W20">INDEX(L$2:L$21,MATCH($A20&amp;"baseline",$A$2:$A$500&amp;$B$2:$B$500,0)) - L20</f>
        <v>1.781418963845506</v>
      </c>
      <c r="X20">
        <f t="array" ref="X20">INDEX(M$2:M$21,MATCH($A20&amp;"baseline",$A$2:$A$500&amp;$B$2:$B$500,0)) - M20</f>
        <v>0</v>
      </c>
      <c r="Y20">
        <f t="shared" si="1"/>
        <v>3.4317187283883657</v>
      </c>
      <c r="Z20">
        <f t="shared" si="2"/>
        <v>13.476058691375178</v>
      </c>
      <c r="AA20">
        <f>Y20*constants!$N$2</f>
        <v>0.38778421630788534</v>
      </c>
      <c r="AB20">
        <f>Z20*constants!$O$2</f>
        <v>0.21831215080027785</v>
      </c>
      <c r="AC20">
        <f t="shared" si="3"/>
        <v>3.8634981043622769</v>
      </c>
      <c r="AD20">
        <f t="shared" si="4"/>
        <v>0.60609636710816317</v>
      </c>
      <c r="AE20">
        <f>AA20*base_building_arch_areas!$P$5</f>
        <v>78662.803846487164</v>
      </c>
      <c r="AF20">
        <f>AB20*base_building_arch_areas!$P$5</f>
        <v>44285.056414137965</v>
      </c>
      <c r="AG20" s="191">
        <f>AD20*base_building_arch_areas!$P$5</f>
        <v>122947.86026062512</v>
      </c>
      <c r="AH20" s="191">
        <f>(Y20*constants!$G$2+Z20*constants!$F$2)*base_building_arch_areas!$P$5/1000000</f>
        <v>1094.9565134388499</v>
      </c>
      <c r="AJ20">
        <f>SUMIFS(base_scenario_arch_measures!$AJ:$AJ,base_scenario_arch_measures!$E:$E,base_energy_ecm!$B20,base_scenario_arch_measures!$D:$D,base_energy_ecm!$A20)</f>
        <v>411358.53820427222</v>
      </c>
      <c r="AK20">
        <f>SUMIFS(base_scenario_arch_measures!AJ:AJ,base_scenario_arch_measures!$E:$E,base_energy_ecm!$B20,base_scenario_arch_measures!$D:$D,base_energy_ecm!$A20)/AG20</f>
        <v>3.3457966436526307</v>
      </c>
      <c r="AL20">
        <f t="shared" si="5"/>
        <v>420.72094564529937</v>
      </c>
      <c r="AM20">
        <f>AL20*base_building_arch_areas!$P$3/base_building_arch_areas!$P$2</f>
        <v>421.73172159529128</v>
      </c>
      <c r="AN20">
        <f>AL20*base_building_arch_areas!$P$4/base_building_arch_areas!$P$2</f>
        <v>407.7462910498092</v>
      </c>
      <c r="AO20">
        <f>AL20*base_building_arch_areas!$P$5/base_building_arch_areas!$P$2</f>
        <v>368.77324281972398</v>
      </c>
      <c r="AP20">
        <f>AL20*base_building_arch_areas!$P$6/base_building_arch_areas!$P$2</f>
        <v>358.26008217439409</v>
      </c>
      <c r="AQ20">
        <f>AL20*base_building_arch_areas!$P$7/base_building_arch_areas!$P$2</f>
        <v>358.26008217439409</v>
      </c>
      <c r="AR20">
        <f>Y20*base_building_arch_areas!$P$5</f>
        <v>696131.00749103678</v>
      </c>
      <c r="AS20">
        <f>(Z20*base_building_arch_areas!$P$5)*0.095</f>
        <v>259696.31847796959</v>
      </c>
      <c r="AT20">
        <f>(Y20+Z20)*base_building_arch_areas!$P$5</f>
        <v>3429776.4651538744</v>
      </c>
    </row>
    <row r="21" spans="1:46">
      <c r="A21">
        <v>2015</v>
      </c>
      <c r="B21" s="184" t="s">
        <v>834</v>
      </c>
      <c r="C21">
        <f>SUMIFS(base_scenario_arch_measures!G:G,base_scenario_arch_measures!$E:$E,base_energy_ecm!$B21,base_scenario_arch_measures!$D:$D,base_energy_ecm!$A21)</f>
        <v>0.83324149889468391</v>
      </c>
      <c r="D21">
        <f>SUMIFS(base_scenario_arch_measures!H:H,base_scenario_arch_measures!$E:$E,base_energy_ecm!$B21,base_scenario_arch_measures!$D:$D,base_energy_ecm!$A21)</f>
        <v>249.0250958326917</v>
      </c>
      <c r="E21">
        <f>SUMIFS(base_scenario_arch_measures!I:I,base_scenario_arch_measures!$E:$E,base_energy_ecm!$B21,base_scenario_arch_measures!$D:$D,base_energy_ecm!$A21)</f>
        <v>3.3956991287199978</v>
      </c>
      <c r="F21">
        <f>SUMIFS(base_scenario_arch_measures!J:J,base_scenario_arch_measures!$E:$E,base_energy_ecm!$B21,base_scenario_arch_measures!$D:$D,base_energy_ecm!$A21)</f>
        <v>0.45088873635429455</v>
      </c>
      <c r="G21">
        <f>SUMIFS(base_scenario_arch_measures!K:K,base_scenario_arch_measures!$E:$E,base_energy_ecm!$B21,base_scenario_arch_measures!$D:$D,base_energy_ecm!$A21)</f>
        <v>10.90868167732002</v>
      </c>
      <c r="H21">
        <f>SUMIFS(base_scenario_arch_measures!L:L,base_scenario_arch_measures!$E:$E,base_energy_ecm!$B21,base_scenario_arch_measures!$D:$D,base_energy_ecm!$A21)</f>
        <v>30.713252764771415</v>
      </c>
      <c r="I21">
        <f>SUMIFS(base_scenario_arch_measures!M:M,base_scenario_arch_measures!$E:$E,base_energy_ecm!$B21,base_scenario_arch_measures!$D:$D,base_energy_ecm!$A21)</f>
        <v>4.9354784562347476</v>
      </c>
      <c r="J21">
        <f>SUMIFS(base_scenario_arch_measures!N:N,base_scenario_arch_measures!$E:$E,base_energy_ecm!$B21,base_scenario_arch_measures!$D:$D,base_energy_ecm!$A21)</f>
        <v>0.34781670798042902</v>
      </c>
      <c r="K21">
        <f>SUMIFS(base_scenario_arch_measures!O:O,base_scenario_arch_measures!$E:$E,base_energy_ecm!$B21,base_scenario_arch_measures!$D:$D,base_energy_ecm!$A21)</f>
        <v>10.507966442042441</v>
      </c>
      <c r="L21">
        <f>SUMIFS(base_scenario_arch_measures!P:P,base_scenario_arch_measures!$E:$E,base_energy_ecm!$B21,base_scenario_arch_measures!$D:$D,base_energy_ecm!$A21)</f>
        <v>3.3029173512911516</v>
      </c>
      <c r="M21">
        <f>SUMIFS(base_scenario_arch_measures!Q:Q,base_scenario_arch_measures!$E:$E,base_energy_ecm!$B21,base_scenario_arch_measures!$D:$D,base_energy_ecm!$A21)</f>
        <v>0</v>
      </c>
      <c r="N21">
        <f t="array" ref="N21">INDEX(C$2:C$21,MATCH($A21&amp;"baseline",$A$2:$A$500&amp;$B$2:$B$500,0)) - C21</f>
        <v>1.5976923869775894E-2</v>
      </c>
      <c r="O21">
        <f t="array" ref="O21">INDEX(D$2:D$21,MATCH($A21&amp;"baseline",$A$2:$A$500&amp;$B$2:$B$500,0)) - D21</f>
        <v>95.521224968122283</v>
      </c>
      <c r="P21">
        <f t="array" ref="P21">INDEX(E$2:E$21,MATCH($A21&amp;"baseline",$A$2:$A$500&amp;$B$2:$B$500,0)) - E21</f>
        <v>-0.27075323554541608</v>
      </c>
      <c r="Q21">
        <f t="array" ref="Q21">INDEX(F$2:F$21,MATCH($A21&amp;"baseline",$A$2:$A$500&amp;$B$2:$B$500,0)) - F21</f>
        <v>2.643690096414848</v>
      </c>
      <c r="R21">
        <f t="array" ref="R21">INDEX(G$2:G$21,MATCH($A21&amp;"baseline",$A$2:$A$500&amp;$B$2:$B$500,0)) - G21</f>
        <v>2.071531693974709</v>
      </c>
      <c r="S21">
        <f t="array" ref="S21">INDEX(H$2:H$21,MATCH($A21&amp;"baseline",$A$2:$A$500&amp;$B$2:$B$500,0)) - H21</f>
        <v>11.168862007992484</v>
      </c>
      <c r="T21">
        <f t="array" ref="T21">INDEX(I$2:I$21,MATCH($A21&amp;"baseline",$A$2:$A$500&amp;$B$2:$B$500,0)) - I21</f>
        <v>1.7892710347751883</v>
      </c>
      <c r="U21">
        <f t="array" ref="U21">INDEX(J$2:J$21,MATCH($A21&amp;"baseline",$A$2:$A$500&amp;$B$2:$B$500,0)) - J21</f>
        <v>0</v>
      </c>
      <c r="V21">
        <f t="array" ref="V21">INDEX(K$2:K$21,MATCH($A21&amp;"baseline",$A$2:$A$500&amp;$B$2:$B$500,0)) - K21</f>
        <v>5.1123905206887397</v>
      </c>
      <c r="W21">
        <f t="array" ref="W21">INDEX(L$2:L$21,MATCH($A21&amp;"baseline",$A$2:$A$500&amp;$B$2:$B$500,0)) - L21</f>
        <v>5.1554904584694299</v>
      </c>
      <c r="X21">
        <f t="array" ref="X21">INDEX(M$2:M$21,MATCH($A21&amp;"baseline",$A$2:$A$500&amp;$B$2:$B$500,0)) - M21</f>
        <v>0</v>
      </c>
      <c r="Y21">
        <f t="shared" si="1"/>
        <v>25.614927806665051</v>
      </c>
      <c r="Z21">
        <f t="shared" si="2"/>
        <v>97.592756662096988</v>
      </c>
      <c r="AA21">
        <f>Y21*constants!$N$2</f>
        <v>2.8944868421531509</v>
      </c>
      <c r="AB21">
        <f>Z21*constants!$O$2</f>
        <v>1.5810026579259711</v>
      </c>
      <c r="AC21">
        <f t="shared" si="3"/>
        <v>28.153473018370544</v>
      </c>
      <c r="AD21">
        <f t="shared" si="4"/>
        <v>4.4754895000791217</v>
      </c>
      <c r="AE21">
        <f>AA21*base_building_arch_areas!$P$5</f>
        <v>587152.44490445091</v>
      </c>
      <c r="AF21">
        <f>AB21*base_building_arch_areas!$P$5</f>
        <v>320709.55116559908</v>
      </c>
      <c r="AG21" s="191">
        <f>AD21*base_building_arch_areas!$P$5</f>
        <v>907861.99607005005</v>
      </c>
      <c r="AH21" s="191">
        <f>(Y21*constants!$G$2+Z21*constants!$F$2)*base_building_arch_areas!$P$5/1000000</f>
        <v>8064.1967933518536</v>
      </c>
      <c r="AJ21">
        <f>SUMIFS(base_scenario_arch_measures!$AJ:$AJ,base_scenario_arch_measures!$E:$E,base_energy_ecm!$B21,base_scenario_arch_measures!$D:$D,base_energy_ecm!$A21)</f>
        <v>106381.59602819978</v>
      </c>
      <c r="AK21">
        <f>SUMIFS(base_scenario_arch_measures!AJ:AJ,base_scenario_arch_measures!$E:$E,base_energy_ecm!$B21,base_scenario_arch_measures!$D:$D,base_energy_ecm!$A21)/AG21</f>
        <v>0.11717815757097894</v>
      </c>
      <c r="AL21">
        <f t="shared" si="5"/>
        <v>314.42103859630095</v>
      </c>
      <c r="AM21">
        <f>AL21*base_building_arch_areas!$P$3/base_building_arch_areas!$P$2</f>
        <v>315.17643056638025</v>
      </c>
      <c r="AN21">
        <f>AL21*base_building_arch_areas!$P$4/base_building_arch_areas!$P$2</f>
        <v>304.72457728253113</v>
      </c>
      <c r="AO21">
        <f>AL21*base_building_arch_areas!$P$5/base_building_arch_areas!$P$2</f>
        <v>275.59851063763881</v>
      </c>
      <c r="AP21">
        <f>AL21*base_building_arch_areas!$P$6/base_building_arch_areas!$P$2</f>
        <v>267.74161897762332</v>
      </c>
      <c r="AQ21">
        <f>AL21*base_building_arch_areas!$P$7/base_building_arch_areas!$P$2</f>
        <v>267.74161897762332</v>
      </c>
      <c r="AR21">
        <f>Y21*base_building_arch_areas!$P$5</f>
        <v>5196039.3354376191</v>
      </c>
      <c r="AS21">
        <f>(Z21*base_building_arch_areas!$P$5)*0.095</f>
        <v>1880704.1580698711</v>
      </c>
      <c r="AT21">
        <f>(Y21+Z21)*base_building_arch_areas!$P$5</f>
        <v>24992925.209857319</v>
      </c>
    </row>
    <row r="22" spans="1:46">
      <c r="A22">
        <v>2015</v>
      </c>
      <c r="B22" s="184" t="s">
        <v>1019</v>
      </c>
      <c r="C22">
        <f>SUMIFS(base_scenario_arch_measures!G:G,base_scenario_arch_measures!$E:$E,base_energy_ecm!$B22,base_scenario_arch_measures!$D:$D,base_energy_ecm!$A22)</f>
        <v>0.68037598824932122</v>
      </c>
      <c r="D22">
        <f>SUMIFS(base_scenario_arch_measures!H:H,base_scenario_arch_measures!$E:$E,base_energy_ecm!$B22,base_scenario_arch_measures!$D:$D,base_energy_ecm!$A22)</f>
        <v>158.76443461881007</v>
      </c>
      <c r="E22">
        <f>SUMIFS(base_scenario_arch_measures!I:I,base_scenario_arch_measures!$E:$E,base_energy_ecm!$B22,base_scenario_arch_measures!$D:$D,base_energy_ecm!$A22)</f>
        <v>3.5640060796947814</v>
      </c>
      <c r="F22">
        <f>SUMIFS(base_scenario_arch_measures!J:J,base_scenario_arch_measures!$E:$E,base_energy_ecm!$B22,base_scenario_arch_measures!$D:$D,base_energy_ecm!$A22)</f>
        <v>3.0935819452841189</v>
      </c>
      <c r="G22">
        <f>SUMIFS(base_scenario_arch_measures!K:K,base_scenario_arch_measures!$E:$E,base_energy_ecm!$B22,base_scenario_arch_measures!$D:$D,base_energy_ecm!$A22)</f>
        <v>12.979309582707064</v>
      </c>
      <c r="H22">
        <f>SUMIFS(base_scenario_arch_measures!L:L,base_scenario_arch_measures!$E:$E,base_energy_ecm!$B22,base_scenario_arch_measures!$D:$D,base_energy_ecm!$A22)</f>
        <v>41.882114772763899</v>
      </c>
      <c r="I22">
        <f>SUMIFS(base_scenario_arch_measures!M:M,base_scenario_arch_measures!$E:$E,base_energy_ecm!$B22,base_scenario_arch_measures!$D:$D,base_energy_ecm!$A22)</f>
        <v>6.7247494910099359</v>
      </c>
      <c r="J22">
        <f>SUMIFS(base_scenario_arch_measures!N:N,base_scenario_arch_measures!$E:$E,base_energy_ecm!$B22,base_scenario_arch_measures!$D:$D,base_energy_ecm!$A22)</f>
        <v>0.34781670798042902</v>
      </c>
      <c r="K22">
        <f>SUMIFS(base_scenario_arch_measures!O:O,base_scenario_arch_measures!$E:$E,base_energy_ecm!$B22,base_scenario_arch_measures!$D:$D,base_energy_ecm!$A22)</f>
        <v>12.454148464727117</v>
      </c>
      <c r="L22">
        <f>SUMIFS(base_scenario_arch_measures!P:P,base_scenario_arch_measures!$E:$E,base_energy_ecm!$B22,base_scenario_arch_measures!$D:$D,base_energy_ecm!$A22)</f>
        <v>3.2831449716600885</v>
      </c>
      <c r="M22">
        <f>SUMIFS(base_scenario_arch_measures!Q:Q,base_scenario_arch_measures!$E:$E,base_energy_ecm!$B22,base_scenario_arch_measures!$D:$D,base_energy_ecm!$A22)</f>
        <v>0</v>
      </c>
      <c r="N22">
        <f t="array" ref="N22">INDEX(C$2:C$21,MATCH($A22&amp;"baseline",$A$2:$A$500&amp;$B$2:$B$500,0)) - C22</f>
        <v>0.16884243451513858</v>
      </c>
      <c r="O22">
        <f t="array" ref="O22">INDEX(D$2:D$21,MATCH($A22&amp;"baseline",$A$2:$A$500&amp;$B$2:$B$500,0)) - D22</f>
        <v>185.78188618200392</v>
      </c>
      <c r="P22">
        <f t="array" ref="P22">INDEX(E$2:E$21,MATCH($A22&amp;"baseline",$A$2:$A$500&amp;$B$2:$B$500,0)) - E22</f>
        <v>-0.43906018652019974</v>
      </c>
      <c r="Q22">
        <f t="array" ref="Q22">INDEX(F$2:F$21,MATCH($A22&amp;"baseline",$A$2:$A$500&amp;$B$2:$B$500,0)) - F22</f>
        <v>9.9688748502346769E-4</v>
      </c>
      <c r="R22">
        <f t="array" ref="R22">INDEX(G$2:G$21,MATCH($A22&amp;"baseline",$A$2:$A$500&amp;$B$2:$B$500,0)) - G22</f>
        <v>9.0378858766548831E-4</v>
      </c>
      <c r="S22">
        <f t="array" ref="S22">INDEX(H$2:H$21,MATCH($A22&amp;"baseline",$A$2:$A$500&amp;$B$2:$B$500,0)) - H22</f>
        <v>0</v>
      </c>
      <c r="T22">
        <f t="array" ref="T22">INDEX(I$2:I$21,MATCH($A22&amp;"baseline",$A$2:$A$500&amp;$B$2:$B$500,0)) - I22</f>
        <v>0</v>
      </c>
      <c r="U22">
        <f t="array" ref="U22">INDEX(J$2:J$21,MATCH($A22&amp;"baseline",$A$2:$A$500&amp;$B$2:$B$500,0)) - J22</f>
        <v>0</v>
      </c>
      <c r="V22">
        <f t="array" ref="V22">INDEX(K$2:K$21,MATCH($A22&amp;"baseline",$A$2:$A$500&amp;$B$2:$B$500,0)) - K22</f>
        <v>3.1662084980040639</v>
      </c>
      <c r="W22">
        <f t="array" ref="W22">INDEX(L$2:L$21,MATCH($A22&amp;"baseline",$A$2:$A$500&amp;$B$2:$B$500,0)) - L22</f>
        <v>5.175262838100493</v>
      </c>
      <c r="X22">
        <f t="array" ref="X22">INDEX(M$2:M$21,MATCH($A22&amp;"baseline",$A$2:$A$500&amp;$B$2:$B$500,0)) - M22</f>
        <v>0</v>
      </c>
      <c r="Y22">
        <f t="shared" ref="Y22" si="6">N22+P22+Q22+S22+T22+V22+W22+X22</f>
        <v>8.0722504715845194</v>
      </c>
      <c r="Z22">
        <f t="shared" ref="Z22" si="7">O22+R22+U22</f>
        <v>185.78278997059158</v>
      </c>
      <c r="AA22">
        <f>Y22*constants!$N$2</f>
        <v>0.91216430328905074</v>
      </c>
      <c r="AB22">
        <f>Z22*constants!$O$2</f>
        <v>3.0096811975235833</v>
      </c>
      <c r="AC22">
        <f t="shared" si="3"/>
        <v>44.296690373624173</v>
      </c>
      <c r="AD22">
        <f t="shared" ref="AD22" si="8">AA22+AB22</f>
        <v>3.9218455008126343</v>
      </c>
      <c r="AE22">
        <f>AA22*base_building_arch_areas!$P$5</f>
        <v>185034.35325079053</v>
      </c>
      <c r="AF22">
        <f>AB22*base_building_arch_areas!$P$5</f>
        <v>610519.85028005391</v>
      </c>
      <c r="AG22" s="191">
        <f>AD22*base_building_arch_areas!$P$5</f>
        <v>795554.20353084453</v>
      </c>
      <c r="AH22" s="191">
        <f>(Y22*constants!$G$2+Z22*constants!$F$2)*base_building_arch_areas!$P$5/1000000</f>
        <v>8170.4682543053068</v>
      </c>
      <c r="AJ22">
        <f>SUMIFS(base_scenario_arch_measures!$AJ:$AJ,base_scenario_arch_measures!$E:$E,base_energy_ecm!$B22,base_scenario_arch_measures!$D:$D,base_energy_ecm!$A22)</f>
        <v>5031050.0514417682</v>
      </c>
      <c r="AK22">
        <f>SUMIFS(base_scenario_arch_measures!AJ:AJ,base_scenario_arch_measures!$E:$E,base_energy_ecm!$B22,base_scenario_arch_measures!$D:$D,base_energy_ecm!$A22)/AG22</f>
        <v>6.3239563427769738</v>
      </c>
      <c r="AL22">
        <f t="shared" si="5"/>
        <v>243.77368262288684</v>
      </c>
      <c r="AM22">
        <f>AL22*base_building_arch_areas!$P$3/base_building_arch_areas!$P$2</f>
        <v>244.35934534823144</v>
      </c>
      <c r="AN22">
        <f>AL22*base_building_arch_areas!$P$4/base_building_arch_areas!$P$2</f>
        <v>236.25592206392204</v>
      </c>
      <c r="AO22">
        <f>AL22*base_building_arch_areas!$P$5/base_building_arch_areas!$P$2</f>
        <v>213.6741999309408</v>
      </c>
      <c r="AP22">
        <f>AL22*base_building_arch_areas!$P$6/base_building_arch_areas!$P$2</f>
        <v>207.58267557722169</v>
      </c>
      <c r="AQ22">
        <f>AL22*base_building_arch_areas!$P$7/base_building_arch_areas!$P$2</f>
        <v>207.58267557722169</v>
      </c>
      <c r="AR22">
        <f>Y22*base_building_arch_areas!$P$5</f>
        <v>1637472.152661863</v>
      </c>
      <c r="AS22">
        <f>(Z22*base_building_arch_areas!$P$5)*0.095</f>
        <v>3580208.9985558721</v>
      </c>
      <c r="AT22">
        <f>(Y22+Z22)*base_building_arch_areas!$P$5</f>
        <v>39323882.663776301</v>
      </c>
    </row>
    <row r="23" spans="1:46">
      <c r="A23">
        <v>2015</v>
      </c>
      <c r="B23" s="184" t="s">
        <v>1011</v>
      </c>
      <c r="C23">
        <f>SUMIFS(base_scenario_arch_measures!G:G,base_scenario_arch_measures!$E:$E,base_energy_ecm!$B23,base_scenario_arch_measures!$D:$D,base_energy_ecm!$A23)</f>
        <v>0.67890199545755792</v>
      </c>
      <c r="D23">
        <f>SUMIFS(base_scenario_arch_measures!H:H,base_scenario_arch_measures!$E:$E,base_energy_ecm!$B23,base_scenario_arch_measures!$D:$D,base_energy_ecm!$A23)</f>
        <v>204.96848906285396</v>
      </c>
      <c r="E23">
        <f>SUMIFS(base_scenario_arch_measures!I:I,base_scenario_arch_measures!$E:$E,base_energy_ecm!$B23,base_scenario_arch_measures!$D:$D,base_energy_ecm!$A23)</f>
        <v>3.5332156248168731</v>
      </c>
      <c r="F23">
        <f>SUMIFS(base_scenario_arch_measures!J:J,base_scenario_arch_measures!$E:$E,base_energy_ecm!$B23,base_scenario_arch_measures!$D:$D,base_energy_ecm!$A23)</f>
        <v>3.0254057636370777</v>
      </c>
      <c r="G23">
        <f>SUMIFS(base_scenario_arch_measures!K:K,base_scenario_arch_measures!$E:$E,base_energy_ecm!$B23,base_scenario_arch_measures!$D:$D,base_energy_ecm!$A23)</f>
        <v>12.979309582707064</v>
      </c>
      <c r="H23">
        <f>SUMIFS(base_scenario_arch_measures!L:L,base_scenario_arch_measures!$E:$E,base_energy_ecm!$B23,base_scenario_arch_measures!$D:$D,base_energy_ecm!$A23)</f>
        <v>41.472205149498997</v>
      </c>
      <c r="I23">
        <f>SUMIFS(base_scenario_arch_measures!M:M,base_scenario_arch_measures!$E:$E,base_energy_ecm!$B23,base_scenario_arch_measures!$D:$D,base_energy_ecm!$A23)</f>
        <v>6.6362547745813956</v>
      </c>
      <c r="J23">
        <f>SUMIFS(base_scenario_arch_measures!N:N,base_scenario_arch_measures!$E:$E,base_energy_ecm!$B23,base_scenario_arch_measures!$D:$D,base_energy_ecm!$A23)</f>
        <v>0.34781670798042902</v>
      </c>
      <c r="K23">
        <f>SUMIFS(base_scenario_arch_measures!O:O,base_scenario_arch_measures!$E:$E,base_energy_ecm!$B23,base_scenario_arch_measures!$D:$D,base_energy_ecm!$A23)</f>
        <v>12.301416961470286</v>
      </c>
      <c r="L23">
        <f>SUMIFS(base_scenario_arch_measures!P:P,base_scenario_arch_measures!$E:$E,base_energy_ecm!$B23,base_scenario_arch_measures!$D:$D,base_energy_ecm!$A23)</f>
        <v>5.17044527288233</v>
      </c>
      <c r="M23">
        <f>SUMIFS(base_scenario_arch_measures!Q:Q,base_scenario_arch_measures!$E:$E,base_energy_ecm!$B23,base_scenario_arch_measures!$D:$D,base_energy_ecm!$A23)</f>
        <v>0</v>
      </c>
      <c r="N23">
        <f t="array" ref="N23">INDEX(C$2:C$21,MATCH($A23&amp;"baseline",$A$2:$A$500&amp;$B$2:$B$500,0)) - C23</f>
        <v>0.17031642730690189</v>
      </c>
      <c r="O23">
        <f t="array" ref="O23">INDEX(D$2:D$21,MATCH($A23&amp;"baseline",$A$2:$A$500&amp;$B$2:$B$500,0)) - D23</f>
        <v>139.57783173796003</v>
      </c>
      <c r="P23">
        <f t="array" ref="P23">INDEX(E$2:E$21,MATCH($A23&amp;"baseline",$A$2:$A$500&amp;$B$2:$B$500,0)) - E23</f>
        <v>-0.40826973164229141</v>
      </c>
      <c r="Q23">
        <f t="array" ref="Q23">INDEX(F$2:F$21,MATCH($A23&amp;"baseline",$A$2:$A$500&amp;$B$2:$B$500,0)) - F23</f>
        <v>6.9173069132064668E-2</v>
      </c>
      <c r="R23">
        <f t="array" ref="R23">INDEX(G$2:G$21,MATCH($A23&amp;"baseline",$A$2:$A$500&amp;$B$2:$B$500,0)) - G23</f>
        <v>9.0378858766548831E-4</v>
      </c>
      <c r="S23">
        <f t="array" ref="S23">INDEX(H$2:H$21,MATCH($A23&amp;"baseline",$A$2:$A$500&amp;$B$2:$B$500,0)) - H23</f>
        <v>0.40990962326490177</v>
      </c>
      <c r="T23">
        <f t="array" ref="T23">INDEX(I$2:I$21,MATCH($A23&amp;"baseline",$A$2:$A$500&amp;$B$2:$B$500,0)) - I23</f>
        <v>8.8494716428540343E-2</v>
      </c>
      <c r="U23">
        <f t="array" ref="U23">INDEX(J$2:J$21,MATCH($A23&amp;"baseline",$A$2:$A$500&amp;$B$2:$B$500,0)) - J23</f>
        <v>0</v>
      </c>
      <c r="V23">
        <f t="array" ref="V23">INDEX(K$2:K$21,MATCH($A23&amp;"baseline",$A$2:$A$500&amp;$B$2:$B$500,0)) - K23</f>
        <v>3.3189400012608949</v>
      </c>
      <c r="W23">
        <f t="array" ref="W23">INDEX(L$2:L$21,MATCH($A23&amp;"baseline",$A$2:$A$500&amp;$B$2:$B$500,0)) - L23</f>
        <v>3.2879625368782515</v>
      </c>
      <c r="X23">
        <f t="array" ref="X23">INDEX(M$2:M$21,MATCH($A23&amp;"baseline",$A$2:$A$500&amp;$B$2:$B$500,0)) - M23</f>
        <v>0</v>
      </c>
      <c r="Y23">
        <f t="shared" ref="Y23" si="9">N23+P23+Q23+S23+T23+V23+W23+X23</f>
        <v>6.9365266426292642</v>
      </c>
      <c r="Z23">
        <f t="shared" ref="Z23" si="10">O23+R23+U23</f>
        <v>139.57873552654769</v>
      </c>
      <c r="AA23">
        <f>Y23*constants!$N$2</f>
        <v>0.78382751061710687</v>
      </c>
      <c r="AB23">
        <f>Z23*constants!$O$2</f>
        <v>2.2611755155300726</v>
      </c>
      <c r="AC23">
        <f t="shared" si="3"/>
        <v>33.479352347582157</v>
      </c>
      <c r="AD23">
        <f t="shared" ref="AD23" si="11">AA23+AB23</f>
        <v>3.0450030261471794</v>
      </c>
      <c r="AE23">
        <f>AA23*base_building_arch_areas!$P$5</f>
        <v>159000.97818370137</v>
      </c>
      <c r="AF23">
        <f>AB23*base_building_arch_areas!$P$5</f>
        <v>458683.97567630629</v>
      </c>
      <c r="AG23" s="191">
        <f>AD23*base_building_arch_areas!$P$5</f>
        <v>617684.95386000769</v>
      </c>
      <c r="AH23" s="191">
        <f>(Y23*constants!$G$2+Z23*constants!$F$2)*base_building_arch_areas!$P$5/1000000</f>
        <v>6292.3416161508439</v>
      </c>
      <c r="AJ23">
        <f>SUMIFS(base_scenario_arch_measures!$AJ:$AJ,base_scenario_arch_measures!$E:$E,base_energy_ecm!$B23,base_scenario_arch_measures!$D:$D,base_energy_ecm!$A23)</f>
        <v>4957410.9406248489</v>
      </c>
      <c r="AK23">
        <f>SUMIFS(base_scenario_arch_measures!AJ:AJ,base_scenario_arch_measures!$E:$E,base_energy_ecm!$B23,base_scenario_arch_measures!$D:$D,base_energy_ecm!$A23)/AG23</f>
        <v>8.0257919666736743</v>
      </c>
      <c r="AL23">
        <f t="shared" si="5"/>
        <v>291.11346089588596</v>
      </c>
      <c r="AM23">
        <f>AL23*base_building_arch_areas!$P$3/base_building_arch_areas!$P$2</f>
        <v>291.81285674968916</v>
      </c>
      <c r="AN23">
        <f>AL23*base_building_arch_areas!$P$4/base_building_arch_areas!$P$2</f>
        <v>282.13578426172512</v>
      </c>
      <c r="AO23">
        <f>AL23*base_building_arch_areas!$P$5/base_building_arch_areas!$P$2</f>
        <v>255.16879089152201</v>
      </c>
      <c r="AP23">
        <f>AL23*base_building_arch_areas!$P$6/base_building_arch_areas!$P$2</f>
        <v>247.89431926824159</v>
      </c>
      <c r="AQ23">
        <f>AL23*base_building_arch_areas!$P$7/base_building_arch_areas!$P$2</f>
        <v>247.89431926824159</v>
      </c>
      <c r="AR23">
        <f>Y23*base_building_arch_areas!$P$5</f>
        <v>1407088.3025106315</v>
      </c>
      <c r="AS23">
        <f>(Z23*base_building_arch_areas!$P$5)*0.095</f>
        <v>2689813.4376079692</v>
      </c>
      <c r="AT23">
        <f>(Y23+Z23)*base_building_arch_areas!$P$5</f>
        <v>29720913.961541884</v>
      </c>
    </row>
    <row r="24" spans="1:46">
      <c r="A24">
        <v>2015</v>
      </c>
      <c r="B24" s="184" t="s">
        <v>1013</v>
      </c>
      <c r="C24">
        <f>SUMIFS(base_scenario_arch_measures!G:G,base_scenario_arch_measures!$E:$E,base_energy_ecm!$B24,base_scenario_arch_measures!$D:$D,base_energy_ecm!$A24)</f>
        <v>0.8950188647725984</v>
      </c>
      <c r="D24">
        <f>SUMIFS(base_scenario_arch_measures!H:H,base_scenario_arch_measures!$E:$E,base_energy_ecm!$B24,base_scenario_arch_measures!$D:$D,base_energy_ecm!$A24)</f>
        <v>296.32634551282564</v>
      </c>
      <c r="E24">
        <f>SUMIFS(base_scenario_arch_measures!I:I,base_scenario_arch_measures!$E:$E,base_energy_ecm!$B24,base_scenario_arch_measures!$D:$D,base_energy_ecm!$A24)</f>
        <v>3.3643028926489764</v>
      </c>
      <c r="F24">
        <f>SUMIFS(base_scenario_arch_measures!J:J,base_scenario_arch_measures!$E:$E,base_energy_ecm!$B24,base_scenario_arch_measures!$D:$D,base_energy_ecm!$A24)</f>
        <v>3.0946449397856042</v>
      </c>
      <c r="G24">
        <f>SUMIFS(base_scenario_arch_measures!K:K,base_scenario_arch_measures!$E:$E,base_energy_ecm!$B24,base_scenario_arch_measures!$D:$D,base_energy_ecm!$A24)</f>
        <v>12.980216217599546</v>
      </c>
      <c r="H24">
        <f>SUMIFS(base_scenario_arch_measures!L:L,base_scenario_arch_measures!$E:$E,base_energy_ecm!$B24,base_scenario_arch_measures!$D:$D,base_energy_ecm!$A24)</f>
        <v>29.317712325578199</v>
      </c>
      <c r="I24">
        <f>SUMIFS(base_scenario_arch_measures!M:M,base_scenario_arch_measures!$E:$E,base_energy_ecm!$B24,base_scenario_arch_measures!$D:$D,base_energy_ecm!$A24)</f>
        <v>6.7247494910099519</v>
      </c>
      <c r="J24">
        <f>SUMIFS(base_scenario_arch_measures!N:N,base_scenario_arch_measures!$E:$E,base_energy_ecm!$B24,base_scenario_arch_measures!$D:$D,base_energy_ecm!$A24)</f>
        <v>0.34781670798042902</v>
      </c>
      <c r="K24">
        <f>SUMIFS(base_scenario_arch_measures!O:O,base_scenario_arch_measures!$E:$E,base_energy_ecm!$B24,base_scenario_arch_measures!$D:$D,base_energy_ecm!$A24)</f>
        <v>12.205643694715105</v>
      </c>
      <c r="L24">
        <f>SUMIFS(base_scenario_arch_measures!P:P,base_scenario_arch_measures!$E:$E,base_energy_ecm!$B24,base_scenario_arch_measures!$D:$D,base_energy_ecm!$A24)</f>
        <v>6.6409366106198293</v>
      </c>
      <c r="M24">
        <f>SUMIFS(base_scenario_arch_measures!Q:Q,base_scenario_arch_measures!$E:$E,base_energy_ecm!$B24,base_scenario_arch_measures!$D:$D,base_energy_ecm!$A24)</f>
        <v>0</v>
      </c>
      <c r="N24">
        <f t="array" ref="N24">INDEX(C$2:C$21,MATCH($A24&amp;"baseline",$A$2:$A$500&amp;$B$2:$B$500,0)) - C24</f>
        <v>-4.5800442008138598E-2</v>
      </c>
      <c r="O24">
        <f t="array" ref="O24">INDEX(D$2:D$21,MATCH($A24&amp;"baseline",$A$2:$A$500&amp;$B$2:$B$500,0)) - D24</f>
        <v>48.219975287988348</v>
      </c>
      <c r="P24">
        <f t="array" ref="P24">INDEX(E$2:E$21,MATCH($A24&amp;"baseline",$A$2:$A$500&amp;$B$2:$B$500,0)) - E24</f>
        <v>-0.2393569994743947</v>
      </c>
      <c r="Q24">
        <f t="array" ref="Q24">INDEX(F$2:F$21,MATCH($A24&amp;"baseline",$A$2:$A$500&amp;$B$2:$B$500,0)) - F24</f>
        <v>-6.6107016461813828E-5</v>
      </c>
      <c r="R24">
        <f t="array" ref="R24">INDEX(G$2:G$21,MATCH($A24&amp;"baseline",$A$2:$A$500&amp;$B$2:$B$500,0)) - G24</f>
        <v>-2.8463048167282068E-6</v>
      </c>
      <c r="S24">
        <f t="array" ref="S24">INDEX(H$2:H$21,MATCH($A24&amp;"baseline",$A$2:$A$500&amp;$B$2:$B$500,0)) - H24</f>
        <v>12.564402447185699</v>
      </c>
      <c r="T24">
        <f t="array" ref="T24">INDEX(I$2:I$21,MATCH($A24&amp;"baseline",$A$2:$A$500&amp;$B$2:$B$500,0)) - I24</f>
        <v>-1.5987211554602254E-14</v>
      </c>
      <c r="U24">
        <f t="array" ref="U24">INDEX(J$2:J$21,MATCH($A24&amp;"baseline",$A$2:$A$500&amp;$B$2:$B$500,0)) - J24</f>
        <v>0</v>
      </c>
      <c r="V24">
        <f t="array" ref="V24">INDEX(K$2:K$21,MATCH($A24&amp;"baseline",$A$2:$A$500&amp;$B$2:$B$500,0)) - K24</f>
        <v>3.4147132680160759</v>
      </c>
      <c r="W24">
        <f t="array" ref="W24">INDEX(L$2:L$21,MATCH($A24&amp;"baseline",$A$2:$A$500&amp;$B$2:$B$500,0)) - L24</f>
        <v>1.8174711991407522</v>
      </c>
      <c r="X24">
        <f t="array" ref="X24">INDEX(M$2:M$21,MATCH($A24&amp;"baseline",$A$2:$A$500&amp;$B$2:$B$500,0)) - M24</f>
        <v>0</v>
      </c>
      <c r="Y24">
        <f t="shared" ref="Y24" si="12">N24+P24+Q24+S24+T24+V24+W24+X24</f>
        <v>17.511363365843515</v>
      </c>
      <c r="Z24">
        <f t="shared" ref="Z24" si="13">O24+R24+U24</f>
        <v>48.219972441683531</v>
      </c>
      <c r="AA24">
        <f>Y24*constants!$N$2</f>
        <v>1.9787840603403173</v>
      </c>
      <c r="AB24">
        <f>Z24*constants!$O$2</f>
        <v>0.78116355355527312</v>
      </c>
      <c r="AC24">
        <f t="shared" si="3"/>
        <v>15.019886114228994</v>
      </c>
      <c r="AD24">
        <f t="shared" ref="AD24" si="14">AA24+AB24</f>
        <v>2.7599476138955903</v>
      </c>
      <c r="AE24">
        <f>AA24*base_building_arch_areas!$P$5</f>
        <v>401400.30420815403</v>
      </c>
      <c r="AF24">
        <f>AB24*base_building_arch_areas!$P$5</f>
        <v>158460.58916579426</v>
      </c>
      <c r="AG24" s="191">
        <f>AD24*base_building_arch_areas!$P$5</f>
        <v>559860.89337394829</v>
      </c>
      <c r="AH24" s="191">
        <f>(Y24*constants!$G$2+Z24*constants!$F$2)*base_building_arch_areas!$P$5/1000000</f>
        <v>4841.3188159981664</v>
      </c>
      <c r="AJ24">
        <f>SUMIFS(base_scenario_arch_measures!$AJ:$AJ,base_scenario_arch_measures!$E:$E,base_energy_ecm!$B24,base_scenario_arch_measures!$D:$D,base_energy_ecm!$A24)</f>
        <v>7107146.5155705186</v>
      </c>
      <c r="AK24">
        <f>SUMIFS(base_scenario_arch_measures!AJ:AJ,base_scenario_arch_measures!$E:$E,base_energy_ecm!$B24,base_scenario_arch_measures!$D:$D,base_energy_ecm!$A24)/AG24</f>
        <v>12.694486433478104</v>
      </c>
      <c r="AL24">
        <f t="shared" si="5"/>
        <v>371.89738725753591</v>
      </c>
      <c r="AM24">
        <f>AL24*base_building_arch_areas!$P$3/base_building_arch_areas!$P$2</f>
        <v>372.7908653189341</v>
      </c>
      <c r="AN24">
        <f>AL24*base_building_arch_areas!$P$4/base_building_arch_areas!$P$2</f>
        <v>360.42840717804205</v>
      </c>
      <c r="AO24">
        <f>AL24*base_building_arch_areas!$P$5/base_building_arch_areas!$P$2</f>
        <v>325.97807861643491</v>
      </c>
      <c r="AP24">
        <f>AL24*base_building_arch_areas!$P$6/base_building_arch_areas!$P$2</f>
        <v>316.68494259293573</v>
      </c>
      <c r="AQ24">
        <f>AL24*base_building_arch_areas!$P$7/base_building_arch_areas!$P$2</f>
        <v>316.68494259293573</v>
      </c>
      <c r="AR24">
        <f>Y24*base_building_arch_areas!$P$5</f>
        <v>3552215.0814880887</v>
      </c>
      <c r="AS24">
        <f>(Z24*base_building_arch_areas!$P$5)*0.095</f>
        <v>929244.1957253369</v>
      </c>
      <c r="AT24">
        <f>(Y24+Z24)*base_building_arch_areas!$P$5</f>
        <v>13333732.931228476</v>
      </c>
    </row>
    <row r="25" spans="1:46">
      <c r="A25">
        <v>2015</v>
      </c>
      <c r="B25" s="184" t="s">
        <v>1054</v>
      </c>
      <c r="C25">
        <f>C3/1.12</f>
        <v>0.75823073461112478</v>
      </c>
      <c r="D25">
        <f t="shared" ref="D25:E25" si="15">D3/1.12</f>
        <v>307.63064357215529</v>
      </c>
      <c r="E25">
        <f t="shared" si="15"/>
        <v>2.7901302617630193</v>
      </c>
      <c r="F25">
        <f>F3</f>
        <v>3.0945788327691424</v>
      </c>
      <c r="G25">
        <f>G3</f>
        <v>12.980213371294729</v>
      </c>
      <c r="H25">
        <f>H3</f>
        <v>41.882114772763899</v>
      </c>
      <c r="I25">
        <f>I3</f>
        <v>6.7247494910099359</v>
      </c>
      <c r="J25">
        <f>J3</f>
        <v>0.34781670798042902</v>
      </c>
      <c r="K25">
        <f>K3/1.12</f>
        <v>13.946747288152839</v>
      </c>
      <c r="L25">
        <f t="shared" ref="L25:M25" si="16">L3/1.12</f>
        <v>7.5521498301433754</v>
      </c>
      <c r="M25">
        <f t="shared" si="16"/>
        <v>0</v>
      </c>
      <c r="N25">
        <f t="array" ref="N25">INDEX(C$2:C$21,MATCH($A25&amp;"baseline",$A$2:$A$500&amp;$B$2:$B$500,0)) - C25</f>
        <v>9.0987688153335022E-2</v>
      </c>
      <c r="O25">
        <f t="array" ref="O25">INDEX(D$2:D$21,MATCH($A25&amp;"baseline",$A$2:$A$500&amp;$B$2:$B$500,0)) - D25</f>
        <v>36.915677228658694</v>
      </c>
      <c r="P25">
        <f t="array" ref="P25">INDEX(E$2:E$21,MATCH($A25&amp;"baseline",$A$2:$A$500&amp;$B$2:$B$500,0)) - E25</f>
        <v>0.33481563141156245</v>
      </c>
      <c r="Q25">
        <f t="array" ref="Q25">INDEX(F$2:F$21,MATCH($A25&amp;"baseline",$A$2:$A$500&amp;$B$2:$B$500,0)) - F25</f>
        <v>0</v>
      </c>
      <c r="R25">
        <f t="array" ref="R25">INDEX(G$2:G$21,MATCH($A25&amp;"baseline",$A$2:$A$500&amp;$B$2:$B$500,0)) - G25</f>
        <v>0</v>
      </c>
      <c r="S25">
        <f t="array" ref="S25">INDEX(H$2:H$21,MATCH($A25&amp;"baseline",$A$2:$A$500&amp;$B$2:$B$500,0)) - H25</f>
        <v>0</v>
      </c>
      <c r="T25">
        <f t="array" ref="T25">INDEX(I$2:I$21,MATCH($A25&amp;"baseline",$A$2:$A$500&amp;$B$2:$B$500,0)) - I25</f>
        <v>0</v>
      </c>
      <c r="U25">
        <f t="array" ref="U25">INDEX(J$2:J$21,MATCH($A25&amp;"baseline",$A$2:$A$500&amp;$B$2:$B$500,0)) - J25</f>
        <v>0</v>
      </c>
      <c r="V25">
        <f t="array" ref="V25">INDEX(K$2:K$21,MATCH($A25&amp;"baseline",$A$2:$A$500&amp;$B$2:$B$500,0)) - K25</f>
        <v>1.6736096745783424</v>
      </c>
      <c r="W25">
        <f t="array" ref="W25">INDEX(L$2:L$21,MATCH($A25&amp;"baseline",$A$2:$A$500&amp;$B$2:$B$500,0)) - L25</f>
        <v>0.90625797961720611</v>
      </c>
      <c r="X25">
        <f t="array" ref="X25">INDEX(M$2:M$21,MATCH($A25&amp;"baseline",$A$2:$A$500&amp;$B$2:$B$500,0)) - M25</f>
        <v>0</v>
      </c>
      <c r="Y25">
        <f t="shared" ref="Y25" si="17">N25+P25+Q25+S25+T25+V25+W25+X25</f>
        <v>3.0056709737604459</v>
      </c>
      <c r="Z25">
        <f t="shared" ref="Z25" si="18">O25+R25+U25</f>
        <v>36.915677228658694</v>
      </c>
      <c r="AA25">
        <f>Y25*constants!$N$2</f>
        <v>0.3396408200349304</v>
      </c>
      <c r="AB25">
        <f>Z25*constants!$O$2</f>
        <v>0.59803397110427081</v>
      </c>
      <c r="AC25">
        <f t="shared" si="3"/>
        <v>9.1221956188839943</v>
      </c>
      <c r="AD25">
        <f t="shared" ref="AD25" si="19">AA25+AB25</f>
        <v>0.93767479113920116</v>
      </c>
      <c r="AE25">
        <f>AA25*base_building_arch_areas!$P$5</f>
        <v>68896.819625725708</v>
      </c>
      <c r="AF25">
        <f>AB25*base_building_arch_areas!$P$5</f>
        <v>121312.38710644354</v>
      </c>
      <c r="AG25" s="191">
        <f>AD25*base_building_arch_areas!$P$5</f>
        <v>190209.20673216923</v>
      </c>
      <c r="AH25" s="191">
        <f>(Y25*constants!$G$2+Z25*constants!$F$2)*base_building_arch_areas!$P$5/1000000</f>
        <v>1870.8715338178802</v>
      </c>
      <c r="AJ25">
        <f>'retro-x'!C31</f>
        <v>1694143.6656971588</v>
      </c>
      <c r="AK25">
        <f>'retro-x'!C33</f>
        <v>40.921587944428047</v>
      </c>
      <c r="AL25">
        <f t="shared" si="5"/>
        <v>397.70737486264375</v>
      </c>
      <c r="AM25">
        <f>AL25*base_building_arch_areas!$P$3/base_building_arch_areas!$P$2</f>
        <v>398.66286104370141</v>
      </c>
      <c r="AN25">
        <f>AL25*base_building_arch_areas!$P$4/base_building_arch_areas!$P$2</f>
        <v>385.44243803852783</v>
      </c>
      <c r="AO25">
        <f>AL25*base_building_arch_areas!$P$5/base_building_arch_areas!$P$2</f>
        <v>348.60122805738746</v>
      </c>
      <c r="AP25">
        <f>AL25*base_building_arch_areas!$P$6/base_building_arch_areas!$P$2</f>
        <v>338.66314067419245</v>
      </c>
      <c r="AQ25">
        <f>AL25*base_building_arch_areas!$P$7/base_building_arch_areas!$P$2</f>
        <v>338.66314067419245</v>
      </c>
      <c r="AR25">
        <f>Y25*base_building_arch_areas!$P$5</f>
        <v>609706.36836925393</v>
      </c>
      <c r="AS25">
        <f>(Z25*base_building_arch_areas!$P$5)*0.095</f>
        <v>711399.80093284801</v>
      </c>
      <c r="AT25">
        <f>(Y25+Z25)*base_building_arch_areas!$P$5</f>
        <v>8098125.3255571276</v>
      </c>
    </row>
    <row r="26" spans="1:46">
      <c r="A26">
        <v>2015</v>
      </c>
      <c r="B26" s="184" t="s">
        <v>1055</v>
      </c>
      <c r="C26">
        <f>SUM('solar dhw ecm'!AR2:AR29)</f>
        <v>0.8492184227644598</v>
      </c>
      <c r="D26">
        <f>SUM('solar dhw ecm'!AS2:AS29)</f>
        <v>344.54632080081399</v>
      </c>
      <c r="E26">
        <f>SUM('solar dhw ecm'!AT2:AT29)</f>
        <v>3.1249458931745817</v>
      </c>
      <c r="F26">
        <f>SUM('solar dhw ecm'!AU2:AU29)</f>
        <v>1.9939309394809783</v>
      </c>
      <c r="G26">
        <f>SUM('solar dhw ecm'!AV2:AV29)</f>
        <v>10.115423221485068</v>
      </c>
      <c r="H26">
        <f>SUM('solar dhw ecm'!AW2:AW29)</f>
        <v>41.882114772763899</v>
      </c>
      <c r="I26">
        <f>SUM('solar dhw ecm'!AX2:AX29)</f>
        <v>6.7247494910099359</v>
      </c>
      <c r="J26">
        <f>SUM('solar dhw ecm'!AY2:AY29)</f>
        <v>0.34781670798042902</v>
      </c>
      <c r="K26">
        <f>SUM('solar dhw ecm'!AZ2:AZ29)</f>
        <v>15.620356962731181</v>
      </c>
      <c r="L26">
        <f>SUM('solar dhw ecm'!BA2:BA29)</f>
        <v>8.585075398244209</v>
      </c>
      <c r="M26">
        <f>SUM('solar dhw ecm'!BB2:BB29)</f>
        <v>0</v>
      </c>
      <c r="N26">
        <f t="array" ref="N26">INDEX(C$2:C$21,MATCH($A26&amp;"baseline",$A$2:$A$500&amp;$B$2:$B$500,0)) - C26</f>
        <v>0</v>
      </c>
      <c r="O26">
        <f t="array" ref="O26">INDEX(D$2:D$21,MATCH($A26&amp;"baseline",$A$2:$A$500&amp;$B$2:$B$500,0)) - D26</f>
        <v>0</v>
      </c>
      <c r="P26">
        <f t="array" ref="P26">INDEX(E$2:E$21,MATCH($A26&amp;"baseline",$A$2:$A$500&amp;$B$2:$B$500,0)) - E26</f>
        <v>0</v>
      </c>
      <c r="Q26">
        <f t="array" ref="Q26">INDEX(F$2:F$21,MATCH($A26&amp;"baseline",$A$2:$A$500&amp;$B$2:$B$500,0)) - F26</f>
        <v>1.100647893288164</v>
      </c>
      <c r="R26">
        <f t="array" ref="R26">INDEX(G$2:G$21,MATCH($A26&amp;"baseline",$A$2:$A$500&amp;$B$2:$B$500,0)) - G26</f>
        <v>2.8647901498096608</v>
      </c>
      <c r="S26">
        <f t="array" ref="S26">INDEX(H$2:H$21,MATCH($A26&amp;"baseline",$A$2:$A$500&amp;$B$2:$B$500,0)) - H26</f>
        <v>0</v>
      </c>
      <c r="T26">
        <f t="array" ref="T26">INDEX(I$2:I$21,MATCH($A26&amp;"baseline",$A$2:$A$500&amp;$B$2:$B$500,0)) - I26</f>
        <v>0</v>
      </c>
      <c r="U26">
        <f t="array" ref="U26">INDEX(J$2:J$21,MATCH($A26&amp;"baseline",$A$2:$A$500&amp;$B$2:$B$500,0)) - J26</f>
        <v>0</v>
      </c>
      <c r="V26">
        <f t="array" ref="V26">INDEX(K$2:K$21,MATCH($A26&amp;"baseline",$A$2:$A$500&amp;$B$2:$B$500,0)) - K26</f>
        <v>0</v>
      </c>
      <c r="W26">
        <f t="array" ref="W26">INDEX(L$2:L$21,MATCH($A26&amp;"baseline",$A$2:$A$500&amp;$B$2:$B$500,0)) - L26</f>
        <v>-0.12666758848362747</v>
      </c>
      <c r="X26">
        <f t="array" ref="X26">INDEX(M$2:M$21,MATCH($A26&amp;"baseline",$A$2:$A$500&amp;$B$2:$B$500,0)) - M26</f>
        <v>0</v>
      </c>
      <c r="Y26">
        <f t="shared" ref="Y26:Y27" si="20">N26+P26+Q26+S26+T26+V26+W26+X26</f>
        <v>0.97398030480453657</v>
      </c>
      <c r="Z26">
        <f t="shared" ref="Z26:Z27" si="21">O26+R26+U26</f>
        <v>2.8647901498096608</v>
      </c>
      <c r="AA26">
        <f>Y26*constants!$N$2</f>
        <v>0.11005977444291264</v>
      </c>
      <c r="AB26">
        <f>Z26*constants!$O$2</f>
        <v>4.6409600426916504E-2</v>
      </c>
      <c r="AC26">
        <f t="shared" si="3"/>
        <v>0.87717516065404177</v>
      </c>
      <c r="AD26">
        <f t="shared" ref="AD26:AD27" si="22">AA26+AB26</f>
        <v>0.15646937486982915</v>
      </c>
      <c r="AE26">
        <f>AA26*base_building_arch_areas!$P$5</f>
        <v>22325.845365293713</v>
      </c>
      <c r="AF26">
        <f>AB26*base_building_arch_areas!$P$5</f>
        <v>9414.2802658008659</v>
      </c>
      <c r="AG26" s="191">
        <f>AD26*base_building_arch_areas!$P$5</f>
        <v>31740.125631094583</v>
      </c>
      <c r="AH26" s="191">
        <f>(Y26*constants!$G$2+Z26*constants!$F$2)*base_building_arch_areas!$P$5/1000000</f>
        <v>275.91123758046746</v>
      </c>
      <c r="AJ26">
        <f>'solar dhw ecm'!C31</f>
        <v>3638984.6328241825</v>
      </c>
      <c r="AK26">
        <f>'solar dhw ecm'!C33</f>
        <v>101.16738529215397</v>
      </c>
      <c r="AL26">
        <f t="shared" si="5"/>
        <v>433.78995261044878</v>
      </c>
      <c r="AM26">
        <f>AL26*base_building_arch_areas!$P$3/base_building_arch_areas!$P$2</f>
        <v>434.83212665950708</v>
      </c>
      <c r="AN26">
        <f>AL26*base_building_arch_areas!$P$4/base_building_arch_areas!$P$2</f>
        <v>420.41226162460543</v>
      </c>
      <c r="AO26">
        <f>AL26*base_building_arch_areas!$P$5/base_building_arch_areas!$P$2</f>
        <v>380.22857949562825</v>
      </c>
      <c r="AP26">
        <f>AL26*base_building_arch_areas!$P$6/base_building_arch_areas!$P$2</f>
        <v>369.3888447371678</v>
      </c>
      <c r="AQ26">
        <f>AL26*base_building_arch_areas!$P$7/base_building_arch_areas!$P$2</f>
        <v>369.3888447371678</v>
      </c>
      <c r="AR26">
        <f>Y26*base_building_arch_areas!$P$5</f>
        <v>197573.85279020984</v>
      </c>
      <c r="AS26">
        <f>(Z26*base_building_arch_areas!$P$5)*0.095</f>
        <v>55207.19908957299</v>
      </c>
      <c r="AT26">
        <f>(Y26+Z26)*base_building_arch_areas!$P$5</f>
        <v>778702.26425939915</v>
      </c>
    </row>
    <row r="27" spans="1:46">
      <c r="A27">
        <v>2015</v>
      </c>
      <c r="B27" t="s">
        <v>1030</v>
      </c>
      <c r="C27">
        <f>SUMIFS(base_scenario_arch_measures!G:G,base_scenario_arch_measures!$E:$E,base_energy_ecm!$B27,base_scenario_arch_measures!$D:$D,base_energy_ecm!$A27)</f>
        <v>0.81877680692047827</v>
      </c>
      <c r="D27">
        <f>SUMIFS(base_scenario_arch_measures!H:H,base_scenario_arch_measures!$E:$E,base_energy_ecm!$B27,base_scenario_arch_measures!$D:$D,base_energy_ecm!$A27)</f>
        <v>120.53253309289721</v>
      </c>
      <c r="E27">
        <f>SUMIFS(base_scenario_arch_measures!I:I,base_scenario_arch_measures!$E:$E,base_energy_ecm!$B27,base_scenario_arch_measures!$D:$D,base_energy_ecm!$A27)</f>
        <v>2.4608094029981471</v>
      </c>
      <c r="F27">
        <f>SUMIFS(base_scenario_arch_measures!J:J,base_scenario_arch_measures!$E:$E,base_energy_ecm!$B27,base_scenario_arch_measures!$D:$D,base_energy_ecm!$A27)</f>
        <v>3.0940280523331265</v>
      </c>
      <c r="G27">
        <f>SUMIFS(base_scenario_arch_measures!K:K,base_scenario_arch_measures!$E:$E,base_energy_ecm!$B27,base_scenario_arch_measures!$D:$D,base_energy_ecm!$A27)</f>
        <v>12.979307902440068</v>
      </c>
      <c r="H27">
        <f>SUMIFS(base_scenario_arch_measures!L:L,base_scenario_arch_measures!$E:$E,base_energy_ecm!$B27,base_scenario_arch_measures!$D:$D,base_energy_ecm!$A27)</f>
        <v>29.317712325591852</v>
      </c>
      <c r="I27">
        <f>SUMIFS(base_scenario_arch_measures!M:M,base_scenario_arch_measures!$E:$E,base_energy_ecm!$B27,base_scenario_arch_measures!$D:$D,base_energy_ecm!$A27)</f>
        <v>6.7247494910099359</v>
      </c>
      <c r="J27">
        <f>SUMIFS(base_scenario_arch_measures!N:N,base_scenario_arch_measures!$E:$E,base_energy_ecm!$B27,base_scenario_arch_measures!$D:$D,base_energy_ecm!$A27)</f>
        <v>0.34781670798042902</v>
      </c>
      <c r="K27">
        <f>SUMIFS(base_scenario_arch_measures!O:O,base_scenario_arch_measures!$E:$E,base_energy_ecm!$B27,base_scenario_arch_measures!$D:$D,base_energy_ecm!$A27)</f>
        <v>8.9051980588647002</v>
      </c>
      <c r="L27">
        <f>SUMIFS(base_scenario_arch_measures!P:P,base_scenario_arch_measures!$E:$E,base_energy_ecm!$B27,base_scenario_arch_measures!$D:$D,base_energy_ecm!$A27)</f>
        <v>2.3000151414142822</v>
      </c>
      <c r="M27">
        <f>SUMIFS(base_scenario_arch_measures!Q:Q,base_scenario_arch_measures!$E:$E,base_energy_ecm!$B27,base_scenario_arch_measures!$D:$D,base_energy_ecm!$A27)</f>
        <v>0</v>
      </c>
      <c r="N27">
        <f t="array" ref="N27">INDEX(C$2:C$21,MATCH($A27&amp;"baseline",$A$2:$A$500&amp;$B$2:$B$500,0)) - C27</f>
        <v>3.0441615843981529E-2</v>
      </c>
      <c r="O27">
        <f t="array" ref="O27">INDEX(D$2:D$21,MATCH($A27&amp;"baseline",$A$2:$A$500&amp;$B$2:$B$500,0)) - D27</f>
        <v>224.01378770791678</v>
      </c>
      <c r="P27">
        <f t="array" ref="P27">INDEX(E$2:E$21,MATCH($A27&amp;"baseline",$A$2:$A$500&amp;$B$2:$B$500,0)) - E27</f>
        <v>0.66413649017643461</v>
      </c>
      <c r="Q27">
        <f t="array" ref="Q27">INDEX(F$2:F$21,MATCH($A27&amp;"baseline",$A$2:$A$500&amp;$B$2:$B$500,0)) - F27</f>
        <v>5.5078043601586302E-4</v>
      </c>
      <c r="R27">
        <f t="array" ref="R27">INDEX(G$2:G$21,MATCH($A27&amp;"baseline",$A$2:$A$500&amp;$B$2:$B$500,0)) - G27</f>
        <v>9.0546885466125104E-4</v>
      </c>
      <c r="S27">
        <f t="array" ref="S27">INDEX(H$2:H$21,MATCH($A27&amp;"baseline",$A$2:$A$500&amp;$B$2:$B$500,0)) - H27</f>
        <v>12.564402447172046</v>
      </c>
      <c r="T27">
        <f t="array" ref="T27">INDEX(I$2:I$21,MATCH($A27&amp;"baseline",$A$2:$A$500&amp;$B$2:$B$500,0)) - I27</f>
        <v>0</v>
      </c>
      <c r="U27">
        <f t="array" ref="U27">INDEX(J$2:J$21,MATCH($A27&amp;"baseline",$A$2:$A$500&amp;$B$2:$B$500,0)) - J27</f>
        <v>0</v>
      </c>
      <c r="V27">
        <f t="array" ref="V27">INDEX(K$2:K$21,MATCH($A27&amp;"baseline",$A$2:$A$500&amp;$B$2:$B$500,0)) - K27</f>
        <v>6.715158903866481</v>
      </c>
      <c r="W27">
        <f t="array" ref="W27">INDEX(L$2:L$21,MATCH($A27&amp;"baseline",$A$2:$A$500&amp;$B$2:$B$500,0)) - L27</f>
        <v>6.1583926683462993</v>
      </c>
      <c r="X27">
        <f t="array" ref="X27">INDEX(M$2:M$21,MATCH($A27&amp;"baseline",$A$2:$A$500&amp;$B$2:$B$500,0)) - M27</f>
        <v>0</v>
      </c>
      <c r="Y27">
        <f t="shared" si="20"/>
        <v>26.13308290584126</v>
      </c>
      <c r="Z27">
        <f t="shared" si="21"/>
        <v>224.01469317677143</v>
      </c>
      <c r="AA27">
        <f>Y27*constants!$N$2</f>
        <v>2.9530383683600623</v>
      </c>
      <c r="AB27">
        <f>Z27*constants!$O$2</f>
        <v>3.6290380294636968</v>
      </c>
      <c r="AC27">
        <f t="shared" ref="AC27" si="23">((Y27+Z27)/SUM($C$3:$M$3))*100</f>
        <v>57.159816734749114</v>
      </c>
      <c r="AD27">
        <f t="shared" si="22"/>
        <v>6.5820763978237586</v>
      </c>
      <c r="AE27">
        <f>AA27*base_building_arch_areas!$P$5</f>
        <v>599029.73909857532</v>
      </c>
      <c r="AF27">
        <f>AB27*base_building_arch_areas!$P$5</f>
        <v>736157.62235276983</v>
      </c>
      <c r="AG27" s="191">
        <f>AD27*base_building_arch_areas!$P$5</f>
        <v>1335187.361451345</v>
      </c>
      <c r="AH27" s="191">
        <f>(Y27*constants!$G$2+Z27*constants!$F$2)*base_building_arch_areas!$P$5/1000000</f>
        <v>12746.086184958373</v>
      </c>
      <c r="AJ27">
        <f>SUMIFS(base_scenario_arch_measures!$AJ:$AJ,base_scenario_arch_measures!$E:$E,base_energy_ecm!$B27,base_scenario_arch_measures!$D:$D,base_energy_ecm!$A27)</f>
        <v>13497657.445621876</v>
      </c>
      <c r="AK27">
        <f>SUMIFS(base_scenario_arch_measures!AJ:AJ,base_scenario_arch_measures!$E:$E,base_energy_ecm!$B27,base_scenario_arch_measures!$D:$D,base_energy_ecm!$A27)/AG27</f>
        <v>10.109186047829242</v>
      </c>
      <c r="AL27">
        <f t="shared" si="5"/>
        <v>187.48094698245023</v>
      </c>
      <c r="AM27">
        <f>AL27*base_building_arch_areas!$P$3/base_building_arch_areas!$P$2</f>
        <v>187.93136722953565</v>
      </c>
      <c r="AN27">
        <f>AL27*base_building_arch_areas!$P$4/base_building_arch_areas!$P$2</f>
        <v>181.69920363092365</v>
      </c>
      <c r="AO27">
        <f>AL27*base_building_arch_areas!$P$5/base_building_arch_areas!$P$2</f>
        <v>164.33210065067601</v>
      </c>
      <c r="AP27">
        <f>AL27*base_building_arch_areas!$P$6/base_building_arch_areas!$P$2</f>
        <v>159.64724401597257</v>
      </c>
      <c r="AQ27">
        <f>AL27*base_building_arch_areas!$P$7/base_building_arch_areas!$P$2</f>
        <v>159.64724401597257</v>
      </c>
      <c r="AR27">
        <f>Y27*base_building_arch_areas!$P$5</f>
        <v>5301148.1336157108</v>
      </c>
      <c r="AS27">
        <f>(Z27*base_building_arch_areas!$P$5)*0.095</f>
        <v>4316973.7113279719</v>
      </c>
      <c r="AT27">
        <f>(Y27+Z27)*base_building_arch_areas!$P$5</f>
        <v>50742976.673910148</v>
      </c>
    </row>
    <row r="28" spans="1:46">
      <c r="B28" s="184"/>
    </row>
    <row r="29" spans="1:46">
      <c r="AA29">
        <f>AA27*base_building_arch_areas!$P$5</f>
        <v>599029.73909857532</v>
      </c>
      <c r="AB29">
        <f>AB27*base_building_arch_areas!$P$5</f>
        <v>736157.62235276983</v>
      </c>
      <c r="AK29">
        <f>SUMIFS(base_scenario_arch_measures!AJ:AJ,base_scenario_arch_measures!$E:$E,base_energy_ecm!$B27,base_scenario_arch_measures!$D:$D,base_energy_ecm!$A27)/1</f>
        <v>13497657.445621876</v>
      </c>
    </row>
  </sheetData>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sheetPr>
    <tabColor rgb="FF7030A0"/>
  </sheetPr>
  <dimension ref="A1:AI611"/>
  <sheetViews>
    <sheetView workbookViewId="0">
      <selection activeCell="E21" sqref="E21"/>
    </sheetView>
  </sheetViews>
  <sheetFormatPr defaultRowHeight="14.4"/>
  <cols>
    <col min="1" max="1" width="11.33203125" bestFit="1" customWidth="1"/>
    <col min="2" max="2" width="23.44140625" bestFit="1" customWidth="1"/>
    <col min="3" max="3" width="14.109375" bestFit="1" customWidth="1"/>
    <col min="4" max="4" width="5" bestFit="1" customWidth="1"/>
    <col min="5" max="5" width="28" bestFit="1" customWidth="1"/>
    <col min="6" max="6" width="24.5546875" bestFit="1" customWidth="1"/>
    <col min="7" max="7" width="26" style="191" bestFit="1" customWidth="1"/>
    <col min="8" max="8" width="25.88671875" bestFit="1" customWidth="1"/>
    <col min="9" max="9" width="32.44140625" bestFit="1" customWidth="1"/>
    <col min="10" max="10" width="34" bestFit="1" customWidth="1"/>
    <col min="11" max="11" width="33.44140625" bestFit="1" customWidth="1"/>
    <col min="12" max="12" width="36.33203125" bestFit="1" customWidth="1"/>
    <col min="13" max="13" width="41.33203125" bestFit="1" customWidth="1"/>
    <col min="14" max="14" width="23" bestFit="1" customWidth="1"/>
    <col min="15" max="15" width="25" bestFit="1" customWidth="1"/>
    <col min="16" max="16" width="32" bestFit="1" customWidth="1"/>
    <col min="17" max="27" width="32.6640625" style="187" customWidth="1"/>
    <col min="28" max="28" width="32.6640625" customWidth="1"/>
    <col min="29" max="29" width="17.44140625" style="187" customWidth="1"/>
    <col min="30" max="31" width="18.33203125" style="187" customWidth="1"/>
    <col min="32" max="35" width="15.6640625" style="187" customWidth="1"/>
    <col min="36" max="36" width="15.6640625" customWidth="1"/>
  </cols>
  <sheetData>
    <row r="1" spans="1:34">
      <c r="A1" t="str">
        <f>sim_annual_output!B1</f>
        <v>baseline_id</v>
      </c>
      <c r="B1" t="str">
        <f>sim_annual_output!C1</f>
        <v xml:space="preserve">building_name </v>
      </c>
      <c r="C1" t="str">
        <f>sim_annual_output!D1</f>
        <v xml:space="preserve">vintage_name </v>
      </c>
      <c r="D1" t="s">
        <v>992</v>
      </c>
      <c r="E1" t="str">
        <f>sim_annual_output!E1</f>
        <v xml:space="preserve">measure_id </v>
      </c>
      <c r="F1" t="s">
        <v>993</v>
      </c>
      <c r="G1" s="197" t="s">
        <v>1051</v>
      </c>
      <c r="H1" s="131" t="s">
        <v>1027</v>
      </c>
      <c r="I1" s="131"/>
      <c r="J1" s="131"/>
      <c r="K1" s="131"/>
      <c r="L1" s="131"/>
      <c r="M1" s="131"/>
      <c r="N1" s="131"/>
      <c r="O1" s="131"/>
      <c r="P1" s="131"/>
      <c r="Q1" s="196"/>
      <c r="R1" s="196"/>
      <c r="S1" s="196"/>
      <c r="T1" s="196"/>
      <c r="U1" s="196"/>
      <c r="V1" s="196"/>
      <c r="W1" s="196"/>
      <c r="X1" s="196"/>
      <c r="Y1" s="196"/>
      <c r="Z1" s="196"/>
      <c r="AA1" s="196"/>
      <c r="AB1" s="196"/>
      <c r="AC1" s="196"/>
      <c r="AD1" s="196"/>
      <c r="AE1" s="196"/>
      <c r="AF1" s="196"/>
      <c r="AG1" s="196"/>
      <c r="AH1" s="196"/>
    </row>
    <row r="2" spans="1:34">
      <c r="A2">
        <f>sim_annual_output!B2</f>
        <v>1</v>
      </c>
      <c r="B2" t="str">
        <f>sim_annual_output!C2</f>
        <v>Barracks</v>
      </c>
      <c r="C2" t="str">
        <f>sim_annual_output!D2</f>
        <v>1959-pre</v>
      </c>
      <c r="D2">
        <v>2015</v>
      </c>
      <c r="E2" t="str">
        <f>sim_annual_output!E2</f>
        <v>air_temp_reset_enabled</v>
      </c>
      <c r="F2">
        <f t="array" ref="F2">INDEX(base_building_arch_areas!$M$2:$M$161,MATCH($A2&amp;$D2,base_building_arch_areas!$A$2:$A$161&amp;base_building_arch_areas!$E$2:$E$161,0))</f>
        <v>8.6709848029832295E-2</v>
      </c>
      <c r="G2" s="191">
        <f>(model_eui_end_uses!AO2*F2*base_building_arch_areas!$P$6)/1000000</f>
        <v>-46.426398033449878</v>
      </c>
      <c r="AB2" s="187"/>
    </row>
    <row r="3" spans="1:34">
      <c r="A3">
        <f>sim_annual_output!B3</f>
        <v>1</v>
      </c>
      <c r="B3" t="str">
        <f>sim_annual_output!C3</f>
        <v>Barracks</v>
      </c>
      <c r="C3" t="str">
        <f>sim_annual_output!D3</f>
        <v>1959-pre</v>
      </c>
      <c r="D3">
        <v>2015</v>
      </c>
      <c r="E3" t="str">
        <f>sim_annual_output!E3</f>
        <v>baseline</v>
      </c>
      <c r="F3">
        <f t="array" ref="F3">INDEX(base_building_arch_areas!$M$2:$M$161,MATCH($A3&amp;$D3,base_building_arch_areas!$A$2:$A$161&amp;base_building_arch_areas!$E$2:$E$161,0))</f>
        <v>8.6709848029832295E-2</v>
      </c>
      <c r="G3" s="191">
        <f>(model_eui_end_uses!AO3*F3*base_building_arch_areas!$P$6)/1000000</f>
        <v>0</v>
      </c>
      <c r="AB3" s="187"/>
    </row>
    <row r="4" spans="1:34">
      <c r="A4">
        <f>sim_annual_output!B4</f>
        <v>1</v>
      </c>
      <c r="B4" t="str">
        <f>sim_annual_output!C4</f>
        <v>Barracks</v>
      </c>
      <c r="C4" t="str">
        <f>sim_annual_output!D4</f>
        <v>1959-pre</v>
      </c>
      <c r="D4">
        <v>2015</v>
      </c>
      <c r="E4" t="str">
        <f>sim_annual_output!E4</f>
        <v>boiler_eff_upgrade</v>
      </c>
      <c r="F4">
        <f t="array" ref="F4">INDEX(base_building_arch_areas!$M$2:$M$161,MATCH($A4&amp;$D4,base_building_arch_areas!$A$2:$A$161&amp;base_building_arch_areas!$E$2:$E$161,0))</f>
        <v>8.6709848029832295E-2</v>
      </c>
      <c r="G4" s="191">
        <f>(model_eui_end_uses!AO4*F4*base_building_arch_areas!$P$6)/1000000</f>
        <v>-2.3225790315680723</v>
      </c>
      <c r="AB4" s="187"/>
    </row>
    <row r="5" spans="1:34">
      <c r="A5">
        <f>sim_annual_output!B5</f>
        <v>1</v>
      </c>
      <c r="B5" t="str">
        <f>sim_annual_output!C5</f>
        <v>Barracks</v>
      </c>
      <c r="C5" t="str">
        <f>sim_annual_output!D5</f>
        <v>1959-pre</v>
      </c>
      <c r="D5">
        <v>2015</v>
      </c>
      <c r="E5" t="str">
        <f>sim_annual_output!E5</f>
        <v>boiler_reset</v>
      </c>
      <c r="F5">
        <f t="array" ref="F5">INDEX(base_building_arch_areas!$M$2:$M$161,MATCH($A5&amp;$D5,base_building_arch_areas!$A$2:$A$161&amp;base_building_arch_areas!$E$2:$E$161,0))</f>
        <v>8.6709848029832295E-2</v>
      </c>
      <c r="G5" s="191">
        <f>(model_eui_end_uses!AO5*F5*base_building_arch_areas!$P$6)/1000000</f>
        <v>144.30457992761916</v>
      </c>
      <c r="AB5" s="187"/>
    </row>
    <row r="6" spans="1:34">
      <c r="A6">
        <f>sim_annual_output!B6</f>
        <v>1</v>
      </c>
      <c r="B6" t="str">
        <f>sim_annual_output!C6</f>
        <v>Barracks</v>
      </c>
      <c r="C6" t="str">
        <f>sim_annual_output!D6</f>
        <v>1959-pre</v>
      </c>
      <c r="D6">
        <v>2015</v>
      </c>
      <c r="E6" t="str">
        <f>sim_annual_output!E6</f>
        <v>cooling_cop_3_0</v>
      </c>
      <c r="F6">
        <f t="array" ref="F6">INDEX(base_building_arch_areas!$M$2:$M$161,MATCH($A6&amp;$D6,base_building_arch_areas!$A$2:$A$161&amp;base_building_arch_areas!$E$2:$E$161,0))</f>
        <v>8.6709848029832295E-2</v>
      </c>
      <c r="G6" s="191">
        <f>(model_eui_end_uses!AO6*F6*base_building_arch_areas!$P$6)/1000000</f>
        <v>2.25335666509118</v>
      </c>
      <c r="AB6" s="187"/>
    </row>
    <row r="7" spans="1:34">
      <c r="A7">
        <f>sim_annual_output!B7</f>
        <v>1</v>
      </c>
      <c r="B7" t="str">
        <f>sim_annual_output!C7</f>
        <v>Barracks</v>
      </c>
      <c r="C7" t="str">
        <f>sim_annual_output!D7</f>
        <v>1959-pre</v>
      </c>
      <c r="D7">
        <v>2015</v>
      </c>
      <c r="E7" t="str">
        <f>sim_annual_output!E7</f>
        <v>dcv_enabled</v>
      </c>
      <c r="F7">
        <f t="array" ref="F7">INDEX(base_building_arch_areas!$M$2:$M$161,MATCH($A7&amp;$D7,base_building_arch_areas!$A$2:$A$161&amp;base_building_arch_areas!$E$2:$E$161,0))</f>
        <v>8.6709848029832295E-2</v>
      </c>
      <c r="G7" s="191">
        <f>(model_eui_end_uses!AO7*F7*base_building_arch_areas!$P$6)/1000000</f>
        <v>5.2527940272287017</v>
      </c>
      <c r="AB7" s="187"/>
    </row>
    <row r="8" spans="1:34">
      <c r="A8">
        <f>sim_annual_output!B8</f>
        <v>1</v>
      </c>
      <c r="B8" t="str">
        <f>sim_annual_output!C8</f>
        <v>Barracks</v>
      </c>
      <c r="C8" t="str">
        <f>sim_annual_output!D8</f>
        <v>1959-pre</v>
      </c>
      <c r="D8">
        <v>2015</v>
      </c>
      <c r="E8" t="str">
        <f>sim_annual_output!E8</f>
        <v>ecm_cold_deck_reset_control</v>
      </c>
      <c r="F8">
        <f t="array" ref="F8">INDEX(base_building_arch_areas!$M$2:$M$161,MATCH($A8&amp;$D8,base_building_arch_areas!$A$2:$A$161&amp;base_building_arch_areas!$E$2:$E$161,0))</f>
        <v>8.6709848029832295E-2</v>
      </c>
      <c r="G8" s="191">
        <f>(model_eui_end_uses!AO8*F8*base_building_arch_areas!$P$6)/1000000</f>
        <v>-19.162665595310166</v>
      </c>
      <c r="AB8" s="187"/>
    </row>
    <row r="9" spans="1:34">
      <c r="A9">
        <f>sim_annual_output!B9</f>
        <v>1</v>
      </c>
      <c r="B9" t="str">
        <f>sim_annual_output!C9</f>
        <v>Barracks</v>
      </c>
      <c r="C9" t="str">
        <f>sim_annual_output!D9</f>
        <v>1959-pre</v>
      </c>
      <c r="D9">
        <v>2015</v>
      </c>
      <c r="E9" t="str">
        <f>sim_annual_output!E9</f>
        <v>economizers_enabled</v>
      </c>
      <c r="F9">
        <f t="array" ref="F9">INDEX(base_building_arch_areas!$M$2:$M$161,MATCH($A9&amp;$D9,base_building_arch_areas!$A$2:$A$161&amp;base_building_arch_areas!$E$2:$E$161,0))</f>
        <v>8.6709848029832295E-2</v>
      </c>
      <c r="G9" s="191">
        <f>(model_eui_end_uses!AO9*F9*base_building_arch_areas!$P$6)/1000000</f>
        <v>1.5101471728850804</v>
      </c>
      <c r="AB9" s="187"/>
    </row>
    <row r="10" spans="1:34">
      <c r="A10">
        <f>sim_annual_output!B10</f>
        <v>1</v>
      </c>
      <c r="B10" t="str">
        <f>sim_annual_output!C10</f>
        <v>Barracks</v>
      </c>
      <c r="C10" t="str">
        <f>sim_annual_output!D10</f>
        <v>1959-pre</v>
      </c>
      <c r="D10">
        <v>2015</v>
      </c>
      <c r="E10" t="str">
        <f>sim_annual_output!E10</f>
        <v>elec_reduce</v>
      </c>
      <c r="F10">
        <f t="array" ref="F10">INDEX(base_building_arch_areas!$M$2:$M$161,MATCH($A10&amp;$D10,base_building_arch_areas!$A$2:$A$161&amp;base_building_arch_areas!$E$2:$E$161,0))</f>
        <v>8.6709848029832295E-2</v>
      </c>
      <c r="G10" s="191">
        <f>(model_eui_end_uses!AO10*F10*base_building_arch_areas!$P$6)/1000000</f>
        <v>58.535572798225694</v>
      </c>
      <c r="AB10" s="187"/>
    </row>
    <row r="11" spans="1:34">
      <c r="A11">
        <f>sim_annual_output!B11</f>
        <v>1</v>
      </c>
      <c r="B11" t="str">
        <f>sim_annual_output!C11</f>
        <v>Barracks</v>
      </c>
      <c r="C11" t="str">
        <f>sim_annual_output!D11</f>
        <v>1959-pre</v>
      </c>
      <c r="D11">
        <v>2015</v>
      </c>
      <c r="E11" t="str">
        <f>sim_annual_output!E11</f>
        <v>envelope_ecm_roof</v>
      </c>
      <c r="F11">
        <f t="array" ref="F11">INDEX(base_building_arch_areas!$M$2:$M$161,MATCH($A11&amp;$D11,base_building_arch_areas!$A$2:$A$161&amp;base_building_arch_areas!$E$2:$E$161,0))</f>
        <v>8.6709848029832295E-2</v>
      </c>
      <c r="G11" s="191">
        <f>(model_eui_end_uses!AO11*F11*base_building_arch_areas!$P$6)/1000000</f>
        <v>-0.34815552840629616</v>
      </c>
      <c r="AB11" s="187"/>
    </row>
    <row r="12" spans="1:34">
      <c r="A12">
        <f>sim_annual_output!B12</f>
        <v>1</v>
      </c>
      <c r="B12" t="str">
        <f>sim_annual_output!C12</f>
        <v>Barracks</v>
      </c>
      <c r="C12" t="str">
        <f>sim_annual_output!D12</f>
        <v>1959-pre</v>
      </c>
      <c r="D12">
        <v>2015</v>
      </c>
      <c r="E12" t="str">
        <f>sim_annual_output!E12</f>
        <v>envelope_ecm_wall</v>
      </c>
      <c r="F12">
        <f t="array" ref="F12">INDEX(base_building_arch_areas!$M$2:$M$161,MATCH($A12&amp;$D12,base_building_arch_areas!$A$2:$A$161&amp;base_building_arch_areas!$E$2:$E$161,0))</f>
        <v>8.6709848029832295E-2</v>
      </c>
      <c r="G12" s="191">
        <f>(model_eui_end_uses!AO12*F12*base_building_arch_areas!$P$6)/1000000</f>
        <v>14.738521345807889</v>
      </c>
      <c r="AB12" s="187"/>
    </row>
    <row r="13" spans="1:34">
      <c r="A13">
        <f>sim_annual_output!B13</f>
        <v>1</v>
      </c>
      <c r="B13" t="str">
        <f>sim_annual_output!C13</f>
        <v>Barracks</v>
      </c>
      <c r="C13" t="str">
        <f>sim_annual_output!D13</f>
        <v>1959-pre</v>
      </c>
      <c r="D13">
        <v>2015</v>
      </c>
      <c r="E13" t="str">
        <f>sim_annual_output!E13</f>
        <v>envelope_ecm_windows</v>
      </c>
      <c r="F13">
        <f t="array" ref="F13">INDEX(base_building_arch_areas!$M$2:$M$161,MATCH($A13&amp;$D13,base_building_arch_areas!$A$2:$A$161&amp;base_building_arch_areas!$E$2:$E$161,0))</f>
        <v>8.6709848029832295E-2</v>
      </c>
      <c r="G13" s="191">
        <f>(model_eui_end_uses!AO13*F13*base_building_arch_areas!$P$6)/1000000</f>
        <v>28.197488373840443</v>
      </c>
      <c r="AB13" s="187"/>
    </row>
    <row r="14" spans="1:34">
      <c r="A14">
        <f>sim_annual_output!B14</f>
        <v>1</v>
      </c>
      <c r="B14" t="str">
        <f>sim_annual_output!C14</f>
        <v>Barracks</v>
      </c>
      <c r="C14" t="str">
        <f>sim_annual_output!D14</f>
        <v>1959-pre</v>
      </c>
      <c r="D14">
        <v>2015</v>
      </c>
      <c r="E14" t="str">
        <f>sim_annual_output!E14</f>
        <v>fans_to_variable</v>
      </c>
      <c r="F14">
        <f t="array" ref="F14">INDEX(base_building_arch_areas!$M$2:$M$161,MATCH($A14&amp;$D14,base_building_arch_areas!$A$2:$A$161&amp;base_building_arch_areas!$E$2:$E$161,0))</f>
        <v>8.6709848029832295E-2</v>
      </c>
      <c r="G14" s="191">
        <f>(model_eui_end_uses!AO14*F14*base_building_arch_areas!$P$6)/1000000</f>
        <v>-1.7581302511975652</v>
      </c>
      <c r="AB14" s="187"/>
    </row>
    <row r="15" spans="1:34">
      <c r="A15">
        <f>sim_annual_output!B15</f>
        <v>1</v>
      </c>
      <c r="B15" t="str">
        <f>sim_annual_output!C15</f>
        <v>Barracks</v>
      </c>
      <c r="C15" t="str">
        <f>sim_annual_output!D15</f>
        <v>1959-pre</v>
      </c>
      <c r="D15">
        <v>2015</v>
      </c>
      <c r="E15" t="str">
        <f>sim_annual_output!E15</f>
        <v>hrv_enabled</v>
      </c>
      <c r="F15">
        <f t="array" ref="F15">INDEX(base_building_arch_areas!$M$2:$M$161,MATCH($A15&amp;$D15,base_building_arch_areas!$A$2:$A$161&amp;base_building_arch_areas!$E$2:$E$161,0))</f>
        <v>8.6709848029832295E-2</v>
      </c>
      <c r="G15" s="191">
        <f>(model_eui_end_uses!AO15*F15*base_building_arch_areas!$P$6)/1000000</f>
        <v>-9.6107250332307519</v>
      </c>
      <c r="AB15" s="187"/>
    </row>
    <row r="16" spans="1:34">
      <c r="A16">
        <f>sim_annual_output!B16</f>
        <v>1</v>
      </c>
      <c r="B16" t="str">
        <f>sim_annual_output!C16</f>
        <v>Barracks</v>
      </c>
      <c r="C16" t="str">
        <f>sim_annual_output!D16</f>
        <v>1959-pre</v>
      </c>
      <c r="D16">
        <v>2015</v>
      </c>
      <c r="E16" t="str">
        <f>sim_annual_output!E16</f>
        <v>infil_reduce</v>
      </c>
      <c r="F16">
        <f t="array" ref="F16">INDEX(base_building_arch_areas!$M$2:$M$161,MATCH($A16&amp;$D16,base_building_arch_areas!$A$2:$A$161&amp;base_building_arch_areas!$E$2:$E$161,0))</f>
        <v>8.6709848029832295E-2</v>
      </c>
      <c r="G16" s="191">
        <f>(model_eui_end_uses!AO16*F16*base_building_arch_areas!$P$6)/1000000</f>
        <v>154.89711909809137</v>
      </c>
      <c r="AB16" s="187"/>
    </row>
    <row r="17" spans="1:28">
      <c r="A17">
        <f>sim_annual_output!B17</f>
        <v>1</v>
      </c>
      <c r="B17" t="str">
        <f>sim_annual_output!C17</f>
        <v>Barracks</v>
      </c>
      <c r="C17" t="str">
        <f>sim_annual_output!D17</f>
        <v>1959-pre</v>
      </c>
      <c r="D17">
        <v>2015</v>
      </c>
      <c r="E17" t="str">
        <f>sim_annual_output!E17</f>
        <v>infil_reduce_plus_setback</v>
      </c>
      <c r="F17">
        <f t="array" ref="F17">INDEX(base_building_arch_areas!$M$2:$M$161,MATCH($A17&amp;$D17,base_building_arch_areas!$A$2:$A$161&amp;base_building_arch_areas!$E$2:$E$161,0))</f>
        <v>8.6709848029832295E-2</v>
      </c>
      <c r="G17" s="191">
        <f>(model_eui_end_uses!AO17*F17*base_building_arch_areas!$P$6)/1000000</f>
        <v>184.35769311041571</v>
      </c>
      <c r="AB17" s="187"/>
    </row>
    <row r="18" spans="1:28">
      <c r="A18">
        <f>sim_annual_output!B18</f>
        <v>1</v>
      </c>
      <c r="B18" t="str">
        <f>sim_annual_output!C18</f>
        <v>Barracks</v>
      </c>
      <c r="C18" t="str">
        <f>sim_annual_output!D18</f>
        <v>1959-pre</v>
      </c>
      <c r="D18">
        <v>2015</v>
      </c>
      <c r="E18" t="str">
        <f>sim_annual_output!E18</f>
        <v>lights_reduce_70p</v>
      </c>
      <c r="F18">
        <f t="array" ref="F18">INDEX(base_building_arch_areas!$M$2:$M$161,MATCH($A18&amp;$D18,base_building_arch_areas!$A$2:$A$161&amp;base_building_arch_areas!$E$2:$E$161,0))</f>
        <v>8.6709848029832295E-2</v>
      </c>
      <c r="G18" s="191">
        <f>(model_eui_end_uses!AO18*F18*base_building_arch_areas!$P$6)/1000000</f>
        <v>37.552488106099723</v>
      </c>
      <c r="AB18" s="187"/>
    </row>
    <row r="19" spans="1:28">
      <c r="A19">
        <f>sim_annual_output!B19</f>
        <v>1</v>
      </c>
      <c r="B19" t="str">
        <f>sim_annual_output!C19</f>
        <v>Barracks</v>
      </c>
      <c r="C19" t="str">
        <f>sim_annual_output!D19</f>
        <v>1959-pre</v>
      </c>
      <c r="D19">
        <v>2015</v>
      </c>
      <c r="E19" t="str">
        <f>sim_annual_output!E19</f>
        <v>load_reduce</v>
      </c>
      <c r="F19">
        <f t="array" ref="F19">INDEX(base_building_arch_areas!$M$2:$M$161,MATCH($A19&amp;$D19,base_building_arch_areas!$A$2:$A$161&amp;base_building_arch_areas!$E$2:$E$161,0))</f>
        <v>8.6709848029832295E-2</v>
      </c>
      <c r="G19" s="191">
        <f>(model_eui_end_uses!AO19*F19*base_building_arch_areas!$P$6)/1000000</f>
        <v>248.13983481271191</v>
      </c>
      <c r="AB19" s="187"/>
    </row>
    <row r="20" spans="1:28">
      <c r="A20">
        <f>sim_annual_output!B20</f>
        <v>1</v>
      </c>
      <c r="B20" t="str">
        <f>sim_annual_output!C20</f>
        <v>Barracks</v>
      </c>
      <c r="C20" t="str">
        <f>sim_annual_output!D20</f>
        <v>1959-pre</v>
      </c>
      <c r="D20">
        <v>2015</v>
      </c>
      <c r="E20" t="str">
        <f>sim_annual_output!E20</f>
        <v>occupancy_setback</v>
      </c>
      <c r="F20">
        <f t="array" ref="F20">INDEX(base_building_arch_areas!$M$2:$M$161,MATCH($A20&amp;$D20,base_building_arch_areas!$A$2:$A$161&amp;base_building_arch_areas!$E$2:$E$161,0))</f>
        <v>8.6709848029832295E-2</v>
      </c>
      <c r="G20" s="191">
        <f>(model_eui_end_uses!AO20*F20*base_building_arch_areas!$P$6)/1000000</f>
        <v>1.0419276377075355</v>
      </c>
      <c r="AB20" s="187"/>
    </row>
    <row r="21" spans="1:28">
      <c r="A21">
        <f>sim_annual_output!B21</f>
        <v>1</v>
      </c>
      <c r="B21" t="str">
        <f>sim_annual_output!C21</f>
        <v>Barracks</v>
      </c>
      <c r="C21" t="str">
        <f>sim_annual_output!D21</f>
        <v>1959-pre</v>
      </c>
      <c r="D21">
        <v>2015</v>
      </c>
      <c r="E21" t="str">
        <f>sim_annual_output!E21</f>
        <v>payback_less_than_20</v>
      </c>
      <c r="F21">
        <f t="array" ref="F21">INDEX(base_building_arch_areas!$M$2:$M$161,MATCH($A21&amp;$D21,base_building_arch_areas!$A$2:$A$161&amp;base_building_arch_areas!$E$2:$E$161,0))</f>
        <v>8.6709848029832295E-2</v>
      </c>
      <c r="G21" s="191">
        <f>(model_eui_end_uses!AO21*F21*base_building_arch_areas!$P$6)/1000000</f>
        <v>281.60822837269723</v>
      </c>
      <c r="AB21" s="187"/>
    </row>
    <row r="22" spans="1:28">
      <c r="A22">
        <f>sim_annual_output!B22</f>
        <v>1</v>
      </c>
      <c r="B22" t="str">
        <f>sim_annual_output!C22</f>
        <v>Barracks</v>
      </c>
      <c r="C22" t="str">
        <f>sim_annual_output!D22</f>
        <v>1959-pre</v>
      </c>
      <c r="D22">
        <v>2015</v>
      </c>
      <c r="E22" t="str">
        <f>sim_annual_output!E22</f>
        <v>plug_loads_90_percent</v>
      </c>
      <c r="F22">
        <f t="array" ref="F22">INDEX(base_building_arch_areas!$M$2:$M$161,MATCH($A22&amp;$D22,base_building_arch_areas!$A$2:$A$161&amp;base_building_arch_areas!$E$2:$E$161,0))</f>
        <v>8.6709848029832295E-2</v>
      </c>
      <c r="G22" s="191">
        <f>(model_eui_end_uses!AO22*F22*base_building_arch_areas!$P$6)/1000000</f>
        <v>-2.5061731471851285</v>
      </c>
      <c r="AB22" s="187"/>
    </row>
    <row r="23" spans="1:28">
      <c r="A23">
        <f>sim_annual_output!B23</f>
        <v>1</v>
      </c>
      <c r="B23" t="str">
        <f>sim_annual_output!C23</f>
        <v>Barracks</v>
      </c>
      <c r="C23" t="str">
        <f>sim_annual_output!D23</f>
        <v>1959-pre</v>
      </c>
      <c r="D23">
        <v>2015</v>
      </c>
      <c r="E23" t="str">
        <f>sim_annual_output!E23</f>
        <v>pump_fan_eff_</v>
      </c>
      <c r="F23">
        <f t="array" ref="F23">INDEX(base_building_arch_areas!$M$2:$M$161,MATCH($A23&amp;$D23,base_building_arch_areas!$A$2:$A$161&amp;base_building_arch_areas!$E$2:$E$161,0))</f>
        <v>8.6709848029832295E-2</v>
      </c>
      <c r="G23" s="191">
        <f>(model_eui_end_uses!AO23*F23*base_building_arch_areas!$P$6)/1000000</f>
        <v>10.728927669392011</v>
      </c>
      <c r="AB23" s="187"/>
    </row>
    <row r="24" spans="1:28">
      <c r="A24">
        <f>sim_annual_output!B24</f>
        <v>2</v>
      </c>
      <c r="B24" t="str">
        <f>sim_annual_output!C24</f>
        <v>Fire Hall</v>
      </c>
      <c r="C24" t="str">
        <f>sim_annual_output!D24</f>
        <v>1959-pre</v>
      </c>
      <c r="D24">
        <v>2015</v>
      </c>
      <c r="E24" t="str">
        <f>sim_annual_output!E24</f>
        <v>air_temp_reset_enabled</v>
      </c>
      <c r="F24">
        <f t="array" ref="F24">INDEX(base_building_arch_areas!$M$2:$M$161,MATCH($A24&amp;$D24,base_building_arch_areas!$A$2:$A$161&amp;base_building_arch_areas!$E$2:$E$161,0))</f>
        <v>5.5697909059876328E-3</v>
      </c>
      <c r="G24" s="191">
        <f>(model_eui_end_uses!AO24*F24*base_building_arch_areas!$P$6)/1000000</f>
        <v>-0.33860294689751463</v>
      </c>
      <c r="AB24" s="187"/>
    </row>
    <row r="25" spans="1:28">
      <c r="A25">
        <f>sim_annual_output!B25</f>
        <v>2</v>
      </c>
      <c r="B25" t="str">
        <f>sim_annual_output!C25</f>
        <v>Fire Hall</v>
      </c>
      <c r="C25" t="str">
        <f>sim_annual_output!D25</f>
        <v>1959-pre</v>
      </c>
      <c r="D25">
        <v>2015</v>
      </c>
      <c r="E25" t="str">
        <f>sim_annual_output!E25</f>
        <v>baseline</v>
      </c>
      <c r="F25">
        <f t="array" ref="F25">INDEX(base_building_arch_areas!$M$2:$M$161,MATCH($A25&amp;$D25,base_building_arch_areas!$A$2:$A$161&amp;base_building_arch_areas!$E$2:$E$161,0))</f>
        <v>5.5697909059876328E-3</v>
      </c>
      <c r="G25" s="191">
        <f>(model_eui_end_uses!AO25*F25*base_building_arch_areas!$P$6)/1000000</f>
        <v>0</v>
      </c>
      <c r="AB25" s="187"/>
    </row>
    <row r="26" spans="1:28">
      <c r="A26">
        <f>sim_annual_output!B26</f>
        <v>2</v>
      </c>
      <c r="B26" t="str">
        <f>sim_annual_output!C26</f>
        <v>Fire Hall</v>
      </c>
      <c r="C26" t="str">
        <f>sim_annual_output!D26</f>
        <v>1959-pre</v>
      </c>
      <c r="D26">
        <v>2015</v>
      </c>
      <c r="E26" t="str">
        <f>sim_annual_output!E26</f>
        <v>boiler_eff_upgrade</v>
      </c>
      <c r="F26">
        <f t="array" ref="F26">INDEX(base_building_arch_areas!$M$2:$M$161,MATCH($A26&amp;$D26,base_building_arch_areas!$A$2:$A$161&amp;base_building_arch_areas!$E$2:$E$161,0))</f>
        <v>5.5697909059876328E-3</v>
      </c>
      <c r="G26" s="191">
        <f>(model_eui_end_uses!AO26*F26*base_building_arch_areas!$P$6)/1000000</f>
        <v>1.3737109382892532</v>
      </c>
      <c r="AB26" s="187"/>
    </row>
    <row r="27" spans="1:28">
      <c r="A27">
        <f>sim_annual_output!B27</f>
        <v>2</v>
      </c>
      <c r="B27" t="str">
        <f>sim_annual_output!C27</f>
        <v>Fire Hall</v>
      </c>
      <c r="C27" t="str">
        <f>sim_annual_output!D27</f>
        <v>1959-pre</v>
      </c>
      <c r="D27">
        <v>2015</v>
      </c>
      <c r="E27" t="str">
        <f>sim_annual_output!E27</f>
        <v>boiler_reset</v>
      </c>
      <c r="F27">
        <f t="array" ref="F27">INDEX(base_building_arch_areas!$M$2:$M$161,MATCH($A27&amp;$D27,base_building_arch_areas!$A$2:$A$161&amp;base_building_arch_areas!$E$2:$E$161,0))</f>
        <v>5.5697909059876328E-3</v>
      </c>
      <c r="G27" s="191">
        <f>(model_eui_end_uses!AO27*F27*base_building_arch_areas!$P$6)/1000000</f>
        <v>29.156752901020354</v>
      </c>
      <c r="AB27" s="187"/>
    </row>
    <row r="28" spans="1:28">
      <c r="A28">
        <f>sim_annual_output!B28</f>
        <v>2</v>
      </c>
      <c r="B28" t="str">
        <f>sim_annual_output!C28</f>
        <v>Fire Hall</v>
      </c>
      <c r="C28" t="str">
        <f>sim_annual_output!D28</f>
        <v>1959-pre</v>
      </c>
      <c r="D28">
        <v>2015</v>
      </c>
      <c r="E28" t="str">
        <f>sim_annual_output!E28</f>
        <v>cooling_cop_3_0</v>
      </c>
      <c r="F28">
        <f t="array" ref="F28">INDEX(base_building_arch_areas!$M$2:$M$161,MATCH($A28&amp;$D28,base_building_arch_areas!$A$2:$A$161&amp;base_building_arch_areas!$E$2:$E$161,0))</f>
        <v>5.5697909059876328E-3</v>
      </c>
      <c r="G28" s="191">
        <f>(model_eui_end_uses!AO28*F28*base_building_arch_areas!$P$6)/1000000</f>
        <v>1.7926673755679101</v>
      </c>
      <c r="AB28" s="187"/>
    </row>
    <row r="29" spans="1:28">
      <c r="A29">
        <f>sim_annual_output!B29</f>
        <v>2</v>
      </c>
      <c r="B29" t="str">
        <f>sim_annual_output!C29</f>
        <v>Fire Hall</v>
      </c>
      <c r="C29" t="str">
        <f>sim_annual_output!D29</f>
        <v>1959-pre</v>
      </c>
      <c r="D29">
        <v>2015</v>
      </c>
      <c r="E29" t="str">
        <f>sim_annual_output!E29</f>
        <v>dcv_enabled</v>
      </c>
      <c r="F29">
        <f t="array" ref="F29">INDEX(base_building_arch_areas!$M$2:$M$161,MATCH($A29&amp;$D29,base_building_arch_areas!$A$2:$A$161&amp;base_building_arch_areas!$E$2:$E$161,0))</f>
        <v>5.5697909059876328E-3</v>
      </c>
      <c r="G29" s="191">
        <f>(model_eui_end_uses!AO29*F29*base_building_arch_areas!$P$6)/1000000</f>
        <v>1.3737109382892532</v>
      </c>
      <c r="AB29" s="187"/>
    </row>
    <row r="30" spans="1:28">
      <c r="A30">
        <f>sim_annual_output!B30</f>
        <v>2</v>
      </c>
      <c r="B30" t="str">
        <f>sim_annual_output!C30</f>
        <v>Fire Hall</v>
      </c>
      <c r="C30" t="str">
        <f>sim_annual_output!D30</f>
        <v>1959-pre</v>
      </c>
      <c r="D30">
        <v>2015</v>
      </c>
      <c r="E30" t="str">
        <f>sim_annual_output!E30</f>
        <v>ecm_cold_deck_reset_control</v>
      </c>
      <c r="F30">
        <f t="array" ref="F30">INDEX(base_building_arch_areas!$M$2:$M$161,MATCH($A30&amp;$D30,base_building_arch_areas!$A$2:$A$161&amp;base_building_arch_areas!$E$2:$E$161,0))</f>
        <v>5.5697909059876328E-3</v>
      </c>
      <c r="G30" s="191">
        <f>(model_eui_end_uses!AO30*F30*base_building_arch_areas!$P$6)/1000000</f>
        <v>11.638421216943849</v>
      </c>
      <c r="AB30" s="187"/>
    </row>
    <row r="31" spans="1:28">
      <c r="A31">
        <f>sim_annual_output!B31</f>
        <v>2</v>
      </c>
      <c r="B31" t="str">
        <f>sim_annual_output!C31</f>
        <v>Fire Hall</v>
      </c>
      <c r="C31" t="str">
        <f>sim_annual_output!D31</f>
        <v>1959-pre</v>
      </c>
      <c r="D31">
        <v>2015</v>
      </c>
      <c r="E31" t="str">
        <f>sim_annual_output!E31</f>
        <v>economizers_enabled</v>
      </c>
      <c r="F31">
        <f t="array" ref="F31">INDEX(base_building_arch_areas!$M$2:$M$161,MATCH($A31&amp;$D31,base_building_arch_areas!$A$2:$A$161&amp;base_building_arch_areas!$E$2:$E$161,0))</f>
        <v>5.5697909059876328E-3</v>
      </c>
      <c r="G31" s="191">
        <f>(model_eui_end_uses!AO31*F31*base_building_arch_areas!$P$6)/1000000</f>
        <v>1.9317309490656309</v>
      </c>
      <c r="AB31" s="187"/>
    </row>
    <row r="32" spans="1:28">
      <c r="A32">
        <f>sim_annual_output!B32</f>
        <v>2</v>
      </c>
      <c r="B32" t="str">
        <f>sim_annual_output!C32</f>
        <v>Fire Hall</v>
      </c>
      <c r="C32" t="str">
        <f>sim_annual_output!D32</f>
        <v>1959-pre</v>
      </c>
      <c r="D32">
        <v>2015</v>
      </c>
      <c r="E32" t="str">
        <f>sim_annual_output!E32</f>
        <v>elec_reduce</v>
      </c>
      <c r="F32">
        <f t="array" ref="F32">INDEX(base_building_arch_areas!$M$2:$M$161,MATCH($A32&amp;$D32,base_building_arch_areas!$A$2:$A$161&amp;base_building_arch_areas!$E$2:$E$161,0))</f>
        <v>5.5697909059876328E-3</v>
      </c>
      <c r="G32" s="191">
        <f>(model_eui_end_uses!AO32*F32*base_building_arch_areas!$P$6)/1000000</f>
        <v>24.511864344663895</v>
      </c>
      <c r="AB32" s="187"/>
    </row>
    <row r="33" spans="1:28">
      <c r="A33">
        <f>sim_annual_output!B33</f>
        <v>2</v>
      </c>
      <c r="B33" t="str">
        <f>sim_annual_output!C33</f>
        <v>Fire Hall</v>
      </c>
      <c r="C33" t="str">
        <f>sim_annual_output!D33</f>
        <v>1959-pre</v>
      </c>
      <c r="D33">
        <v>2015</v>
      </c>
      <c r="E33" t="str">
        <f>sim_annual_output!E33</f>
        <v>envelope_ecm_roof</v>
      </c>
      <c r="F33">
        <f t="array" ref="F33">INDEX(base_building_arch_areas!$M$2:$M$161,MATCH($A33&amp;$D33,base_building_arch_areas!$A$2:$A$161&amp;base_building_arch_areas!$E$2:$E$161,0))</f>
        <v>5.5697909059876328E-3</v>
      </c>
      <c r="G33" s="191">
        <f>(model_eui_end_uses!AO33*F33*base_building_arch_areas!$P$6)/1000000</f>
        <v>3.417514740823254</v>
      </c>
      <c r="AB33" s="187"/>
    </row>
    <row r="34" spans="1:28">
      <c r="A34">
        <f>sim_annual_output!B34</f>
        <v>2</v>
      </c>
      <c r="B34" t="str">
        <f>sim_annual_output!C34</f>
        <v>Fire Hall</v>
      </c>
      <c r="C34" t="str">
        <f>sim_annual_output!D34</f>
        <v>1959-pre</v>
      </c>
      <c r="D34">
        <v>2015</v>
      </c>
      <c r="E34" t="str">
        <f>sim_annual_output!E34</f>
        <v>envelope_ecm_wall</v>
      </c>
      <c r="F34">
        <f t="array" ref="F34">INDEX(base_building_arch_areas!$M$2:$M$161,MATCH($A34&amp;$D34,base_building_arch_areas!$A$2:$A$161&amp;base_building_arch_areas!$E$2:$E$161,0))</f>
        <v>5.5697909059876328E-3</v>
      </c>
      <c r="G34" s="191">
        <f>(model_eui_end_uses!AO34*F34*base_building_arch_areas!$P$6)/1000000</f>
        <v>4.8743414461314112</v>
      </c>
      <c r="AB34" s="187"/>
    </row>
    <row r="35" spans="1:28">
      <c r="A35">
        <f>sim_annual_output!B35</f>
        <v>2</v>
      </c>
      <c r="B35" t="str">
        <f>sim_annual_output!C35</f>
        <v>Fire Hall</v>
      </c>
      <c r="C35" t="str">
        <f>sim_annual_output!D35</f>
        <v>1959-pre</v>
      </c>
      <c r="D35">
        <v>2015</v>
      </c>
      <c r="E35" t="str">
        <f>sim_annual_output!E35</f>
        <v>envelope_ecm_windows</v>
      </c>
      <c r="F35">
        <f t="array" ref="F35">INDEX(base_building_arch_areas!$M$2:$M$161,MATCH($A35&amp;$D35,base_building_arch_areas!$A$2:$A$161&amp;base_building_arch_areas!$E$2:$E$161,0))</f>
        <v>5.5697909059876328E-3</v>
      </c>
      <c r="G35" s="191">
        <f>(model_eui_end_uses!AO35*F35*base_building_arch_areas!$P$6)/1000000</f>
        <v>4.0754047631169588</v>
      </c>
      <c r="AB35" s="187"/>
    </row>
    <row r="36" spans="1:28">
      <c r="A36">
        <f>sim_annual_output!B36</f>
        <v>2</v>
      </c>
      <c r="B36" t="str">
        <f>sim_annual_output!C36</f>
        <v>Fire Hall</v>
      </c>
      <c r="C36" t="str">
        <f>sim_annual_output!D36</f>
        <v>1959-pre</v>
      </c>
      <c r="D36">
        <v>2015</v>
      </c>
      <c r="E36" t="str">
        <f>sim_annual_output!E36</f>
        <v>fans_to_variable</v>
      </c>
      <c r="F36">
        <f t="array" ref="F36">INDEX(base_building_arch_areas!$M$2:$M$161,MATCH($A36&amp;$D36,base_building_arch_areas!$A$2:$A$161&amp;base_building_arch_areas!$E$2:$E$161,0))</f>
        <v>5.5697909059876328E-3</v>
      </c>
      <c r="G36" s="191">
        <f>(model_eui_end_uses!AO36*F36*base_building_arch_areas!$P$6)/1000000</f>
        <v>1.4648627231783526</v>
      </c>
      <c r="AB36" s="187"/>
    </row>
    <row r="37" spans="1:28">
      <c r="A37">
        <f>sim_annual_output!B37</f>
        <v>2</v>
      </c>
      <c r="B37" t="str">
        <f>sim_annual_output!C37</f>
        <v>Fire Hall</v>
      </c>
      <c r="C37" t="str">
        <f>sim_annual_output!D37</f>
        <v>1959-pre</v>
      </c>
      <c r="D37">
        <v>2015</v>
      </c>
      <c r="E37" t="str">
        <f>sim_annual_output!E37</f>
        <v>hrv_enabled</v>
      </c>
      <c r="F37">
        <f t="array" ref="F37">INDEX(base_building_arch_areas!$M$2:$M$161,MATCH($A37&amp;$D37,base_building_arch_areas!$A$2:$A$161&amp;base_building_arch_areas!$E$2:$E$161,0))</f>
        <v>5.5697909059876328E-3</v>
      </c>
      <c r="G37" s="191">
        <f>(model_eui_end_uses!AO37*F37*base_building_arch_areas!$P$6)/1000000</f>
        <v>10.162181659477252</v>
      </c>
      <c r="AB37" s="187"/>
    </row>
    <row r="38" spans="1:28">
      <c r="A38">
        <f>sim_annual_output!B38</f>
        <v>2</v>
      </c>
      <c r="B38" t="str">
        <f>sim_annual_output!C38</f>
        <v>Fire Hall</v>
      </c>
      <c r="C38" t="str">
        <f>sim_annual_output!D38</f>
        <v>1959-pre</v>
      </c>
      <c r="D38">
        <v>2015</v>
      </c>
      <c r="E38" t="str">
        <f>sim_annual_output!E38</f>
        <v>infil_reduce</v>
      </c>
      <c r="F38">
        <f t="array" ref="F38">INDEX(base_building_arch_areas!$M$2:$M$161,MATCH($A38&amp;$D38,base_building_arch_areas!$A$2:$A$161&amp;base_building_arch_areas!$E$2:$E$161,0))</f>
        <v>5.5697909059876328E-3</v>
      </c>
      <c r="G38" s="191">
        <f>(model_eui_end_uses!AO38*F38*base_building_arch_areas!$P$6)/1000000</f>
        <v>74.910982740891299</v>
      </c>
      <c r="AB38" s="187"/>
    </row>
    <row r="39" spans="1:28">
      <c r="A39">
        <f>sim_annual_output!B39</f>
        <v>2</v>
      </c>
      <c r="B39" t="str">
        <f>sim_annual_output!C39</f>
        <v>Fire Hall</v>
      </c>
      <c r="C39" t="str">
        <f>sim_annual_output!D39</f>
        <v>1959-pre</v>
      </c>
      <c r="D39">
        <v>2015</v>
      </c>
      <c r="E39" t="str">
        <f>sim_annual_output!E39</f>
        <v>infil_reduce_plus_setback</v>
      </c>
      <c r="F39">
        <f t="array" ref="F39">INDEX(base_building_arch_areas!$M$2:$M$161,MATCH($A39&amp;$D39,base_building_arch_areas!$A$2:$A$161&amp;base_building_arch_areas!$E$2:$E$161,0))</f>
        <v>5.5697909059876328E-3</v>
      </c>
      <c r="G39" s="191">
        <f>(model_eui_end_uses!AO39*F39*base_building_arch_areas!$P$6)/1000000</f>
        <v>63.865046453646272</v>
      </c>
      <c r="AB39" s="187"/>
    </row>
    <row r="40" spans="1:28">
      <c r="A40">
        <f>sim_annual_output!B40</f>
        <v>2</v>
      </c>
      <c r="B40" t="str">
        <f>sim_annual_output!C40</f>
        <v>Fire Hall</v>
      </c>
      <c r="C40" t="str">
        <f>sim_annual_output!D40</f>
        <v>1959-pre</v>
      </c>
      <c r="D40">
        <v>2015</v>
      </c>
      <c r="E40" t="str">
        <f>sim_annual_output!E40</f>
        <v>lights_reduce_70p</v>
      </c>
      <c r="F40">
        <f t="array" ref="F40">INDEX(base_building_arch_areas!$M$2:$M$161,MATCH($A40&amp;$D40,base_building_arch_areas!$A$2:$A$161&amp;base_building_arch_areas!$E$2:$E$161,0))</f>
        <v>5.5697909059876328E-3</v>
      </c>
      <c r="G40" s="191">
        <f>(model_eui_end_uses!AO40*F40*base_building_arch_areas!$P$6)/1000000</f>
        <v>21.350050809996407</v>
      </c>
      <c r="AB40" s="187"/>
    </row>
    <row r="41" spans="1:28">
      <c r="A41">
        <f>sim_annual_output!B41</f>
        <v>2</v>
      </c>
      <c r="B41" t="str">
        <f>sim_annual_output!C41</f>
        <v>Fire Hall</v>
      </c>
      <c r="C41" t="str">
        <f>sim_annual_output!D41</f>
        <v>1959-pre</v>
      </c>
      <c r="D41">
        <v>2015</v>
      </c>
      <c r="E41" t="str">
        <f>sim_annual_output!E41</f>
        <v>load_reduce</v>
      </c>
      <c r="F41">
        <f t="array" ref="F41">INDEX(base_building_arch_areas!$M$2:$M$161,MATCH($A41&amp;$D41,base_building_arch_areas!$A$2:$A$161&amp;base_building_arch_areas!$E$2:$E$161,0))</f>
        <v>5.5697909059876328E-3</v>
      </c>
      <c r="G41" s="191">
        <f>(model_eui_end_uses!AO41*F41*base_building_arch_areas!$P$6)/1000000</f>
        <v>79.21446928794596</v>
      </c>
      <c r="AB41" s="187"/>
    </row>
    <row r="42" spans="1:28">
      <c r="A42">
        <f>sim_annual_output!B42</f>
        <v>2</v>
      </c>
      <c r="B42" t="str">
        <f>sim_annual_output!C42</f>
        <v>Fire Hall</v>
      </c>
      <c r="C42" t="str">
        <f>sim_annual_output!D42</f>
        <v>1959-pre</v>
      </c>
      <c r="D42">
        <v>2015</v>
      </c>
      <c r="E42" t="str">
        <f>sim_annual_output!E42</f>
        <v>occupancy_setback</v>
      </c>
      <c r="F42">
        <f t="array" ref="F42">INDEX(base_building_arch_areas!$M$2:$M$161,MATCH($A42&amp;$D42,base_building_arch_areas!$A$2:$A$161&amp;base_building_arch_areas!$E$2:$E$161,0))</f>
        <v>5.5697909059876328E-3</v>
      </c>
      <c r="G42" s="191">
        <f>(model_eui_end_uses!AO42*F42*base_building_arch_areas!$P$6)/1000000</f>
        <v>-21.472681178411214</v>
      </c>
      <c r="AB42" s="187"/>
    </row>
    <row r="43" spans="1:28">
      <c r="A43">
        <f>sim_annual_output!B43</f>
        <v>2</v>
      </c>
      <c r="B43" t="str">
        <f>sim_annual_output!C43</f>
        <v>Fire Hall</v>
      </c>
      <c r="C43" t="str">
        <f>sim_annual_output!D43</f>
        <v>1959-pre</v>
      </c>
      <c r="D43">
        <v>2015</v>
      </c>
      <c r="E43" t="str">
        <f>sim_annual_output!E43</f>
        <v>payback_less_than_20</v>
      </c>
      <c r="F43">
        <f t="array" ref="F43">INDEX(base_building_arch_areas!$M$2:$M$161,MATCH($A43&amp;$D43,base_building_arch_areas!$A$2:$A$161&amp;base_building_arch_areas!$E$2:$E$161,0))</f>
        <v>5.5697909059876328E-3</v>
      </c>
      <c r="G43" s="191">
        <f>(model_eui_end_uses!AO43*F43*base_building_arch_areas!$P$6)/1000000</f>
        <v>111.51667609008364</v>
      </c>
      <c r="AB43" s="187"/>
    </row>
    <row r="44" spans="1:28">
      <c r="A44">
        <f>sim_annual_output!B44</f>
        <v>2</v>
      </c>
      <c r="B44" t="str">
        <f>sim_annual_output!C44</f>
        <v>Fire Hall</v>
      </c>
      <c r="C44" t="str">
        <f>sim_annual_output!D44</f>
        <v>1959-pre</v>
      </c>
      <c r="D44">
        <v>2015</v>
      </c>
      <c r="E44" t="str">
        <f>sim_annual_output!E44</f>
        <v>plug_loads_90_percent</v>
      </c>
      <c r="F44">
        <f t="array" ref="F44">INDEX(base_building_arch_areas!$M$2:$M$161,MATCH($A44&amp;$D44,base_building_arch_areas!$A$2:$A$161&amp;base_building_arch_areas!$E$2:$E$161,0))</f>
        <v>5.5697909059876328E-3</v>
      </c>
      <c r="G44" s="191">
        <f>(model_eui_end_uses!AO44*F44*base_building_arch_areas!$P$6)/1000000</f>
        <v>1.2740649855307333</v>
      </c>
      <c r="AB44" s="187"/>
    </row>
    <row r="45" spans="1:28">
      <c r="A45">
        <f>sim_annual_output!B45</f>
        <v>2</v>
      </c>
      <c r="B45" t="str">
        <f>sim_annual_output!C45</f>
        <v>Fire Hall</v>
      </c>
      <c r="C45" t="str">
        <f>sim_annual_output!D45</f>
        <v>1959-pre</v>
      </c>
      <c r="D45">
        <v>2015</v>
      </c>
      <c r="E45" t="str">
        <f>sim_annual_output!E45</f>
        <v>pump_fan_eff_</v>
      </c>
      <c r="F45">
        <f t="array" ref="F45">INDEX(base_building_arch_areas!$M$2:$M$161,MATCH($A45&amp;$D45,base_building_arch_areas!$A$2:$A$161&amp;base_building_arch_areas!$E$2:$E$161,0))</f>
        <v>5.5697909059876328E-3</v>
      </c>
      <c r="G45" s="191">
        <f>(model_eui_end_uses!AO45*F45*base_building_arch_areas!$P$6)/1000000</f>
        <v>4.5711631922421407</v>
      </c>
      <c r="AB45" s="187"/>
    </row>
    <row r="46" spans="1:28">
      <c r="A46">
        <f>sim_annual_output!B46</f>
        <v>3</v>
      </c>
      <c r="B46" t="str">
        <f>sim_annual_output!C46</f>
        <v>Food Service</v>
      </c>
      <c r="C46" t="str">
        <f>sim_annual_output!D46</f>
        <v>1959-pre</v>
      </c>
      <c r="D46">
        <v>2015</v>
      </c>
      <c r="E46" t="str">
        <f>sim_annual_output!E46</f>
        <v>air_temp_reset_enabled</v>
      </c>
      <c r="F46">
        <f t="array" ref="F46">INDEX(base_building_arch_areas!$M$2:$M$161,MATCH($A46&amp;$D46,base_building_arch_areas!$A$2:$A$161&amp;base_building_arch_areas!$E$2:$E$161,0))</f>
        <v>4.3262022149533112E-2</v>
      </c>
      <c r="G46" s="191">
        <f>(model_eui_end_uses!AO46*F46*base_building_arch_areas!$P$6)/1000000</f>
        <v>-100.21489867407855</v>
      </c>
      <c r="AB46" s="187"/>
    </row>
    <row r="47" spans="1:28">
      <c r="A47">
        <f>sim_annual_output!B47</f>
        <v>3</v>
      </c>
      <c r="B47" t="str">
        <f>sim_annual_output!C47</f>
        <v>Food Service</v>
      </c>
      <c r="C47" t="str">
        <f>sim_annual_output!D47</f>
        <v>1959-pre</v>
      </c>
      <c r="D47">
        <v>2015</v>
      </c>
      <c r="E47" t="str">
        <f>sim_annual_output!E47</f>
        <v>baseline</v>
      </c>
      <c r="F47">
        <f t="array" ref="F47">INDEX(base_building_arch_areas!$M$2:$M$161,MATCH($A47&amp;$D47,base_building_arch_areas!$A$2:$A$161&amp;base_building_arch_areas!$E$2:$E$161,0))</f>
        <v>4.3262022149533112E-2</v>
      </c>
      <c r="G47" s="191">
        <f>(model_eui_end_uses!AO47*F47*base_building_arch_areas!$P$6)/1000000</f>
        <v>0</v>
      </c>
      <c r="AB47" s="187"/>
    </row>
    <row r="48" spans="1:28">
      <c r="A48">
        <f>sim_annual_output!B48</f>
        <v>3</v>
      </c>
      <c r="B48" t="str">
        <f>sim_annual_output!C48</f>
        <v>Food Service</v>
      </c>
      <c r="C48" t="str">
        <f>sim_annual_output!D48</f>
        <v>1959-pre</v>
      </c>
      <c r="D48">
        <v>2015</v>
      </c>
      <c r="E48" t="str">
        <f>sim_annual_output!E48</f>
        <v>boiler_eff_upgrade</v>
      </c>
      <c r="F48">
        <f t="array" ref="F48">INDEX(base_building_arch_areas!$M$2:$M$161,MATCH($A48&amp;$D48,base_building_arch_areas!$A$2:$A$161&amp;base_building_arch_areas!$E$2:$E$161,0))</f>
        <v>4.3262022149533112E-2</v>
      </c>
      <c r="G48" s="191">
        <f>(model_eui_end_uses!AO48*F48*base_building_arch_areas!$P$6)/1000000</f>
        <v>2.2989192624831403</v>
      </c>
      <c r="AB48" s="187"/>
    </row>
    <row r="49" spans="1:28">
      <c r="A49">
        <f>sim_annual_output!B49</f>
        <v>3</v>
      </c>
      <c r="B49" t="str">
        <f>sim_annual_output!C49</f>
        <v>Food Service</v>
      </c>
      <c r="C49" t="str">
        <f>sim_annual_output!D49</f>
        <v>1959-pre</v>
      </c>
      <c r="D49">
        <v>2015</v>
      </c>
      <c r="E49" t="str">
        <f>sim_annual_output!E49</f>
        <v>boiler_reset</v>
      </c>
      <c r="F49">
        <f t="array" ref="F49">INDEX(base_building_arch_areas!$M$2:$M$161,MATCH($A49&amp;$D49,base_building_arch_areas!$A$2:$A$161&amp;base_building_arch_areas!$E$2:$E$161,0))</f>
        <v>4.3262022149533112E-2</v>
      </c>
      <c r="G49" s="191">
        <f>(model_eui_end_uses!AO49*F49*base_building_arch_areas!$P$6)/1000000</f>
        <v>275.27524473746371</v>
      </c>
      <c r="AB49" s="187"/>
    </row>
    <row r="50" spans="1:28">
      <c r="A50">
        <f>sim_annual_output!B50</f>
        <v>3</v>
      </c>
      <c r="B50" t="str">
        <f>sim_annual_output!C50</f>
        <v>Food Service</v>
      </c>
      <c r="C50" t="str">
        <f>sim_annual_output!D50</f>
        <v>1959-pre</v>
      </c>
      <c r="D50">
        <v>2015</v>
      </c>
      <c r="E50" t="str">
        <f>sim_annual_output!E50</f>
        <v>cooling_cop_3_0</v>
      </c>
      <c r="F50">
        <f t="array" ref="F50">INDEX(base_building_arch_areas!$M$2:$M$161,MATCH($A50&amp;$D50,base_building_arch_areas!$A$2:$A$161&amp;base_building_arch_areas!$E$2:$E$161,0))</f>
        <v>4.3262022149533112E-2</v>
      </c>
      <c r="G50" s="191">
        <f>(model_eui_end_uses!AO50*F50*base_building_arch_areas!$P$6)/1000000</f>
        <v>10.787252013894403</v>
      </c>
      <c r="AB50" s="187"/>
    </row>
    <row r="51" spans="1:28">
      <c r="A51">
        <f>sim_annual_output!B51</f>
        <v>3</v>
      </c>
      <c r="B51" t="str">
        <f>sim_annual_output!C51</f>
        <v>Food Service</v>
      </c>
      <c r="C51" t="str">
        <f>sim_annual_output!D51</f>
        <v>1959-pre</v>
      </c>
      <c r="D51">
        <v>2015</v>
      </c>
      <c r="E51" t="str">
        <f>sim_annual_output!E51</f>
        <v>dcv_enabled</v>
      </c>
      <c r="F51">
        <f t="array" ref="F51">INDEX(base_building_arch_areas!$M$2:$M$161,MATCH($A51&amp;$D51,base_building_arch_areas!$A$2:$A$161&amp;base_building_arch_areas!$E$2:$E$161,0))</f>
        <v>4.3262022149533112E-2</v>
      </c>
      <c r="G51" s="191">
        <f>(model_eui_end_uses!AO51*F51*base_building_arch_areas!$P$6)/1000000</f>
        <v>259.08523447491467</v>
      </c>
      <c r="AB51" s="187"/>
    </row>
    <row r="52" spans="1:28">
      <c r="A52">
        <f>sim_annual_output!B52</f>
        <v>3</v>
      </c>
      <c r="B52" t="str">
        <f>sim_annual_output!C52</f>
        <v>Food Service</v>
      </c>
      <c r="C52" t="str">
        <f>sim_annual_output!D52</f>
        <v>1959-pre</v>
      </c>
      <c r="D52">
        <v>2015</v>
      </c>
      <c r="E52" t="str">
        <f>sim_annual_output!E52</f>
        <v>ecm_cold_deck_reset_control</v>
      </c>
      <c r="F52">
        <f t="array" ref="F52">INDEX(base_building_arch_areas!$M$2:$M$161,MATCH($A52&amp;$D52,base_building_arch_areas!$A$2:$A$161&amp;base_building_arch_areas!$E$2:$E$161,0))</f>
        <v>4.3262022149533112E-2</v>
      </c>
      <c r="G52" s="191">
        <f>(model_eui_end_uses!AO52*F52*base_building_arch_areas!$P$6)/1000000</f>
        <v>22.620164562941387</v>
      </c>
      <c r="AB52" s="187"/>
    </row>
    <row r="53" spans="1:28">
      <c r="A53">
        <f>sim_annual_output!B53</f>
        <v>3</v>
      </c>
      <c r="B53" t="str">
        <f>sim_annual_output!C53</f>
        <v>Food Service</v>
      </c>
      <c r="C53" t="str">
        <f>sim_annual_output!D53</f>
        <v>1959-pre</v>
      </c>
      <c r="D53">
        <v>2015</v>
      </c>
      <c r="E53" t="str">
        <f>sim_annual_output!E53</f>
        <v>economizers_enabled</v>
      </c>
      <c r="F53">
        <f t="array" ref="F53">INDEX(base_building_arch_areas!$M$2:$M$161,MATCH($A53&amp;$D53,base_building_arch_areas!$A$2:$A$161&amp;base_building_arch_areas!$E$2:$E$161,0))</f>
        <v>4.3262022149533112E-2</v>
      </c>
      <c r="G53" s="191">
        <f>(model_eui_end_uses!AO53*F53*base_building_arch_areas!$P$6)/1000000</f>
        <v>5.1472398859009703</v>
      </c>
      <c r="AB53" s="187"/>
    </row>
    <row r="54" spans="1:28">
      <c r="A54">
        <f>sim_annual_output!B54</f>
        <v>3</v>
      </c>
      <c r="B54" t="str">
        <f>sim_annual_output!C54</f>
        <v>Food Service</v>
      </c>
      <c r="C54" t="str">
        <f>sim_annual_output!D54</f>
        <v>1959-pre</v>
      </c>
      <c r="D54">
        <v>2015</v>
      </c>
      <c r="E54" t="str">
        <f>sim_annual_output!E54</f>
        <v>elec_reduce</v>
      </c>
      <c r="F54">
        <f t="array" ref="F54">INDEX(base_building_arch_areas!$M$2:$M$161,MATCH($A54&amp;$D54,base_building_arch_areas!$A$2:$A$161&amp;base_building_arch_areas!$E$2:$E$161,0))</f>
        <v>4.3262022149533112E-2</v>
      </c>
      <c r="G54" s="191">
        <f>(model_eui_end_uses!AO54*F54*base_building_arch_areas!$P$6)/1000000</f>
        <v>510.71529909943882</v>
      </c>
      <c r="AB54" s="187"/>
    </row>
    <row r="55" spans="1:28">
      <c r="A55">
        <f>sim_annual_output!B55</f>
        <v>3</v>
      </c>
      <c r="B55" t="str">
        <f>sim_annual_output!C55</f>
        <v>Food Service</v>
      </c>
      <c r="C55" t="str">
        <f>sim_annual_output!D55</f>
        <v>1959-pre</v>
      </c>
      <c r="D55">
        <v>2015</v>
      </c>
      <c r="E55" t="str">
        <f>sim_annual_output!E55</f>
        <v>envelope_ecm_roof</v>
      </c>
      <c r="F55">
        <f t="array" ref="F55">INDEX(base_building_arch_areas!$M$2:$M$161,MATCH($A55&amp;$D55,base_building_arch_areas!$A$2:$A$161&amp;base_building_arch_areas!$E$2:$E$161,0))</f>
        <v>4.3262022149533112E-2</v>
      </c>
      <c r="G55" s="191">
        <f>(model_eui_end_uses!AO55*F55*base_building_arch_areas!$P$6)/1000000</f>
        <v>45.21803287719721</v>
      </c>
      <c r="AB55" s="187"/>
    </row>
    <row r="56" spans="1:28">
      <c r="A56">
        <f>sim_annual_output!B56</f>
        <v>3</v>
      </c>
      <c r="B56" t="str">
        <f>sim_annual_output!C56</f>
        <v>Food Service</v>
      </c>
      <c r="C56" t="str">
        <f>sim_annual_output!D56</f>
        <v>1959-pre</v>
      </c>
      <c r="D56">
        <v>2015</v>
      </c>
      <c r="E56" t="str">
        <f>sim_annual_output!E56</f>
        <v>envelope_ecm_wall</v>
      </c>
      <c r="F56">
        <f t="array" ref="F56">INDEX(base_building_arch_areas!$M$2:$M$161,MATCH($A56&amp;$D56,base_building_arch_areas!$A$2:$A$161&amp;base_building_arch_areas!$E$2:$E$161,0))</f>
        <v>4.3262022149533112E-2</v>
      </c>
      <c r="G56" s="191">
        <f>(model_eui_end_uses!AO56*F56*base_building_arch_areas!$P$6)/1000000</f>
        <v>20.167250307658112</v>
      </c>
      <c r="AB56" s="187"/>
    </row>
    <row r="57" spans="1:28">
      <c r="A57">
        <f>sim_annual_output!B57</f>
        <v>3</v>
      </c>
      <c r="B57" t="str">
        <f>sim_annual_output!C57</f>
        <v>Food Service</v>
      </c>
      <c r="C57" t="str">
        <f>sim_annual_output!D57</f>
        <v>1959-pre</v>
      </c>
      <c r="D57">
        <v>2015</v>
      </c>
      <c r="E57" t="str">
        <f>sim_annual_output!E57</f>
        <v>envelope_ecm_windows</v>
      </c>
      <c r="F57">
        <f t="array" ref="F57">INDEX(base_building_arch_areas!$M$2:$M$161,MATCH($A57&amp;$D57,base_building_arch_areas!$A$2:$A$161&amp;base_building_arch_areas!$E$2:$E$161,0))</f>
        <v>4.3262022149533112E-2</v>
      </c>
      <c r="G57" s="191">
        <f>(model_eui_end_uses!AO57*F57*base_building_arch_areas!$P$6)/1000000</f>
        <v>43.077660059783916</v>
      </c>
      <c r="AB57" s="187"/>
    </row>
    <row r="58" spans="1:28">
      <c r="A58">
        <f>sim_annual_output!B58</f>
        <v>3</v>
      </c>
      <c r="B58" t="str">
        <f>sim_annual_output!C58</f>
        <v>Food Service</v>
      </c>
      <c r="C58" t="str">
        <f>sim_annual_output!D58</f>
        <v>1959-pre</v>
      </c>
      <c r="D58">
        <v>2015</v>
      </c>
      <c r="E58" t="str">
        <f>sim_annual_output!E58</f>
        <v>exhaust_fans_occ_control</v>
      </c>
      <c r="F58">
        <f t="array" ref="F58">INDEX(base_building_arch_areas!$M$2:$M$161,MATCH($A58&amp;$D58,base_building_arch_areas!$A$2:$A$161&amp;base_building_arch_areas!$E$2:$E$161,0))</f>
        <v>4.3262022149533112E-2</v>
      </c>
      <c r="G58" s="191">
        <f>(model_eui_end_uses!AO58*F58*base_building_arch_areas!$P$6)/1000000</f>
        <v>87.688421914044383</v>
      </c>
      <c r="AB58" s="187"/>
    </row>
    <row r="59" spans="1:28">
      <c r="A59">
        <f>sim_annual_output!B59</f>
        <v>3</v>
      </c>
      <c r="B59" t="str">
        <f>sim_annual_output!C59</f>
        <v>Food Service</v>
      </c>
      <c r="C59" t="str">
        <f>sim_annual_output!D59</f>
        <v>1959-pre</v>
      </c>
      <c r="D59">
        <v>2015</v>
      </c>
      <c r="E59" t="str">
        <f>sim_annual_output!E59</f>
        <v>fans_to_variable</v>
      </c>
      <c r="F59">
        <f t="array" ref="F59">INDEX(base_building_arch_areas!$M$2:$M$161,MATCH($A59&amp;$D59,base_building_arch_areas!$A$2:$A$161&amp;base_building_arch_areas!$E$2:$E$161,0))</f>
        <v>4.3262022149533112E-2</v>
      </c>
      <c r="G59" s="191">
        <f>(model_eui_end_uses!AO59*F59*base_building_arch_areas!$P$6)/1000000</f>
        <v>3.3636321935992299</v>
      </c>
      <c r="AB59" s="187"/>
    </row>
    <row r="60" spans="1:28">
      <c r="A60">
        <f>sim_annual_output!B60</f>
        <v>3</v>
      </c>
      <c r="B60" t="str">
        <f>sim_annual_output!C60</f>
        <v>Food Service</v>
      </c>
      <c r="C60" t="str">
        <f>sim_annual_output!D60</f>
        <v>1959-pre</v>
      </c>
      <c r="D60">
        <v>2015</v>
      </c>
      <c r="E60" t="str">
        <f>sim_annual_output!E60</f>
        <v>hrv_enabled</v>
      </c>
      <c r="F60">
        <f t="array" ref="F60">INDEX(base_building_arch_areas!$M$2:$M$161,MATCH($A60&amp;$D60,base_building_arch_areas!$A$2:$A$161&amp;base_building_arch_areas!$E$2:$E$161,0))</f>
        <v>4.3262022149533112E-2</v>
      </c>
      <c r="G60" s="191">
        <f>(model_eui_end_uses!AO60*F60*base_building_arch_areas!$P$6)/1000000</f>
        <v>277.2824938625381</v>
      </c>
      <c r="AB60" s="187"/>
    </row>
    <row r="61" spans="1:28">
      <c r="A61">
        <f>sim_annual_output!B61</f>
        <v>3</v>
      </c>
      <c r="B61" t="str">
        <f>sim_annual_output!C61</f>
        <v>Food Service</v>
      </c>
      <c r="C61" t="str">
        <f>sim_annual_output!D61</f>
        <v>1959-pre</v>
      </c>
      <c r="D61">
        <v>2015</v>
      </c>
      <c r="E61" t="str">
        <f>sim_annual_output!E61</f>
        <v>infil_reduce</v>
      </c>
      <c r="F61">
        <f t="array" ref="F61">INDEX(base_building_arch_areas!$M$2:$M$161,MATCH($A61&amp;$D61,base_building_arch_areas!$A$2:$A$161&amp;base_building_arch_areas!$E$2:$E$161,0))</f>
        <v>4.3262022149533112E-2</v>
      </c>
      <c r="G61" s="191">
        <f>(model_eui_end_uses!AO61*F61*base_building_arch_areas!$P$6)/1000000</f>
        <v>474.52468203303431</v>
      </c>
      <c r="AB61" s="187"/>
    </row>
    <row r="62" spans="1:28">
      <c r="A62">
        <f>sim_annual_output!B62</f>
        <v>3</v>
      </c>
      <c r="B62" t="str">
        <f>sim_annual_output!C62</f>
        <v>Food Service</v>
      </c>
      <c r="C62" t="str">
        <f>sim_annual_output!D62</f>
        <v>1959-pre</v>
      </c>
      <c r="D62">
        <v>2015</v>
      </c>
      <c r="E62" t="str">
        <f>sim_annual_output!E62</f>
        <v>infil_reduce_plus_setback</v>
      </c>
      <c r="F62">
        <f t="array" ref="F62">INDEX(base_building_arch_areas!$M$2:$M$161,MATCH($A62&amp;$D62,base_building_arch_areas!$A$2:$A$161&amp;base_building_arch_areas!$E$2:$E$161,0))</f>
        <v>4.3262022149533112E-2</v>
      </c>
      <c r="G62" s="191">
        <f>(model_eui_end_uses!AO62*F62*base_building_arch_areas!$P$6)/1000000</f>
        <v>539.54071084069415</v>
      </c>
      <c r="AB62" s="187"/>
    </row>
    <row r="63" spans="1:28">
      <c r="A63">
        <f>sim_annual_output!B63</f>
        <v>3</v>
      </c>
      <c r="B63" t="str">
        <f>sim_annual_output!C63</f>
        <v>Food Service</v>
      </c>
      <c r="C63" t="str">
        <f>sim_annual_output!D63</f>
        <v>1959-pre</v>
      </c>
      <c r="D63">
        <v>2015</v>
      </c>
      <c r="E63" t="str">
        <f>sim_annual_output!E63</f>
        <v>lights_reduce_70p</v>
      </c>
      <c r="F63">
        <f t="array" ref="F63">INDEX(base_building_arch_areas!$M$2:$M$161,MATCH($A63&amp;$D63,base_building_arch_areas!$A$2:$A$161&amp;base_building_arch_areas!$E$2:$E$161,0))</f>
        <v>4.3262022149533112E-2</v>
      </c>
      <c r="G63" s="191">
        <f>(model_eui_end_uses!AO63*F63*base_building_arch_areas!$P$6)/1000000</f>
        <v>138.2881489523227</v>
      </c>
      <c r="AB63" s="187"/>
    </row>
    <row r="64" spans="1:28">
      <c r="A64">
        <f>sim_annual_output!B64</f>
        <v>3</v>
      </c>
      <c r="B64" t="str">
        <f>sim_annual_output!C64</f>
        <v>Food Service</v>
      </c>
      <c r="C64" t="str">
        <f>sim_annual_output!D64</f>
        <v>1959-pre</v>
      </c>
      <c r="D64">
        <v>2015</v>
      </c>
      <c r="E64" t="str">
        <f>sim_annual_output!E64</f>
        <v>load_reduce</v>
      </c>
      <c r="F64">
        <f t="array" ref="F64">INDEX(base_building_arch_areas!$M$2:$M$161,MATCH($A64&amp;$D64,base_building_arch_areas!$A$2:$A$161&amp;base_building_arch_areas!$E$2:$E$161,0))</f>
        <v>4.3262022149533112E-2</v>
      </c>
      <c r="G64" s="191">
        <f>(model_eui_end_uses!AO64*F64*base_building_arch_areas!$P$6)/1000000</f>
        <v>692.12226396908079</v>
      </c>
      <c r="AB64" s="187"/>
    </row>
    <row r="65" spans="1:28">
      <c r="A65">
        <f>sim_annual_output!B65</f>
        <v>3</v>
      </c>
      <c r="B65" t="str">
        <f>sim_annual_output!C65</f>
        <v>Food Service</v>
      </c>
      <c r="C65" t="str">
        <f>sim_annual_output!D65</f>
        <v>1959-pre</v>
      </c>
      <c r="D65">
        <v>2015</v>
      </c>
      <c r="E65" t="str">
        <f>sim_annual_output!E65</f>
        <v>occupancy_setback</v>
      </c>
      <c r="F65">
        <f t="array" ref="F65">INDEX(base_building_arch_areas!$M$2:$M$161,MATCH($A65&amp;$D65,base_building_arch_areas!$A$2:$A$161&amp;base_building_arch_areas!$E$2:$E$161,0))</f>
        <v>4.3262022149533112E-2</v>
      </c>
      <c r="G65" s="191">
        <f>(model_eui_end_uses!AO65*F65*base_building_arch_areas!$P$6)/1000000</f>
        <v>47.30452588763707</v>
      </c>
      <c r="AB65" s="187"/>
    </row>
    <row r="66" spans="1:28">
      <c r="A66">
        <f>sim_annual_output!B66</f>
        <v>3</v>
      </c>
      <c r="B66" t="str">
        <f>sim_annual_output!C66</f>
        <v>Food Service</v>
      </c>
      <c r="C66" t="str">
        <f>sim_annual_output!D66</f>
        <v>1959-pre</v>
      </c>
      <c r="D66">
        <v>2015</v>
      </c>
      <c r="E66" t="str">
        <f>sim_annual_output!E66</f>
        <v>payback_less_than_20</v>
      </c>
      <c r="F66">
        <f t="array" ref="F66">INDEX(base_building_arch_areas!$M$2:$M$161,MATCH($A66&amp;$D66,base_building_arch_areas!$A$2:$A$161&amp;base_building_arch_areas!$E$2:$E$161,0))</f>
        <v>4.3262022149533112E-2</v>
      </c>
      <c r="G66" s="191">
        <f>(model_eui_end_uses!AO66*F66*base_building_arch_areas!$P$6)/1000000</f>
        <v>1066.5296478993496</v>
      </c>
      <c r="AB66" s="187"/>
    </row>
    <row r="67" spans="1:28">
      <c r="A67">
        <f>sim_annual_output!B67</f>
        <v>3</v>
      </c>
      <c r="B67" t="str">
        <f>sim_annual_output!C67</f>
        <v>Food Service</v>
      </c>
      <c r="C67" t="str">
        <f>sim_annual_output!D67</f>
        <v>1959-pre</v>
      </c>
      <c r="D67">
        <v>2015</v>
      </c>
      <c r="E67" t="str">
        <f>sim_annual_output!E67</f>
        <v>plug_loads_90_percent</v>
      </c>
      <c r="F67">
        <f t="array" ref="F67">INDEX(base_building_arch_areas!$M$2:$M$161,MATCH($A67&amp;$D67,base_building_arch_areas!$A$2:$A$161&amp;base_building_arch_areas!$E$2:$E$161,0))</f>
        <v>4.3262022149533112E-2</v>
      </c>
      <c r="G67" s="191">
        <f>(model_eui_end_uses!AO67*F67*base_building_arch_areas!$P$6)/1000000</f>
        <v>2.0207358409149032</v>
      </c>
      <c r="AB67" s="187"/>
    </row>
    <row r="68" spans="1:28">
      <c r="A68">
        <f>sim_annual_output!B68</f>
        <v>3</v>
      </c>
      <c r="B68" t="str">
        <f>sim_annual_output!C68</f>
        <v>Food Service</v>
      </c>
      <c r="C68" t="str">
        <f>sim_annual_output!D68</f>
        <v>1959-pre</v>
      </c>
      <c r="D68">
        <v>2015</v>
      </c>
      <c r="E68" t="str">
        <f>sim_annual_output!E68</f>
        <v>pump_fan_eff_</v>
      </c>
      <c r="F68">
        <f t="array" ref="F68">INDEX(base_building_arch_areas!$M$2:$M$161,MATCH($A68&amp;$D68,base_building_arch_areas!$A$2:$A$161&amp;base_building_arch_areas!$E$2:$E$161,0))</f>
        <v>4.3262022149533112E-2</v>
      </c>
      <c r="G68" s="191">
        <f>(model_eui_end_uses!AO68*F68*base_building_arch_areas!$P$6)/1000000</f>
        <v>24.628193218515094</v>
      </c>
      <c r="AB68" s="187"/>
    </row>
    <row r="69" spans="1:28">
      <c r="A69">
        <f>sim_annual_output!B69</f>
        <v>4</v>
      </c>
      <c r="B69" t="str">
        <f>sim_annual_output!C69</f>
        <v>Food Service</v>
      </c>
      <c r="C69" t="str">
        <f>sim_annual_output!D69</f>
        <v>2005-2014</v>
      </c>
      <c r="D69">
        <v>2015</v>
      </c>
      <c r="E69" t="str">
        <f>sim_annual_output!E69</f>
        <v>air_temp_reset_enabled</v>
      </c>
      <c r="F69">
        <f t="array" ref="F69">INDEX(base_building_arch_areas!$M$2:$M$161,MATCH($A69&amp;$D69,base_building_arch_areas!$A$2:$A$161&amp;base_building_arch_areas!$E$2:$E$161,0))</f>
        <v>0</v>
      </c>
      <c r="G69" s="191">
        <f>(model_eui_end_uses!AO69*F69*base_building_arch_areas!$P$6)/1000000</f>
        <v>0</v>
      </c>
      <c r="AB69" s="187"/>
    </row>
    <row r="70" spans="1:28">
      <c r="A70">
        <f>sim_annual_output!B70</f>
        <v>4</v>
      </c>
      <c r="B70" t="str">
        <f>sim_annual_output!C70</f>
        <v>Food Service</v>
      </c>
      <c r="C70" t="str">
        <f>sim_annual_output!D70</f>
        <v>2005-2014</v>
      </c>
      <c r="D70">
        <v>2015</v>
      </c>
      <c r="E70" t="str">
        <f>sim_annual_output!E70</f>
        <v>baseline</v>
      </c>
      <c r="F70">
        <f t="array" ref="F70">INDEX(base_building_arch_areas!$M$2:$M$161,MATCH($A70&amp;$D70,base_building_arch_areas!$A$2:$A$161&amp;base_building_arch_areas!$E$2:$E$161,0))</f>
        <v>0</v>
      </c>
      <c r="G70" s="191">
        <f>(model_eui_end_uses!AO70*F70*base_building_arch_areas!$P$6)/1000000</f>
        <v>0</v>
      </c>
      <c r="AB70" s="187"/>
    </row>
    <row r="71" spans="1:28">
      <c r="A71">
        <f>sim_annual_output!B71</f>
        <v>4</v>
      </c>
      <c r="B71" t="str">
        <f>sim_annual_output!C71</f>
        <v>Food Service</v>
      </c>
      <c r="C71" t="str">
        <f>sim_annual_output!D71</f>
        <v>2005-2014</v>
      </c>
      <c r="D71">
        <v>2015</v>
      </c>
      <c r="E71" t="str">
        <f>sim_annual_output!E71</f>
        <v>boiler_eff_upgrade</v>
      </c>
      <c r="F71">
        <f t="array" ref="F71">INDEX(base_building_arch_areas!$M$2:$M$161,MATCH($A71&amp;$D71,base_building_arch_areas!$A$2:$A$161&amp;base_building_arch_areas!$E$2:$E$161,0))</f>
        <v>0</v>
      </c>
      <c r="G71" s="191">
        <f>(model_eui_end_uses!AO71*F71*base_building_arch_areas!$P$6)/1000000</f>
        <v>0</v>
      </c>
      <c r="AB71" s="187"/>
    </row>
    <row r="72" spans="1:28">
      <c r="A72">
        <f>sim_annual_output!B72</f>
        <v>4</v>
      </c>
      <c r="B72" t="str">
        <f>sim_annual_output!C72</f>
        <v>Food Service</v>
      </c>
      <c r="C72" t="str">
        <f>sim_annual_output!D72</f>
        <v>2005-2014</v>
      </c>
      <c r="D72">
        <v>2015</v>
      </c>
      <c r="E72" t="str">
        <f>sim_annual_output!E72</f>
        <v>boiler_reset</v>
      </c>
      <c r="F72">
        <f t="array" ref="F72">INDEX(base_building_arch_areas!$M$2:$M$161,MATCH($A72&amp;$D72,base_building_arch_areas!$A$2:$A$161&amp;base_building_arch_areas!$E$2:$E$161,0))</f>
        <v>0</v>
      </c>
      <c r="G72" s="191">
        <f>(model_eui_end_uses!AO72*F72*base_building_arch_areas!$P$6)/1000000</f>
        <v>0</v>
      </c>
      <c r="AB72" s="187"/>
    </row>
    <row r="73" spans="1:28">
      <c r="A73">
        <f>sim_annual_output!B73</f>
        <v>4</v>
      </c>
      <c r="B73" t="str">
        <f>sim_annual_output!C73</f>
        <v>Food Service</v>
      </c>
      <c r="C73" t="str">
        <f>sim_annual_output!D73</f>
        <v>2005-2014</v>
      </c>
      <c r="D73">
        <v>2015</v>
      </c>
      <c r="E73" t="str">
        <f>sim_annual_output!E73</f>
        <v>cooling_cop_3_0</v>
      </c>
      <c r="F73">
        <f t="array" ref="F73">INDEX(base_building_arch_areas!$M$2:$M$161,MATCH($A73&amp;$D73,base_building_arch_areas!$A$2:$A$161&amp;base_building_arch_areas!$E$2:$E$161,0))</f>
        <v>0</v>
      </c>
      <c r="G73" s="191">
        <f>(model_eui_end_uses!AO73*F73*base_building_arch_areas!$P$6)/1000000</f>
        <v>0</v>
      </c>
      <c r="AB73" s="187"/>
    </row>
    <row r="74" spans="1:28">
      <c r="A74">
        <f>sim_annual_output!B74</f>
        <v>4</v>
      </c>
      <c r="B74" t="str">
        <f>sim_annual_output!C74</f>
        <v>Food Service</v>
      </c>
      <c r="C74" t="str">
        <f>sim_annual_output!D74</f>
        <v>2005-2014</v>
      </c>
      <c r="D74">
        <v>2015</v>
      </c>
      <c r="E74" t="str">
        <f>sim_annual_output!E74</f>
        <v>dcv_enabled</v>
      </c>
      <c r="F74">
        <f t="array" ref="F74">INDEX(base_building_arch_areas!$M$2:$M$161,MATCH($A74&amp;$D74,base_building_arch_areas!$A$2:$A$161&amp;base_building_arch_areas!$E$2:$E$161,0))</f>
        <v>0</v>
      </c>
      <c r="G74" s="191">
        <f>(model_eui_end_uses!AO74*F74*base_building_arch_areas!$P$6)/1000000</f>
        <v>0</v>
      </c>
      <c r="AB74" s="187"/>
    </row>
    <row r="75" spans="1:28">
      <c r="A75">
        <f>sim_annual_output!B75</f>
        <v>4</v>
      </c>
      <c r="B75" t="str">
        <f>sim_annual_output!C75</f>
        <v>Food Service</v>
      </c>
      <c r="C75" t="str">
        <f>sim_annual_output!D75</f>
        <v>2005-2014</v>
      </c>
      <c r="D75">
        <v>2015</v>
      </c>
      <c r="E75" t="str">
        <f>sim_annual_output!E75</f>
        <v>ecm_cold_deck_reset_control</v>
      </c>
      <c r="F75">
        <f t="array" ref="F75">INDEX(base_building_arch_areas!$M$2:$M$161,MATCH($A75&amp;$D75,base_building_arch_areas!$A$2:$A$161&amp;base_building_arch_areas!$E$2:$E$161,0))</f>
        <v>0</v>
      </c>
      <c r="G75" s="191">
        <f>(model_eui_end_uses!AO75*F75*base_building_arch_areas!$P$6)/1000000</f>
        <v>0</v>
      </c>
      <c r="AB75" s="187"/>
    </row>
    <row r="76" spans="1:28">
      <c r="A76">
        <f>sim_annual_output!B76</f>
        <v>4</v>
      </c>
      <c r="B76" t="str">
        <f>sim_annual_output!C76</f>
        <v>Food Service</v>
      </c>
      <c r="C76" t="str">
        <f>sim_annual_output!D76</f>
        <v>2005-2014</v>
      </c>
      <c r="D76">
        <v>2015</v>
      </c>
      <c r="E76" t="str">
        <f>sim_annual_output!E76</f>
        <v>economizers_enabled</v>
      </c>
      <c r="F76">
        <f t="array" ref="F76">INDEX(base_building_arch_areas!$M$2:$M$161,MATCH($A76&amp;$D76,base_building_arch_areas!$A$2:$A$161&amp;base_building_arch_areas!$E$2:$E$161,0))</f>
        <v>0</v>
      </c>
      <c r="G76" s="191">
        <f>(model_eui_end_uses!AO76*F76*base_building_arch_areas!$P$6)/1000000</f>
        <v>0</v>
      </c>
      <c r="AB76" s="187"/>
    </row>
    <row r="77" spans="1:28">
      <c r="A77">
        <f>sim_annual_output!B77</f>
        <v>4</v>
      </c>
      <c r="B77" t="str">
        <f>sim_annual_output!C77</f>
        <v>Food Service</v>
      </c>
      <c r="C77" t="str">
        <f>sim_annual_output!D77</f>
        <v>2005-2014</v>
      </c>
      <c r="D77">
        <v>2015</v>
      </c>
      <c r="E77" t="str">
        <f>sim_annual_output!E77</f>
        <v>elec_reduce</v>
      </c>
      <c r="F77">
        <f t="array" ref="F77">INDEX(base_building_arch_areas!$M$2:$M$161,MATCH($A77&amp;$D77,base_building_arch_areas!$A$2:$A$161&amp;base_building_arch_areas!$E$2:$E$161,0))</f>
        <v>0</v>
      </c>
      <c r="G77" s="191">
        <f>(model_eui_end_uses!AO77*F77*base_building_arch_areas!$P$6)/1000000</f>
        <v>0</v>
      </c>
      <c r="AB77" s="187"/>
    </row>
    <row r="78" spans="1:28">
      <c r="A78">
        <f>sim_annual_output!B78</f>
        <v>4</v>
      </c>
      <c r="B78" t="str">
        <f>sim_annual_output!C78</f>
        <v>Food Service</v>
      </c>
      <c r="C78" t="str">
        <f>sim_annual_output!D78</f>
        <v>2005-2014</v>
      </c>
      <c r="D78">
        <v>2015</v>
      </c>
      <c r="E78" t="str">
        <f>sim_annual_output!E78</f>
        <v>envelope_ecm_roof</v>
      </c>
      <c r="F78">
        <f t="array" ref="F78">INDEX(base_building_arch_areas!$M$2:$M$161,MATCH($A78&amp;$D78,base_building_arch_areas!$A$2:$A$161&amp;base_building_arch_areas!$E$2:$E$161,0))</f>
        <v>0</v>
      </c>
      <c r="G78" s="191">
        <f>(model_eui_end_uses!AO78*F78*base_building_arch_areas!$P$6)/1000000</f>
        <v>0</v>
      </c>
      <c r="AB78" s="187"/>
    </row>
    <row r="79" spans="1:28">
      <c r="A79">
        <f>sim_annual_output!B79</f>
        <v>4</v>
      </c>
      <c r="B79" t="str">
        <f>sim_annual_output!C79</f>
        <v>Food Service</v>
      </c>
      <c r="C79" t="str">
        <f>sim_annual_output!D79</f>
        <v>2005-2014</v>
      </c>
      <c r="D79">
        <v>2015</v>
      </c>
      <c r="E79" t="str">
        <f>sim_annual_output!E79</f>
        <v>envelope_ecm_wall</v>
      </c>
      <c r="F79">
        <f t="array" ref="F79">INDEX(base_building_arch_areas!$M$2:$M$161,MATCH($A79&amp;$D79,base_building_arch_areas!$A$2:$A$161&amp;base_building_arch_areas!$E$2:$E$161,0))</f>
        <v>0</v>
      </c>
      <c r="G79" s="191">
        <f>(model_eui_end_uses!AO79*F79*base_building_arch_areas!$P$6)/1000000</f>
        <v>0</v>
      </c>
      <c r="AB79" s="187"/>
    </row>
    <row r="80" spans="1:28">
      <c r="A80">
        <f>sim_annual_output!B80</f>
        <v>4</v>
      </c>
      <c r="B80" t="str">
        <f>sim_annual_output!C80</f>
        <v>Food Service</v>
      </c>
      <c r="C80" t="str">
        <f>sim_annual_output!D80</f>
        <v>2005-2014</v>
      </c>
      <c r="D80">
        <v>2015</v>
      </c>
      <c r="E80" t="str">
        <f>sim_annual_output!E80</f>
        <v>envelope_ecm_windows</v>
      </c>
      <c r="F80">
        <f t="array" ref="F80">INDEX(base_building_arch_areas!$M$2:$M$161,MATCH($A80&amp;$D80,base_building_arch_areas!$A$2:$A$161&amp;base_building_arch_areas!$E$2:$E$161,0))</f>
        <v>0</v>
      </c>
      <c r="G80" s="191">
        <f>(model_eui_end_uses!AO80*F80*base_building_arch_areas!$P$6)/1000000</f>
        <v>0</v>
      </c>
      <c r="AB80" s="187"/>
    </row>
    <row r="81" spans="1:28">
      <c r="A81">
        <f>sim_annual_output!B81</f>
        <v>4</v>
      </c>
      <c r="B81" t="str">
        <f>sim_annual_output!C81</f>
        <v>Food Service</v>
      </c>
      <c r="C81" t="str">
        <f>sim_annual_output!D81</f>
        <v>2005-2014</v>
      </c>
      <c r="D81">
        <v>2015</v>
      </c>
      <c r="E81" t="str">
        <f>sim_annual_output!E81</f>
        <v>exhaust_fans_occ_control</v>
      </c>
      <c r="F81">
        <f t="array" ref="F81">INDEX(base_building_arch_areas!$M$2:$M$161,MATCH($A81&amp;$D81,base_building_arch_areas!$A$2:$A$161&amp;base_building_arch_areas!$E$2:$E$161,0))</f>
        <v>0</v>
      </c>
      <c r="G81" s="191">
        <f>(model_eui_end_uses!AO81*F81*base_building_arch_areas!$P$6)/1000000</f>
        <v>0</v>
      </c>
      <c r="AB81" s="187"/>
    </row>
    <row r="82" spans="1:28">
      <c r="A82">
        <f>sim_annual_output!B82</f>
        <v>4</v>
      </c>
      <c r="B82" t="str">
        <f>sim_annual_output!C82</f>
        <v>Food Service</v>
      </c>
      <c r="C82" t="str">
        <f>sim_annual_output!D82</f>
        <v>2005-2014</v>
      </c>
      <c r="D82">
        <v>2015</v>
      </c>
      <c r="E82" t="str">
        <f>sim_annual_output!E82</f>
        <v>fans_to_variable</v>
      </c>
      <c r="F82">
        <f t="array" ref="F82">INDEX(base_building_arch_areas!$M$2:$M$161,MATCH($A82&amp;$D82,base_building_arch_areas!$A$2:$A$161&amp;base_building_arch_areas!$E$2:$E$161,0))</f>
        <v>0</v>
      </c>
      <c r="G82" s="191">
        <f>(model_eui_end_uses!AO82*F82*base_building_arch_areas!$P$6)/1000000</f>
        <v>0</v>
      </c>
      <c r="AB82" s="187"/>
    </row>
    <row r="83" spans="1:28">
      <c r="A83">
        <f>sim_annual_output!B83</f>
        <v>4</v>
      </c>
      <c r="B83" t="str">
        <f>sim_annual_output!C83</f>
        <v>Food Service</v>
      </c>
      <c r="C83" t="str">
        <f>sim_annual_output!D83</f>
        <v>2005-2014</v>
      </c>
      <c r="D83">
        <v>2015</v>
      </c>
      <c r="E83" t="str">
        <f>sim_annual_output!E83</f>
        <v>hrv_enabled</v>
      </c>
      <c r="F83">
        <f t="array" ref="F83">INDEX(base_building_arch_areas!$M$2:$M$161,MATCH($A83&amp;$D83,base_building_arch_areas!$A$2:$A$161&amp;base_building_arch_areas!$E$2:$E$161,0))</f>
        <v>0</v>
      </c>
      <c r="G83" s="191">
        <f>(model_eui_end_uses!AO83*F83*base_building_arch_areas!$P$6)/1000000</f>
        <v>0</v>
      </c>
      <c r="AB83" s="187"/>
    </row>
    <row r="84" spans="1:28">
      <c r="A84">
        <f>sim_annual_output!B84</f>
        <v>4</v>
      </c>
      <c r="B84" t="str">
        <f>sim_annual_output!C84</f>
        <v>Food Service</v>
      </c>
      <c r="C84" t="str">
        <f>sim_annual_output!D84</f>
        <v>2005-2014</v>
      </c>
      <c r="D84">
        <v>2015</v>
      </c>
      <c r="E84" t="str">
        <f>sim_annual_output!E84</f>
        <v>lights_reduce_70p</v>
      </c>
      <c r="F84">
        <f t="array" ref="F84">INDEX(base_building_arch_areas!$M$2:$M$161,MATCH($A84&amp;$D84,base_building_arch_areas!$A$2:$A$161&amp;base_building_arch_areas!$E$2:$E$161,0))</f>
        <v>0</v>
      </c>
      <c r="G84" s="191">
        <f>(model_eui_end_uses!AO84*F84*base_building_arch_areas!$P$6)/1000000</f>
        <v>0</v>
      </c>
      <c r="AB84" s="187"/>
    </row>
    <row r="85" spans="1:28">
      <c r="A85">
        <f>sim_annual_output!B85</f>
        <v>4</v>
      </c>
      <c r="B85" t="str">
        <f>sim_annual_output!C85</f>
        <v>Food Service</v>
      </c>
      <c r="C85" t="str">
        <f>sim_annual_output!D85</f>
        <v>2005-2014</v>
      </c>
      <c r="D85">
        <v>2015</v>
      </c>
      <c r="E85" t="str">
        <f>sim_annual_output!E85</f>
        <v>load_reduce</v>
      </c>
      <c r="F85">
        <f t="array" ref="F85">INDEX(base_building_arch_areas!$M$2:$M$161,MATCH($A85&amp;$D85,base_building_arch_areas!$A$2:$A$161&amp;base_building_arch_areas!$E$2:$E$161,0))</f>
        <v>0</v>
      </c>
      <c r="G85" s="191">
        <f>(model_eui_end_uses!AO85*F85*base_building_arch_areas!$P$6)/1000000</f>
        <v>0</v>
      </c>
      <c r="AB85" s="187"/>
    </row>
    <row r="86" spans="1:28">
      <c r="A86">
        <f>sim_annual_output!B86</f>
        <v>4</v>
      </c>
      <c r="B86" t="str">
        <f>sim_annual_output!C86</f>
        <v>Food Service</v>
      </c>
      <c r="C86" t="str">
        <f>sim_annual_output!D86</f>
        <v>2005-2014</v>
      </c>
      <c r="D86">
        <v>2015</v>
      </c>
      <c r="E86" t="str">
        <f>sim_annual_output!E86</f>
        <v>occupancy_setback</v>
      </c>
      <c r="F86">
        <f t="array" ref="F86">INDEX(base_building_arch_areas!$M$2:$M$161,MATCH($A86&amp;$D86,base_building_arch_areas!$A$2:$A$161&amp;base_building_arch_areas!$E$2:$E$161,0))</f>
        <v>0</v>
      </c>
      <c r="G86" s="191">
        <f>(model_eui_end_uses!AO86*F86*base_building_arch_areas!$P$6)/1000000</f>
        <v>0</v>
      </c>
      <c r="AB86" s="187"/>
    </row>
    <row r="87" spans="1:28">
      <c r="A87">
        <f>sim_annual_output!B87</f>
        <v>4</v>
      </c>
      <c r="B87" t="str">
        <f>sim_annual_output!C87</f>
        <v>Food Service</v>
      </c>
      <c r="C87" t="str">
        <f>sim_annual_output!D87</f>
        <v>2005-2014</v>
      </c>
      <c r="D87">
        <v>2015</v>
      </c>
      <c r="E87" t="str">
        <f>sim_annual_output!E87</f>
        <v>payback_less_than_20</v>
      </c>
      <c r="F87">
        <f t="array" ref="F87">INDEX(base_building_arch_areas!$M$2:$M$161,MATCH($A87&amp;$D87,base_building_arch_areas!$A$2:$A$161&amp;base_building_arch_areas!$E$2:$E$161,0))</f>
        <v>0</v>
      </c>
      <c r="G87" s="191">
        <f>(model_eui_end_uses!AO87*F87*base_building_arch_areas!$P$6)/1000000</f>
        <v>0</v>
      </c>
      <c r="AB87" s="187"/>
    </row>
    <row r="88" spans="1:28">
      <c r="A88">
        <f>sim_annual_output!B88</f>
        <v>4</v>
      </c>
      <c r="B88" t="str">
        <f>sim_annual_output!C88</f>
        <v>Food Service</v>
      </c>
      <c r="C88" t="str">
        <f>sim_annual_output!D88</f>
        <v>2005-2014</v>
      </c>
      <c r="D88">
        <v>2015</v>
      </c>
      <c r="E88" t="str">
        <f>sim_annual_output!E88</f>
        <v>plug_loads_90_percent</v>
      </c>
      <c r="F88">
        <f t="array" ref="F88">INDEX(base_building_arch_areas!$M$2:$M$161,MATCH($A88&amp;$D88,base_building_arch_areas!$A$2:$A$161&amp;base_building_arch_areas!$E$2:$E$161,0))</f>
        <v>0</v>
      </c>
      <c r="G88" s="191">
        <f>(model_eui_end_uses!AO88*F88*base_building_arch_areas!$P$6)/1000000</f>
        <v>0</v>
      </c>
      <c r="AB88" s="187"/>
    </row>
    <row r="89" spans="1:28">
      <c r="A89">
        <f>sim_annual_output!B89</f>
        <v>4</v>
      </c>
      <c r="B89" t="str">
        <f>sim_annual_output!C89</f>
        <v>Food Service</v>
      </c>
      <c r="C89" t="str">
        <f>sim_annual_output!D89</f>
        <v>2005-2014</v>
      </c>
      <c r="D89">
        <v>2015</v>
      </c>
      <c r="E89" t="str">
        <f>sim_annual_output!E89</f>
        <v>pump_fan_eff_</v>
      </c>
      <c r="F89">
        <f t="array" ref="F89">INDEX(base_building_arch_areas!$M$2:$M$161,MATCH($A89&amp;$D89,base_building_arch_areas!$A$2:$A$161&amp;base_building_arch_areas!$E$2:$E$161,0))</f>
        <v>0</v>
      </c>
      <c r="G89" s="191">
        <f>(model_eui_end_uses!AO89*F89*base_building_arch_areas!$P$6)/1000000</f>
        <v>0</v>
      </c>
      <c r="AB89" s="187"/>
    </row>
    <row r="90" spans="1:28">
      <c r="A90">
        <f>sim_annual_output!B90</f>
        <v>5</v>
      </c>
      <c r="B90" t="str">
        <f>sim_annual_output!C90</f>
        <v>Hangar</v>
      </c>
      <c r="C90" t="str">
        <f>sim_annual_output!D90</f>
        <v>1959-pre</v>
      </c>
      <c r="D90">
        <v>2015</v>
      </c>
      <c r="E90" t="str">
        <f>sim_annual_output!E90</f>
        <v>air_temp_reset_enabled</v>
      </c>
      <c r="F90">
        <f t="array" ref="F90">INDEX(base_building_arch_areas!$M$2:$M$161,MATCH($A90&amp;$D90,base_building_arch_areas!$A$2:$A$161&amp;base_building_arch_areas!$E$2:$E$161,0))</f>
        <v>0.26866355265375258</v>
      </c>
      <c r="G90" s="191">
        <f>(model_eui_end_uses!AO90*F90*base_building_arch_areas!$P$6)/1000000</f>
        <v>-300.99462926949394</v>
      </c>
      <c r="AB90" s="187"/>
    </row>
    <row r="91" spans="1:28">
      <c r="A91">
        <f>sim_annual_output!B91</f>
        <v>5</v>
      </c>
      <c r="B91" t="str">
        <f>sim_annual_output!C91</f>
        <v>Hangar</v>
      </c>
      <c r="C91" t="str">
        <f>sim_annual_output!D91</f>
        <v>1959-pre</v>
      </c>
      <c r="D91">
        <v>2015</v>
      </c>
      <c r="E91" t="str">
        <f>sim_annual_output!E91</f>
        <v>baseline</v>
      </c>
      <c r="F91">
        <f t="array" ref="F91">INDEX(base_building_arch_areas!$M$2:$M$161,MATCH($A91&amp;$D91,base_building_arch_areas!$A$2:$A$161&amp;base_building_arch_areas!$E$2:$E$161,0))</f>
        <v>0.26866355265375258</v>
      </c>
      <c r="G91" s="191">
        <f>(model_eui_end_uses!AO91*F91*base_building_arch_areas!$P$6)/1000000</f>
        <v>0</v>
      </c>
      <c r="AB91" s="187"/>
    </row>
    <row r="92" spans="1:28">
      <c r="A92">
        <f>sim_annual_output!B92</f>
        <v>5</v>
      </c>
      <c r="B92" t="str">
        <f>sim_annual_output!C92</f>
        <v>Hangar</v>
      </c>
      <c r="C92" t="str">
        <f>sim_annual_output!D92</f>
        <v>1959-pre</v>
      </c>
      <c r="D92">
        <v>2015</v>
      </c>
      <c r="E92" t="str">
        <f>sim_annual_output!E92</f>
        <v>boiler_eff_upgrade</v>
      </c>
      <c r="F92">
        <f t="array" ref="F92">INDEX(base_building_arch_areas!$M$2:$M$161,MATCH($A92&amp;$D92,base_building_arch_areas!$A$2:$A$161&amp;base_building_arch_areas!$E$2:$E$161,0))</f>
        <v>0.26866355265375258</v>
      </c>
      <c r="G92" s="191">
        <f>(model_eui_end_uses!AO92*F92*base_building_arch_areas!$P$6)/1000000</f>
        <v>29.057367620594395</v>
      </c>
      <c r="AB92" s="187"/>
    </row>
    <row r="93" spans="1:28">
      <c r="A93">
        <f>sim_annual_output!B93</f>
        <v>5</v>
      </c>
      <c r="B93" t="str">
        <f>sim_annual_output!C93</f>
        <v>Hangar</v>
      </c>
      <c r="C93" t="str">
        <f>sim_annual_output!D93</f>
        <v>1959-pre</v>
      </c>
      <c r="D93">
        <v>2015</v>
      </c>
      <c r="E93" t="str">
        <f>sim_annual_output!E93</f>
        <v>boiler_reset</v>
      </c>
      <c r="F93">
        <f t="array" ref="F93">INDEX(base_building_arch_areas!$M$2:$M$161,MATCH($A93&amp;$D93,base_building_arch_areas!$A$2:$A$161&amp;base_building_arch_areas!$E$2:$E$161,0))</f>
        <v>0.26866355265375258</v>
      </c>
      <c r="G93" s="191">
        <f>(model_eui_end_uses!AO93*F93*base_building_arch_areas!$P$6)/1000000</f>
        <v>1179.3035505738367</v>
      </c>
      <c r="AB93" s="187"/>
    </row>
    <row r="94" spans="1:28">
      <c r="A94">
        <f>sim_annual_output!B94</f>
        <v>5</v>
      </c>
      <c r="B94" t="str">
        <f>sim_annual_output!C94</f>
        <v>Hangar</v>
      </c>
      <c r="C94" t="str">
        <f>sim_annual_output!D94</f>
        <v>1959-pre</v>
      </c>
      <c r="D94">
        <v>2015</v>
      </c>
      <c r="E94" t="str">
        <f>sim_annual_output!E94</f>
        <v>cooling_cop_3_0</v>
      </c>
      <c r="F94">
        <f t="array" ref="F94">INDEX(base_building_arch_areas!$M$2:$M$161,MATCH($A94&amp;$D94,base_building_arch_areas!$A$2:$A$161&amp;base_building_arch_areas!$E$2:$E$161,0))</f>
        <v>0.26866355265375258</v>
      </c>
      <c r="G94" s="191">
        <f>(model_eui_end_uses!AO94*F94*base_building_arch_areas!$P$6)/1000000</f>
        <v>34.856736945444524</v>
      </c>
      <c r="AB94" s="187"/>
    </row>
    <row r="95" spans="1:28">
      <c r="A95">
        <f>sim_annual_output!B95</f>
        <v>5</v>
      </c>
      <c r="B95" t="str">
        <f>sim_annual_output!C95</f>
        <v>Hangar</v>
      </c>
      <c r="C95" t="str">
        <f>sim_annual_output!D95</f>
        <v>1959-pre</v>
      </c>
      <c r="D95">
        <v>2015</v>
      </c>
      <c r="E95" t="str">
        <f>sim_annual_output!E95</f>
        <v>dcv_enabled</v>
      </c>
      <c r="F95">
        <f t="array" ref="F95">INDEX(base_building_arch_areas!$M$2:$M$161,MATCH($A95&amp;$D95,base_building_arch_areas!$A$2:$A$161&amp;base_building_arch_areas!$E$2:$E$161,0))</f>
        <v>0.26866355265375258</v>
      </c>
      <c r="G95" s="191">
        <f>(model_eui_end_uses!AO95*F95*base_building_arch_areas!$P$6)/1000000</f>
        <v>639.64813679775705</v>
      </c>
      <c r="AB95" s="187"/>
    </row>
    <row r="96" spans="1:28">
      <c r="A96">
        <f>sim_annual_output!B96</f>
        <v>5</v>
      </c>
      <c r="B96" t="str">
        <f>sim_annual_output!C96</f>
        <v>Hangar</v>
      </c>
      <c r="C96" t="str">
        <f>sim_annual_output!D96</f>
        <v>1959-pre</v>
      </c>
      <c r="D96">
        <v>2015</v>
      </c>
      <c r="E96" t="str">
        <f>sim_annual_output!E96</f>
        <v>ecm_cold_deck_reset_control</v>
      </c>
      <c r="F96">
        <f t="array" ref="F96">INDEX(base_building_arch_areas!$M$2:$M$161,MATCH($A96&amp;$D96,base_building_arch_areas!$A$2:$A$161&amp;base_building_arch_areas!$E$2:$E$161,0))</f>
        <v>0.26866355265375258</v>
      </c>
      <c r="G96" s="191">
        <f>(model_eui_end_uses!AO96*F96*base_building_arch_areas!$P$6)/1000000</f>
        <v>13.879593726680037</v>
      </c>
      <c r="AB96" s="187"/>
    </row>
    <row r="97" spans="1:28">
      <c r="A97">
        <f>sim_annual_output!B97</f>
        <v>5</v>
      </c>
      <c r="B97" t="str">
        <f>sim_annual_output!C97</f>
        <v>Hangar</v>
      </c>
      <c r="C97" t="str">
        <f>sim_annual_output!D97</f>
        <v>1959-pre</v>
      </c>
      <c r="D97">
        <v>2015</v>
      </c>
      <c r="E97" t="str">
        <f>sim_annual_output!E97</f>
        <v>economizers_enabled</v>
      </c>
      <c r="F97">
        <f t="array" ref="F97">INDEX(base_building_arch_areas!$M$2:$M$161,MATCH($A97&amp;$D97,base_building_arch_areas!$A$2:$A$161&amp;base_building_arch_areas!$E$2:$E$161,0))</f>
        <v>0.26866355265375258</v>
      </c>
      <c r="G97" s="191">
        <f>(model_eui_end_uses!AO97*F97*base_building_arch_areas!$P$6)/1000000</f>
        <v>29.68938522029859</v>
      </c>
      <c r="AB97" s="187"/>
    </row>
    <row r="98" spans="1:28">
      <c r="A98">
        <f>sim_annual_output!B98</f>
        <v>5</v>
      </c>
      <c r="B98" t="str">
        <f>sim_annual_output!C98</f>
        <v>Hangar</v>
      </c>
      <c r="C98" t="str">
        <f>sim_annual_output!D98</f>
        <v>1959-pre</v>
      </c>
      <c r="D98">
        <v>2015</v>
      </c>
      <c r="E98" t="str">
        <f>sim_annual_output!E98</f>
        <v>elec_reduce</v>
      </c>
      <c r="F98">
        <f t="array" ref="F98">INDEX(base_building_arch_areas!$M$2:$M$161,MATCH($A98&amp;$D98,base_building_arch_areas!$A$2:$A$161&amp;base_building_arch_areas!$E$2:$E$161,0))</f>
        <v>0.26866355265375258</v>
      </c>
      <c r="G98" s="191">
        <f>(model_eui_end_uses!AO98*F98*base_building_arch_areas!$P$6)/1000000</f>
        <v>1399.2939434029984</v>
      </c>
      <c r="AB98" s="187"/>
    </row>
    <row r="99" spans="1:28">
      <c r="A99">
        <f>sim_annual_output!B99</f>
        <v>5</v>
      </c>
      <c r="B99" t="str">
        <f>sim_annual_output!C99</f>
        <v>Hangar</v>
      </c>
      <c r="C99" t="str">
        <f>sim_annual_output!D99</f>
        <v>1959-pre</v>
      </c>
      <c r="D99">
        <v>2015</v>
      </c>
      <c r="E99" t="str">
        <f>sim_annual_output!E99</f>
        <v>envelope_ecm_roof</v>
      </c>
      <c r="F99">
        <f t="array" ref="F99">INDEX(base_building_arch_areas!$M$2:$M$161,MATCH($A99&amp;$D99,base_building_arch_areas!$A$2:$A$161&amp;base_building_arch_areas!$E$2:$E$161,0))</f>
        <v>0.26866355265375258</v>
      </c>
      <c r="G99" s="191">
        <f>(model_eui_end_uses!AO99*F99*base_building_arch_areas!$P$6)/1000000</f>
        <v>384.8616958669495</v>
      </c>
      <c r="AB99" s="187"/>
    </row>
    <row r="100" spans="1:28">
      <c r="A100">
        <f>sim_annual_output!B100</f>
        <v>5</v>
      </c>
      <c r="B100" t="str">
        <f>sim_annual_output!C100</f>
        <v>Hangar</v>
      </c>
      <c r="C100" t="str">
        <f>sim_annual_output!D100</f>
        <v>1959-pre</v>
      </c>
      <c r="D100">
        <v>2015</v>
      </c>
      <c r="E100" t="str">
        <f>sim_annual_output!E100</f>
        <v>envelope_ecm_wall</v>
      </c>
      <c r="F100">
        <f t="array" ref="F100">INDEX(base_building_arch_areas!$M$2:$M$161,MATCH($A100&amp;$D100,base_building_arch_areas!$A$2:$A$161&amp;base_building_arch_areas!$E$2:$E$161,0))</f>
        <v>0.26866355265375258</v>
      </c>
      <c r="G100" s="191">
        <f>(model_eui_end_uses!AO100*F100*base_building_arch_areas!$P$6)/1000000</f>
        <v>265.7031913958669</v>
      </c>
      <c r="AB100" s="187"/>
    </row>
    <row r="101" spans="1:28">
      <c r="A101">
        <f>sim_annual_output!B101</f>
        <v>5</v>
      </c>
      <c r="B101" t="str">
        <f>sim_annual_output!C101</f>
        <v>Hangar</v>
      </c>
      <c r="C101" t="str">
        <f>sim_annual_output!D101</f>
        <v>1959-pre</v>
      </c>
      <c r="D101">
        <v>2015</v>
      </c>
      <c r="E101" t="str">
        <f>sim_annual_output!E101</f>
        <v>envelope_ecm_windows</v>
      </c>
      <c r="F101">
        <f t="array" ref="F101">INDEX(base_building_arch_areas!$M$2:$M$161,MATCH($A101&amp;$D101,base_building_arch_areas!$A$2:$A$161&amp;base_building_arch_areas!$E$2:$E$161,0))</f>
        <v>0.26866355265375258</v>
      </c>
      <c r="G101" s="191">
        <f>(model_eui_end_uses!AO101*F101*base_building_arch_areas!$P$6)/1000000</f>
        <v>96.508569545505907</v>
      </c>
      <c r="AB101" s="187"/>
    </row>
    <row r="102" spans="1:28">
      <c r="A102">
        <f>sim_annual_output!B102</f>
        <v>5</v>
      </c>
      <c r="B102" t="str">
        <f>sim_annual_output!C102</f>
        <v>Hangar</v>
      </c>
      <c r="C102" t="str">
        <f>sim_annual_output!D102</f>
        <v>1959-pre</v>
      </c>
      <c r="D102">
        <v>2015</v>
      </c>
      <c r="E102" t="str">
        <f>sim_annual_output!E102</f>
        <v>exhaust_fans_occ_control</v>
      </c>
      <c r="F102">
        <f t="array" ref="F102">INDEX(base_building_arch_areas!$M$2:$M$161,MATCH($A102&amp;$D102,base_building_arch_areas!$A$2:$A$161&amp;base_building_arch_areas!$E$2:$E$161,0))</f>
        <v>0.26866355265375258</v>
      </c>
      <c r="G102" s="191">
        <f>(model_eui_end_uses!AO102*F102*base_building_arch_areas!$P$6)/1000000</f>
        <v>68.898262784024936</v>
      </c>
      <c r="AB102" s="187"/>
    </row>
    <row r="103" spans="1:28">
      <c r="A103">
        <f>sim_annual_output!B103</f>
        <v>5</v>
      </c>
      <c r="B103" t="str">
        <f>sim_annual_output!C103</f>
        <v>Hangar</v>
      </c>
      <c r="C103" t="str">
        <f>sim_annual_output!D103</f>
        <v>1959-pre</v>
      </c>
      <c r="D103">
        <v>2015</v>
      </c>
      <c r="E103" t="str">
        <f>sim_annual_output!E103</f>
        <v>fans_to_variable</v>
      </c>
      <c r="F103">
        <f t="array" ref="F103">INDEX(base_building_arch_areas!$M$2:$M$161,MATCH($A103&amp;$D103,base_building_arch_areas!$A$2:$A$161&amp;base_building_arch_areas!$E$2:$E$161,0))</f>
        <v>0.26866355265375258</v>
      </c>
      <c r="G103" s="191">
        <f>(model_eui_end_uses!AO103*F103*base_building_arch_areas!$P$6)/1000000</f>
        <v>32.172712283464534</v>
      </c>
      <c r="AB103" s="187"/>
    </row>
    <row r="104" spans="1:28">
      <c r="A104">
        <f>sim_annual_output!B104</f>
        <v>5</v>
      </c>
      <c r="B104" t="str">
        <f>sim_annual_output!C104</f>
        <v>Hangar</v>
      </c>
      <c r="C104" t="str">
        <f>sim_annual_output!D104</f>
        <v>1959-pre</v>
      </c>
      <c r="D104">
        <v>2015</v>
      </c>
      <c r="E104" t="str">
        <f>sim_annual_output!E104</f>
        <v>hrv_enabled</v>
      </c>
      <c r="F104">
        <f t="array" ref="F104">INDEX(base_building_arch_areas!$M$2:$M$161,MATCH($A104&amp;$D104,base_building_arch_areas!$A$2:$A$161&amp;base_building_arch_areas!$E$2:$E$161,0))</f>
        <v>0.26866355265375258</v>
      </c>
      <c r="G104" s="191">
        <f>(model_eui_end_uses!AO104*F104*base_building_arch_areas!$P$6)/1000000</f>
        <v>465.70038676101967</v>
      </c>
      <c r="AB104" s="187"/>
    </row>
    <row r="105" spans="1:28">
      <c r="A105">
        <f>sim_annual_output!B105</f>
        <v>5</v>
      </c>
      <c r="B105" t="str">
        <f>sim_annual_output!C105</f>
        <v>Hangar</v>
      </c>
      <c r="C105" t="str">
        <f>sim_annual_output!D105</f>
        <v>1959-pre</v>
      </c>
      <c r="D105">
        <v>2015</v>
      </c>
      <c r="E105" t="str">
        <f>sim_annual_output!E105</f>
        <v>infil_reduce</v>
      </c>
      <c r="F105">
        <f t="array" ref="F105">INDEX(base_building_arch_areas!$M$2:$M$161,MATCH($A105&amp;$D105,base_building_arch_areas!$A$2:$A$161&amp;base_building_arch_areas!$E$2:$E$161,0))</f>
        <v>0.26866355265375258</v>
      </c>
      <c r="G105" s="191">
        <f>(model_eui_end_uses!AO105*F105*base_building_arch_areas!$P$6)/1000000</f>
        <v>2161.6180438785682</v>
      </c>
      <c r="AB105" s="187"/>
    </row>
    <row r="106" spans="1:28">
      <c r="A106">
        <f>sim_annual_output!B106</f>
        <v>5</v>
      </c>
      <c r="B106" t="str">
        <f>sim_annual_output!C106</f>
        <v>Hangar</v>
      </c>
      <c r="C106" t="str">
        <f>sim_annual_output!D106</f>
        <v>1959-pre</v>
      </c>
      <c r="D106">
        <v>2015</v>
      </c>
      <c r="E106" t="str">
        <f>sim_annual_output!E106</f>
        <v>infil_reduce_plus_setback</v>
      </c>
      <c r="F106">
        <f t="array" ref="F106">INDEX(base_building_arch_areas!$M$2:$M$161,MATCH($A106&amp;$D106,base_building_arch_areas!$A$2:$A$161&amp;base_building_arch_areas!$E$2:$E$161,0))</f>
        <v>0.26866355265375258</v>
      </c>
      <c r="G106" s="191">
        <f>(model_eui_end_uses!AO106*F106*base_building_arch_areas!$P$6)/1000000</f>
        <v>2602.6361507820843</v>
      </c>
      <c r="AB106" s="187"/>
    </row>
    <row r="107" spans="1:28">
      <c r="A107">
        <f>sim_annual_output!B107</f>
        <v>5</v>
      </c>
      <c r="B107" t="str">
        <f>sim_annual_output!C107</f>
        <v>Hangar</v>
      </c>
      <c r="C107" t="str">
        <f>sim_annual_output!D107</f>
        <v>1959-pre</v>
      </c>
      <c r="D107">
        <v>2015</v>
      </c>
      <c r="E107" t="str">
        <f>sim_annual_output!E107</f>
        <v>lights_reduce_70p</v>
      </c>
      <c r="F107">
        <f t="array" ref="F107">INDEX(base_building_arch_areas!$M$2:$M$161,MATCH($A107&amp;$D107,base_building_arch_areas!$A$2:$A$161&amp;base_building_arch_areas!$E$2:$E$161,0))</f>
        <v>0.26866355265375258</v>
      </c>
      <c r="G107" s="191">
        <f>(model_eui_end_uses!AO107*F107*base_building_arch_areas!$P$6)/1000000</f>
        <v>659.04725018671297</v>
      </c>
      <c r="AB107" s="187"/>
    </row>
    <row r="108" spans="1:28">
      <c r="A108">
        <f>sim_annual_output!B108</f>
        <v>5</v>
      </c>
      <c r="B108" t="str">
        <f>sim_annual_output!C108</f>
        <v>Hangar</v>
      </c>
      <c r="C108" t="str">
        <f>sim_annual_output!D108</f>
        <v>1959-pre</v>
      </c>
      <c r="D108">
        <v>2015</v>
      </c>
      <c r="E108" t="str">
        <f>sim_annual_output!E108</f>
        <v>load_reduce</v>
      </c>
      <c r="F108">
        <f t="array" ref="F108">INDEX(base_building_arch_areas!$M$2:$M$161,MATCH($A108&amp;$D108,base_building_arch_areas!$A$2:$A$161&amp;base_building_arch_areas!$E$2:$E$161,0))</f>
        <v>0.26866355265375258</v>
      </c>
      <c r="G108" s="191">
        <f>(model_eui_end_uses!AO108*F108*base_building_arch_areas!$P$6)/1000000</f>
        <v>3188.2906389471177</v>
      </c>
      <c r="AB108" s="187"/>
    </row>
    <row r="109" spans="1:28">
      <c r="A109">
        <f>sim_annual_output!B109</f>
        <v>5</v>
      </c>
      <c r="B109" t="str">
        <f>sim_annual_output!C109</f>
        <v>Hangar</v>
      </c>
      <c r="C109" t="str">
        <f>sim_annual_output!D109</f>
        <v>1959-pre</v>
      </c>
      <c r="D109">
        <v>2015</v>
      </c>
      <c r="E109" t="str">
        <f>sim_annual_output!E109</f>
        <v>occupancy_setback</v>
      </c>
      <c r="F109">
        <f t="array" ref="F109">INDEX(base_building_arch_areas!$M$2:$M$161,MATCH($A109&amp;$D109,base_building_arch_areas!$A$2:$A$161&amp;base_building_arch_areas!$E$2:$E$161,0))</f>
        <v>0.26866355265375258</v>
      </c>
      <c r="G109" s="191">
        <f>(model_eui_end_uses!AO109*F109*base_building_arch_areas!$P$6)/1000000</f>
        <v>686.57106755286225</v>
      </c>
      <c r="AB109" s="187"/>
    </row>
    <row r="110" spans="1:28">
      <c r="A110">
        <f>sim_annual_output!B110</f>
        <v>5</v>
      </c>
      <c r="B110" t="str">
        <f>sim_annual_output!C110</f>
        <v>Hangar</v>
      </c>
      <c r="C110" t="str">
        <f>sim_annual_output!D110</f>
        <v>1959-pre</v>
      </c>
      <c r="D110">
        <v>2015</v>
      </c>
      <c r="E110" t="str">
        <f>sim_annual_output!E110</f>
        <v>payback_less_than_20</v>
      </c>
      <c r="F110">
        <f t="array" ref="F110">INDEX(base_building_arch_areas!$M$2:$M$161,MATCH($A110&amp;$D110,base_building_arch_areas!$A$2:$A$161&amp;base_building_arch_areas!$E$2:$E$161,0))</f>
        <v>0.26866355265375258</v>
      </c>
      <c r="G110" s="191">
        <f>(model_eui_end_uses!AO110*F110*base_building_arch_areas!$P$6)/1000000</f>
        <v>4220.5453368001545</v>
      </c>
      <c r="AB110" s="187"/>
    </row>
    <row r="111" spans="1:28">
      <c r="A111">
        <f>sim_annual_output!B111</f>
        <v>5</v>
      </c>
      <c r="B111" t="str">
        <f>sim_annual_output!C111</f>
        <v>Hangar</v>
      </c>
      <c r="C111" t="str">
        <f>sim_annual_output!D111</f>
        <v>1959-pre</v>
      </c>
      <c r="D111">
        <v>2015</v>
      </c>
      <c r="E111" t="str">
        <f>sim_annual_output!E111</f>
        <v>plug_loads_90_percent</v>
      </c>
      <c r="F111">
        <f t="array" ref="F111">INDEX(base_building_arch_areas!$M$2:$M$161,MATCH($A111&amp;$D111,base_building_arch_areas!$A$2:$A$161&amp;base_building_arch_areas!$E$2:$E$161,0))</f>
        <v>0.26866355265375258</v>
      </c>
      <c r="G111" s="191">
        <f>(model_eui_end_uses!AO111*F111*base_building_arch_areas!$P$6)/1000000</f>
        <v>27.677110048253823</v>
      </c>
      <c r="AB111" s="187"/>
    </row>
    <row r="112" spans="1:28">
      <c r="A112">
        <f>sim_annual_output!B112</f>
        <v>5</v>
      </c>
      <c r="B112" t="str">
        <f>sim_annual_output!C112</f>
        <v>Hangar</v>
      </c>
      <c r="C112" t="str">
        <f>sim_annual_output!D112</f>
        <v>1959-pre</v>
      </c>
      <c r="D112">
        <v>2015</v>
      </c>
      <c r="E112" t="str">
        <f>sim_annual_output!E112</f>
        <v>pumps_to_variable</v>
      </c>
      <c r="F112">
        <f t="array" ref="F112">INDEX(base_building_arch_areas!$M$2:$M$161,MATCH($A112&amp;$D112,base_building_arch_areas!$A$2:$A$161&amp;base_building_arch_areas!$E$2:$E$161,0))</f>
        <v>0.26866355265375258</v>
      </c>
      <c r="G112" s="191">
        <f>(model_eui_end_uses!AO112*F112*base_building_arch_areas!$P$6)/1000000</f>
        <v>29.653849516422081</v>
      </c>
      <c r="AB112" s="187"/>
    </row>
    <row r="113" spans="1:28">
      <c r="A113">
        <f>sim_annual_output!B113</f>
        <v>5</v>
      </c>
      <c r="B113" t="str">
        <f>sim_annual_output!C113</f>
        <v>Hangar</v>
      </c>
      <c r="C113" t="str">
        <f>sim_annual_output!D113</f>
        <v>1959-pre</v>
      </c>
      <c r="D113">
        <v>2015</v>
      </c>
      <c r="E113" t="str">
        <f>sim_annual_output!E113</f>
        <v>pump_fan_eff_</v>
      </c>
      <c r="F113">
        <f t="array" ref="F113">INDEX(base_building_arch_areas!$M$2:$M$161,MATCH($A113&amp;$D113,base_building_arch_areas!$A$2:$A$161&amp;base_building_arch_areas!$E$2:$E$161,0))</f>
        <v>0.26866355265375258</v>
      </c>
      <c r="G113" s="191">
        <f>(model_eui_end_uses!AO113*F113*base_building_arch_areas!$P$6)/1000000</f>
        <v>120.55389229250913</v>
      </c>
      <c r="AB113" s="187"/>
    </row>
    <row r="114" spans="1:28">
      <c r="A114">
        <f>sim_annual_output!B114</f>
        <v>6</v>
      </c>
      <c r="B114" t="str">
        <f>sim_annual_output!C114</f>
        <v>Hangar</v>
      </c>
      <c r="C114" t="str">
        <f>sim_annual_output!D114</f>
        <v>1960-1979</v>
      </c>
      <c r="D114">
        <v>2015</v>
      </c>
      <c r="E114" t="str">
        <f>sim_annual_output!E114</f>
        <v>air_temp_reset_enabled</v>
      </c>
      <c r="F114">
        <f t="array" ref="F114">INDEX(base_building_arch_areas!$M$2:$M$161,MATCH($A114&amp;$D114,base_building_arch_areas!$A$2:$A$161&amp;base_building_arch_areas!$E$2:$E$161,0))</f>
        <v>2.692425689310236E-2</v>
      </c>
      <c r="G114" s="191">
        <f>(model_eui_end_uses!AO114*F114*base_building_arch_areas!$P$6)/1000000</f>
        <v>-26.758793139025407</v>
      </c>
      <c r="AB114" s="187"/>
    </row>
    <row r="115" spans="1:28">
      <c r="A115">
        <f>sim_annual_output!B115</f>
        <v>6</v>
      </c>
      <c r="B115" t="str">
        <f>sim_annual_output!C115</f>
        <v>Hangar</v>
      </c>
      <c r="C115" t="str">
        <f>sim_annual_output!D115</f>
        <v>1960-1979</v>
      </c>
      <c r="D115">
        <v>2015</v>
      </c>
      <c r="E115" t="str">
        <f>sim_annual_output!E115</f>
        <v>baseline</v>
      </c>
      <c r="F115">
        <f t="array" ref="F115">INDEX(base_building_arch_areas!$M$2:$M$161,MATCH($A115&amp;$D115,base_building_arch_areas!$A$2:$A$161&amp;base_building_arch_areas!$E$2:$E$161,0))</f>
        <v>2.692425689310236E-2</v>
      </c>
      <c r="G115" s="191">
        <f>(model_eui_end_uses!AO115*F115*base_building_arch_areas!$P$6)/1000000</f>
        <v>0</v>
      </c>
      <c r="AB115" s="187"/>
    </row>
    <row r="116" spans="1:28">
      <c r="A116">
        <f>sim_annual_output!B116</f>
        <v>6</v>
      </c>
      <c r="B116" t="str">
        <f>sim_annual_output!C116</f>
        <v>Hangar</v>
      </c>
      <c r="C116" t="str">
        <f>sim_annual_output!D116</f>
        <v>1960-1979</v>
      </c>
      <c r="D116">
        <v>2015</v>
      </c>
      <c r="E116" t="str">
        <f>sim_annual_output!E116</f>
        <v>boiler_eff_upgrade</v>
      </c>
      <c r="F116">
        <f t="array" ref="F116">INDEX(base_building_arch_areas!$M$2:$M$161,MATCH($A116&amp;$D116,base_building_arch_areas!$A$2:$A$161&amp;base_building_arch_areas!$E$2:$E$161,0))</f>
        <v>2.692425689310236E-2</v>
      </c>
      <c r="G116" s="191">
        <f>(model_eui_end_uses!AO116*F116*base_building_arch_areas!$P$6)/1000000</f>
        <v>4.1719724994705052</v>
      </c>
      <c r="AB116" s="187"/>
    </row>
    <row r="117" spans="1:28">
      <c r="A117">
        <f>sim_annual_output!B117</f>
        <v>6</v>
      </c>
      <c r="B117" t="str">
        <f>sim_annual_output!C117</f>
        <v>Hangar</v>
      </c>
      <c r="C117" t="str">
        <f>sim_annual_output!D117</f>
        <v>1960-1979</v>
      </c>
      <c r="D117">
        <v>2015</v>
      </c>
      <c r="E117" t="str">
        <f>sim_annual_output!E117</f>
        <v>boiler_reset</v>
      </c>
      <c r="F117">
        <f t="array" ref="F117">INDEX(base_building_arch_areas!$M$2:$M$161,MATCH($A117&amp;$D117,base_building_arch_areas!$A$2:$A$161&amp;base_building_arch_areas!$E$2:$E$161,0))</f>
        <v>2.692425689310236E-2</v>
      </c>
      <c r="G117" s="191">
        <f>(model_eui_end_uses!AO117*F117*base_building_arch_areas!$P$6)/1000000</f>
        <v>113.83151126488315</v>
      </c>
      <c r="AB117" s="187"/>
    </row>
    <row r="118" spans="1:28">
      <c r="A118">
        <f>sim_annual_output!B118</f>
        <v>6</v>
      </c>
      <c r="B118" t="str">
        <f>sim_annual_output!C118</f>
        <v>Hangar</v>
      </c>
      <c r="C118" t="str">
        <f>sim_annual_output!D118</f>
        <v>1960-1979</v>
      </c>
      <c r="D118">
        <v>2015</v>
      </c>
      <c r="E118" t="str">
        <f>sim_annual_output!E118</f>
        <v>cooling_cop_3_0</v>
      </c>
      <c r="F118">
        <f t="array" ref="F118">INDEX(base_building_arch_areas!$M$2:$M$161,MATCH($A118&amp;$D118,base_building_arch_areas!$A$2:$A$161&amp;base_building_arch_areas!$E$2:$E$161,0))</f>
        <v>2.692425689310236E-2</v>
      </c>
      <c r="G118" s="191">
        <f>(model_eui_end_uses!AO118*F118*base_building_arch_areas!$P$6)/1000000</f>
        <v>4.6611728965780195</v>
      </c>
      <c r="AB118" s="187"/>
    </row>
    <row r="119" spans="1:28">
      <c r="A119">
        <f>sim_annual_output!B119</f>
        <v>6</v>
      </c>
      <c r="B119" t="str">
        <f>sim_annual_output!C119</f>
        <v>Hangar</v>
      </c>
      <c r="C119" t="str">
        <f>sim_annual_output!D119</f>
        <v>1960-1979</v>
      </c>
      <c r="D119">
        <v>2015</v>
      </c>
      <c r="E119" t="str">
        <f>sim_annual_output!E119</f>
        <v>dcv_enabled</v>
      </c>
      <c r="F119">
        <f t="array" ref="F119">INDEX(base_building_arch_areas!$M$2:$M$161,MATCH($A119&amp;$D119,base_building_arch_areas!$A$2:$A$161&amp;base_building_arch_areas!$E$2:$E$161,0))</f>
        <v>2.692425689310236E-2</v>
      </c>
      <c r="G119" s="191">
        <f>(model_eui_end_uses!AO119*F119*base_building_arch_areas!$P$6)/1000000</f>
        <v>65.220366112764566</v>
      </c>
      <c r="AB119" s="187"/>
    </row>
    <row r="120" spans="1:28">
      <c r="A120">
        <f>sim_annual_output!B120</f>
        <v>6</v>
      </c>
      <c r="B120" t="str">
        <f>sim_annual_output!C120</f>
        <v>Hangar</v>
      </c>
      <c r="C120" t="str">
        <f>sim_annual_output!D120</f>
        <v>1960-1979</v>
      </c>
      <c r="D120">
        <v>2015</v>
      </c>
      <c r="E120" t="str">
        <f>sim_annual_output!E120</f>
        <v>ecm_cold_deck_reset_control</v>
      </c>
      <c r="F120">
        <f t="array" ref="F120">INDEX(base_building_arch_areas!$M$2:$M$161,MATCH($A120&amp;$D120,base_building_arch_areas!$A$2:$A$161&amp;base_building_arch_areas!$E$2:$E$161,0))</f>
        <v>2.692425689310236E-2</v>
      </c>
      <c r="G120" s="191">
        <f>(model_eui_end_uses!AO120*F120*base_building_arch_areas!$P$6)/1000000</f>
        <v>3.3793827903637914</v>
      </c>
      <c r="AB120" s="187"/>
    </row>
    <row r="121" spans="1:28">
      <c r="A121">
        <f>sim_annual_output!B121</f>
        <v>6</v>
      </c>
      <c r="B121" t="str">
        <f>sim_annual_output!C121</f>
        <v>Hangar</v>
      </c>
      <c r="C121" t="str">
        <f>sim_annual_output!D121</f>
        <v>1960-1979</v>
      </c>
      <c r="D121">
        <v>2015</v>
      </c>
      <c r="E121" t="str">
        <f>sim_annual_output!E121</f>
        <v>economizers_enabled</v>
      </c>
      <c r="F121">
        <f t="array" ref="F121">INDEX(base_building_arch_areas!$M$2:$M$161,MATCH($A121&amp;$D121,base_building_arch_areas!$A$2:$A$161&amp;base_building_arch_areas!$E$2:$E$161,0))</f>
        <v>2.692425689310236E-2</v>
      </c>
      <c r="G121" s="191">
        <f>(model_eui_end_uses!AO121*F121*base_building_arch_areas!$P$6)/1000000</f>
        <v>4.2399218050458254</v>
      </c>
      <c r="AB121" s="187"/>
    </row>
    <row r="122" spans="1:28">
      <c r="A122">
        <f>sim_annual_output!B122</f>
        <v>6</v>
      </c>
      <c r="B122" t="str">
        <f>sim_annual_output!C122</f>
        <v>Hangar</v>
      </c>
      <c r="C122" t="str">
        <f>sim_annual_output!D122</f>
        <v>1960-1979</v>
      </c>
      <c r="D122">
        <v>2015</v>
      </c>
      <c r="E122" t="str">
        <f>sim_annual_output!E122</f>
        <v>elec_reduce</v>
      </c>
      <c r="F122">
        <f t="array" ref="F122">INDEX(base_building_arch_areas!$M$2:$M$161,MATCH($A122&amp;$D122,base_building_arch_areas!$A$2:$A$161&amp;base_building_arch_areas!$E$2:$E$161,0))</f>
        <v>2.692425689310236E-2</v>
      </c>
      <c r="G122" s="191">
        <f>(model_eui_end_uses!AO122*F122*base_building_arch_areas!$P$6)/1000000</f>
        <v>141.07379289737176</v>
      </c>
      <c r="AB122" s="187"/>
    </row>
    <row r="123" spans="1:28">
      <c r="A123">
        <f>sim_annual_output!B123</f>
        <v>6</v>
      </c>
      <c r="B123" t="str">
        <f>sim_annual_output!C123</f>
        <v>Hangar</v>
      </c>
      <c r="C123" t="str">
        <f>sim_annual_output!D123</f>
        <v>1960-1979</v>
      </c>
      <c r="D123">
        <v>2015</v>
      </c>
      <c r="E123" t="str">
        <f>sim_annual_output!E123</f>
        <v>envelope_ecm_roof</v>
      </c>
      <c r="F123">
        <f t="array" ref="F123">INDEX(base_building_arch_areas!$M$2:$M$161,MATCH($A123&amp;$D123,base_building_arch_areas!$A$2:$A$161&amp;base_building_arch_areas!$E$2:$E$161,0))</f>
        <v>2.692425689310236E-2</v>
      </c>
      <c r="G123" s="191">
        <f>(model_eui_end_uses!AO123*F123*base_building_arch_areas!$P$6)/1000000</f>
        <v>48.487686812389001</v>
      </c>
      <c r="AB123" s="187"/>
    </row>
    <row r="124" spans="1:28">
      <c r="A124">
        <f>sim_annual_output!B124</f>
        <v>6</v>
      </c>
      <c r="B124" t="str">
        <f>sim_annual_output!C124</f>
        <v>Hangar</v>
      </c>
      <c r="C124" t="str">
        <f>sim_annual_output!D124</f>
        <v>1960-1979</v>
      </c>
      <c r="D124">
        <v>2015</v>
      </c>
      <c r="E124" t="str">
        <f>sim_annual_output!E124</f>
        <v>envelope_ecm_wall</v>
      </c>
      <c r="F124">
        <f t="array" ref="F124">INDEX(base_building_arch_areas!$M$2:$M$161,MATCH($A124&amp;$D124,base_building_arch_areas!$A$2:$A$161&amp;base_building_arch_areas!$E$2:$E$161,0))</f>
        <v>2.692425689310236E-2</v>
      </c>
      <c r="G124" s="191">
        <f>(model_eui_end_uses!AO124*F124*base_building_arch_areas!$P$6)/1000000</f>
        <v>17.707936985643673</v>
      </c>
      <c r="AB124" s="187"/>
    </row>
    <row r="125" spans="1:28">
      <c r="A125">
        <f>sim_annual_output!B125</f>
        <v>6</v>
      </c>
      <c r="B125" t="str">
        <f>sim_annual_output!C125</f>
        <v>Hangar</v>
      </c>
      <c r="C125" t="str">
        <f>sim_annual_output!D125</f>
        <v>1960-1979</v>
      </c>
      <c r="D125">
        <v>2015</v>
      </c>
      <c r="E125" t="str">
        <f>sim_annual_output!E125</f>
        <v>envelope_ecm_windows</v>
      </c>
      <c r="F125">
        <f t="array" ref="F125">INDEX(base_building_arch_areas!$M$2:$M$161,MATCH($A125&amp;$D125,base_building_arch_areas!$A$2:$A$161&amp;base_building_arch_areas!$E$2:$E$161,0))</f>
        <v>2.692425689310236E-2</v>
      </c>
      <c r="G125" s="191">
        <f>(model_eui_end_uses!AO125*F125*base_building_arch_areas!$P$6)/1000000</f>
        <v>10.854065926398331</v>
      </c>
      <c r="AB125" s="187"/>
    </row>
    <row r="126" spans="1:28">
      <c r="A126">
        <f>sim_annual_output!B126</f>
        <v>6</v>
      </c>
      <c r="B126" t="str">
        <f>sim_annual_output!C126</f>
        <v>Hangar</v>
      </c>
      <c r="C126" t="str">
        <f>sim_annual_output!D126</f>
        <v>1960-1979</v>
      </c>
      <c r="D126">
        <v>2015</v>
      </c>
      <c r="E126" t="str">
        <f>sim_annual_output!E126</f>
        <v>exhaust_fans_occ_control</v>
      </c>
      <c r="F126">
        <f t="array" ref="F126">INDEX(base_building_arch_areas!$M$2:$M$161,MATCH($A126&amp;$D126,base_building_arch_areas!$A$2:$A$161&amp;base_building_arch_areas!$E$2:$E$161,0))</f>
        <v>2.692425689310236E-2</v>
      </c>
      <c r="G126" s="191">
        <f>(model_eui_end_uses!AO126*F126*base_building_arch_areas!$P$6)/1000000</f>
        <v>8.1667390156208537</v>
      </c>
      <c r="AB126" s="187"/>
    </row>
    <row r="127" spans="1:28">
      <c r="A127">
        <f>sim_annual_output!B127</f>
        <v>6</v>
      </c>
      <c r="B127" t="str">
        <f>sim_annual_output!C127</f>
        <v>Hangar</v>
      </c>
      <c r="C127" t="str">
        <f>sim_annual_output!D127</f>
        <v>1960-1979</v>
      </c>
      <c r="D127">
        <v>2015</v>
      </c>
      <c r="E127" t="str">
        <f>sim_annual_output!E127</f>
        <v>fans_to_variable</v>
      </c>
      <c r="F127">
        <f t="array" ref="F127">INDEX(base_building_arch_areas!$M$2:$M$161,MATCH($A127&amp;$D127,base_building_arch_areas!$A$2:$A$161&amp;base_building_arch_areas!$E$2:$E$161,0))</f>
        <v>2.692425689310236E-2</v>
      </c>
      <c r="G127" s="191">
        <f>(model_eui_end_uses!AO127*F127*base_building_arch_areas!$P$6)/1000000</f>
        <v>4.4597616101826905</v>
      </c>
      <c r="AB127" s="187"/>
    </row>
    <row r="128" spans="1:28">
      <c r="A128">
        <f>sim_annual_output!B128</f>
        <v>6</v>
      </c>
      <c r="B128" t="str">
        <f>sim_annual_output!C128</f>
        <v>Hangar</v>
      </c>
      <c r="C128" t="str">
        <f>sim_annual_output!D128</f>
        <v>1960-1979</v>
      </c>
      <c r="D128">
        <v>2015</v>
      </c>
      <c r="E128" t="str">
        <f>sim_annual_output!E128</f>
        <v>hrv_enabled</v>
      </c>
      <c r="F128">
        <f t="array" ref="F128">INDEX(base_building_arch_areas!$M$2:$M$161,MATCH($A128&amp;$D128,base_building_arch_areas!$A$2:$A$161&amp;base_building_arch_areas!$E$2:$E$161,0))</f>
        <v>2.692425689310236E-2</v>
      </c>
      <c r="G128" s="191">
        <f>(model_eui_end_uses!AO128*F128*base_building_arch_areas!$P$6)/1000000</f>
        <v>47.691773770198331</v>
      </c>
      <c r="AB128" s="187"/>
    </row>
    <row r="129" spans="1:28">
      <c r="A129">
        <f>sim_annual_output!B129</f>
        <v>6</v>
      </c>
      <c r="B129" t="str">
        <f>sim_annual_output!C129</f>
        <v>Hangar</v>
      </c>
      <c r="C129" t="str">
        <f>sim_annual_output!D129</f>
        <v>1960-1979</v>
      </c>
      <c r="D129">
        <v>2015</v>
      </c>
      <c r="E129" t="str">
        <f>sim_annual_output!E129</f>
        <v>infil_reduce</v>
      </c>
      <c r="F129">
        <f t="array" ref="F129">INDEX(base_building_arch_areas!$M$2:$M$161,MATCH($A129&amp;$D129,base_building_arch_areas!$A$2:$A$161&amp;base_building_arch_areas!$E$2:$E$161,0))</f>
        <v>2.692425689310236E-2</v>
      </c>
      <c r="G129" s="191">
        <f>(model_eui_end_uses!AO129*F129*base_building_arch_areas!$P$6)/1000000</f>
        <v>197.00952812135512</v>
      </c>
      <c r="AB129" s="187"/>
    </row>
    <row r="130" spans="1:28">
      <c r="A130">
        <f>sim_annual_output!B130</f>
        <v>6</v>
      </c>
      <c r="B130" t="str">
        <f>sim_annual_output!C130</f>
        <v>Hangar</v>
      </c>
      <c r="C130" t="str">
        <f>sim_annual_output!D130</f>
        <v>1960-1979</v>
      </c>
      <c r="D130">
        <v>2015</v>
      </c>
      <c r="E130" t="str">
        <f>sim_annual_output!E130</f>
        <v>infil_reduce_plus_setback</v>
      </c>
      <c r="F130">
        <f t="array" ref="F130">INDEX(base_building_arch_areas!$M$2:$M$161,MATCH($A130&amp;$D130,base_building_arch_areas!$A$2:$A$161&amp;base_building_arch_areas!$E$2:$E$161,0))</f>
        <v>2.692425689310236E-2</v>
      </c>
      <c r="G130" s="191">
        <f>(model_eui_end_uses!AO130*F130*base_building_arch_areas!$P$6)/1000000</f>
        <v>243.88314198190795</v>
      </c>
      <c r="AB130" s="187"/>
    </row>
    <row r="131" spans="1:28">
      <c r="A131">
        <f>sim_annual_output!B131</f>
        <v>6</v>
      </c>
      <c r="B131" t="str">
        <f>sim_annual_output!C131</f>
        <v>Hangar</v>
      </c>
      <c r="C131" t="str">
        <f>sim_annual_output!D131</f>
        <v>1960-1979</v>
      </c>
      <c r="D131">
        <v>2015</v>
      </c>
      <c r="E131" t="str">
        <f>sim_annual_output!E131</f>
        <v>lights_reduce_70p</v>
      </c>
      <c r="F131">
        <f t="array" ref="F131">INDEX(base_building_arch_areas!$M$2:$M$161,MATCH($A131&amp;$D131,base_building_arch_areas!$A$2:$A$161&amp;base_building_arch_areas!$E$2:$E$161,0))</f>
        <v>2.692425689310236E-2</v>
      </c>
      <c r="G131" s="191">
        <f>(model_eui_end_uses!AO131*F131*base_building_arch_areas!$P$6)/1000000</f>
        <v>67.552552951388819</v>
      </c>
      <c r="AB131" s="187"/>
    </row>
    <row r="132" spans="1:28">
      <c r="A132">
        <f>sim_annual_output!B132</f>
        <v>6</v>
      </c>
      <c r="B132" t="str">
        <f>sim_annual_output!C132</f>
        <v>Hangar</v>
      </c>
      <c r="C132" t="str">
        <f>sim_annual_output!D132</f>
        <v>1960-1979</v>
      </c>
      <c r="D132">
        <v>2015</v>
      </c>
      <c r="E132" t="str">
        <f>sim_annual_output!E132</f>
        <v>load_reduce</v>
      </c>
      <c r="F132">
        <f t="array" ref="F132">INDEX(base_building_arch_areas!$M$2:$M$161,MATCH($A132&amp;$D132,base_building_arch_areas!$A$2:$A$161&amp;base_building_arch_areas!$E$2:$E$161,0))</f>
        <v>2.692425689310236E-2</v>
      </c>
      <c r="G132" s="191">
        <f>(model_eui_end_uses!AO132*F132*base_building_arch_areas!$P$6)/1000000</f>
        <v>300.57361023430235</v>
      </c>
      <c r="AB132" s="187"/>
    </row>
    <row r="133" spans="1:28">
      <c r="A133">
        <f>sim_annual_output!B133</f>
        <v>6</v>
      </c>
      <c r="B133" t="str">
        <f>sim_annual_output!C133</f>
        <v>Hangar</v>
      </c>
      <c r="C133" t="str">
        <f>sim_annual_output!D133</f>
        <v>1960-1979</v>
      </c>
      <c r="D133">
        <v>2015</v>
      </c>
      <c r="E133" t="str">
        <f>sim_annual_output!E133</f>
        <v>occupancy_setback</v>
      </c>
      <c r="F133">
        <f t="array" ref="F133">INDEX(base_building_arch_areas!$M$2:$M$161,MATCH($A133&amp;$D133,base_building_arch_areas!$A$2:$A$161&amp;base_building_arch_areas!$E$2:$E$161,0))</f>
        <v>2.692425689310236E-2</v>
      </c>
      <c r="G133" s="191">
        <f>(model_eui_end_uses!AO133*F133*base_building_arch_areas!$P$6)/1000000</f>
        <v>70.540976723144595</v>
      </c>
      <c r="AB133" s="187"/>
    </row>
    <row r="134" spans="1:28">
      <c r="A134">
        <f>sim_annual_output!B134</f>
        <v>6</v>
      </c>
      <c r="B134" t="str">
        <f>sim_annual_output!C134</f>
        <v>Hangar</v>
      </c>
      <c r="C134" t="str">
        <f>sim_annual_output!D134</f>
        <v>1960-1979</v>
      </c>
      <c r="D134">
        <v>2015</v>
      </c>
      <c r="E134" t="str">
        <f>sim_annual_output!E134</f>
        <v>payback_less_than_20</v>
      </c>
      <c r="F134">
        <f t="array" ref="F134">INDEX(base_building_arch_areas!$M$2:$M$161,MATCH($A134&amp;$D134,base_building_arch_areas!$A$2:$A$161&amp;base_building_arch_areas!$E$2:$E$161,0))</f>
        <v>2.692425689310236E-2</v>
      </c>
      <c r="G134" s="191">
        <f>(model_eui_end_uses!AO134*F134*base_building_arch_areas!$P$6)/1000000</f>
        <v>404.99947130399335</v>
      </c>
      <c r="AB134" s="187"/>
    </row>
    <row r="135" spans="1:28">
      <c r="A135">
        <f>sim_annual_output!B135</f>
        <v>6</v>
      </c>
      <c r="B135" t="str">
        <f>sim_annual_output!C135</f>
        <v>Hangar</v>
      </c>
      <c r="C135" t="str">
        <f>sim_annual_output!D135</f>
        <v>1960-1979</v>
      </c>
      <c r="D135">
        <v>2015</v>
      </c>
      <c r="E135" t="str">
        <f>sim_annual_output!E135</f>
        <v>plug_loads_90_percent</v>
      </c>
      <c r="F135">
        <f t="array" ref="F135">INDEX(base_building_arch_areas!$M$2:$M$161,MATCH($A135&amp;$D135,base_building_arch_areas!$A$2:$A$161&amp;base_building_arch_areas!$E$2:$E$161,0))</f>
        <v>2.692425689310236E-2</v>
      </c>
      <c r="G135" s="191">
        <f>(model_eui_end_uses!AO135*F135*base_building_arch_areas!$P$6)/1000000</f>
        <v>3.9819633934675087</v>
      </c>
      <c r="AB135" s="187"/>
    </row>
    <row r="136" spans="1:28">
      <c r="A136">
        <f>sim_annual_output!B136</f>
        <v>6</v>
      </c>
      <c r="B136" t="str">
        <f>sim_annual_output!C136</f>
        <v>Hangar</v>
      </c>
      <c r="C136" t="str">
        <f>sim_annual_output!D136</f>
        <v>1960-1979</v>
      </c>
      <c r="D136">
        <v>2015</v>
      </c>
      <c r="E136" t="str">
        <f>sim_annual_output!E136</f>
        <v>pumps_to_variable</v>
      </c>
      <c r="F136">
        <f t="array" ref="F136">INDEX(base_building_arch_areas!$M$2:$M$161,MATCH($A136&amp;$D136,base_building_arch_areas!$A$2:$A$161&amp;base_building_arch_areas!$E$2:$E$161,0))</f>
        <v>2.692425689310236E-2</v>
      </c>
      <c r="G136" s="191">
        <f>(model_eui_end_uses!AO136*F136*base_building_arch_areas!$P$6)/1000000</f>
        <v>4.2317492411859954</v>
      </c>
      <c r="AB136" s="187"/>
    </row>
    <row r="137" spans="1:28">
      <c r="A137">
        <f>sim_annual_output!B137</f>
        <v>6</v>
      </c>
      <c r="B137" t="str">
        <f>sim_annual_output!C137</f>
        <v>Hangar</v>
      </c>
      <c r="C137" t="str">
        <f>sim_annual_output!D137</f>
        <v>1960-1979</v>
      </c>
      <c r="D137">
        <v>2015</v>
      </c>
      <c r="E137" t="str">
        <f>sim_annual_output!E137</f>
        <v>pump_fan_eff_</v>
      </c>
      <c r="F137">
        <f t="array" ref="F137">INDEX(base_building_arch_areas!$M$2:$M$161,MATCH($A137&amp;$D137,base_building_arch_areas!$A$2:$A$161&amp;base_building_arch_areas!$E$2:$E$161,0))</f>
        <v>2.692425689310236E-2</v>
      </c>
      <c r="G137" s="191">
        <f>(model_eui_end_uses!AO137*F137*base_building_arch_areas!$P$6)/1000000</f>
        <v>12.812422248382413</v>
      </c>
      <c r="AB137" s="187"/>
    </row>
    <row r="138" spans="1:28">
      <c r="A138">
        <f>sim_annual_output!B138</f>
        <v>7</v>
      </c>
      <c r="B138" t="str">
        <f>sim_annual_output!C138</f>
        <v>Hangar</v>
      </c>
      <c r="C138" t="str">
        <f>sim_annual_output!D138</f>
        <v>1980-2004</v>
      </c>
      <c r="D138">
        <v>2015</v>
      </c>
      <c r="E138" t="str">
        <f>sim_annual_output!E138</f>
        <v>air_temp_reset_enabled</v>
      </c>
      <c r="F138">
        <f t="array" ref="F138">INDEX(base_building_arch_areas!$M$2:$M$161,MATCH($A138&amp;$D138,base_building_arch_areas!$A$2:$A$161&amp;base_building_arch_areas!$E$2:$E$161,0))</f>
        <v>3.1409472533455475E-2</v>
      </c>
      <c r="G138" s="191">
        <f>(model_eui_end_uses!AO138*F138*base_building_arch_areas!$P$6)/1000000</f>
        <v>-21.490649778517902</v>
      </c>
      <c r="AB138" s="187"/>
    </row>
    <row r="139" spans="1:28">
      <c r="A139">
        <f>sim_annual_output!B139</f>
        <v>7</v>
      </c>
      <c r="B139" t="str">
        <f>sim_annual_output!C139</f>
        <v>Hangar</v>
      </c>
      <c r="C139" t="str">
        <f>sim_annual_output!D139</f>
        <v>1980-2004</v>
      </c>
      <c r="D139">
        <v>2015</v>
      </c>
      <c r="E139" t="str">
        <f>sim_annual_output!E139</f>
        <v>baseline</v>
      </c>
      <c r="F139">
        <f t="array" ref="F139">INDEX(base_building_arch_areas!$M$2:$M$161,MATCH($A139&amp;$D139,base_building_arch_areas!$A$2:$A$161&amp;base_building_arch_areas!$E$2:$E$161,0))</f>
        <v>3.1409472533455475E-2</v>
      </c>
      <c r="G139" s="191">
        <f>(model_eui_end_uses!AO139*F139*base_building_arch_areas!$P$6)/1000000</f>
        <v>0</v>
      </c>
      <c r="AB139" s="187"/>
    </row>
    <row r="140" spans="1:28">
      <c r="A140">
        <f>sim_annual_output!B140</f>
        <v>7</v>
      </c>
      <c r="B140" t="str">
        <f>sim_annual_output!C140</f>
        <v>Hangar</v>
      </c>
      <c r="C140" t="str">
        <f>sim_annual_output!D140</f>
        <v>1980-2004</v>
      </c>
      <c r="D140">
        <v>2015</v>
      </c>
      <c r="E140" t="str">
        <f>sim_annual_output!E140</f>
        <v>boiler_eff_upgrade</v>
      </c>
      <c r="F140">
        <f t="array" ref="F140">INDEX(base_building_arch_areas!$M$2:$M$161,MATCH($A140&amp;$D140,base_building_arch_areas!$A$2:$A$161&amp;base_building_arch_areas!$E$2:$E$161,0))</f>
        <v>3.1409472533455475E-2</v>
      </c>
      <c r="G140" s="191">
        <f>(model_eui_end_uses!AO140*F140*base_building_arch_areas!$P$6)/1000000</f>
        <v>1.2385344240647309</v>
      </c>
      <c r="AB140" s="187"/>
    </row>
    <row r="141" spans="1:28">
      <c r="A141">
        <f>sim_annual_output!B141</f>
        <v>7</v>
      </c>
      <c r="B141" t="str">
        <f>sim_annual_output!C141</f>
        <v>Hangar</v>
      </c>
      <c r="C141" t="str">
        <f>sim_annual_output!D141</f>
        <v>1980-2004</v>
      </c>
      <c r="D141">
        <v>2015</v>
      </c>
      <c r="E141" t="str">
        <f>sim_annual_output!E141</f>
        <v>boiler_reset</v>
      </c>
      <c r="F141">
        <f t="array" ref="F141">INDEX(base_building_arch_areas!$M$2:$M$161,MATCH($A141&amp;$D141,base_building_arch_areas!$A$2:$A$161&amp;base_building_arch_areas!$E$2:$E$161,0))</f>
        <v>3.1409472533455475E-2</v>
      </c>
      <c r="G141" s="191">
        <f>(model_eui_end_uses!AO141*F141*base_building_arch_areas!$P$6)/1000000</f>
        <v>86.255433982302193</v>
      </c>
      <c r="AB141" s="187"/>
    </row>
    <row r="142" spans="1:28">
      <c r="A142">
        <f>sim_annual_output!B142</f>
        <v>7</v>
      </c>
      <c r="B142" t="str">
        <f>sim_annual_output!C142</f>
        <v>Hangar</v>
      </c>
      <c r="C142" t="str">
        <f>sim_annual_output!D142</f>
        <v>1980-2004</v>
      </c>
      <c r="D142">
        <v>2015</v>
      </c>
      <c r="E142" t="str">
        <f>sim_annual_output!E142</f>
        <v>cooling_cop_3_0</v>
      </c>
      <c r="F142">
        <f t="array" ref="F142">INDEX(base_building_arch_areas!$M$2:$M$161,MATCH($A142&amp;$D142,base_building_arch_areas!$A$2:$A$161&amp;base_building_arch_areas!$E$2:$E$161,0))</f>
        <v>3.1409472533455475E-2</v>
      </c>
      <c r="G142" s="191">
        <f>(model_eui_end_uses!AO142*F142*base_building_arch_areas!$P$6)/1000000</f>
        <v>1.4848598457185564</v>
      </c>
      <c r="AB142" s="187"/>
    </row>
    <row r="143" spans="1:28">
      <c r="A143">
        <f>sim_annual_output!B143</f>
        <v>7</v>
      </c>
      <c r="B143" t="str">
        <f>sim_annual_output!C143</f>
        <v>Hangar</v>
      </c>
      <c r="C143" t="str">
        <f>sim_annual_output!D143</f>
        <v>1980-2004</v>
      </c>
      <c r="D143">
        <v>2015</v>
      </c>
      <c r="E143" t="str">
        <f>sim_annual_output!E143</f>
        <v>dcv_enabled</v>
      </c>
      <c r="F143">
        <f t="array" ref="F143">INDEX(base_building_arch_areas!$M$2:$M$161,MATCH($A143&amp;$D143,base_building_arch_areas!$A$2:$A$161&amp;base_building_arch_areas!$E$2:$E$161,0))</f>
        <v>3.1409472533455475E-2</v>
      </c>
      <c r="G143" s="191">
        <f>(model_eui_end_uses!AO143*F143*base_building_arch_areas!$P$6)/1000000</f>
        <v>71.125471734905318</v>
      </c>
      <c r="AB143" s="187"/>
    </row>
    <row r="144" spans="1:28">
      <c r="A144">
        <f>sim_annual_output!B144</f>
        <v>7</v>
      </c>
      <c r="B144" t="str">
        <f>sim_annual_output!C144</f>
        <v>Hangar</v>
      </c>
      <c r="C144" t="str">
        <f>sim_annual_output!D144</f>
        <v>1980-2004</v>
      </c>
      <c r="D144">
        <v>2015</v>
      </c>
      <c r="E144" t="str">
        <f>sim_annual_output!E144</f>
        <v>ecm_cold_deck_reset_control</v>
      </c>
      <c r="F144">
        <f t="array" ref="F144">INDEX(base_building_arch_areas!$M$2:$M$161,MATCH($A144&amp;$D144,base_building_arch_areas!$A$2:$A$161&amp;base_building_arch_areas!$E$2:$E$161,0))</f>
        <v>3.1409472533455475E-2</v>
      </c>
      <c r="G144" s="191">
        <f>(model_eui_end_uses!AO144*F144*base_building_arch_areas!$P$6)/1000000</f>
        <v>3.4029603303391665</v>
      </c>
      <c r="AB144" s="187"/>
    </row>
    <row r="145" spans="1:28">
      <c r="A145">
        <f>sim_annual_output!B145</f>
        <v>7</v>
      </c>
      <c r="B145" t="str">
        <f>sim_annual_output!C145</f>
        <v>Hangar</v>
      </c>
      <c r="C145" t="str">
        <f>sim_annual_output!D145</f>
        <v>1980-2004</v>
      </c>
      <c r="D145">
        <v>2015</v>
      </c>
      <c r="E145" t="str">
        <f>sim_annual_output!E145</f>
        <v>economizers_enabled</v>
      </c>
      <c r="F145">
        <f t="array" ref="F145">INDEX(base_building_arch_areas!$M$2:$M$161,MATCH($A145&amp;$D145,base_building_arch_areas!$A$2:$A$161&amp;base_building_arch_areas!$E$2:$E$161,0))</f>
        <v>3.1409472533455475E-2</v>
      </c>
      <c r="G145" s="191">
        <f>(model_eui_end_uses!AO145*F145*base_building_arch_areas!$P$6)/1000000</f>
        <v>1.324617968484183</v>
      </c>
      <c r="AB145" s="187"/>
    </row>
    <row r="146" spans="1:28">
      <c r="A146">
        <f>sim_annual_output!B146</f>
        <v>7</v>
      </c>
      <c r="B146" t="str">
        <f>sim_annual_output!C146</f>
        <v>Hangar</v>
      </c>
      <c r="C146" t="str">
        <f>sim_annual_output!D146</f>
        <v>1980-2004</v>
      </c>
      <c r="D146">
        <v>2015</v>
      </c>
      <c r="E146" t="str">
        <f>sim_annual_output!E146</f>
        <v>elec_reduce</v>
      </c>
      <c r="F146">
        <f t="array" ref="F146">INDEX(base_building_arch_areas!$M$2:$M$161,MATCH($A146&amp;$D146,base_building_arch_areas!$A$2:$A$161&amp;base_building_arch_areas!$E$2:$E$161,0))</f>
        <v>3.1409472533455475E-2</v>
      </c>
      <c r="G146" s="191">
        <f>(model_eui_end_uses!AO146*F146*base_building_arch_areas!$P$6)/1000000</f>
        <v>157.61517697574399</v>
      </c>
      <c r="AB146" s="187"/>
    </row>
    <row r="147" spans="1:28">
      <c r="A147">
        <f>sim_annual_output!B147</f>
        <v>7</v>
      </c>
      <c r="B147" t="str">
        <f>sim_annual_output!C147</f>
        <v>Hangar</v>
      </c>
      <c r="C147" t="str">
        <f>sim_annual_output!D147</f>
        <v>1980-2004</v>
      </c>
      <c r="D147">
        <v>2015</v>
      </c>
      <c r="E147" t="str">
        <f>sim_annual_output!E147</f>
        <v>envelope_ecm_roof</v>
      </c>
      <c r="F147">
        <f t="array" ref="F147">INDEX(base_building_arch_areas!$M$2:$M$161,MATCH($A147&amp;$D147,base_building_arch_areas!$A$2:$A$161&amp;base_building_arch_areas!$E$2:$E$161,0))</f>
        <v>3.1409472533455475E-2</v>
      </c>
      <c r="G147" s="191">
        <f>(model_eui_end_uses!AO147*F147*base_building_arch_areas!$P$6)/1000000</f>
        <v>24.678723626589289</v>
      </c>
      <c r="AB147" s="187"/>
    </row>
    <row r="148" spans="1:28">
      <c r="A148">
        <f>sim_annual_output!B148</f>
        <v>7</v>
      </c>
      <c r="B148" t="str">
        <f>sim_annual_output!C148</f>
        <v>Hangar</v>
      </c>
      <c r="C148" t="str">
        <f>sim_annual_output!D148</f>
        <v>1980-2004</v>
      </c>
      <c r="D148">
        <v>2015</v>
      </c>
      <c r="E148" t="str">
        <f>sim_annual_output!E148</f>
        <v>envelope_ecm_wall</v>
      </c>
      <c r="F148">
        <f t="array" ref="F148">INDEX(base_building_arch_areas!$M$2:$M$161,MATCH($A148&amp;$D148,base_building_arch_areas!$A$2:$A$161&amp;base_building_arch_areas!$E$2:$E$161,0))</f>
        <v>3.1409472533455475E-2</v>
      </c>
      <c r="G148" s="191">
        <f>(model_eui_end_uses!AO148*F148*base_building_arch_areas!$P$6)/1000000</f>
        <v>9.2392413065730778</v>
      </c>
      <c r="AB148" s="187"/>
    </row>
    <row r="149" spans="1:28">
      <c r="A149">
        <f>sim_annual_output!B149</f>
        <v>7</v>
      </c>
      <c r="B149" t="str">
        <f>sim_annual_output!C149</f>
        <v>Hangar</v>
      </c>
      <c r="C149" t="str">
        <f>sim_annual_output!D149</f>
        <v>1980-2004</v>
      </c>
      <c r="D149">
        <v>2015</v>
      </c>
      <c r="E149" t="str">
        <f>sim_annual_output!E149</f>
        <v>envelope_ecm_windows</v>
      </c>
      <c r="F149">
        <f t="array" ref="F149">INDEX(base_building_arch_areas!$M$2:$M$161,MATCH($A149&amp;$D149,base_building_arch_areas!$A$2:$A$161&amp;base_building_arch_areas!$E$2:$E$161,0))</f>
        <v>3.1409472533455475E-2</v>
      </c>
      <c r="G149" s="191">
        <f>(model_eui_end_uses!AO149*F149*base_building_arch_areas!$P$6)/1000000</f>
        <v>6.7666941712596316</v>
      </c>
      <c r="AB149" s="187"/>
    </row>
    <row r="150" spans="1:28">
      <c r="A150">
        <f>sim_annual_output!B150</f>
        <v>7</v>
      </c>
      <c r="B150" t="str">
        <f>sim_annual_output!C150</f>
        <v>Hangar</v>
      </c>
      <c r="C150" t="str">
        <f>sim_annual_output!D150</f>
        <v>1980-2004</v>
      </c>
      <c r="D150">
        <v>2015</v>
      </c>
      <c r="E150" t="str">
        <f>sim_annual_output!E150</f>
        <v>exhaust_fans_occ_control</v>
      </c>
      <c r="F150">
        <f t="array" ref="F150">INDEX(base_building_arch_areas!$M$2:$M$161,MATCH($A150&amp;$D150,base_building_arch_areas!$A$2:$A$161&amp;base_building_arch_areas!$E$2:$E$161,0))</f>
        <v>3.1409472533455475E-2</v>
      </c>
      <c r="G150" s="191">
        <f>(model_eui_end_uses!AO150*F150*base_building_arch_areas!$P$6)/1000000</f>
        <v>5.8987748037624366</v>
      </c>
      <c r="AB150" s="187"/>
    </row>
    <row r="151" spans="1:28">
      <c r="A151">
        <f>sim_annual_output!B151</f>
        <v>7</v>
      </c>
      <c r="B151" t="str">
        <f>sim_annual_output!C151</f>
        <v>Hangar</v>
      </c>
      <c r="C151" t="str">
        <f>sim_annual_output!D151</f>
        <v>1980-2004</v>
      </c>
      <c r="D151">
        <v>2015</v>
      </c>
      <c r="E151" t="str">
        <f>sim_annual_output!E151</f>
        <v>fans_to_variable</v>
      </c>
      <c r="F151">
        <f t="array" ref="F151">INDEX(base_building_arch_areas!$M$2:$M$161,MATCH($A151&amp;$D151,base_building_arch_areas!$A$2:$A$161&amp;base_building_arch_areas!$E$2:$E$161,0))</f>
        <v>3.1409472533455475E-2</v>
      </c>
      <c r="G151" s="191">
        <f>(model_eui_end_uses!AO151*F151*base_building_arch_areas!$P$6)/1000000</f>
        <v>1.4636893713321339</v>
      </c>
      <c r="AB151" s="187"/>
    </row>
    <row r="152" spans="1:28">
      <c r="A152">
        <f>sim_annual_output!B152</f>
        <v>7</v>
      </c>
      <c r="B152" t="str">
        <f>sim_annual_output!C152</f>
        <v>Hangar</v>
      </c>
      <c r="C152" t="str">
        <f>sim_annual_output!D152</f>
        <v>1980-2004</v>
      </c>
      <c r="D152">
        <v>2015</v>
      </c>
      <c r="E152" t="str">
        <f>sim_annual_output!E152</f>
        <v>hrv_enabled</v>
      </c>
      <c r="F152">
        <f t="array" ref="F152">INDEX(base_building_arch_areas!$M$2:$M$161,MATCH($A152&amp;$D152,base_building_arch_areas!$A$2:$A$161&amp;base_building_arch_areas!$E$2:$E$161,0))</f>
        <v>3.1409472533455475E-2</v>
      </c>
      <c r="G152" s="191">
        <f>(model_eui_end_uses!AO152*F152*base_building_arch_areas!$P$6)/1000000</f>
        <v>50.402719802948802</v>
      </c>
      <c r="AB152" s="187"/>
    </row>
    <row r="153" spans="1:28">
      <c r="A153">
        <f>sim_annual_output!B153</f>
        <v>7</v>
      </c>
      <c r="B153" t="str">
        <f>sim_annual_output!C153</f>
        <v>Hangar</v>
      </c>
      <c r="C153" t="str">
        <f>sim_annual_output!D153</f>
        <v>1980-2004</v>
      </c>
      <c r="D153">
        <v>2015</v>
      </c>
      <c r="E153" t="str">
        <f>sim_annual_output!E153</f>
        <v>infil_reduce</v>
      </c>
      <c r="F153">
        <f t="array" ref="F153">INDEX(base_building_arch_areas!$M$2:$M$161,MATCH($A153&amp;$D153,base_building_arch_areas!$A$2:$A$161&amp;base_building_arch_areas!$E$2:$E$161,0))</f>
        <v>3.1409472533455475E-2</v>
      </c>
      <c r="G153" s="191">
        <f>(model_eui_end_uses!AO153*F153*base_building_arch_areas!$P$6)/1000000</f>
        <v>73.532368533929684</v>
      </c>
      <c r="AB153" s="187"/>
    </row>
    <row r="154" spans="1:28">
      <c r="A154">
        <f>sim_annual_output!B154</f>
        <v>7</v>
      </c>
      <c r="B154" t="str">
        <f>sim_annual_output!C154</f>
        <v>Hangar</v>
      </c>
      <c r="C154" t="str">
        <f>sim_annual_output!D154</f>
        <v>1980-2004</v>
      </c>
      <c r="D154">
        <v>2015</v>
      </c>
      <c r="E154" t="str">
        <f>sim_annual_output!E154</f>
        <v>infil_reduce_plus_setback</v>
      </c>
      <c r="F154">
        <f t="array" ref="F154">INDEX(base_building_arch_areas!$M$2:$M$161,MATCH($A154&amp;$D154,base_building_arch_areas!$A$2:$A$161&amp;base_building_arch_areas!$E$2:$E$161,0))</f>
        <v>3.1409472533455475E-2</v>
      </c>
      <c r="G154" s="191">
        <f>(model_eui_end_uses!AO154*F154*base_building_arch_areas!$P$6)/1000000</f>
        <v>121.18168480752104</v>
      </c>
      <c r="AB154" s="187"/>
    </row>
    <row r="155" spans="1:28">
      <c r="A155">
        <f>sim_annual_output!B155</f>
        <v>7</v>
      </c>
      <c r="B155" t="str">
        <f>sim_annual_output!C155</f>
        <v>Hangar</v>
      </c>
      <c r="C155" t="str">
        <f>sim_annual_output!D155</f>
        <v>1980-2004</v>
      </c>
      <c r="D155">
        <v>2015</v>
      </c>
      <c r="E155" t="str">
        <f>sim_annual_output!E155</f>
        <v>lights_reduce_70p</v>
      </c>
      <c r="F155">
        <f t="array" ref="F155">INDEX(base_building_arch_areas!$M$2:$M$161,MATCH($A155&amp;$D155,base_building_arch_areas!$A$2:$A$161&amp;base_building_arch_areas!$E$2:$E$161,0))</f>
        <v>3.1409472533455475E-2</v>
      </c>
      <c r="G155" s="191">
        <f>(model_eui_end_uses!AO155*F155*base_building_arch_areas!$P$6)/1000000</f>
        <v>76.609028275272706</v>
      </c>
      <c r="AB155" s="187"/>
    </row>
    <row r="156" spans="1:28">
      <c r="A156">
        <f>sim_annual_output!B156</f>
        <v>7</v>
      </c>
      <c r="B156" t="str">
        <f>sim_annual_output!C156</f>
        <v>Hangar</v>
      </c>
      <c r="C156" t="str">
        <f>sim_annual_output!D156</f>
        <v>1980-2004</v>
      </c>
      <c r="D156">
        <v>2015</v>
      </c>
      <c r="E156" t="str">
        <f>sim_annual_output!E156</f>
        <v>load_reduce</v>
      </c>
      <c r="F156">
        <f t="array" ref="F156">INDEX(base_building_arch_areas!$M$2:$M$161,MATCH($A156&amp;$D156,base_building_arch_areas!$A$2:$A$161&amp;base_building_arch_areas!$E$2:$E$161,0))</f>
        <v>3.1409472533455475E-2</v>
      </c>
      <c r="G156" s="191">
        <f>(model_eui_end_uses!AO156*F156*base_building_arch_areas!$P$6)/1000000</f>
        <v>176.30172005088093</v>
      </c>
      <c r="AB156" s="187"/>
    </row>
    <row r="157" spans="1:28">
      <c r="A157">
        <f>sim_annual_output!B157</f>
        <v>7</v>
      </c>
      <c r="B157" t="str">
        <f>sim_annual_output!C157</f>
        <v>Hangar</v>
      </c>
      <c r="C157" t="str">
        <f>sim_annual_output!D157</f>
        <v>1980-2004</v>
      </c>
      <c r="D157">
        <v>2015</v>
      </c>
      <c r="E157" t="str">
        <f>sim_annual_output!E157</f>
        <v>occupancy_setback</v>
      </c>
      <c r="F157">
        <f t="array" ref="F157">INDEX(base_building_arch_areas!$M$2:$M$161,MATCH($A157&amp;$D157,base_building_arch_areas!$A$2:$A$161&amp;base_building_arch_areas!$E$2:$E$161,0))</f>
        <v>3.1409472533455475E-2</v>
      </c>
      <c r="G157" s="191">
        <f>(model_eui_end_uses!AO157*F157*base_building_arch_areas!$P$6)/1000000</f>
        <v>54.692617045572703</v>
      </c>
      <c r="AB157" s="187"/>
    </row>
    <row r="158" spans="1:28">
      <c r="A158">
        <f>sim_annual_output!B158</f>
        <v>7</v>
      </c>
      <c r="B158" t="str">
        <f>sim_annual_output!C158</f>
        <v>Hangar</v>
      </c>
      <c r="C158" t="str">
        <f>sim_annual_output!D158</f>
        <v>1980-2004</v>
      </c>
      <c r="D158">
        <v>2015</v>
      </c>
      <c r="E158" t="str">
        <f>sim_annual_output!E158</f>
        <v>payback_less_than_20</v>
      </c>
      <c r="F158">
        <f t="array" ref="F158">INDEX(base_building_arch_areas!$M$2:$M$161,MATCH($A158&amp;$D158,base_building_arch_areas!$A$2:$A$161&amp;base_building_arch_areas!$E$2:$E$161,0))</f>
        <v>3.1409472533455475E-2</v>
      </c>
      <c r="G158" s="191">
        <f>(model_eui_end_uses!AO158*F158*base_building_arch_areas!$P$6)/1000000</f>
        <v>299.72315807098414</v>
      </c>
      <c r="AB158" s="187"/>
    </row>
    <row r="159" spans="1:28">
      <c r="A159">
        <f>sim_annual_output!B159</f>
        <v>7</v>
      </c>
      <c r="B159" t="str">
        <f>sim_annual_output!C159</f>
        <v>Hangar</v>
      </c>
      <c r="C159" t="str">
        <f>sim_annual_output!D159</f>
        <v>1980-2004</v>
      </c>
      <c r="D159">
        <v>2015</v>
      </c>
      <c r="E159" t="str">
        <f>sim_annual_output!E159</f>
        <v>plug_loads_90_percent</v>
      </c>
      <c r="F159">
        <f t="array" ref="F159">INDEX(base_building_arch_areas!$M$2:$M$161,MATCH($A159&amp;$D159,base_building_arch_areas!$A$2:$A$161&amp;base_building_arch_areas!$E$2:$E$161,0))</f>
        <v>3.1409472533455475E-2</v>
      </c>
      <c r="G159" s="191">
        <f>(model_eui_end_uses!AO159*F159*base_building_arch_areas!$P$6)/1000000</f>
        <v>1.1833263569876951</v>
      </c>
      <c r="AB159" s="187"/>
    </row>
    <row r="160" spans="1:28">
      <c r="A160">
        <f>sim_annual_output!B160</f>
        <v>7</v>
      </c>
      <c r="B160" t="str">
        <f>sim_annual_output!C160</f>
        <v>Hangar</v>
      </c>
      <c r="C160" t="str">
        <f>sim_annual_output!D160</f>
        <v>1980-2004</v>
      </c>
      <c r="D160">
        <v>2015</v>
      </c>
      <c r="E160" t="str">
        <f>sim_annual_output!E160</f>
        <v>pumps_to_variable</v>
      </c>
      <c r="F160">
        <f t="array" ref="F160">INDEX(base_building_arch_areas!$M$2:$M$161,MATCH($A160&amp;$D160,base_building_arch_areas!$A$2:$A$161&amp;base_building_arch_areas!$E$2:$E$161,0))</f>
        <v>3.1409472533455475E-2</v>
      </c>
      <c r="G160" s="191">
        <f>(model_eui_end_uses!AO160*F160*base_building_arch_areas!$P$6)/1000000</f>
        <v>1.3082691593447655</v>
      </c>
      <c r="AB160" s="187"/>
    </row>
    <row r="161" spans="1:28">
      <c r="A161">
        <f>sim_annual_output!B161</f>
        <v>7</v>
      </c>
      <c r="B161" t="str">
        <f>sim_annual_output!C161</f>
        <v>Hangar</v>
      </c>
      <c r="C161" t="str">
        <f>sim_annual_output!D161</f>
        <v>1980-2004</v>
      </c>
      <c r="D161">
        <v>2015</v>
      </c>
      <c r="E161" t="str">
        <f>sim_annual_output!E161</f>
        <v>pump_fan_eff_</v>
      </c>
      <c r="F161">
        <f t="array" ref="F161">INDEX(base_building_arch_areas!$M$2:$M$161,MATCH($A161&amp;$D161,base_building_arch_areas!$A$2:$A$161&amp;base_building_arch_areas!$E$2:$E$161,0))</f>
        <v>3.1409472533455475E-2</v>
      </c>
      <c r="G161" s="191">
        <f>(model_eui_end_uses!AO161*F161*base_building_arch_areas!$P$6)/1000000</f>
        <v>7.5942180758453057</v>
      </c>
      <c r="AB161" s="187"/>
    </row>
    <row r="162" spans="1:28">
      <c r="A162">
        <f>sim_annual_output!B162</f>
        <v>10</v>
      </c>
      <c r="B162" t="str">
        <f>sim_annual_output!C162</f>
        <v>Maintenance Shop-Small</v>
      </c>
      <c r="C162" t="str">
        <f>sim_annual_output!D162</f>
        <v>1959-pre</v>
      </c>
      <c r="D162">
        <v>2015</v>
      </c>
      <c r="E162" t="str">
        <f>sim_annual_output!E162</f>
        <v>air_temp_reset_enabled</v>
      </c>
      <c r="F162">
        <f t="array" ref="F162">INDEX(base_building_arch_areas!$M$2:$M$161,MATCH($A162&amp;$D162,base_building_arch_areas!$A$2:$A$161&amp;base_building_arch_areas!$E$2:$E$161,0))</f>
        <v>6.758070579491589E-3</v>
      </c>
      <c r="G162" s="191">
        <f>(model_eui_end_uses!AO162*F162*base_building_arch_areas!$P$6)/1000000</f>
        <v>-14.193663578662756</v>
      </c>
      <c r="AB162" s="187"/>
    </row>
    <row r="163" spans="1:28">
      <c r="A163">
        <f>sim_annual_output!B163</f>
        <v>10</v>
      </c>
      <c r="B163" t="str">
        <f>sim_annual_output!C163</f>
        <v>Maintenance Shop-Small</v>
      </c>
      <c r="C163" t="str">
        <f>sim_annual_output!D163</f>
        <v>1959-pre</v>
      </c>
      <c r="D163">
        <v>2015</v>
      </c>
      <c r="E163" t="str">
        <f>sim_annual_output!E163</f>
        <v>baseline</v>
      </c>
      <c r="F163">
        <f t="array" ref="F163">INDEX(base_building_arch_areas!$M$2:$M$161,MATCH($A163&amp;$D163,base_building_arch_areas!$A$2:$A$161&amp;base_building_arch_areas!$E$2:$E$161,0))</f>
        <v>6.758070579491589E-3</v>
      </c>
      <c r="G163" s="191">
        <f>(model_eui_end_uses!AO163*F163*base_building_arch_areas!$P$6)/1000000</f>
        <v>0</v>
      </c>
      <c r="AB163" s="187"/>
    </row>
    <row r="164" spans="1:28">
      <c r="A164">
        <f>sim_annual_output!B164</f>
        <v>10</v>
      </c>
      <c r="B164" t="str">
        <f>sim_annual_output!C164</f>
        <v>Maintenance Shop-Small</v>
      </c>
      <c r="C164" t="str">
        <f>sim_annual_output!D164</f>
        <v>1959-pre</v>
      </c>
      <c r="D164">
        <v>2015</v>
      </c>
      <c r="E164" t="str">
        <f>sim_annual_output!E164</f>
        <v>boiler_eff_upgrade</v>
      </c>
      <c r="F164">
        <f t="array" ref="F164">INDEX(base_building_arch_areas!$M$2:$M$161,MATCH($A164&amp;$D164,base_building_arch_areas!$A$2:$A$161&amp;base_building_arch_areas!$E$2:$E$161,0))</f>
        <v>6.758070579491589E-3</v>
      </c>
      <c r="G164" s="191">
        <f>(model_eui_end_uses!AO164*F164*base_building_arch_areas!$P$6)/1000000</f>
        <v>0.71805859327232369</v>
      </c>
      <c r="AB164" s="187"/>
    </row>
    <row r="165" spans="1:28">
      <c r="A165">
        <f>sim_annual_output!B165</f>
        <v>10</v>
      </c>
      <c r="B165" t="str">
        <f>sim_annual_output!C165</f>
        <v>Maintenance Shop-Small</v>
      </c>
      <c r="C165" t="str">
        <f>sim_annual_output!D165</f>
        <v>1959-pre</v>
      </c>
      <c r="D165">
        <v>2015</v>
      </c>
      <c r="E165" t="str">
        <f>sim_annual_output!E165</f>
        <v>boiler_reset</v>
      </c>
      <c r="F165">
        <f t="array" ref="F165">INDEX(base_building_arch_areas!$M$2:$M$161,MATCH($A165&amp;$D165,base_building_arch_areas!$A$2:$A$161&amp;base_building_arch_areas!$E$2:$E$161,0))</f>
        <v>6.758070579491589E-3</v>
      </c>
      <c r="G165" s="191">
        <f>(model_eui_end_uses!AO165*F165*base_building_arch_areas!$P$6)/1000000</f>
        <v>68.543718137212224</v>
      </c>
      <c r="AB165" s="187"/>
    </row>
    <row r="166" spans="1:28">
      <c r="A166">
        <f>sim_annual_output!B166</f>
        <v>10</v>
      </c>
      <c r="B166" t="str">
        <f>sim_annual_output!C166</f>
        <v>Maintenance Shop-Small</v>
      </c>
      <c r="C166" t="str">
        <f>sim_annual_output!D166</f>
        <v>1959-pre</v>
      </c>
      <c r="D166">
        <v>2015</v>
      </c>
      <c r="E166" t="str">
        <f>sim_annual_output!E166</f>
        <v>cooling_cop_3_0</v>
      </c>
      <c r="F166">
        <f t="array" ref="F166">INDEX(base_building_arch_areas!$M$2:$M$161,MATCH($A166&amp;$D166,base_building_arch_areas!$A$2:$A$161&amp;base_building_arch_areas!$E$2:$E$161,0))</f>
        <v>6.758070579491589E-3</v>
      </c>
      <c r="G166" s="191">
        <f>(model_eui_end_uses!AO166*F166*base_building_arch_areas!$P$6)/1000000</f>
        <v>1.1201797654452341</v>
      </c>
      <c r="AB166" s="187"/>
    </row>
    <row r="167" spans="1:28">
      <c r="A167">
        <f>sim_annual_output!B167</f>
        <v>10</v>
      </c>
      <c r="B167" t="str">
        <f>sim_annual_output!C167</f>
        <v>Maintenance Shop-Small</v>
      </c>
      <c r="C167" t="str">
        <f>sim_annual_output!D167</f>
        <v>1959-pre</v>
      </c>
      <c r="D167">
        <v>2015</v>
      </c>
      <c r="E167" t="str">
        <f>sim_annual_output!E167</f>
        <v>dcv_enabled</v>
      </c>
      <c r="F167">
        <f t="array" ref="F167">INDEX(base_building_arch_areas!$M$2:$M$161,MATCH($A167&amp;$D167,base_building_arch_areas!$A$2:$A$161&amp;base_building_arch_areas!$E$2:$E$161,0))</f>
        <v>6.758070579491589E-3</v>
      </c>
      <c r="G167" s="191">
        <f>(model_eui_end_uses!AO167*F167*base_building_arch_areas!$P$6)/1000000</f>
        <v>0.71805859327232369</v>
      </c>
      <c r="AB167" s="187"/>
    </row>
    <row r="168" spans="1:28">
      <c r="A168">
        <f>sim_annual_output!B168</f>
        <v>10</v>
      </c>
      <c r="B168" t="str">
        <f>sim_annual_output!C168</f>
        <v>Maintenance Shop-Small</v>
      </c>
      <c r="C168" t="str">
        <f>sim_annual_output!D168</f>
        <v>1959-pre</v>
      </c>
      <c r="D168">
        <v>2015</v>
      </c>
      <c r="E168" t="str">
        <f>sim_annual_output!E168</f>
        <v>ecm_cold_deck_reset_control</v>
      </c>
      <c r="F168">
        <f t="array" ref="F168">INDEX(base_building_arch_areas!$M$2:$M$161,MATCH($A168&amp;$D168,base_building_arch_areas!$A$2:$A$161&amp;base_building_arch_areas!$E$2:$E$161,0))</f>
        <v>6.758070579491589E-3</v>
      </c>
      <c r="G168" s="191">
        <f>(model_eui_end_uses!AO168*F168*base_building_arch_areas!$P$6)/1000000</f>
        <v>-4.1613371844638936</v>
      </c>
      <c r="AB168" s="187"/>
    </row>
    <row r="169" spans="1:28">
      <c r="A169">
        <f>sim_annual_output!B169</f>
        <v>10</v>
      </c>
      <c r="B169" t="str">
        <f>sim_annual_output!C169</f>
        <v>Maintenance Shop-Small</v>
      </c>
      <c r="C169" t="str">
        <f>sim_annual_output!D169</f>
        <v>1959-pre</v>
      </c>
      <c r="D169">
        <v>2015</v>
      </c>
      <c r="E169" t="str">
        <f>sim_annual_output!E169</f>
        <v>economizers_enabled</v>
      </c>
      <c r="F169">
        <f t="array" ref="F169">INDEX(base_building_arch_areas!$M$2:$M$161,MATCH($A169&amp;$D169,base_building_arch_areas!$A$2:$A$161&amp;base_building_arch_areas!$E$2:$E$161,0))</f>
        <v>6.758070579491589E-3</v>
      </c>
      <c r="G169" s="191">
        <f>(model_eui_end_uses!AO169*F169*base_building_arch_areas!$P$6)/1000000</f>
        <v>0.87944161602352777</v>
      </c>
      <c r="AB169" s="187"/>
    </row>
    <row r="170" spans="1:28">
      <c r="A170">
        <f>sim_annual_output!B170</f>
        <v>10</v>
      </c>
      <c r="B170" t="str">
        <f>sim_annual_output!C170</f>
        <v>Maintenance Shop-Small</v>
      </c>
      <c r="C170" t="str">
        <f>sim_annual_output!D170</f>
        <v>1959-pre</v>
      </c>
      <c r="D170">
        <v>2015</v>
      </c>
      <c r="E170" t="str">
        <f>sim_annual_output!E170</f>
        <v>elec_reduce</v>
      </c>
      <c r="F170">
        <f t="array" ref="F170">INDEX(base_building_arch_areas!$M$2:$M$161,MATCH($A170&amp;$D170,base_building_arch_areas!$A$2:$A$161&amp;base_building_arch_areas!$E$2:$E$161,0))</f>
        <v>6.758070579491589E-3</v>
      </c>
      <c r="G170" s="191">
        <f>(model_eui_end_uses!AO170*F170*base_building_arch_areas!$P$6)/1000000</f>
        <v>24.512743967362901</v>
      </c>
      <c r="AB170" s="187"/>
    </row>
    <row r="171" spans="1:28">
      <c r="A171">
        <f>sim_annual_output!B171</f>
        <v>10</v>
      </c>
      <c r="B171" t="str">
        <f>sim_annual_output!C171</f>
        <v>Maintenance Shop-Small</v>
      </c>
      <c r="C171" t="str">
        <f>sim_annual_output!D171</f>
        <v>1959-pre</v>
      </c>
      <c r="D171">
        <v>2015</v>
      </c>
      <c r="E171" t="str">
        <f>sim_annual_output!E171</f>
        <v>envelope_ecm_roof</v>
      </c>
      <c r="F171">
        <f t="array" ref="F171">INDEX(base_building_arch_areas!$M$2:$M$161,MATCH($A171&amp;$D171,base_building_arch_areas!$A$2:$A$161&amp;base_building_arch_areas!$E$2:$E$161,0))</f>
        <v>6.758070579491589E-3</v>
      </c>
      <c r="G171" s="191">
        <f>(model_eui_end_uses!AO171*F171*base_building_arch_areas!$P$6)/1000000</f>
        <v>17.555497058081276</v>
      </c>
      <c r="AB171" s="187"/>
    </row>
    <row r="172" spans="1:28">
      <c r="A172">
        <f>sim_annual_output!B172</f>
        <v>10</v>
      </c>
      <c r="B172" t="str">
        <f>sim_annual_output!C172</f>
        <v>Maintenance Shop-Small</v>
      </c>
      <c r="C172" t="str">
        <f>sim_annual_output!D172</f>
        <v>1959-pre</v>
      </c>
      <c r="D172">
        <v>2015</v>
      </c>
      <c r="E172" t="str">
        <f>sim_annual_output!E172</f>
        <v>envelope_ecm_wall</v>
      </c>
      <c r="F172">
        <f t="array" ref="F172">INDEX(base_building_arch_areas!$M$2:$M$161,MATCH($A172&amp;$D172,base_building_arch_areas!$A$2:$A$161&amp;base_building_arch_areas!$E$2:$E$161,0))</f>
        <v>6.758070579491589E-3</v>
      </c>
      <c r="G172" s="191">
        <f>(model_eui_end_uses!AO172*F172*base_building_arch_areas!$P$6)/1000000</f>
        <v>32.820655806901627</v>
      </c>
      <c r="AB172" s="187"/>
    </row>
    <row r="173" spans="1:28">
      <c r="A173">
        <f>sim_annual_output!B173</f>
        <v>10</v>
      </c>
      <c r="B173" t="str">
        <f>sim_annual_output!C173</f>
        <v>Maintenance Shop-Small</v>
      </c>
      <c r="C173" t="str">
        <f>sim_annual_output!D173</f>
        <v>1959-pre</v>
      </c>
      <c r="D173">
        <v>2015</v>
      </c>
      <c r="E173" t="str">
        <f>sim_annual_output!E173</f>
        <v>envelope_ecm_windows</v>
      </c>
      <c r="F173">
        <f t="array" ref="F173">INDEX(base_building_arch_areas!$M$2:$M$161,MATCH($A173&amp;$D173,base_building_arch_areas!$A$2:$A$161&amp;base_building_arch_areas!$E$2:$E$161,0))</f>
        <v>6.758070579491589E-3</v>
      </c>
      <c r="G173" s="191">
        <f>(model_eui_end_uses!AO173*F173*base_building_arch_areas!$P$6)/1000000</f>
        <v>1.104862586163365</v>
      </c>
      <c r="AB173" s="187"/>
    </row>
    <row r="174" spans="1:28">
      <c r="A174">
        <f>sim_annual_output!B174</f>
        <v>10</v>
      </c>
      <c r="B174" t="str">
        <f>sim_annual_output!C174</f>
        <v>Maintenance Shop-Small</v>
      </c>
      <c r="C174" t="str">
        <f>sim_annual_output!D174</f>
        <v>1959-pre</v>
      </c>
      <c r="D174">
        <v>2015</v>
      </c>
      <c r="E174" t="str">
        <f>sim_annual_output!E174</f>
        <v>exhaust_fans_occ_control</v>
      </c>
      <c r="F174">
        <f t="array" ref="F174">INDEX(base_building_arch_areas!$M$2:$M$161,MATCH($A174&amp;$D174,base_building_arch_areas!$A$2:$A$161&amp;base_building_arch_areas!$E$2:$E$161,0))</f>
        <v>6.758070579491589E-3</v>
      </c>
      <c r="G174" s="191">
        <f>(model_eui_end_uses!AO174*F174*base_building_arch_areas!$P$6)/1000000</f>
        <v>0.71805859327232369</v>
      </c>
      <c r="AB174" s="187"/>
    </row>
    <row r="175" spans="1:28">
      <c r="A175">
        <f>sim_annual_output!B175</f>
        <v>10</v>
      </c>
      <c r="B175" t="str">
        <f>sim_annual_output!C175</f>
        <v>Maintenance Shop-Small</v>
      </c>
      <c r="C175" t="str">
        <f>sim_annual_output!D175</f>
        <v>1959-pre</v>
      </c>
      <c r="D175">
        <v>2015</v>
      </c>
      <c r="E175" t="str">
        <f>sim_annual_output!E175</f>
        <v>fans_to_variable</v>
      </c>
      <c r="F175">
        <f t="array" ref="F175">INDEX(base_building_arch_areas!$M$2:$M$161,MATCH($A175&amp;$D175,base_building_arch_areas!$A$2:$A$161&amp;base_building_arch_areas!$E$2:$E$161,0))</f>
        <v>6.758070579491589E-3</v>
      </c>
      <c r="G175" s="191">
        <f>(model_eui_end_uses!AO175*F175*base_building_arch_areas!$P$6)/1000000</f>
        <v>0.79624011292358277</v>
      </c>
      <c r="AB175" s="187"/>
    </row>
    <row r="176" spans="1:28">
      <c r="A176">
        <f>sim_annual_output!B176</f>
        <v>10</v>
      </c>
      <c r="B176" t="str">
        <f>sim_annual_output!C176</f>
        <v>Maintenance Shop-Small</v>
      </c>
      <c r="C176" t="str">
        <f>sim_annual_output!D176</f>
        <v>1959-pre</v>
      </c>
      <c r="D176">
        <v>2015</v>
      </c>
      <c r="E176" t="str">
        <f>sim_annual_output!E176</f>
        <v>hrv_enabled</v>
      </c>
      <c r="F176">
        <f t="array" ref="F176">INDEX(base_building_arch_areas!$M$2:$M$161,MATCH($A176&amp;$D176,base_building_arch_areas!$A$2:$A$161&amp;base_building_arch_areas!$E$2:$E$161,0))</f>
        <v>6.758070579491589E-3</v>
      </c>
      <c r="G176" s="191">
        <f>(model_eui_end_uses!AO176*F176*base_building_arch_areas!$P$6)/1000000</f>
        <v>1.1698048540291566</v>
      </c>
      <c r="AB176" s="187"/>
    </row>
    <row r="177" spans="1:28">
      <c r="A177">
        <f>sim_annual_output!B177</f>
        <v>10</v>
      </c>
      <c r="B177" t="str">
        <f>sim_annual_output!C177</f>
        <v>Maintenance Shop-Small</v>
      </c>
      <c r="C177" t="str">
        <f>sim_annual_output!D177</f>
        <v>1959-pre</v>
      </c>
      <c r="D177">
        <v>2015</v>
      </c>
      <c r="E177" t="str">
        <f>sim_annual_output!E177</f>
        <v>infil_reduce</v>
      </c>
      <c r="F177">
        <f t="array" ref="F177">INDEX(base_building_arch_areas!$M$2:$M$161,MATCH($A177&amp;$D177,base_building_arch_areas!$A$2:$A$161&amp;base_building_arch_areas!$E$2:$E$161,0))</f>
        <v>6.758070579491589E-3</v>
      </c>
      <c r="G177" s="191">
        <f>(model_eui_end_uses!AO177*F177*base_building_arch_areas!$P$6)/1000000</f>
        <v>112.72985360492994</v>
      </c>
      <c r="AB177" s="187"/>
    </row>
    <row r="178" spans="1:28">
      <c r="A178">
        <f>sim_annual_output!B178</f>
        <v>10</v>
      </c>
      <c r="B178" t="str">
        <f>sim_annual_output!C178</f>
        <v>Maintenance Shop-Small</v>
      </c>
      <c r="C178" t="str">
        <f>sim_annual_output!D178</f>
        <v>1959-pre</v>
      </c>
      <c r="D178">
        <v>2015</v>
      </c>
      <c r="E178" t="str">
        <f>sim_annual_output!E178</f>
        <v>infil_reduce_plus_setback</v>
      </c>
      <c r="F178">
        <f t="array" ref="F178">INDEX(base_building_arch_areas!$M$2:$M$161,MATCH($A178&amp;$D178,base_building_arch_areas!$A$2:$A$161&amp;base_building_arch_areas!$E$2:$E$161,0))</f>
        <v>6.758070579491589E-3</v>
      </c>
      <c r="G178" s="191">
        <f>(model_eui_end_uses!AO178*F178*base_building_arch_areas!$P$6)/1000000</f>
        <v>124.3419635654767</v>
      </c>
      <c r="AB178" s="187"/>
    </row>
    <row r="179" spans="1:28">
      <c r="A179">
        <f>sim_annual_output!B179</f>
        <v>10</v>
      </c>
      <c r="B179" t="str">
        <f>sim_annual_output!C179</f>
        <v>Maintenance Shop-Small</v>
      </c>
      <c r="C179" t="str">
        <f>sim_annual_output!D179</f>
        <v>1959-pre</v>
      </c>
      <c r="D179">
        <v>2015</v>
      </c>
      <c r="E179" t="str">
        <f>sim_annual_output!E179</f>
        <v>lights_reduce_70p</v>
      </c>
      <c r="F179">
        <f t="array" ref="F179">INDEX(base_building_arch_areas!$M$2:$M$161,MATCH($A179&amp;$D179,base_building_arch_areas!$A$2:$A$161&amp;base_building_arch_areas!$E$2:$E$161,0))</f>
        <v>6.758070579491589E-3</v>
      </c>
      <c r="G179" s="191">
        <f>(model_eui_end_uses!AO179*F179*base_building_arch_areas!$P$6)/1000000</f>
        <v>14.154130706603915</v>
      </c>
      <c r="AB179" s="187"/>
    </row>
    <row r="180" spans="1:28">
      <c r="A180">
        <f>sim_annual_output!B180</f>
        <v>10</v>
      </c>
      <c r="B180" t="str">
        <f>sim_annual_output!C180</f>
        <v>Maintenance Shop-Small</v>
      </c>
      <c r="C180" t="str">
        <f>sim_annual_output!D180</f>
        <v>1959-pre</v>
      </c>
      <c r="D180">
        <v>2015</v>
      </c>
      <c r="E180" t="str">
        <f>sim_annual_output!E180</f>
        <v>load_reduce</v>
      </c>
      <c r="F180">
        <f t="array" ref="F180">INDEX(base_building_arch_areas!$M$2:$M$161,MATCH($A180&amp;$D180,base_building_arch_areas!$A$2:$A$161&amp;base_building_arch_areas!$E$2:$E$161,0))</f>
        <v>6.758070579491589E-3</v>
      </c>
      <c r="G180" s="191">
        <f>(model_eui_end_uses!AO180*F180*base_building_arch_areas!$P$6)/1000000</f>
        <v>157.62960242837451</v>
      </c>
      <c r="AB180" s="187"/>
    </row>
    <row r="181" spans="1:28">
      <c r="A181">
        <f>sim_annual_output!B181</f>
        <v>10</v>
      </c>
      <c r="B181" t="str">
        <f>sim_annual_output!C181</f>
        <v>Maintenance Shop-Small</v>
      </c>
      <c r="C181" t="str">
        <f>sim_annual_output!D181</f>
        <v>1959-pre</v>
      </c>
      <c r="D181">
        <v>2015</v>
      </c>
      <c r="E181" t="str">
        <f>sim_annual_output!E181</f>
        <v>occupancy_setback</v>
      </c>
      <c r="F181">
        <f t="array" ref="F181">INDEX(base_building_arch_areas!$M$2:$M$161,MATCH($A181&amp;$D181,base_building_arch_areas!$A$2:$A$161&amp;base_building_arch_areas!$E$2:$E$161,0))</f>
        <v>6.758070579491589E-3</v>
      </c>
      <c r="G181" s="191">
        <f>(model_eui_end_uses!AO181*F181*base_building_arch_areas!$P$6)/1000000</f>
        <v>18.645235386664538</v>
      </c>
      <c r="AB181" s="187"/>
    </row>
    <row r="182" spans="1:28">
      <c r="A182">
        <f>sim_annual_output!B182</f>
        <v>10</v>
      </c>
      <c r="B182" t="str">
        <f>sim_annual_output!C182</f>
        <v>Maintenance Shop-Small</v>
      </c>
      <c r="C182" t="str">
        <f>sim_annual_output!D182</f>
        <v>1959-pre</v>
      </c>
      <c r="D182">
        <v>2015</v>
      </c>
      <c r="E182" t="str">
        <f>sim_annual_output!E182</f>
        <v>payback_less_than_20</v>
      </c>
      <c r="F182">
        <f t="array" ref="F182">INDEX(base_building_arch_areas!$M$2:$M$161,MATCH($A182&amp;$D182,base_building_arch_areas!$A$2:$A$161&amp;base_building_arch_areas!$E$2:$E$161,0))</f>
        <v>6.758070579491589E-3</v>
      </c>
      <c r="G182" s="191">
        <f>(model_eui_end_uses!AO182*F182*base_building_arch_areas!$P$6)/1000000</f>
        <v>169.77312325491184</v>
      </c>
      <c r="AB182" s="187"/>
    </row>
    <row r="183" spans="1:28">
      <c r="A183">
        <f>sim_annual_output!B183</f>
        <v>10</v>
      </c>
      <c r="B183" t="str">
        <f>sim_annual_output!C183</f>
        <v>Maintenance Shop-Small</v>
      </c>
      <c r="C183" t="str">
        <f>sim_annual_output!D183</f>
        <v>1959-pre</v>
      </c>
      <c r="D183">
        <v>2015</v>
      </c>
      <c r="E183" t="str">
        <f>sim_annual_output!E183</f>
        <v>plug_loads_90_percent</v>
      </c>
      <c r="F183">
        <f t="array" ref="F183">INDEX(base_building_arch_areas!$M$2:$M$161,MATCH($A183&amp;$D183,base_building_arch_areas!$A$2:$A$161&amp;base_building_arch_areas!$E$2:$E$161,0))</f>
        <v>6.758070579491589E-3</v>
      </c>
      <c r="G183" s="191">
        <f>(model_eui_end_uses!AO183*F183*base_building_arch_areas!$P$6)/1000000</f>
        <v>0.69803090910502463</v>
      </c>
      <c r="AB183" s="187"/>
    </row>
    <row r="184" spans="1:28">
      <c r="A184">
        <f>sim_annual_output!B184</f>
        <v>10</v>
      </c>
      <c r="B184" t="str">
        <f>sim_annual_output!C184</f>
        <v>Maintenance Shop-Small</v>
      </c>
      <c r="C184" t="str">
        <f>sim_annual_output!D184</f>
        <v>1959-pre</v>
      </c>
      <c r="D184">
        <v>2015</v>
      </c>
      <c r="E184" t="str">
        <f>sim_annual_output!E184</f>
        <v>pump_fan_eff_</v>
      </c>
      <c r="F184">
        <f t="array" ref="F184">INDEX(base_building_arch_areas!$M$2:$M$161,MATCH($A184&amp;$D184,base_building_arch_areas!$A$2:$A$161&amp;base_building_arch_areas!$E$2:$E$161,0))</f>
        <v>6.758070579491589E-3</v>
      </c>
      <c r="G184" s="191">
        <f>(model_eui_end_uses!AO184*F184*base_building_arch_areas!$P$6)/1000000</f>
        <v>11.005367189208497</v>
      </c>
      <c r="AB184" s="187"/>
    </row>
    <row r="185" spans="1:28">
      <c r="A185">
        <f>sim_annual_output!B185</f>
        <v>11</v>
      </c>
      <c r="B185" t="str">
        <f>sim_annual_output!C185</f>
        <v>Maintenance Shop-Small</v>
      </c>
      <c r="C185" t="str">
        <f>sim_annual_output!D185</f>
        <v>1960-1979</v>
      </c>
      <c r="D185">
        <v>2015</v>
      </c>
      <c r="E185" t="str">
        <f>sim_annual_output!E185</f>
        <v>air_temp_reset_enabled</v>
      </c>
      <c r="F185">
        <f t="array" ref="F185">INDEX(base_building_arch_areas!$M$2:$M$161,MATCH($A185&amp;$D185,base_building_arch_areas!$A$2:$A$161&amp;base_building_arch_areas!$E$2:$E$161,0))</f>
        <v>3.128416304061324E-3</v>
      </c>
      <c r="G185" s="191">
        <f>(model_eui_end_uses!AO185*F185*base_building_arch_areas!$P$6)/1000000</f>
        <v>-5.5113754892446059</v>
      </c>
      <c r="AB185" s="187"/>
    </row>
    <row r="186" spans="1:28">
      <c r="A186">
        <f>sim_annual_output!B186</f>
        <v>11</v>
      </c>
      <c r="B186" t="str">
        <f>sim_annual_output!C186</f>
        <v>Maintenance Shop-Small</v>
      </c>
      <c r="C186" t="str">
        <f>sim_annual_output!D186</f>
        <v>1960-1979</v>
      </c>
      <c r="D186">
        <v>2015</v>
      </c>
      <c r="E186" t="str">
        <f>sim_annual_output!E186</f>
        <v>baseline</v>
      </c>
      <c r="F186">
        <f t="array" ref="F186">INDEX(base_building_arch_areas!$M$2:$M$161,MATCH($A186&amp;$D186,base_building_arch_areas!$A$2:$A$161&amp;base_building_arch_areas!$E$2:$E$161,0))</f>
        <v>3.128416304061324E-3</v>
      </c>
      <c r="G186" s="191">
        <f>(model_eui_end_uses!AO186*F186*base_building_arch_areas!$P$6)/1000000</f>
        <v>0</v>
      </c>
      <c r="AB186" s="187"/>
    </row>
    <row r="187" spans="1:28">
      <c r="A187">
        <f>sim_annual_output!B187</f>
        <v>11</v>
      </c>
      <c r="B187" t="str">
        <f>sim_annual_output!C187</f>
        <v>Maintenance Shop-Small</v>
      </c>
      <c r="C187" t="str">
        <f>sim_annual_output!D187</f>
        <v>1960-1979</v>
      </c>
      <c r="D187">
        <v>2015</v>
      </c>
      <c r="E187" t="str">
        <f>sim_annual_output!E187</f>
        <v>boiler_eff_upgrade</v>
      </c>
      <c r="F187">
        <f t="array" ref="F187">INDEX(base_building_arch_areas!$M$2:$M$161,MATCH($A187&amp;$D187,base_building_arch_areas!$A$2:$A$161&amp;base_building_arch_areas!$E$2:$E$161,0))</f>
        <v>3.128416304061324E-3</v>
      </c>
      <c r="G187" s="191">
        <f>(model_eui_end_uses!AO187*F187*base_building_arch_areas!$P$6)/1000000</f>
        <v>0.38406431558665816</v>
      </c>
      <c r="AB187" s="187"/>
    </row>
    <row r="188" spans="1:28">
      <c r="A188">
        <f>sim_annual_output!B188</f>
        <v>11</v>
      </c>
      <c r="B188" t="str">
        <f>sim_annual_output!C188</f>
        <v>Maintenance Shop-Small</v>
      </c>
      <c r="C188" t="str">
        <f>sim_annual_output!D188</f>
        <v>1960-1979</v>
      </c>
      <c r="D188">
        <v>2015</v>
      </c>
      <c r="E188" t="str">
        <f>sim_annual_output!E188</f>
        <v>boiler_reset</v>
      </c>
      <c r="F188">
        <f t="array" ref="F188">INDEX(base_building_arch_areas!$M$2:$M$161,MATCH($A188&amp;$D188,base_building_arch_areas!$A$2:$A$161&amp;base_building_arch_areas!$E$2:$E$161,0))</f>
        <v>3.128416304061324E-3</v>
      </c>
      <c r="G188" s="191">
        <f>(model_eui_end_uses!AO188*F188*base_building_arch_areas!$P$6)/1000000</f>
        <v>29.540602893583753</v>
      </c>
      <c r="AB188" s="187"/>
    </row>
    <row r="189" spans="1:28">
      <c r="A189">
        <f>sim_annual_output!B189</f>
        <v>11</v>
      </c>
      <c r="B189" t="str">
        <f>sim_annual_output!C189</f>
        <v>Maintenance Shop-Small</v>
      </c>
      <c r="C189" t="str">
        <f>sim_annual_output!D189</f>
        <v>1960-1979</v>
      </c>
      <c r="D189">
        <v>2015</v>
      </c>
      <c r="E189" t="str">
        <f>sim_annual_output!E189</f>
        <v>cooling_cop_3_0</v>
      </c>
      <c r="F189">
        <f t="array" ref="F189">INDEX(base_building_arch_areas!$M$2:$M$161,MATCH($A189&amp;$D189,base_building_arch_areas!$A$2:$A$161&amp;base_building_arch_areas!$E$2:$E$161,0))</f>
        <v>3.128416304061324E-3</v>
      </c>
      <c r="G189" s="191">
        <f>(model_eui_end_uses!AO189*F189*base_building_arch_areas!$P$6)/1000000</f>
        <v>0.57183115937498874</v>
      </c>
      <c r="AB189" s="187"/>
    </row>
    <row r="190" spans="1:28">
      <c r="A190">
        <f>sim_annual_output!B190</f>
        <v>11</v>
      </c>
      <c r="B190" t="str">
        <f>sim_annual_output!C190</f>
        <v>Maintenance Shop-Small</v>
      </c>
      <c r="C190" t="str">
        <f>sim_annual_output!D190</f>
        <v>1960-1979</v>
      </c>
      <c r="D190">
        <v>2015</v>
      </c>
      <c r="E190" t="str">
        <f>sim_annual_output!E190</f>
        <v>dcv_enabled</v>
      </c>
      <c r="F190">
        <f t="array" ref="F190">INDEX(base_building_arch_areas!$M$2:$M$161,MATCH($A190&amp;$D190,base_building_arch_areas!$A$2:$A$161&amp;base_building_arch_areas!$E$2:$E$161,0))</f>
        <v>3.128416304061324E-3</v>
      </c>
      <c r="G190" s="191">
        <f>(model_eui_end_uses!AO190*F190*base_building_arch_areas!$P$6)/1000000</f>
        <v>0.38406431558665816</v>
      </c>
      <c r="AB190" s="187"/>
    </row>
    <row r="191" spans="1:28">
      <c r="A191">
        <f>sim_annual_output!B191</f>
        <v>11</v>
      </c>
      <c r="B191" t="str">
        <f>sim_annual_output!C191</f>
        <v>Maintenance Shop-Small</v>
      </c>
      <c r="C191" t="str">
        <f>sim_annual_output!D191</f>
        <v>1960-1979</v>
      </c>
      <c r="D191">
        <v>2015</v>
      </c>
      <c r="E191" t="str">
        <f>sim_annual_output!E191</f>
        <v>ecm_cold_deck_reset_control</v>
      </c>
      <c r="F191">
        <f t="array" ref="F191">INDEX(base_building_arch_areas!$M$2:$M$161,MATCH($A191&amp;$D191,base_building_arch_areas!$A$2:$A$161&amp;base_building_arch_areas!$E$2:$E$161,0))</f>
        <v>3.128416304061324E-3</v>
      </c>
      <c r="G191" s="191">
        <f>(model_eui_end_uses!AO191*F191*base_building_arch_areas!$P$6)/1000000</f>
        <v>-1.6083126956228309</v>
      </c>
      <c r="AB191" s="187"/>
    </row>
    <row r="192" spans="1:28">
      <c r="A192">
        <f>sim_annual_output!B192</f>
        <v>11</v>
      </c>
      <c r="B192" t="str">
        <f>sim_annual_output!C192</f>
        <v>Maintenance Shop-Small</v>
      </c>
      <c r="C192" t="str">
        <f>sim_annual_output!D192</f>
        <v>1960-1979</v>
      </c>
      <c r="D192">
        <v>2015</v>
      </c>
      <c r="E192" t="str">
        <f>sim_annual_output!E192</f>
        <v>economizers_enabled</v>
      </c>
      <c r="F192">
        <f t="array" ref="F192">INDEX(base_building_arch_areas!$M$2:$M$161,MATCH($A192&amp;$D192,base_building_arch_areas!$A$2:$A$161&amp;base_building_arch_areas!$E$2:$E$161,0))</f>
        <v>3.128416304061324E-3</v>
      </c>
      <c r="G192" s="191">
        <f>(model_eui_end_uses!AO192*F192*base_building_arch_areas!$P$6)/1000000</f>
        <v>0.47448525138996644</v>
      </c>
      <c r="AB192" s="187"/>
    </row>
    <row r="193" spans="1:28">
      <c r="A193">
        <f>sim_annual_output!B193</f>
        <v>11</v>
      </c>
      <c r="B193" t="str">
        <f>sim_annual_output!C193</f>
        <v>Maintenance Shop-Small</v>
      </c>
      <c r="C193" t="str">
        <f>sim_annual_output!D193</f>
        <v>1960-1979</v>
      </c>
      <c r="D193">
        <v>2015</v>
      </c>
      <c r="E193" t="str">
        <f>sim_annual_output!E193</f>
        <v>elec_reduce</v>
      </c>
      <c r="F193">
        <f t="array" ref="F193">INDEX(base_building_arch_areas!$M$2:$M$161,MATCH($A193&amp;$D193,base_building_arch_areas!$A$2:$A$161&amp;base_building_arch_areas!$E$2:$E$161,0))</f>
        <v>3.128416304061324E-3</v>
      </c>
      <c r="G193" s="191">
        <f>(model_eui_end_uses!AO193*F193*base_building_arch_areas!$P$6)/1000000</f>
        <v>11.136220424606126</v>
      </c>
      <c r="AB193" s="187"/>
    </row>
    <row r="194" spans="1:28">
      <c r="A194">
        <f>sim_annual_output!B194</f>
        <v>11</v>
      </c>
      <c r="B194" t="str">
        <f>sim_annual_output!C194</f>
        <v>Maintenance Shop-Small</v>
      </c>
      <c r="C194" t="str">
        <f>sim_annual_output!D194</f>
        <v>1960-1979</v>
      </c>
      <c r="D194">
        <v>2015</v>
      </c>
      <c r="E194" t="str">
        <f>sim_annual_output!E194</f>
        <v>envelope_ecm_roof</v>
      </c>
      <c r="F194">
        <f t="array" ref="F194">INDEX(base_building_arch_areas!$M$2:$M$161,MATCH($A194&amp;$D194,base_building_arch_areas!$A$2:$A$161&amp;base_building_arch_areas!$E$2:$E$161,0))</f>
        <v>3.128416304061324E-3</v>
      </c>
      <c r="G194" s="191">
        <f>(model_eui_end_uses!AO194*F194*base_building_arch_areas!$P$6)/1000000</f>
        <v>12.686314607456657</v>
      </c>
      <c r="AB194" s="187"/>
    </row>
    <row r="195" spans="1:28">
      <c r="A195">
        <f>sim_annual_output!B195</f>
        <v>11</v>
      </c>
      <c r="B195" t="str">
        <f>sim_annual_output!C195</f>
        <v>Maintenance Shop-Small</v>
      </c>
      <c r="C195" t="str">
        <f>sim_annual_output!D195</f>
        <v>1960-1979</v>
      </c>
      <c r="D195">
        <v>2015</v>
      </c>
      <c r="E195" t="str">
        <f>sim_annual_output!E195</f>
        <v>envelope_ecm_wall</v>
      </c>
      <c r="F195">
        <f t="array" ref="F195">INDEX(base_building_arch_areas!$M$2:$M$161,MATCH($A195&amp;$D195,base_building_arch_areas!$A$2:$A$161&amp;base_building_arch_areas!$E$2:$E$161,0))</f>
        <v>3.128416304061324E-3</v>
      </c>
      <c r="G195" s="191">
        <f>(model_eui_end_uses!AO195*F195*base_building_arch_areas!$P$6)/1000000</f>
        <v>6.701123665313613</v>
      </c>
      <c r="AB195" s="187"/>
    </row>
    <row r="196" spans="1:28">
      <c r="A196">
        <f>sim_annual_output!B196</f>
        <v>11</v>
      </c>
      <c r="B196" t="str">
        <f>sim_annual_output!C196</f>
        <v>Maintenance Shop-Small</v>
      </c>
      <c r="C196" t="str">
        <f>sim_annual_output!D196</f>
        <v>1960-1979</v>
      </c>
      <c r="D196">
        <v>2015</v>
      </c>
      <c r="E196" t="str">
        <f>sim_annual_output!E196</f>
        <v>envelope_ecm_windows</v>
      </c>
      <c r="F196">
        <f t="array" ref="F196">INDEX(base_building_arch_areas!$M$2:$M$161,MATCH($A196&amp;$D196,base_building_arch_areas!$A$2:$A$161&amp;base_building_arch_areas!$E$2:$E$161,0))</f>
        <v>3.128416304061324E-3</v>
      </c>
      <c r="G196" s="191">
        <f>(model_eui_end_uses!AO196*F196*base_building_arch_areas!$P$6)/1000000</f>
        <v>0.56402800694883393</v>
      </c>
      <c r="AB196" s="187"/>
    </row>
    <row r="197" spans="1:28">
      <c r="A197">
        <f>sim_annual_output!B197</f>
        <v>11</v>
      </c>
      <c r="B197" t="str">
        <f>sim_annual_output!C197</f>
        <v>Maintenance Shop-Small</v>
      </c>
      <c r="C197" t="str">
        <f>sim_annual_output!D197</f>
        <v>1960-1979</v>
      </c>
      <c r="D197">
        <v>2015</v>
      </c>
      <c r="E197" t="str">
        <f>sim_annual_output!E197</f>
        <v>exhaust_fans_occ_control</v>
      </c>
      <c r="F197">
        <f t="array" ref="F197">INDEX(base_building_arch_areas!$M$2:$M$161,MATCH($A197&amp;$D197,base_building_arch_areas!$A$2:$A$161&amp;base_building_arch_areas!$E$2:$E$161,0))</f>
        <v>3.128416304061324E-3</v>
      </c>
      <c r="G197" s="191">
        <f>(model_eui_end_uses!AO197*F197*base_building_arch_areas!$P$6)/1000000</f>
        <v>0.38406431558665816</v>
      </c>
      <c r="AB197" s="187"/>
    </row>
    <row r="198" spans="1:28">
      <c r="A198">
        <f>sim_annual_output!B198</f>
        <v>11</v>
      </c>
      <c r="B198" t="str">
        <f>sim_annual_output!C198</f>
        <v>Maintenance Shop-Small</v>
      </c>
      <c r="C198" t="str">
        <f>sim_annual_output!D198</f>
        <v>1960-1979</v>
      </c>
      <c r="D198">
        <v>2015</v>
      </c>
      <c r="E198" t="str">
        <f>sim_annual_output!E198</f>
        <v>fans_to_variable</v>
      </c>
      <c r="F198">
        <f t="array" ref="F198">INDEX(base_building_arch_areas!$M$2:$M$161,MATCH($A198&amp;$D198,base_building_arch_areas!$A$2:$A$161&amp;base_building_arch_areas!$E$2:$E$161,0))</f>
        <v>3.128416304061324E-3</v>
      </c>
      <c r="G198" s="191">
        <f>(model_eui_end_uses!AO198*F198*base_building_arch_areas!$P$6)/1000000</f>
        <v>0.4193031584458824</v>
      </c>
      <c r="AB198" s="187"/>
    </row>
    <row r="199" spans="1:28">
      <c r="A199">
        <f>sim_annual_output!B199</f>
        <v>11</v>
      </c>
      <c r="B199" t="str">
        <f>sim_annual_output!C199</f>
        <v>Maintenance Shop-Small</v>
      </c>
      <c r="C199" t="str">
        <f>sim_annual_output!D199</f>
        <v>1960-1979</v>
      </c>
      <c r="D199">
        <v>2015</v>
      </c>
      <c r="E199" t="str">
        <f>sim_annual_output!E199</f>
        <v>hrv_enabled</v>
      </c>
      <c r="F199">
        <f t="array" ref="F199">INDEX(base_building_arch_areas!$M$2:$M$161,MATCH($A199&amp;$D199,base_building_arch_areas!$A$2:$A$161&amp;base_building_arch_areas!$E$2:$E$161,0))</f>
        <v>3.128416304061324E-3</v>
      </c>
      <c r="G199" s="191">
        <f>(model_eui_end_uses!AO199*F199*base_building_arch_areas!$P$6)/1000000</f>
        <v>0.58070784993893476</v>
      </c>
      <c r="AB199" s="187"/>
    </row>
    <row r="200" spans="1:28">
      <c r="A200">
        <f>sim_annual_output!B200</f>
        <v>11</v>
      </c>
      <c r="B200" t="str">
        <f>sim_annual_output!C200</f>
        <v>Maintenance Shop-Small</v>
      </c>
      <c r="C200" t="str">
        <f>sim_annual_output!D200</f>
        <v>1960-1979</v>
      </c>
      <c r="D200">
        <v>2015</v>
      </c>
      <c r="E200" t="str">
        <f>sim_annual_output!E200</f>
        <v>infil_reduce</v>
      </c>
      <c r="F200">
        <f t="array" ref="F200">INDEX(base_building_arch_areas!$M$2:$M$161,MATCH($A200&amp;$D200,base_building_arch_areas!$A$2:$A$161&amp;base_building_arch_areas!$E$2:$E$161,0))</f>
        <v>3.128416304061324E-3</v>
      </c>
      <c r="G200" s="191">
        <f>(model_eui_end_uses!AO200*F200*base_building_arch_areas!$P$6)/1000000</f>
        <v>47.085140851834517</v>
      </c>
      <c r="AB200" s="187"/>
    </row>
    <row r="201" spans="1:28">
      <c r="A201">
        <f>sim_annual_output!B201</f>
        <v>11</v>
      </c>
      <c r="B201" t="str">
        <f>sim_annual_output!C201</f>
        <v>Maintenance Shop-Small</v>
      </c>
      <c r="C201" t="str">
        <f>sim_annual_output!D201</f>
        <v>1960-1979</v>
      </c>
      <c r="D201">
        <v>2015</v>
      </c>
      <c r="E201" t="str">
        <f>sim_annual_output!E201</f>
        <v>infil_reduce_plus_setback</v>
      </c>
      <c r="F201">
        <f t="array" ref="F201">INDEX(base_building_arch_areas!$M$2:$M$161,MATCH($A201&amp;$D201,base_building_arch_areas!$A$2:$A$161&amp;base_building_arch_areas!$E$2:$E$161,0))</f>
        <v>3.128416304061324E-3</v>
      </c>
      <c r="G201" s="191">
        <f>(model_eui_end_uses!AO201*F201*base_building_arch_areas!$P$6)/1000000</f>
        <v>52.837911717421491</v>
      </c>
      <c r="AB201" s="187"/>
    </row>
    <row r="202" spans="1:28">
      <c r="A202">
        <f>sim_annual_output!B202</f>
        <v>11</v>
      </c>
      <c r="B202" t="str">
        <f>sim_annual_output!C202</f>
        <v>Maintenance Shop-Small</v>
      </c>
      <c r="C202" t="str">
        <f>sim_annual_output!D202</f>
        <v>1960-1979</v>
      </c>
      <c r="D202">
        <v>2015</v>
      </c>
      <c r="E202" t="str">
        <f>sim_annual_output!E202</f>
        <v>lights_reduce_70p</v>
      </c>
      <c r="F202">
        <f t="array" ref="F202">INDEX(base_building_arch_areas!$M$2:$M$161,MATCH($A202&amp;$D202,base_building_arch_areas!$A$2:$A$161&amp;base_building_arch_areas!$E$2:$E$161,0))</f>
        <v>3.128416304061324E-3</v>
      </c>
      <c r="G202" s="191">
        <f>(model_eui_end_uses!AO202*F202*base_building_arch_areas!$P$6)/1000000</f>
        <v>6.6487919370611879</v>
      </c>
      <c r="AB202" s="187"/>
    </row>
    <row r="203" spans="1:28">
      <c r="A203">
        <f>sim_annual_output!B203</f>
        <v>11</v>
      </c>
      <c r="B203" t="str">
        <f>sim_annual_output!C203</f>
        <v>Maintenance Shop-Small</v>
      </c>
      <c r="C203" t="str">
        <f>sim_annual_output!D203</f>
        <v>1960-1979</v>
      </c>
      <c r="D203">
        <v>2015</v>
      </c>
      <c r="E203" t="str">
        <f>sim_annual_output!E203</f>
        <v>load_reduce</v>
      </c>
      <c r="F203">
        <f t="array" ref="F203">INDEX(base_building_arch_areas!$M$2:$M$161,MATCH($A203&amp;$D203,base_building_arch_areas!$A$2:$A$161&amp;base_building_arch_areas!$E$2:$E$161,0))</f>
        <v>3.128416304061324E-3</v>
      </c>
      <c r="G203" s="191">
        <f>(model_eui_end_uses!AO203*F203*base_building_arch_areas!$P$6)/1000000</f>
        <v>67.301116137507364</v>
      </c>
      <c r="AB203" s="187"/>
    </row>
    <row r="204" spans="1:28">
      <c r="A204">
        <f>sim_annual_output!B204</f>
        <v>11</v>
      </c>
      <c r="B204" t="str">
        <f>sim_annual_output!C204</f>
        <v>Maintenance Shop-Small</v>
      </c>
      <c r="C204" t="str">
        <f>sim_annual_output!D204</f>
        <v>1960-1979</v>
      </c>
      <c r="D204">
        <v>2015</v>
      </c>
      <c r="E204" t="str">
        <f>sim_annual_output!E204</f>
        <v>occupancy_setback</v>
      </c>
      <c r="F204">
        <f t="array" ref="F204">INDEX(base_building_arch_areas!$M$2:$M$161,MATCH($A204&amp;$D204,base_building_arch_areas!$A$2:$A$161&amp;base_building_arch_areas!$E$2:$E$161,0))</f>
        <v>3.128416304061324E-3</v>
      </c>
      <c r="G204" s="191">
        <f>(model_eui_end_uses!AO204*F204*base_building_arch_areas!$P$6)/1000000</f>
        <v>8.783893704055922</v>
      </c>
      <c r="AB204" s="187"/>
    </row>
    <row r="205" spans="1:28">
      <c r="A205">
        <f>sim_annual_output!B205</f>
        <v>11</v>
      </c>
      <c r="B205" t="str">
        <f>sim_annual_output!C205</f>
        <v>Maintenance Shop-Small</v>
      </c>
      <c r="C205" t="str">
        <f>sim_annual_output!D205</f>
        <v>1960-1979</v>
      </c>
      <c r="D205">
        <v>2015</v>
      </c>
      <c r="E205" t="str">
        <f>sim_annual_output!E205</f>
        <v>payback_less_than_20</v>
      </c>
      <c r="F205">
        <f t="array" ref="F205">INDEX(base_building_arch_areas!$M$2:$M$161,MATCH($A205&amp;$D205,base_building_arch_areas!$A$2:$A$161&amp;base_building_arch_areas!$E$2:$E$161,0))</f>
        <v>3.128416304061324E-3</v>
      </c>
      <c r="G205" s="191">
        <f>(model_eui_end_uses!AO205*F205*base_building_arch_areas!$P$6)/1000000</f>
        <v>73.059490983806683</v>
      </c>
      <c r="AB205" s="187"/>
    </row>
    <row r="206" spans="1:28">
      <c r="A206">
        <f>sim_annual_output!B206</f>
        <v>11</v>
      </c>
      <c r="B206" t="str">
        <f>sim_annual_output!C206</f>
        <v>Maintenance Shop-Small</v>
      </c>
      <c r="C206" t="str">
        <f>sim_annual_output!D206</f>
        <v>1960-1979</v>
      </c>
      <c r="D206">
        <v>2015</v>
      </c>
      <c r="E206" t="str">
        <f>sim_annual_output!E206</f>
        <v>plug_loads_90_percent</v>
      </c>
      <c r="F206">
        <f t="array" ref="F206">INDEX(base_building_arch_areas!$M$2:$M$161,MATCH($A206&amp;$D206,base_building_arch_areas!$A$2:$A$161&amp;base_building_arch_areas!$E$2:$E$161,0))</f>
        <v>3.128416304061324E-3</v>
      </c>
      <c r="G206" s="191">
        <f>(model_eui_end_uses!AO206*F206*base_building_arch_areas!$P$6)/1000000</f>
        <v>0.36784588933515333</v>
      </c>
      <c r="AB206" s="187"/>
    </row>
    <row r="207" spans="1:28">
      <c r="A207">
        <f>sim_annual_output!B207</f>
        <v>11</v>
      </c>
      <c r="B207" t="str">
        <f>sim_annual_output!C207</f>
        <v>Maintenance Shop-Small</v>
      </c>
      <c r="C207" t="str">
        <f>sim_annual_output!D207</f>
        <v>1960-1979</v>
      </c>
      <c r="D207">
        <v>2015</v>
      </c>
      <c r="E207" t="str">
        <f>sim_annual_output!E207</f>
        <v>pump_fan_eff_</v>
      </c>
      <c r="F207">
        <f t="array" ref="F207">INDEX(base_building_arch_areas!$M$2:$M$161,MATCH($A207&amp;$D207,base_building_arch_areas!$A$2:$A$161&amp;base_building_arch_areas!$E$2:$E$161,0))</f>
        <v>3.128416304061324E-3</v>
      </c>
      <c r="G207" s="191">
        <f>(model_eui_end_uses!AO207*F207*base_building_arch_areas!$P$6)/1000000</f>
        <v>4.8402894961837708</v>
      </c>
      <c r="AB207" s="187"/>
    </row>
    <row r="208" spans="1:28">
      <c r="A208">
        <f>sim_annual_output!B208</f>
        <v>12</v>
      </c>
      <c r="B208" t="str">
        <f>sim_annual_output!C208</f>
        <v>Maintenance Shop-Small</v>
      </c>
      <c r="C208" t="str">
        <f>sim_annual_output!D208</f>
        <v>1980-2004</v>
      </c>
      <c r="D208">
        <v>2015</v>
      </c>
      <c r="E208" t="str">
        <f>sim_annual_output!E208</f>
        <v>air_temp_reset_enabled</v>
      </c>
      <c r="F208">
        <f t="array" ref="F208">INDEX(base_building_arch_areas!$M$2:$M$161,MATCH($A208&amp;$D208,base_building_arch_areas!$A$2:$A$161&amp;base_building_arch_areas!$E$2:$E$161,0))</f>
        <v>2.1039031746511859E-2</v>
      </c>
      <c r="G208" s="191">
        <f>(model_eui_end_uses!AO208*F208*base_building_arch_areas!$P$6)/1000000</f>
        <v>-17.49765616014146</v>
      </c>
      <c r="AB208" s="187"/>
    </row>
    <row r="209" spans="1:28">
      <c r="A209">
        <f>sim_annual_output!B209</f>
        <v>12</v>
      </c>
      <c r="B209" t="str">
        <f>sim_annual_output!C209</f>
        <v>Maintenance Shop-Small</v>
      </c>
      <c r="C209" t="str">
        <f>sim_annual_output!D209</f>
        <v>1980-2004</v>
      </c>
      <c r="D209">
        <v>2015</v>
      </c>
      <c r="E209" t="str">
        <f>sim_annual_output!E209</f>
        <v>baseline</v>
      </c>
      <c r="F209">
        <f t="array" ref="F209">INDEX(base_building_arch_areas!$M$2:$M$161,MATCH($A209&amp;$D209,base_building_arch_areas!$A$2:$A$161&amp;base_building_arch_areas!$E$2:$E$161,0))</f>
        <v>2.1039031746511859E-2</v>
      </c>
      <c r="G209" s="191">
        <f>(model_eui_end_uses!AO209*F209*base_building_arch_areas!$P$6)/1000000</f>
        <v>0</v>
      </c>
      <c r="AB209" s="187"/>
    </row>
    <row r="210" spans="1:28">
      <c r="A210">
        <f>sim_annual_output!B210</f>
        <v>12</v>
      </c>
      <c r="B210" t="str">
        <f>sim_annual_output!C210</f>
        <v>Maintenance Shop-Small</v>
      </c>
      <c r="C210" t="str">
        <f>sim_annual_output!D210</f>
        <v>1980-2004</v>
      </c>
      <c r="D210">
        <v>2015</v>
      </c>
      <c r="E210" t="str">
        <f>sim_annual_output!E210</f>
        <v>boiler_eff_upgrade</v>
      </c>
      <c r="F210">
        <f t="array" ref="F210">INDEX(base_building_arch_areas!$M$2:$M$161,MATCH($A210&amp;$D210,base_building_arch_areas!$A$2:$A$161&amp;base_building_arch_areas!$E$2:$E$161,0))</f>
        <v>2.1039031746511859E-2</v>
      </c>
      <c r="G210" s="191">
        <f>(model_eui_end_uses!AO210*F210*base_building_arch_areas!$P$6)/1000000</f>
        <v>-0.87946362141208712</v>
      </c>
      <c r="AB210" s="187"/>
    </row>
    <row r="211" spans="1:28">
      <c r="A211">
        <f>sim_annual_output!B211</f>
        <v>12</v>
      </c>
      <c r="B211" t="str">
        <f>sim_annual_output!C211</f>
        <v>Maintenance Shop-Small</v>
      </c>
      <c r="C211" t="str">
        <f>sim_annual_output!D211</f>
        <v>1980-2004</v>
      </c>
      <c r="D211">
        <v>2015</v>
      </c>
      <c r="E211" t="str">
        <f>sim_annual_output!E211</f>
        <v>boiler_reset</v>
      </c>
      <c r="F211">
        <f t="array" ref="F211">INDEX(base_building_arch_areas!$M$2:$M$161,MATCH($A211&amp;$D211,base_building_arch_areas!$A$2:$A$161&amp;base_building_arch_areas!$E$2:$E$161,0))</f>
        <v>2.1039031746511859E-2</v>
      </c>
      <c r="G211" s="191">
        <f>(model_eui_end_uses!AO211*F211*base_building_arch_areas!$P$6)/1000000</f>
        <v>104.25351982710606</v>
      </c>
      <c r="AB211" s="187"/>
    </row>
    <row r="212" spans="1:28">
      <c r="A212">
        <f>sim_annual_output!B212</f>
        <v>12</v>
      </c>
      <c r="B212" t="str">
        <f>sim_annual_output!C212</f>
        <v>Maintenance Shop-Small</v>
      </c>
      <c r="C212" t="str">
        <f>sim_annual_output!D212</f>
        <v>1980-2004</v>
      </c>
      <c r="D212">
        <v>2015</v>
      </c>
      <c r="E212" t="str">
        <f>sim_annual_output!E212</f>
        <v>cooling_cop_3_0</v>
      </c>
      <c r="F212">
        <f t="array" ref="F212">INDEX(base_building_arch_areas!$M$2:$M$161,MATCH($A212&amp;$D212,base_building_arch_areas!$A$2:$A$161&amp;base_building_arch_areas!$E$2:$E$161,0))</f>
        <v>2.1039031746511859E-2</v>
      </c>
      <c r="G212" s="191">
        <f>(model_eui_end_uses!AO212*F212*base_building_arch_areas!$P$6)/1000000</f>
        <v>-0.32428555317675734</v>
      </c>
      <c r="AB212" s="187"/>
    </row>
    <row r="213" spans="1:28">
      <c r="A213">
        <f>sim_annual_output!B213</f>
        <v>12</v>
      </c>
      <c r="B213" t="str">
        <f>sim_annual_output!C213</f>
        <v>Maintenance Shop-Small</v>
      </c>
      <c r="C213" t="str">
        <f>sim_annual_output!D213</f>
        <v>1980-2004</v>
      </c>
      <c r="D213">
        <v>2015</v>
      </c>
      <c r="E213" t="str">
        <f>sim_annual_output!E213</f>
        <v>dcv_enabled</v>
      </c>
      <c r="F213">
        <f t="array" ref="F213">INDEX(base_building_arch_areas!$M$2:$M$161,MATCH($A213&amp;$D213,base_building_arch_areas!$A$2:$A$161&amp;base_building_arch_areas!$E$2:$E$161,0))</f>
        <v>2.1039031746511859E-2</v>
      </c>
      <c r="G213" s="191">
        <f>(model_eui_end_uses!AO213*F213*base_building_arch_areas!$P$6)/1000000</f>
        <v>-0.87946362141208712</v>
      </c>
      <c r="AB213" s="187"/>
    </row>
    <row r="214" spans="1:28">
      <c r="A214">
        <f>sim_annual_output!B214</f>
        <v>12</v>
      </c>
      <c r="B214" t="str">
        <f>sim_annual_output!C214</f>
        <v>Maintenance Shop-Small</v>
      </c>
      <c r="C214" t="str">
        <f>sim_annual_output!D214</f>
        <v>1980-2004</v>
      </c>
      <c r="D214">
        <v>2015</v>
      </c>
      <c r="E214" t="str">
        <f>sim_annual_output!E214</f>
        <v>ecm_cold_deck_reset_control</v>
      </c>
      <c r="F214">
        <f t="array" ref="F214">INDEX(base_building_arch_areas!$M$2:$M$161,MATCH($A214&amp;$D214,base_building_arch_areas!$A$2:$A$161&amp;base_building_arch_areas!$E$2:$E$161,0))</f>
        <v>2.1039031746511859E-2</v>
      </c>
      <c r="G214" s="191">
        <f>(model_eui_end_uses!AO214*F214*base_building_arch_areas!$P$6)/1000000</f>
        <v>-7.1455809257068195</v>
      </c>
      <c r="AB214" s="187"/>
    </row>
    <row r="215" spans="1:28">
      <c r="A215">
        <f>sim_annual_output!B215</f>
        <v>12</v>
      </c>
      <c r="B215" t="str">
        <f>sim_annual_output!C215</f>
        <v>Maintenance Shop-Small</v>
      </c>
      <c r="C215" t="str">
        <f>sim_annual_output!D215</f>
        <v>1980-2004</v>
      </c>
      <c r="D215">
        <v>2015</v>
      </c>
      <c r="E215" t="str">
        <f>sim_annual_output!E215</f>
        <v>economizers_enabled</v>
      </c>
      <c r="F215">
        <f t="array" ref="F215">INDEX(base_building_arch_areas!$M$2:$M$161,MATCH($A215&amp;$D215,base_building_arch_areas!$A$2:$A$161&amp;base_building_arch_areas!$E$2:$E$161,0))</f>
        <v>2.1039031746511859E-2</v>
      </c>
      <c r="G215" s="191">
        <f>(model_eui_end_uses!AO215*F215*base_building_arch_areas!$P$6)/1000000</f>
        <v>0.51667721369487662</v>
      </c>
      <c r="AB215" s="187"/>
    </row>
    <row r="216" spans="1:28">
      <c r="A216">
        <f>sim_annual_output!B216</f>
        <v>12</v>
      </c>
      <c r="B216" t="str">
        <f>sim_annual_output!C216</f>
        <v>Maintenance Shop-Small</v>
      </c>
      <c r="C216" t="str">
        <f>sim_annual_output!D216</f>
        <v>1980-2004</v>
      </c>
      <c r="D216">
        <v>2015</v>
      </c>
      <c r="E216" t="str">
        <f>sim_annual_output!E216</f>
        <v>elec_reduce</v>
      </c>
      <c r="F216">
        <f t="array" ref="F216">INDEX(base_building_arch_areas!$M$2:$M$161,MATCH($A216&amp;$D216,base_building_arch_areas!$A$2:$A$161&amp;base_building_arch_areas!$E$2:$E$161,0))</f>
        <v>2.1039031746511859E-2</v>
      </c>
      <c r="G216" s="191">
        <f>(model_eui_end_uses!AO216*F216*base_building_arch_areas!$P$6)/1000000</f>
        <v>58.899388053800813</v>
      </c>
      <c r="AB216" s="187"/>
    </row>
    <row r="217" spans="1:28">
      <c r="A217">
        <f>sim_annual_output!B217</f>
        <v>12</v>
      </c>
      <c r="B217" t="str">
        <f>sim_annual_output!C217</f>
        <v>Maintenance Shop-Small</v>
      </c>
      <c r="C217" t="str">
        <f>sim_annual_output!D217</f>
        <v>1980-2004</v>
      </c>
      <c r="D217">
        <v>2015</v>
      </c>
      <c r="E217" t="str">
        <f>sim_annual_output!E217</f>
        <v>envelope_ecm_roof</v>
      </c>
      <c r="F217">
        <f t="array" ref="F217">INDEX(base_building_arch_areas!$M$2:$M$161,MATCH($A217&amp;$D217,base_building_arch_areas!$A$2:$A$161&amp;base_building_arch_areas!$E$2:$E$161,0))</f>
        <v>2.1039031746511859E-2</v>
      </c>
      <c r="G217" s="191">
        <f>(model_eui_end_uses!AO217*F217*base_building_arch_areas!$P$6)/1000000</f>
        <v>18.061530391492003</v>
      </c>
      <c r="AB217" s="187"/>
    </row>
    <row r="218" spans="1:28">
      <c r="A218">
        <f>sim_annual_output!B218</f>
        <v>12</v>
      </c>
      <c r="B218" t="str">
        <f>sim_annual_output!C218</f>
        <v>Maintenance Shop-Small</v>
      </c>
      <c r="C218" t="str">
        <f>sim_annual_output!D218</f>
        <v>1980-2004</v>
      </c>
      <c r="D218">
        <v>2015</v>
      </c>
      <c r="E218" t="str">
        <f>sim_annual_output!E218</f>
        <v>envelope_ecm_wall</v>
      </c>
      <c r="F218">
        <f t="array" ref="F218">INDEX(base_building_arch_areas!$M$2:$M$161,MATCH($A218&amp;$D218,base_building_arch_areas!$A$2:$A$161&amp;base_building_arch_areas!$E$2:$E$161,0))</f>
        <v>2.1039031746511859E-2</v>
      </c>
      <c r="G218" s="191">
        <f>(model_eui_end_uses!AO218*F218*base_building_arch_areas!$P$6)/1000000</f>
        <v>11.107377666504869</v>
      </c>
      <c r="AB218" s="187"/>
    </row>
    <row r="219" spans="1:28">
      <c r="A219">
        <f>sim_annual_output!B219</f>
        <v>12</v>
      </c>
      <c r="B219" t="str">
        <f>sim_annual_output!C219</f>
        <v>Maintenance Shop-Small</v>
      </c>
      <c r="C219" t="str">
        <f>sim_annual_output!D219</f>
        <v>1980-2004</v>
      </c>
      <c r="D219">
        <v>2015</v>
      </c>
      <c r="E219" t="str">
        <f>sim_annual_output!E219</f>
        <v>envelope_ecm_windows</v>
      </c>
      <c r="F219">
        <f t="array" ref="F219">INDEX(base_building_arch_areas!$M$2:$M$161,MATCH($A219&amp;$D219,base_building_arch_areas!$A$2:$A$161&amp;base_building_arch_areas!$E$2:$E$161,0))</f>
        <v>2.1039031746511859E-2</v>
      </c>
      <c r="G219" s="191">
        <f>(model_eui_end_uses!AO219*F219*base_building_arch_areas!$P$6)/1000000</f>
        <v>3.7675031856187001E-2</v>
      </c>
      <c r="AB219" s="187"/>
    </row>
    <row r="220" spans="1:28">
      <c r="A220">
        <f>sim_annual_output!B220</f>
        <v>12</v>
      </c>
      <c r="B220" t="str">
        <f>sim_annual_output!C220</f>
        <v>Maintenance Shop-Small</v>
      </c>
      <c r="C220" t="str">
        <f>sim_annual_output!D220</f>
        <v>1980-2004</v>
      </c>
      <c r="D220">
        <v>2015</v>
      </c>
      <c r="E220" t="str">
        <f>sim_annual_output!E220</f>
        <v>exhaust_fans_occ_control</v>
      </c>
      <c r="F220">
        <f t="array" ref="F220">INDEX(base_building_arch_areas!$M$2:$M$161,MATCH($A220&amp;$D220,base_building_arch_areas!$A$2:$A$161&amp;base_building_arch_areas!$E$2:$E$161,0))</f>
        <v>2.1039031746511859E-2</v>
      </c>
      <c r="G220" s="191">
        <f>(model_eui_end_uses!AO220*F220*base_building_arch_areas!$P$6)/1000000</f>
        <v>-0.87946362141208712</v>
      </c>
      <c r="AB220" s="187"/>
    </row>
    <row r="221" spans="1:28">
      <c r="A221">
        <f>sim_annual_output!B221</f>
        <v>12</v>
      </c>
      <c r="B221" t="str">
        <f>sim_annual_output!C221</f>
        <v>Maintenance Shop-Small</v>
      </c>
      <c r="C221" t="str">
        <f>sim_annual_output!D221</f>
        <v>1980-2004</v>
      </c>
      <c r="D221">
        <v>2015</v>
      </c>
      <c r="E221" t="str">
        <f>sim_annual_output!E221</f>
        <v>fans_to_variable</v>
      </c>
      <c r="F221">
        <f t="array" ref="F221">INDEX(base_building_arch_areas!$M$2:$M$161,MATCH($A221&amp;$D221,base_building_arch_areas!$A$2:$A$161&amp;base_building_arch_areas!$E$2:$E$161,0))</f>
        <v>2.1039031746511859E-2</v>
      </c>
      <c r="G221" s="191">
        <f>(model_eui_end_uses!AO221*F221*base_building_arch_areas!$P$6)/1000000</f>
        <v>-0.75232446542067355</v>
      </c>
      <c r="AB221" s="187"/>
    </row>
    <row r="222" spans="1:28">
      <c r="A222">
        <f>sim_annual_output!B222</f>
        <v>12</v>
      </c>
      <c r="B222" t="str">
        <f>sim_annual_output!C222</f>
        <v>Maintenance Shop-Small</v>
      </c>
      <c r="C222" t="str">
        <f>sim_annual_output!D222</f>
        <v>1980-2004</v>
      </c>
      <c r="D222">
        <v>2015</v>
      </c>
      <c r="E222" t="str">
        <f>sim_annual_output!E222</f>
        <v>hrv_enabled</v>
      </c>
      <c r="F222">
        <f t="array" ref="F222">INDEX(base_building_arch_areas!$M$2:$M$161,MATCH($A222&amp;$D222,base_building_arch_areas!$A$2:$A$161&amp;base_building_arch_areas!$E$2:$E$161,0))</f>
        <v>2.1039031746511859E-2</v>
      </c>
      <c r="G222" s="191">
        <f>(model_eui_end_uses!AO222*F222*base_building_arch_areas!$P$6)/1000000</f>
        <v>0.52716265929283412</v>
      </c>
      <c r="AB222" s="187"/>
    </row>
    <row r="223" spans="1:28">
      <c r="A223">
        <f>sim_annual_output!B223</f>
        <v>12</v>
      </c>
      <c r="B223" t="str">
        <f>sim_annual_output!C223</f>
        <v>Maintenance Shop-Small</v>
      </c>
      <c r="C223" t="str">
        <f>sim_annual_output!D223</f>
        <v>1980-2004</v>
      </c>
      <c r="D223">
        <v>2015</v>
      </c>
      <c r="E223" t="str">
        <f>sim_annual_output!E223</f>
        <v>infil_reduce</v>
      </c>
      <c r="F223">
        <f t="array" ref="F223">INDEX(base_building_arch_areas!$M$2:$M$161,MATCH($A223&amp;$D223,base_building_arch_areas!$A$2:$A$161&amp;base_building_arch_areas!$E$2:$E$161,0))</f>
        <v>2.1039031746511859E-2</v>
      </c>
      <c r="G223" s="191">
        <f>(model_eui_end_uses!AO223*F223*base_building_arch_areas!$P$6)/1000000</f>
        <v>103.03362957277811</v>
      </c>
      <c r="AB223" s="187"/>
    </row>
    <row r="224" spans="1:28">
      <c r="A224">
        <f>sim_annual_output!B224</f>
        <v>12</v>
      </c>
      <c r="B224" t="str">
        <f>sim_annual_output!C224</f>
        <v>Maintenance Shop-Small</v>
      </c>
      <c r="C224" t="str">
        <f>sim_annual_output!D224</f>
        <v>1980-2004</v>
      </c>
      <c r="D224">
        <v>2015</v>
      </c>
      <c r="E224" t="str">
        <f>sim_annual_output!E224</f>
        <v>infil_reduce_plus_setback</v>
      </c>
      <c r="F224">
        <f t="array" ref="F224">INDEX(base_building_arch_areas!$M$2:$M$161,MATCH($A224&amp;$D224,base_building_arch_areas!$A$2:$A$161&amp;base_building_arch_areas!$E$2:$E$161,0))</f>
        <v>2.1039031746511859E-2</v>
      </c>
      <c r="G224" s="191">
        <f>(model_eui_end_uses!AO224*F224*base_building_arch_areas!$P$6)/1000000</f>
        <v>132.38757196192356</v>
      </c>
      <c r="AB224" s="187"/>
    </row>
    <row r="225" spans="1:28">
      <c r="A225">
        <f>sim_annual_output!B225</f>
        <v>12</v>
      </c>
      <c r="B225" t="str">
        <f>sim_annual_output!C225</f>
        <v>Maintenance Shop-Small</v>
      </c>
      <c r="C225" t="str">
        <f>sim_annual_output!D225</f>
        <v>1980-2004</v>
      </c>
      <c r="D225">
        <v>2015</v>
      </c>
      <c r="E225" t="str">
        <f>sim_annual_output!E225</f>
        <v>lights_reduce_70p</v>
      </c>
      <c r="F225">
        <f t="array" ref="F225">INDEX(base_building_arch_areas!$M$2:$M$161,MATCH($A225&amp;$D225,base_building_arch_areas!$A$2:$A$161&amp;base_building_arch_areas!$E$2:$E$161,0))</f>
        <v>2.1039031746511859E-2</v>
      </c>
      <c r="G225" s="191">
        <f>(model_eui_end_uses!AO225*F225*base_building_arch_areas!$P$6)/1000000</f>
        <v>41.553082669258622</v>
      </c>
      <c r="AB225" s="187"/>
    </row>
    <row r="226" spans="1:28">
      <c r="A226">
        <f>sim_annual_output!B226</f>
        <v>12</v>
      </c>
      <c r="B226" t="str">
        <f>sim_annual_output!C226</f>
        <v>Maintenance Shop-Small</v>
      </c>
      <c r="C226" t="str">
        <f>sim_annual_output!D226</f>
        <v>1980-2004</v>
      </c>
      <c r="D226">
        <v>2015</v>
      </c>
      <c r="E226" t="str">
        <f>sim_annual_output!E226</f>
        <v>load_reduce</v>
      </c>
      <c r="F226">
        <f t="array" ref="F226">INDEX(base_building_arch_areas!$M$2:$M$161,MATCH($A226&amp;$D226,base_building_arch_areas!$A$2:$A$161&amp;base_building_arch_areas!$E$2:$E$161,0))</f>
        <v>2.1039031746511859E-2</v>
      </c>
      <c r="G226" s="191">
        <f>(model_eui_end_uses!AO226*F226*base_building_arch_areas!$P$6)/1000000</f>
        <v>198.56491030775584</v>
      </c>
      <c r="AB226" s="187"/>
    </row>
    <row r="227" spans="1:28">
      <c r="A227">
        <f>sim_annual_output!B227</f>
        <v>12</v>
      </c>
      <c r="B227" t="str">
        <f>sim_annual_output!C227</f>
        <v>Maintenance Shop-Small</v>
      </c>
      <c r="C227" t="str">
        <f>sim_annual_output!D227</f>
        <v>1980-2004</v>
      </c>
      <c r="D227">
        <v>2015</v>
      </c>
      <c r="E227" t="str">
        <f>sim_annual_output!E227</f>
        <v>occupancy_setback</v>
      </c>
      <c r="F227">
        <f t="array" ref="F227">INDEX(base_building_arch_areas!$M$2:$M$161,MATCH($A227&amp;$D227,base_building_arch_areas!$A$2:$A$161&amp;base_building_arch_areas!$E$2:$E$161,0))</f>
        <v>2.1039031746511859E-2</v>
      </c>
      <c r="G227" s="191">
        <f>(model_eui_end_uses!AO227*F227*base_building_arch_areas!$P$6)/1000000</f>
        <v>35.60374343919225</v>
      </c>
      <c r="AB227" s="187"/>
    </row>
    <row r="228" spans="1:28">
      <c r="A228">
        <f>sim_annual_output!B228</f>
        <v>12</v>
      </c>
      <c r="B228" t="str">
        <f>sim_annual_output!C228</f>
        <v>Maintenance Shop-Small</v>
      </c>
      <c r="C228" t="str">
        <f>sim_annual_output!D228</f>
        <v>1980-2004</v>
      </c>
      <c r="D228">
        <v>2015</v>
      </c>
      <c r="E228" t="str">
        <f>sim_annual_output!E228</f>
        <v>payback_less_than_20</v>
      </c>
      <c r="F228">
        <f t="array" ref="F228">INDEX(base_building_arch_areas!$M$2:$M$161,MATCH($A228&amp;$D228,base_building_arch_areas!$A$2:$A$161&amp;base_building_arch_areas!$E$2:$E$161,0))</f>
        <v>2.1039031746511859E-2</v>
      </c>
      <c r="G228" s="191">
        <f>(model_eui_end_uses!AO228*F228*base_building_arch_areas!$P$6)/1000000</f>
        <v>246.55962262665818</v>
      </c>
      <c r="AB228" s="187"/>
    </row>
    <row r="229" spans="1:28">
      <c r="A229">
        <f>sim_annual_output!B229</f>
        <v>12</v>
      </c>
      <c r="B229" t="str">
        <f>sim_annual_output!C229</f>
        <v>Maintenance Shop-Small</v>
      </c>
      <c r="C229" t="str">
        <f>sim_annual_output!D229</f>
        <v>1980-2004</v>
      </c>
      <c r="D229">
        <v>2015</v>
      </c>
      <c r="E229" t="str">
        <f>sim_annual_output!E229</f>
        <v>plug_loads_90_percent</v>
      </c>
      <c r="F229">
        <f t="array" ref="F229">INDEX(base_building_arch_areas!$M$2:$M$161,MATCH($A229&amp;$D229,base_building_arch_areas!$A$2:$A$161&amp;base_building_arch_areas!$E$2:$E$161,0))</f>
        <v>2.1039031746511859E-2</v>
      </c>
      <c r="G229" s="191">
        <f>(model_eui_end_uses!AO229*F229*base_building_arch_areas!$P$6)/1000000</f>
        <v>-0.83237921594061903</v>
      </c>
      <c r="AB229" s="187"/>
    </row>
    <row r="230" spans="1:28">
      <c r="A230">
        <f>sim_annual_output!B230</f>
        <v>12</v>
      </c>
      <c r="B230" t="str">
        <f>sim_annual_output!C230</f>
        <v>Maintenance Shop-Small</v>
      </c>
      <c r="C230" t="str">
        <f>sim_annual_output!D230</f>
        <v>1980-2004</v>
      </c>
      <c r="D230">
        <v>2015</v>
      </c>
      <c r="E230" t="str">
        <f>sim_annual_output!E230</f>
        <v>pump_fan_eff_</v>
      </c>
      <c r="F230">
        <f t="array" ref="F230">INDEX(base_building_arch_areas!$M$2:$M$161,MATCH($A230&amp;$D230,base_building_arch_areas!$A$2:$A$161&amp;base_building_arch_areas!$E$2:$E$161,0))</f>
        <v>2.1039031746511859E-2</v>
      </c>
      <c r="G230" s="191">
        <f>(model_eui_end_uses!AO230*F230*base_building_arch_areas!$P$6)/1000000</f>
        <v>15.971823626200658</v>
      </c>
      <c r="AB230" s="187"/>
    </row>
    <row r="231" spans="1:28">
      <c r="A231">
        <f>sim_annual_output!B231</f>
        <v>8</v>
      </c>
      <c r="B231" t="str">
        <f>sim_annual_output!C231</f>
        <v>Maintenance Shop</v>
      </c>
      <c r="C231" t="str">
        <f>sim_annual_output!D231</f>
        <v>1959-pre</v>
      </c>
      <c r="D231">
        <v>2015</v>
      </c>
      <c r="E231" t="str">
        <f>sim_annual_output!E231</f>
        <v>air_temp_reset_enabled</v>
      </c>
      <c r="F231">
        <f t="array" ref="F231">INDEX(base_building_arch_areas!$M$2:$M$161,MATCH($A231&amp;$D231,base_building_arch_areas!$A$2:$A$161&amp;base_building_arch_areas!$E$2:$E$161,0))</f>
        <v>1.7210610689331843E-2</v>
      </c>
      <c r="G231" s="191">
        <f>(model_eui_end_uses!AO231*F231*base_building_arch_areas!$P$6)/1000000</f>
        <v>-8.1812485694878383</v>
      </c>
      <c r="AB231" s="187"/>
    </row>
    <row r="232" spans="1:28">
      <c r="A232">
        <f>sim_annual_output!B232</f>
        <v>8</v>
      </c>
      <c r="B232" t="str">
        <f>sim_annual_output!C232</f>
        <v>Maintenance Shop</v>
      </c>
      <c r="C232" t="str">
        <f>sim_annual_output!D232</f>
        <v>1959-pre</v>
      </c>
      <c r="D232">
        <v>2015</v>
      </c>
      <c r="E232" t="str">
        <f>sim_annual_output!E232</f>
        <v>baseline</v>
      </c>
      <c r="F232">
        <f t="array" ref="F232">INDEX(base_building_arch_areas!$M$2:$M$161,MATCH($A232&amp;$D232,base_building_arch_areas!$A$2:$A$161&amp;base_building_arch_areas!$E$2:$E$161,0))</f>
        <v>1.7210610689331843E-2</v>
      </c>
      <c r="G232" s="191">
        <f>(model_eui_end_uses!AO232*F232*base_building_arch_areas!$P$6)/1000000</f>
        <v>0</v>
      </c>
      <c r="AB232" s="187"/>
    </row>
    <row r="233" spans="1:28">
      <c r="A233">
        <f>sim_annual_output!B233</f>
        <v>8</v>
      </c>
      <c r="B233" t="str">
        <f>sim_annual_output!C233</f>
        <v>Maintenance Shop</v>
      </c>
      <c r="C233" t="str">
        <f>sim_annual_output!D233</f>
        <v>1959-pre</v>
      </c>
      <c r="D233">
        <v>2015</v>
      </c>
      <c r="E233" t="str">
        <f>sim_annual_output!E233</f>
        <v>boiler_eff_upgrade</v>
      </c>
      <c r="F233">
        <f t="array" ref="F233">INDEX(base_building_arch_areas!$M$2:$M$161,MATCH($A233&amp;$D233,base_building_arch_areas!$A$2:$A$161&amp;base_building_arch_areas!$E$2:$E$161,0))</f>
        <v>1.7210610689331843E-2</v>
      </c>
      <c r="G233" s="191">
        <f>(model_eui_end_uses!AO233*F233*base_building_arch_areas!$P$6)/1000000</f>
        <v>-5.1465701332239301E-2</v>
      </c>
      <c r="AB233" s="187"/>
    </row>
    <row r="234" spans="1:28">
      <c r="A234">
        <f>sim_annual_output!B234</f>
        <v>8</v>
      </c>
      <c r="B234" t="str">
        <f>sim_annual_output!C234</f>
        <v>Maintenance Shop</v>
      </c>
      <c r="C234" t="str">
        <f>sim_annual_output!D234</f>
        <v>1959-pre</v>
      </c>
      <c r="D234">
        <v>2015</v>
      </c>
      <c r="E234" t="str">
        <f>sim_annual_output!E234</f>
        <v>boiler_reset</v>
      </c>
      <c r="F234">
        <f t="array" ref="F234">INDEX(base_building_arch_areas!$M$2:$M$161,MATCH($A234&amp;$D234,base_building_arch_areas!$A$2:$A$161&amp;base_building_arch_areas!$E$2:$E$161,0))</f>
        <v>1.7210610689331843E-2</v>
      </c>
      <c r="G234" s="191">
        <f>(model_eui_end_uses!AO234*F234*base_building_arch_areas!$P$6)/1000000</f>
        <v>124.76397226741453</v>
      </c>
      <c r="AB234" s="187"/>
    </row>
    <row r="235" spans="1:28">
      <c r="A235">
        <f>sim_annual_output!B235</f>
        <v>8</v>
      </c>
      <c r="B235" t="str">
        <f>sim_annual_output!C235</f>
        <v>Maintenance Shop</v>
      </c>
      <c r="C235" t="str">
        <f>sim_annual_output!D235</f>
        <v>1959-pre</v>
      </c>
      <c r="D235">
        <v>2015</v>
      </c>
      <c r="E235" t="str">
        <f>sim_annual_output!E235</f>
        <v>cooling_cop_3_0</v>
      </c>
      <c r="F235">
        <f t="array" ref="F235">INDEX(base_building_arch_areas!$M$2:$M$161,MATCH($A235&amp;$D235,base_building_arch_areas!$A$2:$A$161&amp;base_building_arch_areas!$E$2:$E$161,0))</f>
        <v>1.7210610689331843E-2</v>
      </c>
      <c r="G235" s="191">
        <f>(model_eui_end_uses!AO235*F235*base_building_arch_areas!$P$6)/1000000</f>
        <v>0.30844098392516056</v>
      </c>
      <c r="AB235" s="187"/>
    </row>
    <row r="236" spans="1:28">
      <c r="A236">
        <f>sim_annual_output!B236</f>
        <v>8</v>
      </c>
      <c r="B236" t="str">
        <f>sim_annual_output!C236</f>
        <v>Maintenance Shop</v>
      </c>
      <c r="C236" t="str">
        <f>sim_annual_output!D236</f>
        <v>1959-pre</v>
      </c>
      <c r="D236">
        <v>2015</v>
      </c>
      <c r="E236" t="str">
        <f>sim_annual_output!E236</f>
        <v>dcv_enabled</v>
      </c>
      <c r="F236">
        <f t="array" ref="F236">INDEX(base_building_arch_areas!$M$2:$M$161,MATCH($A236&amp;$D236,base_building_arch_areas!$A$2:$A$161&amp;base_building_arch_areas!$E$2:$E$161,0))</f>
        <v>1.7210610689331843E-2</v>
      </c>
      <c r="G236" s="191">
        <f>(model_eui_end_uses!AO236*F236*base_building_arch_areas!$P$6)/1000000</f>
        <v>78.92885032505913</v>
      </c>
      <c r="AB236" s="187"/>
    </row>
    <row r="237" spans="1:28">
      <c r="A237">
        <f>sim_annual_output!B237</f>
        <v>8</v>
      </c>
      <c r="B237" t="str">
        <f>sim_annual_output!C237</f>
        <v>Maintenance Shop</v>
      </c>
      <c r="C237" t="str">
        <f>sim_annual_output!D237</f>
        <v>1959-pre</v>
      </c>
      <c r="D237">
        <v>2015</v>
      </c>
      <c r="E237" t="str">
        <f>sim_annual_output!E237</f>
        <v>ecm_cold_deck_reset_control</v>
      </c>
      <c r="F237">
        <f t="array" ref="F237">INDEX(base_building_arch_areas!$M$2:$M$161,MATCH($A237&amp;$D237,base_building_arch_areas!$A$2:$A$161&amp;base_building_arch_areas!$E$2:$E$161,0))</f>
        <v>1.7210610689331843E-2</v>
      </c>
      <c r="G237" s="191">
        <f>(model_eui_end_uses!AO237*F237*base_building_arch_areas!$P$6)/1000000</f>
        <v>-0.89969670476979369</v>
      </c>
      <c r="AB237" s="187"/>
    </row>
    <row r="238" spans="1:28">
      <c r="A238">
        <f>sim_annual_output!B238</f>
        <v>8</v>
      </c>
      <c r="B238" t="str">
        <f>sim_annual_output!C238</f>
        <v>Maintenance Shop</v>
      </c>
      <c r="C238" t="str">
        <f>sim_annual_output!D238</f>
        <v>1959-pre</v>
      </c>
      <c r="D238">
        <v>2015</v>
      </c>
      <c r="E238" t="str">
        <f>sim_annual_output!E238</f>
        <v>economizers_enabled</v>
      </c>
      <c r="F238">
        <f t="array" ref="F238">INDEX(base_building_arch_areas!$M$2:$M$161,MATCH($A238&amp;$D238,base_building_arch_areas!$A$2:$A$161&amp;base_building_arch_areas!$E$2:$E$161,0))</f>
        <v>1.7210610689331843E-2</v>
      </c>
      <c r="G238" s="191">
        <f>(model_eui_end_uses!AO238*F238*base_building_arch_areas!$P$6)/1000000</f>
        <v>0.19163201225635332</v>
      </c>
      <c r="AB238" s="187"/>
    </row>
    <row r="239" spans="1:28">
      <c r="A239">
        <f>sim_annual_output!B239</f>
        <v>8</v>
      </c>
      <c r="B239" t="str">
        <f>sim_annual_output!C239</f>
        <v>Maintenance Shop</v>
      </c>
      <c r="C239" t="str">
        <f>sim_annual_output!D239</f>
        <v>1959-pre</v>
      </c>
      <c r="D239">
        <v>2015</v>
      </c>
      <c r="E239" t="str">
        <f>sim_annual_output!E239</f>
        <v>elec_reduce</v>
      </c>
      <c r="F239">
        <f t="array" ref="F239">INDEX(base_building_arch_areas!$M$2:$M$161,MATCH($A239&amp;$D239,base_building_arch_areas!$A$2:$A$161&amp;base_building_arch_areas!$E$2:$E$161,0))</f>
        <v>1.7210610689331843E-2</v>
      </c>
      <c r="G239" s="191">
        <f>(model_eui_end_uses!AO239*F239*base_building_arch_areas!$P$6)/1000000</f>
        <v>120.43349611186686</v>
      </c>
      <c r="AB239" s="187"/>
    </row>
    <row r="240" spans="1:28">
      <c r="A240">
        <f>sim_annual_output!B240</f>
        <v>8</v>
      </c>
      <c r="B240" t="str">
        <f>sim_annual_output!C240</f>
        <v>Maintenance Shop</v>
      </c>
      <c r="C240" t="str">
        <f>sim_annual_output!D240</f>
        <v>1959-pre</v>
      </c>
      <c r="D240">
        <v>2015</v>
      </c>
      <c r="E240" t="str">
        <f>sim_annual_output!E240</f>
        <v>envelope_ecm_roof</v>
      </c>
      <c r="F240">
        <f t="array" ref="F240">INDEX(base_building_arch_areas!$M$2:$M$161,MATCH($A240&amp;$D240,base_building_arch_areas!$A$2:$A$161&amp;base_building_arch_areas!$E$2:$E$161,0))</f>
        <v>1.7210610689331843E-2</v>
      </c>
      <c r="G240" s="191">
        <f>(model_eui_end_uses!AO240*F240*base_building_arch_areas!$P$6)/1000000</f>
        <v>29.203703546459074</v>
      </c>
      <c r="AB240" s="187"/>
    </row>
    <row r="241" spans="1:28">
      <c r="A241">
        <f>sim_annual_output!B241</f>
        <v>8</v>
      </c>
      <c r="B241" t="str">
        <f>sim_annual_output!C241</f>
        <v>Maintenance Shop</v>
      </c>
      <c r="C241" t="str">
        <f>sim_annual_output!D241</f>
        <v>1959-pre</v>
      </c>
      <c r="D241">
        <v>2015</v>
      </c>
      <c r="E241" t="str">
        <f>sim_annual_output!E241</f>
        <v>envelope_ecm_wall</v>
      </c>
      <c r="F241">
        <f t="array" ref="F241">INDEX(base_building_arch_areas!$M$2:$M$161,MATCH($A241&amp;$D241,base_building_arch_areas!$A$2:$A$161&amp;base_building_arch_areas!$E$2:$E$161,0))</f>
        <v>1.7210610689331843E-2</v>
      </c>
      <c r="G241" s="191">
        <f>(model_eui_end_uses!AO241*F241*base_building_arch_areas!$P$6)/1000000</f>
        <v>58.749792591535083</v>
      </c>
      <c r="AB241" s="187"/>
    </row>
    <row r="242" spans="1:28">
      <c r="A242">
        <f>sim_annual_output!B242</f>
        <v>8</v>
      </c>
      <c r="B242" t="str">
        <f>sim_annual_output!C242</f>
        <v>Maintenance Shop</v>
      </c>
      <c r="C242" t="str">
        <f>sim_annual_output!D242</f>
        <v>1959-pre</v>
      </c>
      <c r="D242">
        <v>2015</v>
      </c>
      <c r="E242" t="str">
        <f>sim_annual_output!E242</f>
        <v>envelope_ecm_windows</v>
      </c>
      <c r="F242">
        <f t="array" ref="F242">INDEX(base_building_arch_areas!$M$2:$M$161,MATCH($A242&amp;$D242,base_building_arch_areas!$A$2:$A$161&amp;base_building_arch_areas!$E$2:$E$161,0))</f>
        <v>1.7210610689331843E-2</v>
      </c>
      <c r="G242" s="191">
        <f>(model_eui_end_uses!AO242*F242*base_building_arch_areas!$P$6)/1000000</f>
        <v>2.8590878882090247</v>
      </c>
      <c r="AB242" s="187"/>
    </row>
    <row r="243" spans="1:28">
      <c r="A243">
        <f>sim_annual_output!B243</f>
        <v>8</v>
      </c>
      <c r="B243" t="str">
        <f>sim_annual_output!C243</f>
        <v>Maintenance Shop</v>
      </c>
      <c r="C243" t="str">
        <f>sim_annual_output!D243</f>
        <v>1959-pre</v>
      </c>
      <c r="D243">
        <v>2015</v>
      </c>
      <c r="E243" t="str">
        <f>sim_annual_output!E243</f>
        <v>exhaust_fans_occ_control</v>
      </c>
      <c r="F243">
        <f t="array" ref="F243">INDEX(base_building_arch_areas!$M$2:$M$161,MATCH($A243&amp;$D243,base_building_arch_areas!$A$2:$A$161&amp;base_building_arch_areas!$E$2:$E$161,0))</f>
        <v>1.7210610689331843E-2</v>
      </c>
      <c r="G243" s="191">
        <f>(model_eui_end_uses!AO243*F243*base_building_arch_areas!$P$6)/1000000</f>
        <v>2.8986935345812332</v>
      </c>
      <c r="AB243" s="187"/>
    </row>
    <row r="244" spans="1:28">
      <c r="A244">
        <f>sim_annual_output!B244</f>
        <v>8</v>
      </c>
      <c r="B244" t="str">
        <f>sim_annual_output!C244</f>
        <v>Maintenance Shop</v>
      </c>
      <c r="C244" t="str">
        <f>sim_annual_output!D244</f>
        <v>1959-pre</v>
      </c>
      <c r="D244">
        <v>2015</v>
      </c>
      <c r="E244" t="str">
        <f>sim_annual_output!E244</f>
        <v>fans_to_variable</v>
      </c>
      <c r="F244">
        <f t="array" ref="F244">INDEX(base_building_arch_areas!$M$2:$M$161,MATCH($A244&amp;$D244,base_building_arch_areas!$A$2:$A$161&amp;base_building_arch_areas!$E$2:$E$161,0))</f>
        <v>1.7210610689331843E-2</v>
      </c>
      <c r="G244" s="191">
        <f>(model_eui_end_uses!AO244*F244*base_building_arch_areas!$P$6)/1000000</f>
        <v>0.42561272625820717</v>
      </c>
      <c r="AB244" s="187"/>
    </row>
    <row r="245" spans="1:28">
      <c r="A245">
        <f>sim_annual_output!B245</f>
        <v>8</v>
      </c>
      <c r="B245" t="str">
        <f>sim_annual_output!C245</f>
        <v>Maintenance Shop</v>
      </c>
      <c r="C245" t="str">
        <f>sim_annual_output!D245</f>
        <v>1959-pre</v>
      </c>
      <c r="D245">
        <v>2015</v>
      </c>
      <c r="E245" t="str">
        <f>sim_annual_output!E245</f>
        <v>hrv_enabled</v>
      </c>
      <c r="F245">
        <f t="array" ref="F245">INDEX(base_building_arch_areas!$M$2:$M$161,MATCH($A245&amp;$D245,base_building_arch_areas!$A$2:$A$161&amp;base_building_arch_areas!$E$2:$E$161,0))</f>
        <v>1.7210610689331843E-2</v>
      </c>
      <c r="G245" s="191">
        <f>(model_eui_end_uses!AO245*F245*base_building_arch_areas!$P$6)/1000000</f>
        <v>19.877051155589776</v>
      </c>
      <c r="AB245" s="187"/>
    </row>
    <row r="246" spans="1:28">
      <c r="A246">
        <f>sim_annual_output!B246</f>
        <v>8</v>
      </c>
      <c r="B246" t="str">
        <f>sim_annual_output!C246</f>
        <v>Maintenance Shop</v>
      </c>
      <c r="C246" t="str">
        <f>sim_annual_output!D246</f>
        <v>1959-pre</v>
      </c>
      <c r="D246">
        <v>2015</v>
      </c>
      <c r="E246" t="str">
        <f>sim_annual_output!E246</f>
        <v>infil_reduce</v>
      </c>
      <c r="F246">
        <f t="array" ref="F246">INDEX(base_building_arch_areas!$M$2:$M$161,MATCH($A246&amp;$D246,base_building_arch_areas!$A$2:$A$161&amp;base_building_arch_areas!$E$2:$E$161,0))</f>
        <v>1.7210610689331843E-2</v>
      </c>
      <c r="G246" s="191">
        <f>(model_eui_end_uses!AO246*F246*base_building_arch_areas!$P$6)/1000000</f>
        <v>184.36037294099486</v>
      </c>
      <c r="AB246" s="187"/>
    </row>
    <row r="247" spans="1:28">
      <c r="A247">
        <f>sim_annual_output!B247</f>
        <v>8</v>
      </c>
      <c r="B247" t="str">
        <f>sim_annual_output!C247</f>
        <v>Maintenance Shop</v>
      </c>
      <c r="C247" t="str">
        <f>sim_annual_output!D247</f>
        <v>1959-pre</v>
      </c>
      <c r="D247">
        <v>2015</v>
      </c>
      <c r="E247" t="str">
        <f>sim_annual_output!E247</f>
        <v>infil_reduce_plus_setback</v>
      </c>
      <c r="F247">
        <f t="array" ref="F247">INDEX(base_building_arch_areas!$M$2:$M$161,MATCH($A247&amp;$D247,base_building_arch_areas!$A$2:$A$161&amp;base_building_arch_areas!$E$2:$E$161,0))</f>
        <v>1.7210610689331843E-2</v>
      </c>
      <c r="G247" s="191">
        <f>(model_eui_end_uses!AO247*F247*base_building_arch_areas!$P$6)/1000000</f>
        <v>199.19552602878062</v>
      </c>
      <c r="AB247" s="187"/>
    </row>
    <row r="248" spans="1:28">
      <c r="A248">
        <f>sim_annual_output!B248</f>
        <v>8</v>
      </c>
      <c r="B248" t="str">
        <f>sim_annual_output!C248</f>
        <v>Maintenance Shop</v>
      </c>
      <c r="C248" t="str">
        <f>sim_annual_output!D248</f>
        <v>1959-pre</v>
      </c>
      <c r="D248">
        <v>2015</v>
      </c>
      <c r="E248" t="str">
        <f>sim_annual_output!E248</f>
        <v>lights_reduce_70p</v>
      </c>
      <c r="F248">
        <f t="array" ref="F248">INDEX(base_building_arch_areas!$M$2:$M$161,MATCH($A248&amp;$D248,base_building_arch_areas!$A$2:$A$161&amp;base_building_arch_areas!$E$2:$E$161,0))</f>
        <v>1.7210610689331843E-2</v>
      </c>
      <c r="G248" s="191">
        <f>(model_eui_end_uses!AO248*F248*base_building_arch_areas!$P$6)/1000000</f>
        <v>19.198294514104067</v>
      </c>
      <c r="AB248" s="187"/>
    </row>
    <row r="249" spans="1:28">
      <c r="A249">
        <f>sim_annual_output!B249</f>
        <v>8</v>
      </c>
      <c r="B249" t="str">
        <f>sim_annual_output!C249</f>
        <v>Maintenance Shop</v>
      </c>
      <c r="C249" t="str">
        <f>sim_annual_output!D249</f>
        <v>1959-pre</v>
      </c>
      <c r="D249">
        <v>2015</v>
      </c>
      <c r="E249" t="str">
        <f>sim_annual_output!E249</f>
        <v>load_reduce</v>
      </c>
      <c r="F249">
        <f t="array" ref="F249">INDEX(base_building_arch_areas!$M$2:$M$161,MATCH($A249&amp;$D249,base_building_arch_areas!$A$2:$A$161&amp;base_building_arch_areas!$E$2:$E$161,0))</f>
        <v>1.7210610689331843E-2</v>
      </c>
      <c r="G249" s="191">
        <f>(model_eui_end_uses!AO249*F249*base_building_arch_areas!$P$6)/1000000</f>
        <v>270.19558116243803</v>
      </c>
      <c r="AB249" s="187"/>
    </row>
    <row r="250" spans="1:28">
      <c r="A250">
        <f>sim_annual_output!B250</f>
        <v>8</v>
      </c>
      <c r="B250" t="str">
        <f>sim_annual_output!C250</f>
        <v>Maintenance Shop</v>
      </c>
      <c r="C250" t="str">
        <f>sim_annual_output!D250</f>
        <v>1959-pre</v>
      </c>
      <c r="D250">
        <v>2015</v>
      </c>
      <c r="E250" t="str">
        <f>sim_annual_output!E250</f>
        <v>occupancy_setback</v>
      </c>
      <c r="F250">
        <f t="array" ref="F250">INDEX(base_building_arch_areas!$M$2:$M$161,MATCH($A250&amp;$D250,base_building_arch_areas!$A$2:$A$161&amp;base_building_arch_areas!$E$2:$E$161,0))</f>
        <v>1.7210610689331843E-2</v>
      </c>
      <c r="G250" s="191">
        <f>(model_eui_end_uses!AO250*F250*base_building_arch_areas!$P$6)/1000000</f>
        <v>19.984787678455163</v>
      </c>
      <c r="AB250" s="187"/>
    </row>
    <row r="251" spans="1:28">
      <c r="A251">
        <f>sim_annual_output!B251</f>
        <v>8</v>
      </c>
      <c r="B251" t="str">
        <f>sim_annual_output!C251</f>
        <v>Maintenance Shop</v>
      </c>
      <c r="C251" t="str">
        <f>sim_annual_output!D251</f>
        <v>1959-pre</v>
      </c>
      <c r="D251">
        <v>2015</v>
      </c>
      <c r="E251" t="str">
        <f>sim_annual_output!E251</f>
        <v>payback_less_than_20</v>
      </c>
      <c r="F251">
        <f t="array" ref="F251">INDEX(base_building_arch_areas!$M$2:$M$161,MATCH($A251&amp;$D251,base_building_arch_areas!$A$2:$A$161&amp;base_building_arch_areas!$E$2:$E$161,0))</f>
        <v>1.7210610689331843E-2</v>
      </c>
      <c r="G251" s="191">
        <f>(model_eui_end_uses!AO251*F251*base_building_arch_areas!$P$6)/1000000</f>
        <v>349.77147433565597</v>
      </c>
      <c r="AB251" s="187"/>
    </row>
    <row r="252" spans="1:28">
      <c r="A252">
        <f>sim_annual_output!B252</f>
        <v>8</v>
      </c>
      <c r="B252" t="str">
        <f>sim_annual_output!C252</f>
        <v>Maintenance Shop</v>
      </c>
      <c r="C252" t="str">
        <f>sim_annual_output!D252</f>
        <v>1959-pre</v>
      </c>
      <c r="D252">
        <v>2015</v>
      </c>
      <c r="E252" t="str">
        <f>sim_annual_output!E252</f>
        <v>plug_loads_90_percent</v>
      </c>
      <c r="F252">
        <f t="array" ref="F252">INDEX(base_building_arch_areas!$M$2:$M$161,MATCH($A252&amp;$D252,base_building_arch_areas!$A$2:$A$161&amp;base_building_arch_areas!$E$2:$E$161,0))</f>
        <v>1.7210610689331843E-2</v>
      </c>
      <c r="G252" s="191">
        <f>(model_eui_end_uses!AO252*F252*base_building_arch_areas!$P$6)/1000000</f>
        <v>-0.19437506762955967</v>
      </c>
      <c r="AB252" s="187"/>
    </row>
    <row r="253" spans="1:28">
      <c r="A253">
        <f>sim_annual_output!B253</f>
        <v>8</v>
      </c>
      <c r="B253" t="str">
        <f>sim_annual_output!C253</f>
        <v>Maintenance Shop</v>
      </c>
      <c r="C253" t="str">
        <f>sim_annual_output!D253</f>
        <v>1959-pre</v>
      </c>
      <c r="D253">
        <v>2015</v>
      </c>
      <c r="E253" t="str">
        <f>sim_annual_output!E253</f>
        <v>pump_fan_eff_</v>
      </c>
      <c r="F253">
        <f t="array" ref="F253">INDEX(base_building_arch_areas!$M$2:$M$161,MATCH($A253&amp;$D253,base_building_arch_areas!$A$2:$A$161&amp;base_building_arch_areas!$E$2:$E$161,0))</f>
        <v>1.7210610689331843E-2</v>
      </c>
      <c r="G253" s="191">
        <f>(model_eui_end_uses!AO253*F253*base_building_arch_areas!$P$6)/1000000</f>
        <v>18.59446910796542</v>
      </c>
      <c r="AB253" s="187"/>
    </row>
    <row r="254" spans="1:28">
      <c r="A254">
        <f>sim_annual_output!B254</f>
        <v>9</v>
      </c>
      <c r="B254" t="str">
        <f>sim_annual_output!C254</f>
        <v>Maintenance Shop</v>
      </c>
      <c r="C254" t="str">
        <f>sim_annual_output!D254</f>
        <v>1980-2004</v>
      </c>
      <c r="D254">
        <v>2015</v>
      </c>
      <c r="E254" t="str">
        <f>sim_annual_output!E254</f>
        <v>air_temp_reset_enabled</v>
      </c>
      <c r="F254">
        <f t="array" ref="F254">INDEX(base_building_arch_areas!$M$2:$M$161,MATCH($A254&amp;$D254,base_building_arch_areas!$A$2:$A$161&amp;base_building_arch_areas!$E$2:$E$161,0))</f>
        <v>4.7470692702234397E-2</v>
      </c>
      <c r="G254" s="191">
        <f>(model_eui_end_uses!AO254*F254*base_building_arch_areas!$P$6)/1000000</f>
        <v>-25.73443502239062</v>
      </c>
      <c r="AB254" s="187"/>
    </row>
    <row r="255" spans="1:28">
      <c r="A255">
        <f>sim_annual_output!B255</f>
        <v>9</v>
      </c>
      <c r="B255" t="str">
        <f>sim_annual_output!C255</f>
        <v>Maintenance Shop</v>
      </c>
      <c r="C255" t="str">
        <f>sim_annual_output!D255</f>
        <v>1980-2004</v>
      </c>
      <c r="D255">
        <v>2015</v>
      </c>
      <c r="E255" t="str">
        <f>sim_annual_output!E255</f>
        <v>baseline</v>
      </c>
      <c r="F255">
        <f t="array" ref="F255">INDEX(base_building_arch_areas!$M$2:$M$161,MATCH($A255&amp;$D255,base_building_arch_areas!$A$2:$A$161&amp;base_building_arch_areas!$E$2:$E$161,0))</f>
        <v>4.7470692702234397E-2</v>
      </c>
      <c r="G255" s="191">
        <f>(model_eui_end_uses!AO255*F255*base_building_arch_areas!$P$6)/1000000</f>
        <v>0</v>
      </c>
      <c r="AB255" s="187"/>
    </row>
    <row r="256" spans="1:28">
      <c r="A256">
        <f>sim_annual_output!B256</f>
        <v>9</v>
      </c>
      <c r="B256" t="str">
        <f>sim_annual_output!C256</f>
        <v>Maintenance Shop</v>
      </c>
      <c r="C256" t="str">
        <f>sim_annual_output!D256</f>
        <v>1980-2004</v>
      </c>
      <c r="D256">
        <v>2015</v>
      </c>
      <c r="E256" t="str">
        <f>sim_annual_output!E256</f>
        <v>boiler_eff_upgrade</v>
      </c>
      <c r="F256">
        <f t="array" ref="F256">INDEX(base_building_arch_areas!$M$2:$M$161,MATCH($A256&amp;$D256,base_building_arch_areas!$A$2:$A$161&amp;base_building_arch_areas!$E$2:$E$161,0))</f>
        <v>4.7470692702234397E-2</v>
      </c>
      <c r="G256" s="191">
        <f>(model_eui_end_uses!AO256*F256*base_building_arch_areas!$P$6)/1000000</f>
        <v>-3.4424401713022741</v>
      </c>
      <c r="AB256" s="187"/>
    </row>
    <row r="257" spans="1:28">
      <c r="A257">
        <f>sim_annual_output!B257</f>
        <v>9</v>
      </c>
      <c r="B257" t="str">
        <f>sim_annual_output!C257</f>
        <v>Maintenance Shop</v>
      </c>
      <c r="C257" t="str">
        <f>sim_annual_output!D257</f>
        <v>1980-2004</v>
      </c>
      <c r="D257">
        <v>2015</v>
      </c>
      <c r="E257" t="str">
        <f>sim_annual_output!E257</f>
        <v>boiler_reset</v>
      </c>
      <c r="F257">
        <f t="array" ref="F257">INDEX(base_building_arch_areas!$M$2:$M$161,MATCH($A257&amp;$D257,base_building_arch_areas!$A$2:$A$161&amp;base_building_arch_areas!$E$2:$E$161,0))</f>
        <v>4.7470692702234397E-2</v>
      </c>
      <c r="G257" s="191">
        <f>(model_eui_end_uses!AO257*F257*base_building_arch_areas!$P$6)/1000000</f>
        <v>193.00110046279073</v>
      </c>
      <c r="AB257" s="187"/>
    </row>
    <row r="258" spans="1:28">
      <c r="A258">
        <f>sim_annual_output!B258</f>
        <v>9</v>
      </c>
      <c r="B258" t="str">
        <f>sim_annual_output!C258</f>
        <v>Maintenance Shop</v>
      </c>
      <c r="C258" t="str">
        <f>sim_annual_output!D258</f>
        <v>1980-2004</v>
      </c>
      <c r="D258">
        <v>2015</v>
      </c>
      <c r="E258" t="str">
        <f>sim_annual_output!E258</f>
        <v>cooling_cop_3_0</v>
      </c>
      <c r="F258">
        <f t="array" ref="F258">INDEX(base_building_arch_areas!$M$2:$M$161,MATCH($A258&amp;$D258,base_building_arch_areas!$A$2:$A$161&amp;base_building_arch_areas!$E$2:$E$161,0))</f>
        <v>4.7470692702234397E-2</v>
      </c>
      <c r="G258" s="191">
        <f>(model_eui_end_uses!AO258*F258*base_building_arch_areas!$P$6)/1000000</f>
        <v>-2.984269695521983</v>
      </c>
      <c r="AB258" s="187"/>
    </row>
    <row r="259" spans="1:28">
      <c r="A259">
        <f>sim_annual_output!B259</f>
        <v>9</v>
      </c>
      <c r="B259" t="str">
        <f>sim_annual_output!C259</f>
        <v>Maintenance Shop</v>
      </c>
      <c r="C259" t="str">
        <f>sim_annual_output!D259</f>
        <v>1980-2004</v>
      </c>
      <c r="D259">
        <v>2015</v>
      </c>
      <c r="E259" t="str">
        <f>sim_annual_output!E259</f>
        <v>dcv_enabled</v>
      </c>
      <c r="F259">
        <f t="array" ref="F259">INDEX(base_building_arch_areas!$M$2:$M$161,MATCH($A259&amp;$D259,base_building_arch_areas!$A$2:$A$161&amp;base_building_arch_areas!$E$2:$E$161,0))</f>
        <v>4.7470692702234397E-2</v>
      </c>
      <c r="G259" s="191">
        <f>(model_eui_end_uses!AO259*F259*base_building_arch_areas!$P$6)/1000000</f>
        <v>177.1640342156845</v>
      </c>
      <c r="AB259" s="187"/>
    </row>
    <row r="260" spans="1:28">
      <c r="A260">
        <f>sim_annual_output!B260</f>
        <v>9</v>
      </c>
      <c r="B260" t="str">
        <f>sim_annual_output!C260</f>
        <v>Maintenance Shop</v>
      </c>
      <c r="C260" t="str">
        <f>sim_annual_output!D260</f>
        <v>1980-2004</v>
      </c>
      <c r="D260">
        <v>2015</v>
      </c>
      <c r="E260" t="str">
        <f>sim_annual_output!E260</f>
        <v>ecm_cold_deck_reset_control</v>
      </c>
      <c r="F260">
        <f t="array" ref="F260">INDEX(base_building_arch_areas!$M$2:$M$161,MATCH($A260&amp;$D260,base_building_arch_areas!$A$2:$A$161&amp;base_building_arch_areas!$E$2:$E$161,0))</f>
        <v>4.7470692702234397E-2</v>
      </c>
      <c r="G260" s="191">
        <f>(model_eui_end_uses!AO260*F260*base_building_arch_areas!$P$6)/1000000</f>
        <v>-5.7303170752748231</v>
      </c>
      <c r="AB260" s="187"/>
    </row>
    <row r="261" spans="1:28">
      <c r="A261">
        <f>sim_annual_output!B261</f>
        <v>9</v>
      </c>
      <c r="B261" t="str">
        <f>sim_annual_output!C261</f>
        <v>Maintenance Shop</v>
      </c>
      <c r="C261" t="str">
        <f>sim_annual_output!D261</f>
        <v>1980-2004</v>
      </c>
      <c r="D261">
        <v>2015</v>
      </c>
      <c r="E261" t="str">
        <f>sim_annual_output!E261</f>
        <v>economizers_enabled</v>
      </c>
      <c r="F261">
        <f t="array" ref="F261">INDEX(base_building_arch_areas!$M$2:$M$161,MATCH($A261&amp;$D261,base_building_arch_areas!$A$2:$A$161&amp;base_building_arch_areas!$E$2:$E$161,0))</f>
        <v>4.7470692702234397E-2</v>
      </c>
      <c r="G261" s="191">
        <f>(model_eui_end_uses!AO261*F261*base_building_arch_areas!$P$6)/1000000</f>
        <v>-2.907223327008698</v>
      </c>
      <c r="AB261" s="187"/>
    </row>
    <row r="262" spans="1:28">
      <c r="A262">
        <f>sim_annual_output!B262</f>
        <v>9</v>
      </c>
      <c r="B262" t="str">
        <f>sim_annual_output!C262</f>
        <v>Maintenance Shop</v>
      </c>
      <c r="C262" t="str">
        <f>sim_annual_output!D262</f>
        <v>1980-2004</v>
      </c>
      <c r="D262">
        <v>2015</v>
      </c>
      <c r="E262" t="str">
        <f>sim_annual_output!E262</f>
        <v>elec_reduce</v>
      </c>
      <c r="F262">
        <f t="array" ref="F262">INDEX(base_building_arch_areas!$M$2:$M$161,MATCH($A262&amp;$D262,base_building_arch_areas!$A$2:$A$161&amp;base_building_arch_areas!$E$2:$E$161,0))</f>
        <v>4.7470692702234397E-2</v>
      </c>
      <c r="G262" s="191">
        <f>(model_eui_end_uses!AO262*F262*base_building_arch_areas!$P$6)/1000000</f>
        <v>270.47950969131062</v>
      </c>
      <c r="AB262" s="187"/>
    </row>
    <row r="263" spans="1:28">
      <c r="A263">
        <f>sim_annual_output!B263</f>
        <v>9</v>
      </c>
      <c r="B263" t="str">
        <f>sim_annual_output!C263</f>
        <v>Maintenance Shop</v>
      </c>
      <c r="C263" t="str">
        <f>sim_annual_output!D263</f>
        <v>1980-2004</v>
      </c>
      <c r="D263">
        <v>2015</v>
      </c>
      <c r="E263" t="str">
        <f>sim_annual_output!E263</f>
        <v>envelope_ecm_roof</v>
      </c>
      <c r="F263">
        <f t="array" ref="F263">INDEX(base_building_arch_areas!$M$2:$M$161,MATCH($A263&amp;$D263,base_building_arch_areas!$A$2:$A$161&amp;base_building_arch_areas!$E$2:$E$161,0))</f>
        <v>4.7470692702234397E-2</v>
      </c>
      <c r="G263" s="191">
        <f>(model_eui_end_uses!AO263*F263*base_building_arch_areas!$P$6)/1000000</f>
        <v>26.221561521151703</v>
      </c>
      <c r="AB263" s="187"/>
    </row>
    <row r="264" spans="1:28">
      <c r="A264">
        <f>sim_annual_output!B264</f>
        <v>9</v>
      </c>
      <c r="B264" t="str">
        <f>sim_annual_output!C264</f>
        <v>Maintenance Shop</v>
      </c>
      <c r="C264" t="str">
        <f>sim_annual_output!D264</f>
        <v>1980-2004</v>
      </c>
      <c r="D264">
        <v>2015</v>
      </c>
      <c r="E264" t="str">
        <f>sim_annual_output!E264</f>
        <v>envelope_ecm_wall</v>
      </c>
      <c r="F264">
        <f t="array" ref="F264">INDEX(base_building_arch_areas!$M$2:$M$161,MATCH($A264&amp;$D264,base_building_arch_areas!$A$2:$A$161&amp;base_building_arch_areas!$E$2:$E$161,0))</f>
        <v>4.7470692702234397E-2</v>
      </c>
      <c r="G264" s="191">
        <f>(model_eui_end_uses!AO264*F264*base_building_arch_areas!$P$6)/1000000</f>
        <v>28.30214700507625</v>
      </c>
      <c r="AB264" s="187"/>
    </row>
    <row r="265" spans="1:28">
      <c r="A265">
        <f>sim_annual_output!B265</f>
        <v>9</v>
      </c>
      <c r="B265" t="str">
        <f>sim_annual_output!C265</f>
        <v>Maintenance Shop</v>
      </c>
      <c r="C265" t="str">
        <f>sim_annual_output!D265</f>
        <v>1980-2004</v>
      </c>
      <c r="D265">
        <v>2015</v>
      </c>
      <c r="E265" t="str">
        <f>sim_annual_output!E265</f>
        <v>envelope_ecm_windows</v>
      </c>
      <c r="F265">
        <f t="array" ref="F265">INDEX(base_building_arch_areas!$M$2:$M$161,MATCH($A265&amp;$D265,base_building_arch_areas!$A$2:$A$161&amp;base_building_arch_areas!$E$2:$E$161,0))</f>
        <v>4.7470692702234397E-2</v>
      </c>
      <c r="G265" s="191">
        <f>(model_eui_end_uses!AO265*F265*base_building_arch_areas!$P$6)/1000000</f>
        <v>2.2617646977379788</v>
      </c>
      <c r="AB265" s="187"/>
    </row>
    <row r="266" spans="1:28">
      <c r="A266">
        <f>sim_annual_output!B266</f>
        <v>9</v>
      </c>
      <c r="B266" t="str">
        <f>sim_annual_output!C266</f>
        <v>Maintenance Shop</v>
      </c>
      <c r="C266" t="str">
        <f>sim_annual_output!D266</f>
        <v>1980-2004</v>
      </c>
      <c r="D266">
        <v>2015</v>
      </c>
      <c r="E266" t="str">
        <f>sim_annual_output!E266</f>
        <v>exhaust_fans_occ_control</v>
      </c>
      <c r="F266">
        <f t="array" ref="F266">INDEX(base_building_arch_areas!$M$2:$M$161,MATCH($A266&amp;$D266,base_building_arch_areas!$A$2:$A$161&amp;base_building_arch_areas!$E$2:$E$161,0))</f>
        <v>4.7470692702234397E-2</v>
      </c>
      <c r="G266" s="191">
        <f>(model_eui_end_uses!AO266*F266*base_building_arch_areas!$P$6)/1000000</f>
        <v>6.0019454606001208</v>
      </c>
      <c r="AB266" s="187"/>
    </row>
    <row r="267" spans="1:28">
      <c r="A267">
        <f>sim_annual_output!B267</f>
        <v>9</v>
      </c>
      <c r="B267" t="str">
        <f>sim_annual_output!C267</f>
        <v>Maintenance Shop</v>
      </c>
      <c r="C267" t="str">
        <f>sim_annual_output!D267</f>
        <v>1980-2004</v>
      </c>
      <c r="D267">
        <v>2015</v>
      </c>
      <c r="E267" t="str">
        <f>sim_annual_output!E267</f>
        <v>fans_to_variable</v>
      </c>
      <c r="F267">
        <f t="array" ref="F267">INDEX(base_building_arch_areas!$M$2:$M$161,MATCH($A267&amp;$D267,base_building_arch_areas!$A$2:$A$161&amp;base_building_arch_areas!$E$2:$E$161,0))</f>
        <v>4.7470692702234397E-2</v>
      </c>
      <c r="G267" s="191">
        <f>(model_eui_end_uses!AO267*F267*base_building_arch_areas!$P$6)/1000000</f>
        <v>-2.7133961504441988</v>
      </c>
      <c r="AB267" s="187"/>
    </row>
    <row r="268" spans="1:28">
      <c r="A268">
        <f>sim_annual_output!B268</f>
        <v>9</v>
      </c>
      <c r="B268" t="str">
        <f>sim_annual_output!C268</f>
        <v>Maintenance Shop</v>
      </c>
      <c r="C268" t="str">
        <f>sim_annual_output!D268</f>
        <v>1980-2004</v>
      </c>
      <c r="D268">
        <v>2015</v>
      </c>
      <c r="E268" t="str">
        <f>sim_annual_output!E268</f>
        <v>hrv_enabled</v>
      </c>
      <c r="F268">
        <f t="array" ref="F268">INDEX(base_building_arch_areas!$M$2:$M$161,MATCH($A268&amp;$D268,base_building_arch_areas!$A$2:$A$161&amp;base_building_arch_areas!$E$2:$E$161,0))</f>
        <v>4.7470692702234397E-2</v>
      </c>
      <c r="G268" s="191">
        <f>(model_eui_end_uses!AO268*F268*base_building_arch_areas!$P$6)/1000000</f>
        <v>57.500903788733332</v>
      </c>
      <c r="AB268" s="187"/>
    </row>
    <row r="269" spans="1:28">
      <c r="A269">
        <f>sim_annual_output!B269</f>
        <v>9</v>
      </c>
      <c r="B269" t="str">
        <f>sim_annual_output!C269</f>
        <v>Maintenance Shop</v>
      </c>
      <c r="C269" t="str">
        <f>sim_annual_output!D269</f>
        <v>1980-2004</v>
      </c>
      <c r="D269">
        <v>2015</v>
      </c>
      <c r="E269" t="str">
        <f>sim_annual_output!E269</f>
        <v>infil_reduce</v>
      </c>
      <c r="F269">
        <f t="array" ref="F269">INDEX(base_building_arch_areas!$M$2:$M$161,MATCH($A269&amp;$D269,base_building_arch_areas!$A$2:$A$161&amp;base_building_arch_areas!$E$2:$E$161,0))</f>
        <v>4.7470692702234397E-2</v>
      </c>
      <c r="G269" s="191">
        <f>(model_eui_end_uses!AO269*F269*base_building_arch_areas!$P$6)/1000000</f>
        <v>149.38231445237923</v>
      </c>
      <c r="AB269" s="187"/>
    </row>
    <row r="270" spans="1:28">
      <c r="A270">
        <f>sim_annual_output!B270</f>
        <v>9</v>
      </c>
      <c r="B270" t="str">
        <f>sim_annual_output!C270</f>
        <v>Maintenance Shop</v>
      </c>
      <c r="C270" t="str">
        <f>sim_annual_output!D270</f>
        <v>1980-2004</v>
      </c>
      <c r="D270">
        <v>2015</v>
      </c>
      <c r="E270" t="str">
        <f>sim_annual_output!E270</f>
        <v>infil_reduce_plus_setback</v>
      </c>
      <c r="F270">
        <f t="array" ref="F270">INDEX(base_building_arch_areas!$M$2:$M$161,MATCH($A270&amp;$D270,base_building_arch_areas!$A$2:$A$161&amp;base_building_arch_areas!$E$2:$E$161,0))</f>
        <v>4.7470692702234397E-2</v>
      </c>
      <c r="G270" s="191">
        <f>(model_eui_end_uses!AO270*F270*base_building_arch_areas!$P$6)/1000000</f>
        <v>186.41526851636053</v>
      </c>
      <c r="AB270" s="187"/>
    </row>
    <row r="271" spans="1:28">
      <c r="A271">
        <f>sim_annual_output!B271</f>
        <v>9</v>
      </c>
      <c r="B271" t="str">
        <f>sim_annual_output!C271</f>
        <v>Maintenance Shop</v>
      </c>
      <c r="C271" t="str">
        <f>sim_annual_output!D271</f>
        <v>1980-2004</v>
      </c>
      <c r="D271">
        <v>2015</v>
      </c>
      <c r="E271" t="str">
        <f>sim_annual_output!E271</f>
        <v>lights_reduce_70p</v>
      </c>
      <c r="F271">
        <f t="array" ref="F271">INDEX(base_building_arch_areas!$M$2:$M$161,MATCH($A271&amp;$D271,base_building_arch_areas!$A$2:$A$161&amp;base_building_arch_areas!$E$2:$E$161,0))</f>
        <v>4.7470692702234397E-2</v>
      </c>
      <c r="G271" s="191">
        <f>(model_eui_end_uses!AO271*F271*base_building_arch_areas!$P$6)/1000000</f>
        <v>49.823888824122839</v>
      </c>
      <c r="AB271" s="187"/>
    </row>
    <row r="272" spans="1:28">
      <c r="A272">
        <f>sim_annual_output!B272</f>
        <v>9</v>
      </c>
      <c r="B272" t="str">
        <f>sim_annual_output!C272</f>
        <v>Maintenance Shop</v>
      </c>
      <c r="C272" t="str">
        <f>sim_annual_output!D272</f>
        <v>1980-2004</v>
      </c>
      <c r="D272">
        <v>2015</v>
      </c>
      <c r="E272" t="str">
        <f>sim_annual_output!E272</f>
        <v>load_reduce</v>
      </c>
      <c r="F272">
        <f t="array" ref="F272">INDEX(base_building_arch_areas!$M$2:$M$161,MATCH($A272&amp;$D272,base_building_arch_areas!$A$2:$A$161&amp;base_building_arch_areas!$E$2:$E$161,0))</f>
        <v>4.7470692702234397E-2</v>
      </c>
      <c r="G272" s="191">
        <f>(model_eui_end_uses!AO272*F272*base_building_arch_areas!$P$6)/1000000</f>
        <v>328.29534863026373</v>
      </c>
      <c r="AB272" s="187"/>
    </row>
    <row r="273" spans="1:28">
      <c r="A273">
        <f>sim_annual_output!B273</f>
        <v>9</v>
      </c>
      <c r="B273" t="str">
        <f>sim_annual_output!C273</f>
        <v>Maintenance Shop</v>
      </c>
      <c r="C273" t="str">
        <f>sim_annual_output!D273</f>
        <v>1980-2004</v>
      </c>
      <c r="D273">
        <v>2015</v>
      </c>
      <c r="E273" t="str">
        <f>sim_annual_output!E273</f>
        <v>occupancy_setback</v>
      </c>
      <c r="F273">
        <f t="array" ref="F273">INDEX(base_building_arch_areas!$M$2:$M$161,MATCH($A273&amp;$D273,base_building_arch_areas!$A$2:$A$161&amp;base_building_arch_areas!$E$2:$E$161,0))</f>
        <v>4.7470692702234397E-2</v>
      </c>
      <c r="G273" s="191">
        <f>(model_eui_end_uses!AO273*F273*base_building_arch_areas!$P$6)/1000000</f>
        <v>38.532233562456547</v>
      </c>
      <c r="AB273" s="187"/>
    </row>
    <row r="274" spans="1:28">
      <c r="A274">
        <f>sim_annual_output!B274</f>
        <v>9</v>
      </c>
      <c r="B274" t="str">
        <f>sim_annual_output!C274</f>
        <v>Maintenance Shop</v>
      </c>
      <c r="C274" t="str">
        <f>sim_annual_output!D274</f>
        <v>1980-2004</v>
      </c>
      <c r="D274">
        <v>2015</v>
      </c>
      <c r="E274" t="str">
        <f>sim_annual_output!E274</f>
        <v>payback_less_than_20</v>
      </c>
      <c r="F274">
        <f t="array" ref="F274">INDEX(base_building_arch_areas!$M$2:$M$161,MATCH($A274&amp;$D274,base_building_arch_areas!$A$2:$A$161&amp;base_building_arch_areas!$E$2:$E$161,0))</f>
        <v>4.7470692702234397E-2</v>
      </c>
      <c r="G274" s="191">
        <f>(model_eui_end_uses!AO274*F274*base_building_arch_areas!$P$6)/1000000</f>
        <v>523.71788883476552</v>
      </c>
      <c r="AB274" s="187"/>
    </row>
    <row r="275" spans="1:28">
      <c r="A275">
        <f>sim_annual_output!B275</f>
        <v>9</v>
      </c>
      <c r="B275" t="str">
        <f>sim_annual_output!C275</f>
        <v>Maintenance Shop</v>
      </c>
      <c r="C275" t="str">
        <f>sim_annual_output!D275</f>
        <v>1980-2004</v>
      </c>
      <c r="D275">
        <v>2015</v>
      </c>
      <c r="E275" t="str">
        <f>sim_annual_output!E275</f>
        <v>plug_loads_90_percent</v>
      </c>
      <c r="F275">
        <f t="array" ref="F275">INDEX(base_building_arch_areas!$M$2:$M$161,MATCH($A275&amp;$D275,base_building_arch_areas!$A$2:$A$161&amp;base_building_arch_areas!$E$2:$E$161,0))</f>
        <v>4.7470692702234397E-2</v>
      </c>
      <c r="G275" s="191">
        <f>(model_eui_end_uses!AO275*F275*base_building_arch_areas!$P$6)/1000000</f>
        <v>-3.7492476230437815</v>
      </c>
      <c r="AB275" s="187"/>
    </row>
    <row r="276" spans="1:28">
      <c r="A276">
        <f>sim_annual_output!B276</f>
        <v>9</v>
      </c>
      <c r="B276" t="str">
        <f>sim_annual_output!C276</f>
        <v>Maintenance Shop</v>
      </c>
      <c r="C276" t="str">
        <f>sim_annual_output!D276</f>
        <v>1980-2004</v>
      </c>
      <c r="D276">
        <v>2015</v>
      </c>
      <c r="E276" t="str">
        <f>sim_annual_output!E276</f>
        <v>pump_fan_eff_</v>
      </c>
      <c r="F276">
        <f t="array" ref="F276">INDEX(base_building_arch_areas!$M$2:$M$161,MATCH($A276&amp;$D276,base_building_arch_areas!$A$2:$A$161&amp;base_building_arch_areas!$E$2:$E$161,0))</f>
        <v>4.7470692702234397E-2</v>
      </c>
      <c r="G276" s="191">
        <f>(model_eui_end_uses!AO276*F276*base_building_arch_areas!$P$6)/1000000</f>
        <v>25.475753025030514</v>
      </c>
      <c r="AB276" s="187"/>
    </row>
    <row r="277" spans="1:28">
      <c r="A277">
        <f>sim_annual_output!B277</f>
        <v>16</v>
      </c>
      <c r="B277" t="str">
        <f>sim_annual_output!C277</f>
        <v>Office-Small</v>
      </c>
      <c r="C277" t="str">
        <f>sim_annual_output!D277</f>
        <v>1960-1979</v>
      </c>
      <c r="D277">
        <v>2015</v>
      </c>
      <c r="E277" t="str">
        <f>sim_annual_output!E277</f>
        <v>air_temp_reset_enabled</v>
      </c>
      <c r="F277">
        <f t="array" ref="F277">INDEX(base_building_arch_areas!$M$2:$M$161,MATCH($A277&amp;$D277,base_building_arch_areas!$A$2:$A$161&amp;base_building_arch_areas!$E$2:$E$161,0))</f>
        <v>4.9605275097546961E-3</v>
      </c>
      <c r="G277" s="191">
        <f>(model_eui_end_uses!AO277*F277*base_building_arch_areas!$P$6)/1000000</f>
        <v>-4.0552718088571975</v>
      </c>
      <c r="AB277" s="187"/>
    </row>
    <row r="278" spans="1:28">
      <c r="A278">
        <f>sim_annual_output!B278</f>
        <v>16</v>
      </c>
      <c r="B278" t="str">
        <f>sim_annual_output!C278</f>
        <v>Office-Small</v>
      </c>
      <c r="C278" t="str">
        <f>sim_annual_output!D278</f>
        <v>1960-1979</v>
      </c>
      <c r="D278">
        <v>2015</v>
      </c>
      <c r="E278" t="str">
        <f>sim_annual_output!E278</f>
        <v>baseline</v>
      </c>
      <c r="F278">
        <f t="array" ref="F278">INDEX(base_building_arch_areas!$M$2:$M$161,MATCH($A278&amp;$D278,base_building_arch_areas!$A$2:$A$161&amp;base_building_arch_areas!$E$2:$E$161,0))</f>
        <v>4.9605275097546961E-3</v>
      </c>
      <c r="G278" s="191">
        <f>(model_eui_end_uses!AO278*F278*base_building_arch_areas!$P$6)/1000000</f>
        <v>0</v>
      </c>
      <c r="AB278" s="187"/>
    </row>
    <row r="279" spans="1:28">
      <c r="A279">
        <f>sim_annual_output!B279</f>
        <v>16</v>
      </c>
      <c r="B279" t="str">
        <f>sim_annual_output!C279</f>
        <v>Office-Small</v>
      </c>
      <c r="C279" t="str">
        <f>sim_annual_output!D279</f>
        <v>1960-1979</v>
      </c>
      <c r="D279">
        <v>2015</v>
      </c>
      <c r="E279" t="str">
        <f>sim_annual_output!E279</f>
        <v>boiler_reset</v>
      </c>
      <c r="F279">
        <f t="array" ref="F279">INDEX(base_building_arch_areas!$M$2:$M$161,MATCH($A279&amp;$D279,base_building_arch_areas!$A$2:$A$161&amp;base_building_arch_areas!$E$2:$E$161,0))</f>
        <v>4.9605275097546961E-3</v>
      </c>
      <c r="G279" s="191">
        <f>(model_eui_end_uses!AO279*F279*base_building_arch_areas!$P$6)/1000000</f>
        <v>-0.27891091411820912</v>
      </c>
      <c r="AB279" s="187"/>
    </row>
    <row r="280" spans="1:28">
      <c r="A280">
        <f>sim_annual_output!B280</f>
        <v>16</v>
      </c>
      <c r="B280" t="str">
        <f>sim_annual_output!C280</f>
        <v>Office-Small</v>
      </c>
      <c r="C280" t="str">
        <f>sim_annual_output!D280</f>
        <v>1960-1979</v>
      </c>
      <c r="D280">
        <v>2015</v>
      </c>
      <c r="E280" t="str">
        <f>sim_annual_output!E280</f>
        <v>cooling_cop_3_0</v>
      </c>
      <c r="F280">
        <f t="array" ref="F280">INDEX(base_building_arch_areas!$M$2:$M$161,MATCH($A280&amp;$D280,base_building_arch_areas!$A$2:$A$161&amp;base_building_arch_areas!$E$2:$E$161,0))</f>
        <v>4.9605275097546961E-3</v>
      </c>
      <c r="G280" s="191">
        <f>(model_eui_end_uses!AO280*F280*base_building_arch_areas!$P$6)/1000000</f>
        <v>6.3271557418551144E-2</v>
      </c>
      <c r="AB280" s="187"/>
    </row>
    <row r="281" spans="1:28">
      <c r="A281">
        <f>sim_annual_output!B281</f>
        <v>16</v>
      </c>
      <c r="B281" t="str">
        <f>sim_annual_output!C281</f>
        <v>Office-Small</v>
      </c>
      <c r="C281" t="str">
        <f>sim_annual_output!D281</f>
        <v>1960-1979</v>
      </c>
      <c r="D281">
        <v>2015</v>
      </c>
      <c r="E281" t="str">
        <f>sim_annual_output!E281</f>
        <v>dcv_enabled</v>
      </c>
      <c r="F281">
        <f t="array" ref="F281">INDEX(base_building_arch_areas!$M$2:$M$161,MATCH($A281&amp;$D281,base_building_arch_areas!$A$2:$A$161&amp;base_building_arch_areas!$E$2:$E$161,0))</f>
        <v>4.9605275097546961E-3</v>
      </c>
      <c r="G281" s="191">
        <f>(model_eui_end_uses!AO281*F281*base_building_arch_areas!$P$6)/1000000</f>
        <v>-0.27891091411820912</v>
      </c>
      <c r="AB281" s="187"/>
    </row>
    <row r="282" spans="1:28">
      <c r="A282">
        <f>sim_annual_output!B282</f>
        <v>16</v>
      </c>
      <c r="B282" t="str">
        <f>sim_annual_output!C282</f>
        <v>Office-Small</v>
      </c>
      <c r="C282" t="str">
        <f>sim_annual_output!D282</f>
        <v>1960-1979</v>
      </c>
      <c r="D282">
        <v>2015</v>
      </c>
      <c r="E282" t="str">
        <f>sim_annual_output!E282</f>
        <v>ecm_cold_deck_reset_control</v>
      </c>
      <c r="F282">
        <f t="array" ref="F282">INDEX(base_building_arch_areas!$M$2:$M$161,MATCH($A282&amp;$D282,base_building_arch_areas!$A$2:$A$161&amp;base_building_arch_areas!$E$2:$E$161,0))</f>
        <v>4.9605275097546961E-3</v>
      </c>
      <c r="G282" s="191">
        <f>(model_eui_end_uses!AO282*F282*base_building_arch_areas!$P$6)/1000000</f>
        <v>-2.876307971082976</v>
      </c>
      <c r="AB282" s="187"/>
    </row>
    <row r="283" spans="1:28">
      <c r="A283">
        <f>sim_annual_output!B283</f>
        <v>16</v>
      </c>
      <c r="B283" t="str">
        <f>sim_annual_output!C283</f>
        <v>Office-Small</v>
      </c>
      <c r="C283" t="str">
        <f>sim_annual_output!D283</f>
        <v>1960-1979</v>
      </c>
      <c r="D283">
        <v>2015</v>
      </c>
      <c r="E283" t="str">
        <f>sim_annual_output!E283</f>
        <v>economizers_enabled</v>
      </c>
      <c r="F283">
        <f t="array" ref="F283">INDEX(base_building_arch_areas!$M$2:$M$161,MATCH($A283&amp;$D283,base_building_arch_areas!$A$2:$A$161&amp;base_building_arch_areas!$E$2:$E$161,0))</f>
        <v>4.9605275097546961E-3</v>
      </c>
      <c r="G283" s="191">
        <f>(model_eui_end_uses!AO283*F283*base_building_arch_areas!$P$6)/1000000</f>
        <v>-0.27891091411820912</v>
      </c>
      <c r="AB283" s="187"/>
    </row>
    <row r="284" spans="1:28">
      <c r="A284">
        <f>sim_annual_output!B284</f>
        <v>16</v>
      </c>
      <c r="B284" t="str">
        <f>sim_annual_output!C284</f>
        <v>Office-Small</v>
      </c>
      <c r="C284" t="str">
        <f>sim_annual_output!D284</f>
        <v>1960-1979</v>
      </c>
      <c r="D284">
        <v>2015</v>
      </c>
      <c r="E284" t="str">
        <f>sim_annual_output!E284</f>
        <v>elec_reduce</v>
      </c>
      <c r="F284">
        <f t="array" ref="F284">INDEX(base_building_arch_areas!$M$2:$M$161,MATCH($A284&amp;$D284,base_building_arch_areas!$A$2:$A$161&amp;base_building_arch_areas!$E$2:$E$161,0))</f>
        <v>4.9605275097546961E-3</v>
      </c>
      <c r="G284" s="191">
        <f>(model_eui_end_uses!AO284*F284*base_building_arch_areas!$P$6)/1000000</f>
        <v>3.7654043131380615</v>
      </c>
      <c r="AB284" s="187"/>
    </row>
    <row r="285" spans="1:28">
      <c r="A285">
        <f>sim_annual_output!B285</f>
        <v>16</v>
      </c>
      <c r="B285" t="str">
        <f>sim_annual_output!C285</f>
        <v>Office-Small</v>
      </c>
      <c r="C285" t="str">
        <f>sim_annual_output!D285</f>
        <v>1960-1979</v>
      </c>
      <c r="D285">
        <v>2015</v>
      </c>
      <c r="E285" t="str">
        <f>sim_annual_output!E285</f>
        <v>envelope_ecm_roof</v>
      </c>
      <c r="F285">
        <f t="array" ref="F285">INDEX(base_building_arch_areas!$M$2:$M$161,MATCH($A285&amp;$D285,base_building_arch_areas!$A$2:$A$161&amp;base_building_arch_areas!$E$2:$E$161,0))</f>
        <v>4.9605275097546961E-3</v>
      </c>
      <c r="G285" s="191">
        <f>(model_eui_end_uses!AO285*F285*base_building_arch_areas!$P$6)/1000000</f>
        <v>2.9700969579053815</v>
      </c>
      <c r="AB285" s="187"/>
    </row>
    <row r="286" spans="1:28">
      <c r="A286">
        <f>sim_annual_output!B286</f>
        <v>16</v>
      </c>
      <c r="B286" t="str">
        <f>sim_annual_output!C286</f>
        <v>Office-Small</v>
      </c>
      <c r="C286" t="str">
        <f>sim_annual_output!D286</f>
        <v>1960-1979</v>
      </c>
      <c r="D286">
        <v>2015</v>
      </c>
      <c r="E286" t="str">
        <f>sim_annual_output!E286</f>
        <v>envelope_ecm_wall</v>
      </c>
      <c r="F286">
        <f t="array" ref="F286">INDEX(base_building_arch_areas!$M$2:$M$161,MATCH($A286&amp;$D286,base_building_arch_areas!$A$2:$A$161&amp;base_building_arch_areas!$E$2:$E$161,0))</f>
        <v>4.9605275097546961E-3</v>
      </c>
      <c r="G286" s="191">
        <f>(model_eui_end_uses!AO286*F286*base_building_arch_areas!$P$6)/1000000</f>
        <v>0.95384606551210638</v>
      </c>
      <c r="AB286" s="187"/>
    </row>
    <row r="287" spans="1:28">
      <c r="A287">
        <f>sim_annual_output!B287</f>
        <v>16</v>
      </c>
      <c r="B287" t="str">
        <f>sim_annual_output!C287</f>
        <v>Office-Small</v>
      </c>
      <c r="C287" t="str">
        <f>sim_annual_output!D287</f>
        <v>1960-1979</v>
      </c>
      <c r="D287">
        <v>2015</v>
      </c>
      <c r="E287" t="str">
        <f>sim_annual_output!E287</f>
        <v>envelope_ecm_windows</v>
      </c>
      <c r="F287">
        <f t="array" ref="F287">INDEX(base_building_arch_areas!$M$2:$M$161,MATCH($A287&amp;$D287,base_building_arch_areas!$A$2:$A$161&amp;base_building_arch_areas!$E$2:$E$161,0))</f>
        <v>4.9605275097546961E-3</v>
      </c>
      <c r="G287" s="191">
        <f>(model_eui_end_uses!AO287*F287*base_building_arch_areas!$P$6)/1000000</f>
        <v>0.15192478168186166</v>
      </c>
      <c r="AB287" s="187"/>
    </row>
    <row r="288" spans="1:28">
      <c r="A288">
        <f>sim_annual_output!B288</f>
        <v>16</v>
      </c>
      <c r="B288" t="str">
        <f>sim_annual_output!C288</f>
        <v>Office-Small</v>
      </c>
      <c r="C288" t="str">
        <f>sim_annual_output!D288</f>
        <v>1960-1979</v>
      </c>
      <c r="D288">
        <v>2015</v>
      </c>
      <c r="E288" t="str">
        <f>sim_annual_output!E288</f>
        <v>exhaust_fans_occ_control</v>
      </c>
      <c r="F288">
        <f t="array" ref="F288">INDEX(base_building_arch_areas!$M$2:$M$161,MATCH($A288&amp;$D288,base_building_arch_areas!$A$2:$A$161&amp;base_building_arch_areas!$E$2:$E$161,0))</f>
        <v>4.9605275097546961E-3</v>
      </c>
      <c r="G288" s="191">
        <f>(model_eui_end_uses!AO288*F288*base_building_arch_areas!$P$6)/1000000</f>
        <v>0.57278501778372526</v>
      </c>
      <c r="AB288" s="187"/>
    </row>
    <row r="289" spans="1:28">
      <c r="A289">
        <f>sim_annual_output!B289</f>
        <v>16</v>
      </c>
      <c r="B289" t="str">
        <f>sim_annual_output!C289</f>
        <v>Office-Small</v>
      </c>
      <c r="C289" t="str">
        <f>sim_annual_output!D289</f>
        <v>1960-1979</v>
      </c>
      <c r="D289">
        <v>2015</v>
      </c>
      <c r="E289" t="str">
        <f>sim_annual_output!E289</f>
        <v>fans_to_variable</v>
      </c>
      <c r="F289">
        <f t="array" ref="F289">INDEX(base_building_arch_areas!$M$2:$M$161,MATCH($A289&amp;$D289,base_building_arch_areas!$A$2:$A$161&amp;base_building_arch_areas!$E$2:$E$161,0))</f>
        <v>4.9605275097546961E-3</v>
      </c>
      <c r="G289" s="191">
        <f>(model_eui_end_uses!AO289*F289*base_building_arch_areas!$P$6)/1000000</f>
        <v>-0.22435167597463865</v>
      </c>
      <c r="AB289" s="187"/>
    </row>
    <row r="290" spans="1:28">
      <c r="A290">
        <f>sim_annual_output!B290</f>
        <v>16</v>
      </c>
      <c r="B290" t="str">
        <f>sim_annual_output!C290</f>
        <v>Office-Small</v>
      </c>
      <c r="C290" t="str">
        <f>sim_annual_output!D290</f>
        <v>1960-1979</v>
      </c>
      <c r="D290">
        <v>2015</v>
      </c>
      <c r="E290" t="str">
        <f>sim_annual_output!E290</f>
        <v>hrv_enabled</v>
      </c>
      <c r="F290">
        <f t="array" ref="F290">INDEX(base_building_arch_areas!$M$2:$M$161,MATCH($A290&amp;$D290,base_building_arch_areas!$A$2:$A$161&amp;base_building_arch_areas!$E$2:$E$161,0))</f>
        <v>4.9605275097546961E-3</v>
      </c>
      <c r="G290" s="191">
        <f>(model_eui_end_uses!AO290*F290*base_building_arch_areas!$P$6)/1000000</f>
        <v>-0.27891091411820912</v>
      </c>
      <c r="AB290" s="187"/>
    </row>
    <row r="291" spans="1:28">
      <c r="A291">
        <f>sim_annual_output!B291</f>
        <v>16</v>
      </c>
      <c r="B291" t="str">
        <f>sim_annual_output!C291</f>
        <v>Office-Small</v>
      </c>
      <c r="C291" t="str">
        <f>sim_annual_output!D291</f>
        <v>1960-1979</v>
      </c>
      <c r="D291">
        <v>2015</v>
      </c>
      <c r="E291" t="str">
        <f>sim_annual_output!E291</f>
        <v>infil_reduce</v>
      </c>
      <c r="F291">
        <f t="array" ref="F291">INDEX(base_building_arch_areas!$M$2:$M$161,MATCH($A291&amp;$D291,base_building_arch_areas!$A$2:$A$161&amp;base_building_arch_areas!$E$2:$E$161,0))</f>
        <v>4.9605275097546961E-3</v>
      </c>
      <c r="G291" s="191">
        <f>(model_eui_end_uses!AO291*F291*base_building_arch_areas!$P$6)/1000000</f>
        <v>6.0316068155581695</v>
      </c>
      <c r="AB291" s="187"/>
    </row>
    <row r="292" spans="1:28">
      <c r="A292">
        <f>sim_annual_output!B292</f>
        <v>16</v>
      </c>
      <c r="B292" t="str">
        <f>sim_annual_output!C292</f>
        <v>Office-Small</v>
      </c>
      <c r="C292" t="str">
        <f>sim_annual_output!D292</f>
        <v>1960-1979</v>
      </c>
      <c r="D292">
        <v>2015</v>
      </c>
      <c r="E292" t="str">
        <f>sim_annual_output!E292</f>
        <v>infil_reduce_plus_setback</v>
      </c>
      <c r="F292">
        <f t="array" ref="F292">INDEX(base_building_arch_areas!$M$2:$M$161,MATCH($A292&amp;$D292,base_building_arch_areas!$A$2:$A$161&amp;base_building_arch_areas!$E$2:$E$161,0))</f>
        <v>4.9605275097546961E-3</v>
      </c>
      <c r="G292" s="191">
        <f>(model_eui_end_uses!AO292*F292*base_building_arch_areas!$P$6)/1000000</f>
        <v>6.6764221728568112</v>
      </c>
      <c r="AB292" s="187"/>
    </row>
    <row r="293" spans="1:28">
      <c r="A293">
        <f>sim_annual_output!B293</f>
        <v>16</v>
      </c>
      <c r="B293" t="str">
        <f>sim_annual_output!C293</f>
        <v>Office-Small</v>
      </c>
      <c r="C293" t="str">
        <f>sim_annual_output!D293</f>
        <v>1960-1979</v>
      </c>
      <c r="D293">
        <v>2015</v>
      </c>
      <c r="E293" t="str">
        <f>sim_annual_output!E293</f>
        <v>lights_reduce_70p</v>
      </c>
      <c r="F293">
        <f t="array" ref="F293">INDEX(base_building_arch_areas!$M$2:$M$161,MATCH($A293&amp;$D293,base_building_arch_areas!$A$2:$A$161&amp;base_building_arch_areas!$E$2:$E$161,0))</f>
        <v>4.9605275097546961E-3</v>
      </c>
      <c r="G293" s="191">
        <f>(model_eui_end_uses!AO293*F293*base_building_arch_areas!$P$6)/1000000</f>
        <v>2.9027744907805273</v>
      </c>
      <c r="AB293" s="187"/>
    </row>
    <row r="294" spans="1:28">
      <c r="A294">
        <f>sim_annual_output!B294</f>
        <v>16</v>
      </c>
      <c r="B294" t="str">
        <f>sim_annual_output!C294</f>
        <v>Office-Small</v>
      </c>
      <c r="C294" t="str">
        <f>sim_annual_output!D294</f>
        <v>1960-1979</v>
      </c>
      <c r="D294">
        <v>2015</v>
      </c>
      <c r="E294" t="str">
        <f>sim_annual_output!E294</f>
        <v>load_reduce</v>
      </c>
      <c r="F294">
        <f t="array" ref="F294">INDEX(base_building_arch_areas!$M$2:$M$161,MATCH($A294&amp;$D294,base_building_arch_areas!$A$2:$A$161&amp;base_building_arch_areas!$E$2:$E$161,0))</f>
        <v>4.9605275097546961E-3</v>
      </c>
      <c r="G294" s="191">
        <f>(model_eui_end_uses!AO294*F294*base_building_arch_areas!$P$6)/1000000</f>
        <v>6.6764221728568112</v>
      </c>
      <c r="AB294" s="187"/>
    </row>
    <row r="295" spans="1:28">
      <c r="A295">
        <f>sim_annual_output!B295</f>
        <v>16</v>
      </c>
      <c r="B295" t="str">
        <f>sim_annual_output!C295</f>
        <v>Office-Small</v>
      </c>
      <c r="C295" t="str">
        <f>sim_annual_output!D295</f>
        <v>1960-1979</v>
      </c>
      <c r="D295">
        <v>2015</v>
      </c>
      <c r="E295" t="str">
        <f>sim_annual_output!E295</f>
        <v>occupancy_setback</v>
      </c>
      <c r="F295">
        <f t="array" ref="F295">INDEX(base_building_arch_areas!$M$2:$M$161,MATCH($A295&amp;$D295,base_building_arch_areas!$A$2:$A$161&amp;base_building_arch_areas!$E$2:$E$161,0))</f>
        <v>4.9605275097546961E-3</v>
      </c>
      <c r="G295" s="191">
        <f>(model_eui_end_uses!AO295*F295*base_building_arch_areas!$P$6)/1000000</f>
        <v>0.53444994854922323</v>
      </c>
      <c r="AB295" s="187"/>
    </row>
    <row r="296" spans="1:28">
      <c r="A296">
        <f>sim_annual_output!B296</f>
        <v>16</v>
      </c>
      <c r="B296" t="str">
        <f>sim_annual_output!C296</f>
        <v>Office-Small</v>
      </c>
      <c r="C296" t="str">
        <f>sim_annual_output!D296</f>
        <v>1960-1979</v>
      </c>
      <c r="D296">
        <v>2015</v>
      </c>
      <c r="E296" t="str">
        <f>sim_annual_output!E296</f>
        <v>payback_less_than_20</v>
      </c>
      <c r="F296">
        <f t="array" ref="F296">INDEX(base_building_arch_areas!$M$2:$M$161,MATCH($A296&amp;$D296,base_building_arch_areas!$A$2:$A$161&amp;base_building_arch_areas!$E$2:$E$161,0))</f>
        <v>4.9605275097546961E-3</v>
      </c>
      <c r="G296" s="191">
        <f>(model_eui_end_uses!AO296*F296*base_building_arch_areas!$P$6)/1000000</f>
        <v>8.4174845794962909</v>
      </c>
      <c r="AB296" s="187"/>
    </row>
    <row r="297" spans="1:28">
      <c r="A297">
        <f>sim_annual_output!B297</f>
        <v>16</v>
      </c>
      <c r="B297" t="str">
        <f>sim_annual_output!C297</f>
        <v>Office-Small</v>
      </c>
      <c r="C297" t="str">
        <f>sim_annual_output!D297</f>
        <v>1960-1979</v>
      </c>
      <c r="D297">
        <v>2015</v>
      </c>
      <c r="E297" t="str">
        <f>sim_annual_output!E297</f>
        <v>plug_loads_90_percent</v>
      </c>
      <c r="F297">
        <f t="array" ref="F297">INDEX(base_building_arch_areas!$M$2:$M$161,MATCH($A297&amp;$D297,base_building_arch_areas!$A$2:$A$161&amp;base_building_arch_areas!$E$2:$E$161,0))</f>
        <v>4.9605275097546961E-3</v>
      </c>
      <c r="G297" s="191">
        <f>(model_eui_end_uses!AO297*F297*base_building_arch_areas!$P$6)/1000000</f>
        <v>-0.26109512344403002</v>
      </c>
      <c r="AB297" s="187"/>
    </row>
    <row r="298" spans="1:28">
      <c r="A298">
        <f>sim_annual_output!B298</f>
        <v>16</v>
      </c>
      <c r="B298" t="str">
        <f>sim_annual_output!C298</f>
        <v>Office-Small</v>
      </c>
      <c r="C298" t="str">
        <f>sim_annual_output!D298</f>
        <v>1960-1979</v>
      </c>
      <c r="D298">
        <v>2015</v>
      </c>
      <c r="E298" t="str">
        <f>sim_annual_output!E298</f>
        <v>pump_fan_eff_</v>
      </c>
      <c r="F298">
        <f t="array" ref="F298">INDEX(base_building_arch_areas!$M$2:$M$161,MATCH($A298&amp;$D298,base_building_arch_areas!$A$2:$A$161&amp;base_building_arch_areas!$E$2:$E$161,0))</f>
        <v>4.9605275097546961E-3</v>
      </c>
      <c r="G298" s="191">
        <f>(model_eui_end_uses!AO298*F298*base_building_arch_areas!$P$6)/1000000</f>
        <v>-0.277030790648226</v>
      </c>
      <c r="AB298" s="187"/>
    </row>
    <row r="299" spans="1:28">
      <c r="A299">
        <f>sim_annual_output!B299</f>
        <v>17</v>
      </c>
      <c r="B299" t="str">
        <f>sim_annual_output!C299</f>
        <v>Office-Small</v>
      </c>
      <c r="C299" t="str">
        <f>sim_annual_output!D299</f>
        <v>1980-2004</v>
      </c>
      <c r="D299">
        <v>2015</v>
      </c>
      <c r="E299" t="str">
        <f>sim_annual_output!E299</f>
        <v>air_temp_reset_enabled</v>
      </c>
      <c r="F299">
        <f t="array" ref="F299">INDEX(base_building_arch_areas!$M$2:$M$161,MATCH($A299&amp;$D299,base_building_arch_areas!$A$2:$A$161&amp;base_building_arch_areas!$E$2:$E$161,0))</f>
        <v>1.882235002830266E-2</v>
      </c>
      <c r="G299" s="191">
        <f>(model_eui_end_uses!AO299*F299*base_building_arch_areas!$P$6)/1000000</f>
        <v>-9.338053649302978</v>
      </c>
      <c r="AB299" s="187"/>
    </row>
    <row r="300" spans="1:28">
      <c r="A300">
        <f>sim_annual_output!B300</f>
        <v>17</v>
      </c>
      <c r="B300" t="str">
        <f>sim_annual_output!C300</f>
        <v>Office-Small</v>
      </c>
      <c r="C300" t="str">
        <f>sim_annual_output!D300</f>
        <v>1980-2004</v>
      </c>
      <c r="D300">
        <v>2015</v>
      </c>
      <c r="E300" t="str">
        <f>sim_annual_output!E300</f>
        <v>baseline</v>
      </c>
      <c r="F300">
        <f t="array" ref="F300">INDEX(base_building_arch_areas!$M$2:$M$161,MATCH($A300&amp;$D300,base_building_arch_areas!$A$2:$A$161&amp;base_building_arch_areas!$E$2:$E$161,0))</f>
        <v>1.882235002830266E-2</v>
      </c>
      <c r="G300" s="191">
        <f>(model_eui_end_uses!AO300*F300*base_building_arch_areas!$P$6)/1000000</f>
        <v>0</v>
      </c>
      <c r="AB300" s="187"/>
    </row>
    <row r="301" spans="1:28">
      <c r="A301">
        <f>sim_annual_output!B301</f>
        <v>17</v>
      </c>
      <c r="B301" t="str">
        <f>sim_annual_output!C301</f>
        <v>Office-Small</v>
      </c>
      <c r="C301" t="str">
        <f>sim_annual_output!D301</f>
        <v>1980-2004</v>
      </c>
      <c r="D301">
        <v>2015</v>
      </c>
      <c r="E301" t="str">
        <f>sim_annual_output!E301</f>
        <v>boiler_reset</v>
      </c>
      <c r="F301">
        <f t="array" ref="F301">INDEX(base_building_arch_areas!$M$2:$M$161,MATCH($A301&amp;$D301,base_building_arch_areas!$A$2:$A$161&amp;base_building_arch_areas!$E$2:$E$161,0))</f>
        <v>1.882235002830266E-2</v>
      </c>
      <c r="G301" s="191">
        <f>(model_eui_end_uses!AO301*F301*base_building_arch_areas!$P$6)/1000000</f>
        <v>-1.3892456972202347</v>
      </c>
      <c r="AB301" s="187"/>
    </row>
    <row r="302" spans="1:28">
      <c r="A302">
        <f>sim_annual_output!B302</f>
        <v>17</v>
      </c>
      <c r="B302" t="str">
        <f>sim_annual_output!C302</f>
        <v>Office-Small</v>
      </c>
      <c r="C302" t="str">
        <f>sim_annual_output!D302</f>
        <v>1980-2004</v>
      </c>
      <c r="D302">
        <v>2015</v>
      </c>
      <c r="E302" t="str">
        <f>sim_annual_output!E302</f>
        <v>cooling_cop_3_0</v>
      </c>
      <c r="F302">
        <f t="array" ref="F302">INDEX(base_building_arch_areas!$M$2:$M$161,MATCH($A302&amp;$D302,base_building_arch_areas!$A$2:$A$161&amp;base_building_arch_areas!$E$2:$E$161,0))</f>
        <v>1.882235002830266E-2</v>
      </c>
      <c r="G302" s="191">
        <f>(model_eui_end_uses!AO302*F302*base_building_arch_areas!$P$6)/1000000</f>
        <v>-0.80069171515796167</v>
      </c>
      <c r="AB302" s="187"/>
    </row>
    <row r="303" spans="1:28">
      <c r="A303">
        <f>sim_annual_output!B303</f>
        <v>17</v>
      </c>
      <c r="B303" t="str">
        <f>sim_annual_output!C303</f>
        <v>Office-Small</v>
      </c>
      <c r="C303" t="str">
        <f>sim_annual_output!D303</f>
        <v>1980-2004</v>
      </c>
      <c r="D303">
        <v>2015</v>
      </c>
      <c r="E303" t="str">
        <f>sim_annual_output!E303</f>
        <v>dcv_enabled</v>
      </c>
      <c r="F303">
        <f t="array" ref="F303">INDEX(base_building_arch_areas!$M$2:$M$161,MATCH($A303&amp;$D303,base_building_arch_areas!$A$2:$A$161&amp;base_building_arch_areas!$E$2:$E$161,0))</f>
        <v>1.882235002830266E-2</v>
      </c>
      <c r="G303" s="191">
        <f>(model_eui_end_uses!AO303*F303*base_building_arch_areas!$P$6)/1000000</f>
        <v>-1.3892456972202347</v>
      </c>
      <c r="AB303" s="187"/>
    </row>
    <row r="304" spans="1:28">
      <c r="A304">
        <f>sim_annual_output!B304</f>
        <v>17</v>
      </c>
      <c r="B304" t="str">
        <f>sim_annual_output!C304</f>
        <v>Office-Small</v>
      </c>
      <c r="C304" t="str">
        <f>sim_annual_output!D304</f>
        <v>1980-2004</v>
      </c>
      <c r="D304">
        <v>2015</v>
      </c>
      <c r="E304" t="str">
        <f>sim_annual_output!E304</f>
        <v>ecm_cold_deck_reset_control</v>
      </c>
      <c r="F304">
        <f t="array" ref="F304">INDEX(base_building_arch_areas!$M$2:$M$161,MATCH($A304&amp;$D304,base_building_arch_areas!$A$2:$A$161&amp;base_building_arch_areas!$E$2:$E$161,0))</f>
        <v>1.882235002830266E-2</v>
      </c>
      <c r="G304" s="191">
        <f>(model_eui_end_uses!AO304*F304*base_building_arch_areas!$P$6)/1000000</f>
        <v>-8.2305389648128795</v>
      </c>
      <c r="AB304" s="187"/>
    </row>
    <row r="305" spans="1:28">
      <c r="A305">
        <f>sim_annual_output!B305</f>
        <v>17</v>
      </c>
      <c r="B305" t="str">
        <f>sim_annual_output!C305</f>
        <v>Office-Small</v>
      </c>
      <c r="C305" t="str">
        <f>sim_annual_output!D305</f>
        <v>1980-2004</v>
      </c>
      <c r="D305">
        <v>2015</v>
      </c>
      <c r="E305" t="str">
        <f>sim_annual_output!E305</f>
        <v>economizers_enabled</v>
      </c>
      <c r="F305">
        <f t="array" ref="F305">INDEX(base_building_arch_areas!$M$2:$M$161,MATCH($A305&amp;$D305,base_building_arch_areas!$A$2:$A$161&amp;base_building_arch_areas!$E$2:$E$161,0))</f>
        <v>1.882235002830266E-2</v>
      </c>
      <c r="G305" s="191">
        <f>(model_eui_end_uses!AO305*F305*base_building_arch_areas!$P$6)/1000000</f>
        <v>-1.3892456972202347</v>
      </c>
      <c r="AB305" s="187"/>
    </row>
    <row r="306" spans="1:28">
      <c r="A306">
        <f>sim_annual_output!B306</f>
        <v>17</v>
      </c>
      <c r="B306" t="str">
        <f>sim_annual_output!C306</f>
        <v>Office-Small</v>
      </c>
      <c r="C306" t="str">
        <f>sim_annual_output!D306</f>
        <v>1980-2004</v>
      </c>
      <c r="D306">
        <v>2015</v>
      </c>
      <c r="E306" t="str">
        <f>sim_annual_output!E306</f>
        <v>elec_reduce</v>
      </c>
      <c r="F306">
        <f t="array" ref="F306">INDEX(base_building_arch_areas!$M$2:$M$161,MATCH($A306&amp;$D306,base_building_arch_areas!$A$2:$A$161&amp;base_building_arch_areas!$E$2:$E$161,0))</f>
        <v>1.882235002830266E-2</v>
      </c>
      <c r="G306" s="191">
        <f>(model_eui_end_uses!AO306*F306*base_building_arch_areas!$P$6)/1000000</f>
        <v>14.254039446824853</v>
      </c>
      <c r="AB306" s="187"/>
    </row>
    <row r="307" spans="1:28">
      <c r="A307">
        <f>sim_annual_output!B307</f>
        <v>17</v>
      </c>
      <c r="B307" t="str">
        <f>sim_annual_output!C307</f>
        <v>Office-Small</v>
      </c>
      <c r="C307" t="str">
        <f>sim_annual_output!D307</f>
        <v>1980-2004</v>
      </c>
      <c r="D307">
        <v>2015</v>
      </c>
      <c r="E307" t="str">
        <f>sim_annual_output!E307</f>
        <v>envelope_ecm_roof</v>
      </c>
      <c r="F307">
        <f t="array" ref="F307">INDEX(base_building_arch_areas!$M$2:$M$161,MATCH($A307&amp;$D307,base_building_arch_areas!$A$2:$A$161&amp;base_building_arch_areas!$E$2:$E$161,0))</f>
        <v>1.882235002830266E-2</v>
      </c>
      <c r="G307" s="191">
        <f>(model_eui_end_uses!AO307*F307*base_building_arch_areas!$P$6)/1000000</f>
        <v>2.7316079755280347</v>
      </c>
      <c r="AB307" s="187"/>
    </row>
    <row r="308" spans="1:28">
      <c r="A308">
        <f>sim_annual_output!B308</f>
        <v>17</v>
      </c>
      <c r="B308" t="str">
        <f>sim_annual_output!C308</f>
        <v>Office-Small</v>
      </c>
      <c r="C308" t="str">
        <f>sim_annual_output!D308</f>
        <v>1980-2004</v>
      </c>
      <c r="D308">
        <v>2015</v>
      </c>
      <c r="E308" t="str">
        <f>sim_annual_output!E308</f>
        <v>envelope_ecm_wall</v>
      </c>
      <c r="F308">
        <f t="array" ref="F308">INDEX(base_building_arch_areas!$M$2:$M$161,MATCH($A308&amp;$D308,base_building_arch_areas!$A$2:$A$161&amp;base_building_arch_areas!$E$2:$E$161,0))</f>
        <v>1.882235002830266E-2</v>
      </c>
      <c r="G308" s="191">
        <f>(model_eui_end_uses!AO308*F308*base_building_arch_areas!$P$6)/1000000</f>
        <v>0.32543283714533849</v>
      </c>
      <c r="AB308" s="187"/>
    </row>
    <row r="309" spans="1:28">
      <c r="A309">
        <f>sim_annual_output!B309</f>
        <v>17</v>
      </c>
      <c r="B309" t="str">
        <f>sim_annual_output!C309</f>
        <v>Office-Small</v>
      </c>
      <c r="C309" t="str">
        <f>sim_annual_output!D309</f>
        <v>1980-2004</v>
      </c>
      <c r="D309">
        <v>2015</v>
      </c>
      <c r="E309" t="str">
        <f>sim_annual_output!E309</f>
        <v>envelope_ecm_windows</v>
      </c>
      <c r="F309">
        <f t="array" ref="F309">INDEX(base_building_arch_areas!$M$2:$M$161,MATCH($A309&amp;$D309,base_building_arch_areas!$A$2:$A$161&amp;base_building_arch_areas!$E$2:$E$161,0))</f>
        <v>1.882235002830266E-2</v>
      </c>
      <c r="G309" s="191">
        <f>(model_eui_end_uses!AO309*F309*base_building_arch_areas!$P$6)/1000000</f>
        <v>-0.23716818980406265</v>
      </c>
      <c r="AB309" s="187"/>
    </row>
    <row r="310" spans="1:28">
      <c r="A310">
        <f>sim_annual_output!B310</f>
        <v>17</v>
      </c>
      <c r="B310" t="str">
        <f>sim_annual_output!C310</f>
        <v>Office-Small</v>
      </c>
      <c r="C310" t="str">
        <f>sim_annual_output!D310</f>
        <v>1980-2004</v>
      </c>
      <c r="D310">
        <v>2015</v>
      </c>
      <c r="E310" t="str">
        <f>sim_annual_output!E310</f>
        <v>exhaust_fans_occ_control</v>
      </c>
      <c r="F310">
        <f t="array" ref="F310">INDEX(base_building_arch_areas!$M$2:$M$161,MATCH($A310&amp;$D310,base_building_arch_areas!$A$2:$A$161&amp;base_building_arch_areas!$E$2:$E$161,0))</f>
        <v>1.882235002830266E-2</v>
      </c>
      <c r="G310" s="191">
        <f>(model_eui_end_uses!AO310*F310*base_building_arch_areas!$P$6)/1000000</f>
        <v>1.8460177072069686</v>
      </c>
      <c r="AB310" s="187"/>
    </row>
    <row r="311" spans="1:28">
      <c r="A311">
        <f>sim_annual_output!B311</f>
        <v>17</v>
      </c>
      <c r="B311" t="str">
        <f>sim_annual_output!C311</f>
        <v>Office-Small</v>
      </c>
      <c r="C311" t="str">
        <f>sim_annual_output!D311</f>
        <v>1980-2004</v>
      </c>
      <c r="D311">
        <v>2015</v>
      </c>
      <c r="E311" t="str">
        <f>sim_annual_output!E311</f>
        <v>fans_to_variable</v>
      </c>
      <c r="F311">
        <f t="array" ref="F311">INDEX(base_building_arch_areas!$M$2:$M$161,MATCH($A311&amp;$D311,base_building_arch_areas!$A$2:$A$161&amp;base_building_arch_areas!$E$2:$E$161,0))</f>
        <v>1.882235002830266E-2</v>
      </c>
      <c r="G311" s="191">
        <f>(model_eui_end_uses!AO311*F311*base_building_arch_areas!$P$6)/1000000</f>
        <v>-1.2551513291441081</v>
      </c>
      <c r="AB311" s="187"/>
    </row>
    <row r="312" spans="1:28">
      <c r="A312">
        <f>sim_annual_output!B312</f>
        <v>17</v>
      </c>
      <c r="B312" t="str">
        <f>sim_annual_output!C312</f>
        <v>Office-Small</v>
      </c>
      <c r="C312" t="str">
        <f>sim_annual_output!D312</f>
        <v>1980-2004</v>
      </c>
      <c r="D312">
        <v>2015</v>
      </c>
      <c r="E312" t="str">
        <f>sim_annual_output!E312</f>
        <v>hrv_enabled</v>
      </c>
      <c r="F312">
        <f t="array" ref="F312">INDEX(base_building_arch_areas!$M$2:$M$161,MATCH($A312&amp;$D312,base_building_arch_areas!$A$2:$A$161&amp;base_building_arch_areas!$E$2:$E$161,0))</f>
        <v>1.882235002830266E-2</v>
      </c>
      <c r="G312" s="191">
        <f>(model_eui_end_uses!AO312*F312*base_building_arch_areas!$P$6)/1000000</f>
        <v>-1.3892456972202347</v>
      </c>
      <c r="AB312" s="187"/>
    </row>
    <row r="313" spans="1:28">
      <c r="A313">
        <f>sim_annual_output!B313</f>
        <v>17</v>
      </c>
      <c r="B313" t="str">
        <f>sim_annual_output!C313</f>
        <v>Office-Small</v>
      </c>
      <c r="C313" t="str">
        <f>sim_annual_output!D313</f>
        <v>1980-2004</v>
      </c>
      <c r="D313">
        <v>2015</v>
      </c>
      <c r="E313" t="str">
        <f>sim_annual_output!E313</f>
        <v>infil_reduce</v>
      </c>
      <c r="F313">
        <f t="array" ref="F313">INDEX(base_building_arch_areas!$M$2:$M$161,MATCH($A313&amp;$D313,base_building_arch_areas!$A$2:$A$161&amp;base_building_arch_areas!$E$2:$E$161,0))</f>
        <v>1.882235002830266E-2</v>
      </c>
      <c r="G313" s="191">
        <f>(model_eui_end_uses!AO313*F313*base_building_arch_areas!$P$6)/1000000</f>
        <v>9.6259346513963617</v>
      </c>
      <c r="AB313" s="187"/>
    </row>
    <row r="314" spans="1:28">
      <c r="A314">
        <f>sim_annual_output!B314</f>
        <v>17</v>
      </c>
      <c r="B314" t="str">
        <f>sim_annual_output!C314</f>
        <v>Office-Small</v>
      </c>
      <c r="C314" t="str">
        <f>sim_annual_output!D314</f>
        <v>1980-2004</v>
      </c>
      <c r="D314">
        <v>2015</v>
      </c>
      <c r="E314" t="str">
        <f>sim_annual_output!E314</f>
        <v>infil_reduce_plus_setback</v>
      </c>
      <c r="F314">
        <f t="array" ref="F314">INDEX(base_building_arch_areas!$M$2:$M$161,MATCH($A314&amp;$D314,base_building_arch_areas!$A$2:$A$161&amp;base_building_arch_areas!$E$2:$E$161,0))</f>
        <v>1.882235002830266E-2</v>
      </c>
      <c r="G314" s="191">
        <f>(model_eui_end_uses!AO314*F314*base_building_arch_areas!$P$6)/1000000</f>
        <v>11.68697648670682</v>
      </c>
      <c r="AB314" s="187"/>
    </row>
    <row r="315" spans="1:28">
      <c r="A315">
        <f>sim_annual_output!B315</f>
        <v>17</v>
      </c>
      <c r="B315" t="str">
        <f>sim_annual_output!C315</f>
        <v>Office-Small</v>
      </c>
      <c r="C315" t="str">
        <f>sim_annual_output!D315</f>
        <v>1980-2004</v>
      </c>
      <c r="D315">
        <v>2015</v>
      </c>
      <c r="E315" t="str">
        <f>sim_annual_output!E315</f>
        <v>lights_reduce_70p</v>
      </c>
      <c r="F315">
        <f t="array" ref="F315">INDEX(base_building_arch_areas!$M$2:$M$161,MATCH($A315&amp;$D315,base_building_arch_areas!$A$2:$A$161&amp;base_building_arch_areas!$E$2:$E$161,0))</f>
        <v>1.882235002830266E-2</v>
      </c>
      <c r="G315" s="191">
        <f>(model_eui_end_uses!AO315*F315*base_building_arch_areas!$P$6)/1000000</f>
        <v>10.918883815166955</v>
      </c>
      <c r="AB315" s="187"/>
    </row>
    <row r="316" spans="1:28">
      <c r="A316">
        <f>sim_annual_output!B316</f>
        <v>17</v>
      </c>
      <c r="B316" t="str">
        <f>sim_annual_output!C316</f>
        <v>Office-Small</v>
      </c>
      <c r="C316" t="str">
        <f>sim_annual_output!D316</f>
        <v>1980-2004</v>
      </c>
      <c r="D316">
        <v>2015</v>
      </c>
      <c r="E316" t="str">
        <f>sim_annual_output!E316</f>
        <v>load_reduce</v>
      </c>
      <c r="F316">
        <f t="array" ref="F316">INDEX(base_building_arch_areas!$M$2:$M$161,MATCH($A316&amp;$D316,base_building_arch_areas!$A$2:$A$161&amp;base_building_arch_areas!$E$2:$E$161,0))</f>
        <v>1.882235002830266E-2</v>
      </c>
      <c r="G316" s="191">
        <f>(model_eui_end_uses!AO316*F316*base_building_arch_areas!$P$6)/1000000</f>
        <v>11.68697648670682</v>
      </c>
      <c r="AB316" s="187"/>
    </row>
    <row r="317" spans="1:28">
      <c r="A317">
        <f>sim_annual_output!B317</f>
        <v>17</v>
      </c>
      <c r="B317" t="str">
        <f>sim_annual_output!C317</f>
        <v>Office-Small</v>
      </c>
      <c r="C317" t="str">
        <f>sim_annual_output!D317</f>
        <v>1980-2004</v>
      </c>
      <c r="D317">
        <v>2015</v>
      </c>
      <c r="E317" t="str">
        <f>sim_annual_output!E317</f>
        <v>occupancy_setback</v>
      </c>
      <c r="F317">
        <f t="array" ref="F317">INDEX(base_building_arch_areas!$M$2:$M$161,MATCH($A317&amp;$D317,base_building_arch_areas!$A$2:$A$161&amp;base_building_arch_areas!$E$2:$E$161,0))</f>
        <v>1.882235002830266E-2</v>
      </c>
      <c r="G317" s="191">
        <f>(model_eui_end_uses!AO317*F317*base_building_arch_areas!$P$6)/1000000</f>
        <v>0.56855421665302652</v>
      </c>
      <c r="AB317" s="187"/>
    </row>
    <row r="318" spans="1:28">
      <c r="A318">
        <f>sim_annual_output!B318</f>
        <v>17</v>
      </c>
      <c r="B318" t="str">
        <f>sim_annual_output!C318</f>
        <v>Office-Small</v>
      </c>
      <c r="C318" t="str">
        <f>sim_annual_output!D318</f>
        <v>1980-2004</v>
      </c>
      <c r="D318">
        <v>2015</v>
      </c>
      <c r="E318" t="str">
        <f>sim_annual_output!E318</f>
        <v>payback_less_than_20</v>
      </c>
      <c r="F318">
        <f t="array" ref="F318">INDEX(base_building_arch_areas!$M$2:$M$161,MATCH($A318&amp;$D318,base_building_arch_areas!$A$2:$A$161&amp;base_building_arch_areas!$E$2:$E$161,0))</f>
        <v>1.882235002830266E-2</v>
      </c>
      <c r="G318" s="191">
        <f>(model_eui_end_uses!AO318*F318*base_building_arch_areas!$P$6)/1000000</f>
        <v>20.935711790490988</v>
      </c>
      <c r="AB318" s="187"/>
    </row>
    <row r="319" spans="1:28">
      <c r="A319">
        <f>sim_annual_output!B319</f>
        <v>17</v>
      </c>
      <c r="B319" t="str">
        <f>sim_annual_output!C319</f>
        <v>Office-Small</v>
      </c>
      <c r="C319" t="str">
        <f>sim_annual_output!D319</f>
        <v>1980-2004</v>
      </c>
      <c r="D319">
        <v>2015</v>
      </c>
      <c r="E319" t="str">
        <f>sim_annual_output!E319</f>
        <v>plug_loads_90_percent</v>
      </c>
      <c r="F319">
        <f t="array" ref="F319">INDEX(base_building_arch_areas!$M$2:$M$161,MATCH($A319&amp;$D319,base_building_arch_areas!$A$2:$A$161&amp;base_building_arch_areas!$E$2:$E$161,0))</f>
        <v>1.882235002830266E-2</v>
      </c>
      <c r="G319" s="191">
        <f>(model_eui_end_uses!AO319*F319*base_building_arch_areas!$P$6)/1000000</f>
        <v>-1.2709035018998189</v>
      </c>
      <c r="AB319" s="187"/>
    </row>
    <row r="320" spans="1:28">
      <c r="A320">
        <f>sim_annual_output!B320</f>
        <v>17</v>
      </c>
      <c r="B320" t="str">
        <f>sim_annual_output!C320</f>
        <v>Office-Small</v>
      </c>
      <c r="C320" t="str">
        <f>sim_annual_output!D320</f>
        <v>1980-2004</v>
      </c>
      <c r="D320">
        <v>2015</v>
      </c>
      <c r="E320" t="str">
        <f>sim_annual_output!E320</f>
        <v>pump_fan_eff_</v>
      </c>
      <c r="F320">
        <f t="array" ref="F320">INDEX(base_building_arch_areas!$M$2:$M$161,MATCH($A320&amp;$D320,base_building_arch_areas!$A$2:$A$161&amp;base_building_arch_areas!$E$2:$E$161,0))</f>
        <v>1.882235002830266E-2</v>
      </c>
      <c r="G320" s="191">
        <f>(model_eui_end_uses!AO320*F320*base_building_arch_areas!$P$6)/1000000</f>
        <v>-1.3821117095588702</v>
      </c>
      <c r="AB320" s="187"/>
    </row>
    <row r="321" spans="1:28">
      <c r="A321">
        <f>sim_annual_output!B321</f>
        <v>18</v>
      </c>
      <c r="B321" t="str">
        <f>sim_annual_output!C321</f>
        <v>Office-Small</v>
      </c>
      <c r="C321" t="str">
        <f>sim_annual_output!D321</f>
        <v>2005-2014</v>
      </c>
      <c r="D321">
        <v>2015</v>
      </c>
      <c r="E321" t="str">
        <f>sim_annual_output!E321</f>
        <v>air_temp_reset_enabled</v>
      </c>
      <c r="F321">
        <f t="array" ref="F321">INDEX(base_building_arch_areas!$M$2:$M$161,MATCH($A321&amp;$D321,base_building_arch_areas!$A$2:$A$161&amp;base_building_arch_areas!$E$2:$E$161,0))</f>
        <v>2.1648295142744798E-3</v>
      </c>
      <c r="G321" s="191">
        <f>(model_eui_end_uses!AO321*F321*base_building_arch_areas!$P$6)/1000000</f>
        <v>-0.57328577506731215</v>
      </c>
      <c r="AB321" s="187"/>
    </row>
    <row r="322" spans="1:28">
      <c r="A322">
        <f>sim_annual_output!B322</f>
        <v>18</v>
      </c>
      <c r="B322" t="str">
        <f>sim_annual_output!C322</f>
        <v>Office-Small</v>
      </c>
      <c r="C322" t="str">
        <f>sim_annual_output!D322</f>
        <v>2005-2014</v>
      </c>
      <c r="D322">
        <v>2015</v>
      </c>
      <c r="E322" t="str">
        <f>sim_annual_output!E322</f>
        <v>baseline</v>
      </c>
      <c r="F322">
        <f t="array" ref="F322">INDEX(base_building_arch_areas!$M$2:$M$161,MATCH($A322&amp;$D322,base_building_arch_areas!$A$2:$A$161&amp;base_building_arch_areas!$E$2:$E$161,0))</f>
        <v>2.1648295142744798E-3</v>
      </c>
      <c r="G322" s="191">
        <f>(model_eui_end_uses!AO322*F322*base_building_arch_areas!$P$6)/1000000</f>
        <v>0</v>
      </c>
      <c r="AB322" s="187"/>
    </row>
    <row r="323" spans="1:28">
      <c r="A323">
        <f>sim_annual_output!B323</f>
        <v>18</v>
      </c>
      <c r="B323" t="str">
        <f>sim_annual_output!C323</f>
        <v>Office-Small</v>
      </c>
      <c r="C323" t="str">
        <f>sim_annual_output!D323</f>
        <v>2005-2014</v>
      </c>
      <c r="D323">
        <v>2015</v>
      </c>
      <c r="E323" t="str">
        <f>sim_annual_output!E323</f>
        <v>boiler_reset</v>
      </c>
      <c r="F323">
        <f t="array" ref="F323">INDEX(base_building_arch_areas!$M$2:$M$161,MATCH($A323&amp;$D323,base_building_arch_areas!$A$2:$A$161&amp;base_building_arch_areas!$E$2:$E$161,0))</f>
        <v>2.1648295142744798E-3</v>
      </c>
      <c r="G323" s="191">
        <f>(model_eui_end_uses!AO323*F323*base_building_arch_areas!$P$6)/1000000</f>
        <v>-0.19973022838436608</v>
      </c>
      <c r="AB323" s="187"/>
    </row>
    <row r="324" spans="1:28">
      <c r="A324">
        <f>sim_annual_output!B324</f>
        <v>18</v>
      </c>
      <c r="B324" t="str">
        <f>sim_annual_output!C324</f>
        <v>Office-Small</v>
      </c>
      <c r="C324" t="str">
        <f>sim_annual_output!D324</f>
        <v>2005-2014</v>
      </c>
      <c r="D324">
        <v>2015</v>
      </c>
      <c r="E324" t="str">
        <f>sim_annual_output!E324</f>
        <v>cooling_cop_3_0</v>
      </c>
      <c r="F324">
        <f t="array" ref="F324">INDEX(base_building_arch_areas!$M$2:$M$161,MATCH($A324&amp;$D324,base_building_arch_areas!$A$2:$A$161&amp;base_building_arch_areas!$E$2:$E$161,0))</f>
        <v>2.1648295142744798E-3</v>
      </c>
      <c r="G324" s="191">
        <f>(model_eui_end_uses!AO324*F324*base_building_arch_areas!$P$6)/1000000</f>
        <v>-0.19973022838436608</v>
      </c>
      <c r="AB324" s="187"/>
    </row>
    <row r="325" spans="1:28">
      <c r="A325">
        <f>sim_annual_output!B325</f>
        <v>18</v>
      </c>
      <c r="B325" t="str">
        <f>sim_annual_output!C325</f>
        <v>Office-Small</v>
      </c>
      <c r="C325" t="str">
        <f>sim_annual_output!D325</f>
        <v>2005-2014</v>
      </c>
      <c r="D325">
        <v>2015</v>
      </c>
      <c r="E325" t="str">
        <f>sim_annual_output!E325</f>
        <v>dcv_enabled</v>
      </c>
      <c r="F325">
        <f t="array" ref="F325">INDEX(base_building_arch_areas!$M$2:$M$161,MATCH($A325&amp;$D325,base_building_arch_areas!$A$2:$A$161&amp;base_building_arch_areas!$E$2:$E$161,0))</f>
        <v>2.1648295142744798E-3</v>
      </c>
      <c r="G325" s="191">
        <f>(model_eui_end_uses!AO325*F325*base_building_arch_areas!$P$6)/1000000</f>
        <v>-0.19973022838436608</v>
      </c>
      <c r="AB325" s="187"/>
    </row>
    <row r="326" spans="1:28">
      <c r="A326">
        <f>sim_annual_output!B326</f>
        <v>18</v>
      </c>
      <c r="B326" t="str">
        <f>sim_annual_output!C326</f>
        <v>Office-Small</v>
      </c>
      <c r="C326" t="str">
        <f>sim_annual_output!D326</f>
        <v>2005-2014</v>
      </c>
      <c r="D326">
        <v>2015</v>
      </c>
      <c r="E326" t="str">
        <f>sim_annual_output!E326</f>
        <v>ecm_cold_deck_reset_control</v>
      </c>
      <c r="F326">
        <f t="array" ref="F326">INDEX(base_building_arch_areas!$M$2:$M$161,MATCH($A326&amp;$D326,base_building_arch_areas!$A$2:$A$161&amp;base_building_arch_areas!$E$2:$E$161,0))</f>
        <v>2.1648295142744798E-3</v>
      </c>
      <c r="G326" s="191">
        <f>(model_eui_end_uses!AO326*F326*base_building_arch_areas!$P$6)/1000000</f>
        <v>-0.68542831237760915</v>
      </c>
      <c r="AB326" s="187"/>
    </row>
    <row r="327" spans="1:28">
      <c r="A327">
        <f>sim_annual_output!B327</f>
        <v>18</v>
      </c>
      <c r="B327" t="str">
        <f>sim_annual_output!C327</f>
        <v>Office-Small</v>
      </c>
      <c r="C327" t="str">
        <f>sim_annual_output!D327</f>
        <v>2005-2014</v>
      </c>
      <c r="D327">
        <v>2015</v>
      </c>
      <c r="E327" t="str">
        <f>sim_annual_output!E327</f>
        <v>economizers_enabled</v>
      </c>
      <c r="F327">
        <f t="array" ref="F327">INDEX(base_building_arch_areas!$M$2:$M$161,MATCH($A327&amp;$D327,base_building_arch_areas!$A$2:$A$161&amp;base_building_arch_areas!$E$2:$E$161,0))</f>
        <v>2.1648295142744798E-3</v>
      </c>
      <c r="G327" s="191">
        <f>(model_eui_end_uses!AO327*F327*base_building_arch_areas!$P$6)/1000000</f>
        <v>-0.19973022838436608</v>
      </c>
      <c r="AB327" s="187"/>
    </row>
    <row r="328" spans="1:28">
      <c r="A328">
        <f>sim_annual_output!B328</f>
        <v>18</v>
      </c>
      <c r="B328" t="str">
        <f>sim_annual_output!C328</f>
        <v>Office-Small</v>
      </c>
      <c r="C328" t="str">
        <f>sim_annual_output!D328</f>
        <v>2005-2014</v>
      </c>
      <c r="D328">
        <v>2015</v>
      </c>
      <c r="E328" t="str">
        <f>sim_annual_output!E328</f>
        <v>elec_reduce</v>
      </c>
      <c r="F328">
        <f t="array" ref="F328">INDEX(base_building_arch_areas!$M$2:$M$161,MATCH($A328&amp;$D328,base_building_arch_areas!$A$2:$A$161&amp;base_building_arch_areas!$E$2:$E$161,0))</f>
        <v>2.1648295142744798E-3</v>
      </c>
      <c r="G328" s="191">
        <f>(model_eui_end_uses!AO328*F328*base_building_arch_areas!$P$6)/1000000</f>
        <v>1.7505645581113072</v>
      </c>
      <c r="AB328" s="187"/>
    </row>
    <row r="329" spans="1:28">
      <c r="A329">
        <f>sim_annual_output!B329</f>
        <v>18</v>
      </c>
      <c r="B329" t="str">
        <f>sim_annual_output!C329</f>
        <v>Office-Small</v>
      </c>
      <c r="C329" t="str">
        <f>sim_annual_output!D329</f>
        <v>2005-2014</v>
      </c>
      <c r="D329">
        <v>2015</v>
      </c>
      <c r="E329" t="str">
        <f>sim_annual_output!E329</f>
        <v>envelope_ecm_roof</v>
      </c>
      <c r="F329">
        <f t="array" ref="F329">INDEX(base_building_arch_areas!$M$2:$M$161,MATCH($A329&amp;$D329,base_building_arch_areas!$A$2:$A$161&amp;base_building_arch_areas!$E$2:$E$161,0))</f>
        <v>2.1648295142744798E-3</v>
      </c>
      <c r="G329" s="191">
        <f>(model_eui_end_uses!AO329*F329*base_building_arch_areas!$P$6)/1000000</f>
        <v>2.7743034041632145E-2</v>
      </c>
      <c r="AB329" s="187"/>
    </row>
    <row r="330" spans="1:28">
      <c r="A330">
        <f>sim_annual_output!B330</f>
        <v>18</v>
      </c>
      <c r="B330" t="str">
        <f>sim_annual_output!C330</f>
        <v>Office-Small</v>
      </c>
      <c r="C330" t="str">
        <f>sim_annual_output!D330</f>
        <v>2005-2014</v>
      </c>
      <c r="D330">
        <v>2015</v>
      </c>
      <c r="E330" t="str">
        <f>sim_annual_output!E330</f>
        <v>envelope_ecm_wall</v>
      </c>
      <c r="F330">
        <f t="array" ref="F330">INDEX(base_building_arch_areas!$M$2:$M$161,MATCH($A330&amp;$D330,base_building_arch_areas!$A$2:$A$161&amp;base_building_arch_areas!$E$2:$E$161,0))</f>
        <v>2.1648295142744798E-3</v>
      </c>
      <c r="G330" s="191">
        <f>(model_eui_end_uses!AO330*F330*base_building_arch_areas!$P$6)/1000000</f>
        <v>-0.11165353409269498</v>
      </c>
      <c r="AB330" s="187"/>
    </row>
    <row r="331" spans="1:28">
      <c r="A331">
        <f>sim_annual_output!B331</f>
        <v>18</v>
      </c>
      <c r="B331" t="str">
        <f>sim_annual_output!C331</f>
        <v>Office-Small</v>
      </c>
      <c r="C331" t="str">
        <f>sim_annual_output!D331</f>
        <v>2005-2014</v>
      </c>
      <c r="D331">
        <v>2015</v>
      </c>
      <c r="E331" t="str">
        <f>sim_annual_output!E331</f>
        <v>envelope_ecm_windows</v>
      </c>
      <c r="F331">
        <f t="array" ref="F331">INDEX(base_building_arch_areas!$M$2:$M$161,MATCH($A331&amp;$D331,base_building_arch_areas!$A$2:$A$161&amp;base_building_arch_areas!$E$2:$E$161,0))</f>
        <v>2.1648295142744798E-3</v>
      </c>
      <c r="G331" s="191">
        <f>(model_eui_end_uses!AO331*F331*base_building_arch_areas!$P$6)/1000000</f>
        <v>-0.10082897395764104</v>
      </c>
      <c r="AB331" s="187"/>
    </row>
    <row r="332" spans="1:28">
      <c r="A332">
        <f>sim_annual_output!B332</f>
        <v>18</v>
      </c>
      <c r="B332" t="str">
        <f>sim_annual_output!C332</f>
        <v>Office-Small</v>
      </c>
      <c r="C332" t="str">
        <f>sim_annual_output!D332</f>
        <v>2005-2014</v>
      </c>
      <c r="D332">
        <v>2015</v>
      </c>
      <c r="E332" t="str">
        <f>sim_annual_output!E332</f>
        <v>exhaust_fans_occ_control</v>
      </c>
      <c r="F332">
        <f t="array" ref="F332">INDEX(base_building_arch_areas!$M$2:$M$161,MATCH($A332&amp;$D332,base_building_arch_areas!$A$2:$A$161&amp;base_building_arch_areas!$E$2:$E$161,0))</f>
        <v>2.1648295142744798E-3</v>
      </c>
      <c r="G332" s="191">
        <f>(model_eui_end_uses!AO332*F332*base_building_arch_areas!$P$6)/1000000</f>
        <v>0.1723696259815713</v>
      </c>
      <c r="AB332" s="187"/>
    </row>
    <row r="333" spans="1:28">
      <c r="A333">
        <f>sim_annual_output!B333</f>
        <v>18</v>
      </c>
      <c r="B333" t="str">
        <f>sim_annual_output!C333</f>
        <v>Office-Small</v>
      </c>
      <c r="C333" t="str">
        <f>sim_annual_output!D333</f>
        <v>2005-2014</v>
      </c>
      <c r="D333">
        <v>2015</v>
      </c>
      <c r="E333" t="str">
        <f>sim_annual_output!E333</f>
        <v>fans_to_variable</v>
      </c>
      <c r="F333">
        <f t="array" ref="F333">INDEX(base_building_arch_areas!$M$2:$M$161,MATCH($A333&amp;$D333,base_building_arch_areas!$A$2:$A$161&amp;base_building_arch_areas!$E$2:$E$161,0))</f>
        <v>2.1648295142744798E-3</v>
      </c>
      <c r="G333" s="191">
        <f>(model_eui_end_uses!AO333*F333*base_building_arch_areas!$P$6)/1000000</f>
        <v>-0.18911079496064961</v>
      </c>
      <c r="AB333" s="187"/>
    </row>
    <row r="334" spans="1:28">
      <c r="A334">
        <f>sim_annual_output!B334</f>
        <v>18</v>
      </c>
      <c r="B334" t="str">
        <f>sim_annual_output!C334</f>
        <v>Office-Small</v>
      </c>
      <c r="C334" t="str">
        <f>sim_annual_output!D334</f>
        <v>2005-2014</v>
      </c>
      <c r="D334">
        <v>2015</v>
      </c>
      <c r="E334" t="str">
        <f>sim_annual_output!E334</f>
        <v>hrv_enabled</v>
      </c>
      <c r="F334">
        <f t="array" ref="F334">INDEX(base_building_arch_areas!$M$2:$M$161,MATCH($A334&amp;$D334,base_building_arch_areas!$A$2:$A$161&amp;base_building_arch_areas!$E$2:$E$161,0))</f>
        <v>2.1648295142744798E-3</v>
      </c>
      <c r="G334" s="191">
        <f>(model_eui_end_uses!AO334*F334*base_building_arch_areas!$P$6)/1000000</f>
        <v>-0.19973022838436608</v>
      </c>
      <c r="AB334" s="187"/>
    </row>
    <row r="335" spans="1:28">
      <c r="A335">
        <f>sim_annual_output!B335</f>
        <v>18</v>
      </c>
      <c r="B335" t="str">
        <f>sim_annual_output!C335</f>
        <v>Office-Small</v>
      </c>
      <c r="C335" t="str">
        <f>sim_annual_output!D335</f>
        <v>2005-2014</v>
      </c>
      <c r="D335">
        <v>2015</v>
      </c>
      <c r="E335" t="str">
        <f>sim_annual_output!E335</f>
        <v>lights_reduce_70p</v>
      </c>
      <c r="F335">
        <f t="array" ref="F335">INDEX(base_building_arch_areas!$M$2:$M$161,MATCH($A335&amp;$D335,base_building_arch_areas!$A$2:$A$161&amp;base_building_arch_areas!$E$2:$E$161,0))</f>
        <v>2.1648295142744798E-3</v>
      </c>
      <c r="G335" s="191">
        <f>(model_eui_end_uses!AO335*F335*base_building_arch_areas!$P$6)/1000000</f>
        <v>1.3662415095279532</v>
      </c>
      <c r="AB335" s="187"/>
    </row>
    <row r="336" spans="1:28">
      <c r="A336">
        <f>sim_annual_output!B336</f>
        <v>18</v>
      </c>
      <c r="B336" t="str">
        <f>sim_annual_output!C336</f>
        <v>Office-Small</v>
      </c>
      <c r="C336" t="str">
        <f>sim_annual_output!D336</f>
        <v>2005-2014</v>
      </c>
      <c r="D336">
        <v>2015</v>
      </c>
      <c r="E336" t="str">
        <f>sim_annual_output!E336</f>
        <v>load_reduce</v>
      </c>
      <c r="F336">
        <f t="array" ref="F336">INDEX(base_building_arch_areas!$M$2:$M$161,MATCH($A336&amp;$D336,base_building_arch_areas!$A$2:$A$161&amp;base_building_arch_areas!$E$2:$E$161,0))</f>
        <v>2.1648295142744798E-3</v>
      </c>
      <c r="G336" s="191">
        <f>(model_eui_end_uses!AO336*F336*base_building_arch_areas!$P$6)/1000000</f>
        <v>8.1522542197700526E-2</v>
      </c>
      <c r="AB336" s="187"/>
    </row>
    <row r="337" spans="1:28">
      <c r="A337">
        <f>sim_annual_output!B337</f>
        <v>18</v>
      </c>
      <c r="B337" t="str">
        <f>sim_annual_output!C337</f>
        <v>Office-Small</v>
      </c>
      <c r="C337" t="str">
        <f>sim_annual_output!D337</f>
        <v>2005-2014</v>
      </c>
      <c r="D337">
        <v>2015</v>
      </c>
      <c r="E337" t="str">
        <f>sim_annual_output!E337</f>
        <v>occupancy_setback</v>
      </c>
      <c r="F337">
        <f t="array" ref="F337">INDEX(base_building_arch_areas!$M$2:$M$161,MATCH($A337&amp;$D337,base_building_arch_areas!$A$2:$A$161&amp;base_building_arch_areas!$E$2:$E$161,0))</f>
        <v>2.1648295142744798E-3</v>
      </c>
      <c r="G337" s="191">
        <f>(model_eui_end_uses!AO337*F337*base_building_arch_areas!$P$6)/1000000</f>
        <v>8.1522542197700526E-2</v>
      </c>
      <c r="AB337" s="187"/>
    </row>
    <row r="338" spans="1:28">
      <c r="A338">
        <f>sim_annual_output!B338</f>
        <v>18</v>
      </c>
      <c r="B338" t="str">
        <f>sim_annual_output!C338</f>
        <v>Office-Small</v>
      </c>
      <c r="C338" t="str">
        <f>sim_annual_output!D338</f>
        <v>2005-2014</v>
      </c>
      <c r="D338">
        <v>2015</v>
      </c>
      <c r="E338" t="str">
        <f>sim_annual_output!E338</f>
        <v>payback_less_than_20</v>
      </c>
      <c r="F338">
        <f t="array" ref="F338">INDEX(base_building_arch_areas!$M$2:$M$161,MATCH($A338&amp;$D338,base_building_arch_areas!$A$2:$A$161&amp;base_building_arch_areas!$E$2:$E$161,0))</f>
        <v>2.1648295142744798E-3</v>
      </c>
      <c r="G338" s="191">
        <f>(model_eui_end_uses!AO338*F338*base_building_arch_areas!$P$6)/1000000</f>
        <v>1.2893590750074022</v>
      </c>
      <c r="AB338" s="187"/>
    </row>
    <row r="339" spans="1:28">
      <c r="A339">
        <f>sim_annual_output!B339</f>
        <v>18</v>
      </c>
      <c r="B339" t="str">
        <f>sim_annual_output!C339</f>
        <v>Office-Small</v>
      </c>
      <c r="C339" t="str">
        <f>sim_annual_output!D339</f>
        <v>2005-2014</v>
      </c>
      <c r="D339">
        <v>2015</v>
      </c>
      <c r="E339" t="str">
        <f>sim_annual_output!E339</f>
        <v>plug_loads_90_percent</v>
      </c>
      <c r="F339">
        <f t="array" ref="F339">INDEX(base_building_arch_areas!$M$2:$M$161,MATCH($A339&amp;$D339,base_building_arch_areas!$A$2:$A$161&amp;base_building_arch_areas!$E$2:$E$161,0))</f>
        <v>2.1648295142744798E-3</v>
      </c>
      <c r="G339" s="191">
        <f>(model_eui_end_uses!AO339*F339*base_building_arch_areas!$P$6)/1000000</f>
        <v>-0.18252504863757471</v>
      </c>
      <c r="AB339" s="187"/>
    </row>
    <row r="340" spans="1:28">
      <c r="A340">
        <f>sim_annual_output!B340</f>
        <v>18</v>
      </c>
      <c r="B340" t="str">
        <f>sim_annual_output!C340</f>
        <v>Office-Small</v>
      </c>
      <c r="C340" t="str">
        <f>sim_annual_output!D340</f>
        <v>2005-2014</v>
      </c>
      <c r="D340">
        <v>2015</v>
      </c>
      <c r="E340" t="str">
        <f>sim_annual_output!E340</f>
        <v>pump_fan_eff_</v>
      </c>
      <c r="F340">
        <f t="array" ref="F340">INDEX(base_building_arch_areas!$M$2:$M$161,MATCH($A340&amp;$D340,base_building_arch_areas!$A$2:$A$161&amp;base_building_arch_areas!$E$2:$E$161,0))</f>
        <v>2.1648295142744798E-3</v>
      </c>
      <c r="G340" s="191">
        <f>(model_eui_end_uses!AO340*F340*base_building_arch_areas!$P$6)/1000000</f>
        <v>-0.19890972153901632</v>
      </c>
      <c r="AB340" s="187"/>
    </row>
    <row r="341" spans="1:28">
      <c r="A341">
        <f>sim_annual_output!B341</f>
        <v>13</v>
      </c>
      <c r="B341" t="str">
        <f>sim_annual_output!C341</f>
        <v>Office</v>
      </c>
      <c r="C341" t="str">
        <f>sim_annual_output!D341</f>
        <v>1959-pre</v>
      </c>
      <c r="D341">
        <v>2015</v>
      </c>
      <c r="E341" t="str">
        <f>sim_annual_output!E341</f>
        <v>air_temp_reset_enabled</v>
      </c>
      <c r="F341">
        <f t="array" ref="F341">INDEX(base_building_arch_areas!$M$2:$M$161,MATCH($A341&amp;$D341,base_building_arch_areas!$A$2:$A$161&amp;base_building_arch_areas!$E$2:$E$161,0))</f>
        <v>7.135295363116663E-2</v>
      </c>
      <c r="G341" s="191">
        <f>(model_eui_end_uses!AO341*F341*base_building_arch_areas!$P$6)/1000000</f>
        <v>419.10007104015762</v>
      </c>
      <c r="AB341" s="187"/>
    </row>
    <row r="342" spans="1:28">
      <c r="A342">
        <f>sim_annual_output!B342</f>
        <v>13</v>
      </c>
      <c r="B342" t="str">
        <f>sim_annual_output!C342</f>
        <v>Office</v>
      </c>
      <c r="C342" t="str">
        <f>sim_annual_output!D342</f>
        <v>1959-pre</v>
      </c>
      <c r="D342">
        <v>2015</v>
      </c>
      <c r="E342" t="str">
        <f>sim_annual_output!E342</f>
        <v>baseline</v>
      </c>
      <c r="F342">
        <f t="array" ref="F342">INDEX(base_building_arch_areas!$M$2:$M$161,MATCH($A342&amp;$D342,base_building_arch_areas!$A$2:$A$161&amp;base_building_arch_areas!$E$2:$E$161,0))</f>
        <v>7.135295363116663E-2</v>
      </c>
      <c r="G342" s="191">
        <f>(model_eui_end_uses!AO342*F342*base_building_arch_areas!$P$6)/1000000</f>
        <v>0</v>
      </c>
      <c r="AB342" s="187"/>
    </row>
    <row r="343" spans="1:28">
      <c r="A343">
        <f>sim_annual_output!B343</f>
        <v>13</v>
      </c>
      <c r="B343" t="str">
        <f>sim_annual_output!C343</f>
        <v>Office</v>
      </c>
      <c r="C343" t="str">
        <f>sim_annual_output!D343</f>
        <v>1959-pre</v>
      </c>
      <c r="D343">
        <v>2015</v>
      </c>
      <c r="E343" t="str">
        <f>sim_annual_output!E343</f>
        <v>boiler_eff_upgrade</v>
      </c>
      <c r="F343">
        <f t="array" ref="F343">INDEX(base_building_arch_areas!$M$2:$M$161,MATCH($A343&amp;$D343,base_building_arch_areas!$A$2:$A$161&amp;base_building_arch_areas!$E$2:$E$161,0))</f>
        <v>7.135295363116663E-2</v>
      </c>
      <c r="G343" s="191">
        <f>(model_eui_end_uses!AO343*F343*base_building_arch_areas!$P$6)/1000000</f>
        <v>12.979392909387229</v>
      </c>
      <c r="AB343" s="187"/>
    </row>
    <row r="344" spans="1:28">
      <c r="A344">
        <f>sim_annual_output!B344</f>
        <v>13</v>
      </c>
      <c r="B344" t="str">
        <f>sim_annual_output!C344</f>
        <v>Office</v>
      </c>
      <c r="C344" t="str">
        <f>sim_annual_output!D344</f>
        <v>1959-pre</v>
      </c>
      <c r="D344">
        <v>2015</v>
      </c>
      <c r="E344" t="str">
        <f>sim_annual_output!E344</f>
        <v>boiler_reset</v>
      </c>
      <c r="F344">
        <f t="array" ref="F344">INDEX(base_building_arch_areas!$M$2:$M$161,MATCH($A344&amp;$D344,base_building_arch_areas!$A$2:$A$161&amp;base_building_arch_areas!$E$2:$E$161,0))</f>
        <v>7.135295363116663E-2</v>
      </c>
      <c r="G344" s="191">
        <f>(model_eui_end_uses!AO344*F344*base_building_arch_areas!$P$6)/1000000</f>
        <v>360.05853056139046</v>
      </c>
      <c r="AB344" s="187"/>
    </row>
    <row r="345" spans="1:28">
      <c r="A345">
        <f>sim_annual_output!B345</f>
        <v>13</v>
      </c>
      <c r="B345" t="str">
        <f>sim_annual_output!C345</f>
        <v>Office</v>
      </c>
      <c r="C345" t="str">
        <f>sim_annual_output!D345</f>
        <v>1959-pre</v>
      </c>
      <c r="D345">
        <v>2015</v>
      </c>
      <c r="E345" t="str">
        <f>sim_annual_output!E345</f>
        <v>cooling_cop_3_0</v>
      </c>
      <c r="F345">
        <f t="array" ref="F345">INDEX(base_building_arch_areas!$M$2:$M$161,MATCH($A345&amp;$D345,base_building_arch_areas!$A$2:$A$161&amp;base_building_arch_areas!$E$2:$E$161,0))</f>
        <v>7.135295363116663E-2</v>
      </c>
      <c r="G345" s="191">
        <f>(model_eui_end_uses!AO345*F345*base_building_arch_areas!$P$6)/1000000</f>
        <v>87.63052266770768</v>
      </c>
      <c r="AB345" s="187"/>
    </row>
    <row r="346" spans="1:28">
      <c r="A346">
        <f>sim_annual_output!B346</f>
        <v>13</v>
      </c>
      <c r="B346" t="str">
        <f>sim_annual_output!C346</f>
        <v>Office</v>
      </c>
      <c r="C346" t="str">
        <f>sim_annual_output!D346</f>
        <v>1959-pre</v>
      </c>
      <c r="D346">
        <v>2015</v>
      </c>
      <c r="E346" t="str">
        <f>sim_annual_output!E346</f>
        <v>dcv_enabled</v>
      </c>
      <c r="F346">
        <f t="array" ref="F346">INDEX(base_building_arch_areas!$M$2:$M$161,MATCH($A346&amp;$D346,base_building_arch_areas!$A$2:$A$161&amp;base_building_arch_areas!$E$2:$E$161,0))</f>
        <v>7.135295363116663E-2</v>
      </c>
      <c r="G346" s="191">
        <f>(model_eui_end_uses!AO346*F346*base_building_arch_areas!$P$6)/1000000</f>
        <v>165.73867029949142</v>
      </c>
      <c r="AB346" s="187"/>
    </row>
    <row r="347" spans="1:28">
      <c r="A347">
        <f>sim_annual_output!B347</f>
        <v>13</v>
      </c>
      <c r="B347" t="str">
        <f>sim_annual_output!C347</f>
        <v>Office</v>
      </c>
      <c r="C347" t="str">
        <f>sim_annual_output!D347</f>
        <v>1959-pre</v>
      </c>
      <c r="D347">
        <v>2015</v>
      </c>
      <c r="E347" t="str">
        <f>sim_annual_output!E347</f>
        <v>ecm_cold_deck_reset_control</v>
      </c>
      <c r="F347">
        <f t="array" ref="F347">INDEX(base_building_arch_areas!$M$2:$M$161,MATCH($A347&amp;$D347,base_building_arch_areas!$A$2:$A$161&amp;base_building_arch_areas!$E$2:$E$161,0))</f>
        <v>7.135295363116663E-2</v>
      </c>
      <c r="G347" s="191">
        <f>(model_eui_end_uses!AO347*F347*base_building_arch_areas!$P$6)/1000000</f>
        <v>475.4828626940602</v>
      </c>
      <c r="AB347" s="187"/>
    </row>
    <row r="348" spans="1:28">
      <c r="A348">
        <f>sim_annual_output!B348</f>
        <v>13</v>
      </c>
      <c r="B348" t="str">
        <f>sim_annual_output!C348</f>
        <v>Office</v>
      </c>
      <c r="C348" t="str">
        <f>sim_annual_output!D348</f>
        <v>1959-pre</v>
      </c>
      <c r="D348">
        <v>2015</v>
      </c>
      <c r="E348" t="str">
        <f>sim_annual_output!E348</f>
        <v>economizers_enabled</v>
      </c>
      <c r="F348">
        <f t="array" ref="F348">INDEX(base_building_arch_areas!$M$2:$M$161,MATCH($A348&amp;$D348,base_building_arch_areas!$A$2:$A$161&amp;base_building_arch_areas!$E$2:$E$161,0))</f>
        <v>7.135295363116663E-2</v>
      </c>
      <c r="G348" s="191">
        <f>(model_eui_end_uses!AO348*F348*base_building_arch_areas!$P$6)/1000000</f>
        <v>14.753175596316272</v>
      </c>
      <c r="AB348" s="187"/>
    </row>
    <row r="349" spans="1:28">
      <c r="A349">
        <f>sim_annual_output!B349</f>
        <v>13</v>
      </c>
      <c r="B349" t="str">
        <f>sim_annual_output!C349</f>
        <v>Office</v>
      </c>
      <c r="C349" t="str">
        <f>sim_annual_output!D349</f>
        <v>1959-pre</v>
      </c>
      <c r="D349">
        <v>2015</v>
      </c>
      <c r="E349" t="str">
        <f>sim_annual_output!E349</f>
        <v>elec_reduce</v>
      </c>
      <c r="F349">
        <f t="array" ref="F349">INDEX(base_building_arch_areas!$M$2:$M$161,MATCH($A349&amp;$D349,base_building_arch_areas!$A$2:$A$161&amp;base_building_arch_areas!$E$2:$E$161,0))</f>
        <v>7.135295363116663E-2</v>
      </c>
      <c r="G349" s="191">
        <f>(model_eui_end_uses!AO349*F349*base_building_arch_areas!$P$6)/1000000</f>
        <v>498.04628291850514</v>
      </c>
      <c r="AB349" s="187"/>
    </row>
    <row r="350" spans="1:28">
      <c r="A350">
        <f>sim_annual_output!B350</f>
        <v>13</v>
      </c>
      <c r="B350" t="str">
        <f>sim_annual_output!C350</f>
        <v>Office</v>
      </c>
      <c r="C350" t="str">
        <f>sim_annual_output!D350</f>
        <v>1959-pre</v>
      </c>
      <c r="D350">
        <v>2015</v>
      </c>
      <c r="E350" t="str">
        <f>sim_annual_output!E350</f>
        <v>envelope_ecm_roof</v>
      </c>
      <c r="F350">
        <f t="array" ref="F350">INDEX(base_building_arch_areas!$M$2:$M$161,MATCH($A350&amp;$D350,base_building_arch_areas!$A$2:$A$161&amp;base_building_arch_areas!$E$2:$E$161,0))</f>
        <v>7.135295363116663E-2</v>
      </c>
      <c r="G350" s="191">
        <f>(model_eui_end_uses!AO350*F350*base_building_arch_areas!$P$6)/1000000</f>
        <v>120.53436460736063</v>
      </c>
      <c r="AB350" s="187"/>
    </row>
    <row r="351" spans="1:28">
      <c r="A351">
        <f>sim_annual_output!B351</f>
        <v>13</v>
      </c>
      <c r="B351" t="str">
        <f>sim_annual_output!C351</f>
        <v>Office</v>
      </c>
      <c r="C351" t="str">
        <f>sim_annual_output!D351</f>
        <v>1959-pre</v>
      </c>
      <c r="D351">
        <v>2015</v>
      </c>
      <c r="E351" t="str">
        <f>sim_annual_output!E351</f>
        <v>envelope_ecm_wall</v>
      </c>
      <c r="F351">
        <f t="array" ref="F351">INDEX(base_building_arch_areas!$M$2:$M$161,MATCH($A351&amp;$D351,base_building_arch_areas!$A$2:$A$161&amp;base_building_arch_areas!$E$2:$E$161,0))</f>
        <v>7.135295363116663E-2</v>
      </c>
      <c r="G351" s="191">
        <f>(model_eui_end_uses!AO351*F351*base_building_arch_areas!$P$6)/1000000</f>
        <v>91.749628434284261</v>
      </c>
      <c r="AB351" s="187"/>
    </row>
    <row r="352" spans="1:28">
      <c r="A352">
        <f>sim_annual_output!B352</f>
        <v>13</v>
      </c>
      <c r="B352" t="str">
        <f>sim_annual_output!C352</f>
        <v>Office</v>
      </c>
      <c r="C352" t="str">
        <f>sim_annual_output!D352</f>
        <v>1959-pre</v>
      </c>
      <c r="D352">
        <v>2015</v>
      </c>
      <c r="E352" t="str">
        <f>sim_annual_output!E352</f>
        <v>envelope_ecm_windows</v>
      </c>
      <c r="F352">
        <f t="array" ref="F352">INDEX(base_building_arch_areas!$M$2:$M$161,MATCH($A352&amp;$D352,base_building_arch_areas!$A$2:$A$161&amp;base_building_arch_areas!$E$2:$E$161,0))</f>
        <v>7.135295363116663E-2</v>
      </c>
      <c r="G352" s="191">
        <f>(model_eui_end_uses!AO352*F352*base_building_arch_areas!$P$6)/1000000</f>
        <v>20.780622776908288</v>
      </c>
      <c r="AB352" s="187"/>
    </row>
    <row r="353" spans="1:28">
      <c r="A353">
        <f>sim_annual_output!B353</f>
        <v>13</v>
      </c>
      <c r="B353" t="str">
        <f>sim_annual_output!C353</f>
        <v>Office</v>
      </c>
      <c r="C353" t="str">
        <f>sim_annual_output!D353</f>
        <v>1959-pre</v>
      </c>
      <c r="D353">
        <v>2015</v>
      </c>
      <c r="E353" t="str">
        <f>sim_annual_output!E353</f>
        <v>exhaust_fans_occ_control</v>
      </c>
      <c r="F353">
        <f t="array" ref="F353">INDEX(base_building_arch_areas!$M$2:$M$161,MATCH($A353&amp;$D353,base_building_arch_areas!$A$2:$A$161&amp;base_building_arch_areas!$E$2:$E$161,0))</f>
        <v>7.135295363116663E-2</v>
      </c>
      <c r="G353" s="191">
        <f>(model_eui_end_uses!AO353*F353*base_building_arch_areas!$P$6)/1000000</f>
        <v>210.13392122184121</v>
      </c>
      <c r="AB353" s="187"/>
    </row>
    <row r="354" spans="1:28">
      <c r="A354">
        <f>sim_annual_output!B354</f>
        <v>13</v>
      </c>
      <c r="B354" t="str">
        <f>sim_annual_output!C354</f>
        <v>Office</v>
      </c>
      <c r="C354" t="str">
        <f>sim_annual_output!D354</f>
        <v>1959-pre</v>
      </c>
      <c r="D354">
        <v>2015</v>
      </c>
      <c r="E354" t="str">
        <f>sim_annual_output!E354</f>
        <v>fans_to_variable</v>
      </c>
      <c r="F354">
        <f t="array" ref="F354">INDEX(base_building_arch_areas!$M$2:$M$161,MATCH($A354&amp;$D354,base_building_arch_areas!$A$2:$A$161&amp;base_building_arch_areas!$E$2:$E$161,0))</f>
        <v>7.135295363116663E-2</v>
      </c>
      <c r="G354" s="191">
        <f>(model_eui_end_uses!AO354*F354*base_building_arch_areas!$P$6)/1000000</f>
        <v>13.528573496644597</v>
      </c>
      <c r="AB354" s="187"/>
    </row>
    <row r="355" spans="1:28">
      <c r="A355">
        <f>sim_annual_output!B355</f>
        <v>13</v>
      </c>
      <c r="B355" t="str">
        <f>sim_annual_output!C355</f>
        <v>Office</v>
      </c>
      <c r="C355" t="str">
        <f>sim_annual_output!D355</f>
        <v>1959-pre</v>
      </c>
      <c r="D355">
        <v>2015</v>
      </c>
      <c r="E355" t="str">
        <f>sim_annual_output!E355</f>
        <v>hrv_enabled</v>
      </c>
      <c r="F355">
        <f t="array" ref="F355">INDEX(base_building_arch_areas!$M$2:$M$161,MATCH($A355&amp;$D355,base_building_arch_areas!$A$2:$A$161&amp;base_building_arch_areas!$E$2:$E$161,0))</f>
        <v>7.135295363116663E-2</v>
      </c>
      <c r="G355" s="191">
        <f>(model_eui_end_uses!AO355*F355*base_building_arch_areas!$P$6)/1000000</f>
        <v>94.09384323537752</v>
      </c>
      <c r="AB355" s="187"/>
    </row>
    <row r="356" spans="1:28">
      <c r="A356">
        <f>sim_annual_output!B356</f>
        <v>13</v>
      </c>
      <c r="B356" t="str">
        <f>sim_annual_output!C356</f>
        <v>Office</v>
      </c>
      <c r="C356" t="str">
        <f>sim_annual_output!D356</f>
        <v>1959-pre</v>
      </c>
      <c r="D356">
        <v>2015</v>
      </c>
      <c r="E356" t="str">
        <f>sim_annual_output!E356</f>
        <v>infil_reduce</v>
      </c>
      <c r="F356">
        <f t="array" ref="F356">INDEX(base_building_arch_areas!$M$2:$M$161,MATCH($A356&amp;$D356,base_building_arch_areas!$A$2:$A$161&amp;base_building_arch_areas!$E$2:$E$161,0))</f>
        <v>7.135295363116663E-2</v>
      </c>
      <c r="G356" s="191">
        <f>(model_eui_end_uses!AO356*F356*base_building_arch_areas!$P$6)/1000000</f>
        <v>585.83589497365847</v>
      </c>
      <c r="AB356" s="187"/>
    </row>
    <row r="357" spans="1:28">
      <c r="A357">
        <f>sim_annual_output!B357</f>
        <v>13</v>
      </c>
      <c r="B357" t="str">
        <f>sim_annual_output!C357</f>
        <v>Office</v>
      </c>
      <c r="C357" t="str">
        <f>sim_annual_output!D357</f>
        <v>1959-pre</v>
      </c>
      <c r="D357">
        <v>2015</v>
      </c>
      <c r="E357" t="str">
        <f>sim_annual_output!E357</f>
        <v>infil_reduce_plus_setback</v>
      </c>
      <c r="F357">
        <f t="array" ref="F357">INDEX(base_building_arch_areas!$M$2:$M$161,MATCH($A357&amp;$D357,base_building_arch_areas!$A$2:$A$161&amp;base_building_arch_areas!$E$2:$E$161,0))</f>
        <v>7.135295363116663E-2</v>
      </c>
      <c r="G357" s="191">
        <f>(model_eui_end_uses!AO357*F357*base_building_arch_areas!$P$6)/1000000</f>
        <v>651.91141664530153</v>
      </c>
      <c r="AB357" s="187"/>
    </row>
    <row r="358" spans="1:28">
      <c r="A358">
        <f>sim_annual_output!B358</f>
        <v>13</v>
      </c>
      <c r="B358" t="str">
        <f>sim_annual_output!C358</f>
        <v>Office</v>
      </c>
      <c r="C358" t="str">
        <f>sim_annual_output!D358</f>
        <v>1959-pre</v>
      </c>
      <c r="D358">
        <v>2015</v>
      </c>
      <c r="E358" t="str">
        <f>sim_annual_output!E358</f>
        <v>lights_reduce_70p</v>
      </c>
      <c r="F358">
        <f t="array" ref="F358">INDEX(base_building_arch_areas!$M$2:$M$161,MATCH($A358&amp;$D358,base_building_arch_areas!$A$2:$A$161&amp;base_building_arch_areas!$E$2:$E$161,0))</f>
        <v>7.135295363116663E-2</v>
      </c>
      <c r="G358" s="191">
        <f>(model_eui_end_uses!AO358*F358*base_building_arch_areas!$P$6)/1000000</f>
        <v>116.47670545998011</v>
      </c>
      <c r="AB358" s="187"/>
    </row>
    <row r="359" spans="1:28">
      <c r="A359">
        <f>sim_annual_output!B359</f>
        <v>13</v>
      </c>
      <c r="B359" t="str">
        <f>sim_annual_output!C359</f>
        <v>Office</v>
      </c>
      <c r="C359" t="str">
        <f>sim_annual_output!D359</f>
        <v>1959-pre</v>
      </c>
      <c r="D359">
        <v>2015</v>
      </c>
      <c r="E359" t="str">
        <f>sim_annual_output!E359</f>
        <v>load_reduce</v>
      </c>
      <c r="F359">
        <f t="array" ref="F359">INDEX(base_building_arch_areas!$M$2:$M$161,MATCH($A359&amp;$D359,base_building_arch_areas!$A$2:$A$161&amp;base_building_arch_areas!$E$2:$E$161,0))</f>
        <v>7.135295363116663E-2</v>
      </c>
      <c r="G359" s="191">
        <f>(model_eui_end_uses!AO359*F359*base_building_arch_areas!$P$6)/1000000</f>
        <v>856.01031554550809</v>
      </c>
      <c r="AB359" s="187"/>
    </row>
    <row r="360" spans="1:28">
      <c r="A360">
        <f>sim_annual_output!B360</f>
        <v>13</v>
      </c>
      <c r="B360" t="str">
        <f>sim_annual_output!C360</f>
        <v>Office</v>
      </c>
      <c r="C360" t="str">
        <f>sim_annual_output!D360</f>
        <v>1959-pre</v>
      </c>
      <c r="D360">
        <v>2015</v>
      </c>
      <c r="E360" t="str">
        <f>sim_annual_output!E360</f>
        <v>occupancy_setback</v>
      </c>
      <c r="F360">
        <f t="array" ref="F360">INDEX(base_building_arch_areas!$M$2:$M$161,MATCH($A360&amp;$D360,base_building_arch_areas!$A$2:$A$161&amp;base_building_arch_areas!$E$2:$E$161,0))</f>
        <v>7.135295363116663E-2</v>
      </c>
      <c r="G360" s="191">
        <f>(model_eui_end_uses!AO360*F360*base_building_arch_areas!$P$6)/1000000</f>
        <v>-3.4264202449382388</v>
      </c>
      <c r="AB360" s="187"/>
    </row>
    <row r="361" spans="1:28">
      <c r="A361">
        <f>sim_annual_output!B361</f>
        <v>13</v>
      </c>
      <c r="B361" t="str">
        <f>sim_annual_output!C361</f>
        <v>Office</v>
      </c>
      <c r="C361" t="str">
        <f>sim_annual_output!D361</f>
        <v>1959-pre</v>
      </c>
      <c r="D361">
        <v>2015</v>
      </c>
      <c r="E361" t="str">
        <f>sim_annual_output!E361</f>
        <v>payback_less_than_20</v>
      </c>
      <c r="F361">
        <f t="array" ref="F361">INDEX(base_building_arch_areas!$M$2:$M$161,MATCH($A361&amp;$D361,base_building_arch_areas!$A$2:$A$161&amp;base_building_arch_areas!$E$2:$E$161,0))</f>
        <v>7.135295363116663E-2</v>
      </c>
      <c r="G361" s="191">
        <f>(model_eui_end_uses!AO361*F361*base_building_arch_areas!$P$6)/1000000</f>
        <v>1621.7287431470131</v>
      </c>
      <c r="AB361" s="187"/>
    </row>
    <row r="362" spans="1:28">
      <c r="A362">
        <f>sim_annual_output!B362</f>
        <v>13</v>
      </c>
      <c r="B362" t="str">
        <f>sim_annual_output!C362</f>
        <v>Office</v>
      </c>
      <c r="C362" t="str">
        <f>sim_annual_output!D362</f>
        <v>1959-pre</v>
      </c>
      <c r="D362">
        <v>2015</v>
      </c>
      <c r="E362" t="str">
        <f>sim_annual_output!E362</f>
        <v>plug_loads_90_percent</v>
      </c>
      <c r="F362">
        <f t="array" ref="F362">INDEX(base_building_arch_areas!$M$2:$M$161,MATCH($A362&amp;$D362,base_building_arch_areas!$A$2:$A$161&amp;base_building_arch_areas!$E$2:$E$161,0))</f>
        <v>7.135295363116663E-2</v>
      </c>
      <c r="G362" s="191">
        <f>(model_eui_end_uses!AO362*F362*base_building_arch_areas!$P$6)/1000000</f>
        <v>11.129230406666995</v>
      </c>
      <c r="AB362" s="187"/>
    </row>
    <row r="363" spans="1:28">
      <c r="A363">
        <f>sim_annual_output!B363</f>
        <v>13</v>
      </c>
      <c r="B363" t="str">
        <f>sim_annual_output!C363</f>
        <v>Office</v>
      </c>
      <c r="C363" t="str">
        <f>sim_annual_output!D363</f>
        <v>1959-pre</v>
      </c>
      <c r="D363">
        <v>2015</v>
      </c>
      <c r="E363" t="str">
        <f>sim_annual_output!E363</f>
        <v>pumps_to_variable</v>
      </c>
      <c r="F363">
        <f t="array" ref="F363">INDEX(base_building_arch_areas!$M$2:$M$161,MATCH($A363&amp;$D363,base_building_arch_areas!$A$2:$A$161&amp;base_building_arch_areas!$E$2:$E$161,0))</f>
        <v>7.135295363116663E-2</v>
      </c>
      <c r="G363" s="191">
        <f>(model_eui_end_uses!AO363*F363*base_building_arch_areas!$P$6)/1000000</f>
        <v>108.90003339343971</v>
      </c>
      <c r="AB363" s="187"/>
    </row>
    <row r="364" spans="1:28">
      <c r="A364">
        <f>sim_annual_output!B364</f>
        <v>13</v>
      </c>
      <c r="B364" t="str">
        <f>sim_annual_output!C364</f>
        <v>Office</v>
      </c>
      <c r="C364" t="str">
        <f>sim_annual_output!D364</f>
        <v>1959-pre</v>
      </c>
      <c r="D364">
        <v>2015</v>
      </c>
      <c r="E364" t="str">
        <f>sim_annual_output!E364</f>
        <v>pump_fan_eff_</v>
      </c>
      <c r="F364">
        <f t="array" ref="F364">INDEX(base_building_arch_areas!$M$2:$M$161,MATCH($A364&amp;$D364,base_building_arch_areas!$A$2:$A$161&amp;base_building_arch_areas!$E$2:$E$161,0))</f>
        <v>7.135295363116663E-2</v>
      </c>
      <c r="G364" s="191">
        <f>(model_eui_end_uses!AO364*F364*base_building_arch_areas!$P$6)/1000000</f>
        <v>46.945159937906652</v>
      </c>
      <c r="AB364" s="187"/>
    </row>
    <row r="365" spans="1:28">
      <c r="A365">
        <f>sim_annual_output!B365</f>
        <v>14</v>
      </c>
      <c r="B365" t="str">
        <f>sim_annual_output!C365</f>
        <v>Office</v>
      </c>
      <c r="C365" t="str">
        <f>sim_annual_output!D365</f>
        <v>1960-1979</v>
      </c>
      <c r="D365">
        <v>2015</v>
      </c>
      <c r="E365" t="str">
        <f>sim_annual_output!E365</f>
        <v>air_temp_reset_enabled</v>
      </c>
      <c r="F365">
        <f t="array" ref="F365">INDEX(base_building_arch_areas!$M$2:$M$161,MATCH($A365&amp;$D365,base_building_arch_areas!$A$2:$A$161&amp;base_building_arch_areas!$E$2:$E$161,0))</f>
        <v>1.5037139141068242E-2</v>
      </c>
      <c r="G365" s="191">
        <f>(model_eui_end_uses!AO365*F365*base_building_arch_areas!$P$6)/1000000</f>
        <v>83.042573117398305</v>
      </c>
      <c r="AB365" s="187"/>
    </row>
    <row r="366" spans="1:28">
      <c r="A366">
        <f>sim_annual_output!B366</f>
        <v>14</v>
      </c>
      <c r="B366" t="str">
        <f>sim_annual_output!C366</f>
        <v>Office</v>
      </c>
      <c r="C366" t="str">
        <f>sim_annual_output!D366</f>
        <v>1960-1979</v>
      </c>
      <c r="D366">
        <v>2015</v>
      </c>
      <c r="E366" t="str">
        <f>sim_annual_output!E366</f>
        <v>baseline</v>
      </c>
      <c r="F366">
        <f t="array" ref="F366">INDEX(base_building_arch_areas!$M$2:$M$161,MATCH($A366&amp;$D366,base_building_arch_areas!$A$2:$A$161&amp;base_building_arch_areas!$E$2:$E$161,0))</f>
        <v>1.5037139141068242E-2</v>
      </c>
      <c r="G366" s="191">
        <f>(model_eui_end_uses!AO366*F366*base_building_arch_areas!$P$6)/1000000</f>
        <v>0</v>
      </c>
      <c r="AB366" s="187"/>
    </row>
    <row r="367" spans="1:28">
      <c r="A367">
        <f>sim_annual_output!B367</f>
        <v>14</v>
      </c>
      <c r="B367" t="str">
        <f>sim_annual_output!C367</f>
        <v>Office</v>
      </c>
      <c r="C367" t="str">
        <f>sim_annual_output!D367</f>
        <v>1960-1979</v>
      </c>
      <c r="D367">
        <v>2015</v>
      </c>
      <c r="E367" t="str">
        <f>sim_annual_output!E367</f>
        <v>boiler_eff_upgrade</v>
      </c>
      <c r="F367">
        <f t="array" ref="F367">INDEX(base_building_arch_areas!$M$2:$M$161,MATCH($A367&amp;$D367,base_building_arch_areas!$A$2:$A$161&amp;base_building_arch_areas!$E$2:$E$161,0))</f>
        <v>1.5037139141068242E-2</v>
      </c>
      <c r="G367" s="191">
        <f>(model_eui_end_uses!AO367*F367*base_building_arch_areas!$P$6)/1000000</f>
        <v>3.5098012416218527</v>
      </c>
      <c r="AB367" s="187"/>
    </row>
    <row r="368" spans="1:28">
      <c r="A368">
        <f>sim_annual_output!B368</f>
        <v>14</v>
      </c>
      <c r="B368" t="str">
        <f>sim_annual_output!C368</f>
        <v>Office</v>
      </c>
      <c r="C368" t="str">
        <f>sim_annual_output!D368</f>
        <v>1960-1979</v>
      </c>
      <c r="D368">
        <v>2015</v>
      </c>
      <c r="E368" t="str">
        <f>sim_annual_output!E368</f>
        <v>boiler_reset</v>
      </c>
      <c r="F368">
        <f t="array" ref="F368">INDEX(base_building_arch_areas!$M$2:$M$161,MATCH($A368&amp;$D368,base_building_arch_areas!$A$2:$A$161&amp;base_building_arch_areas!$E$2:$E$161,0))</f>
        <v>1.5037139141068242E-2</v>
      </c>
      <c r="G368" s="191">
        <f>(model_eui_end_uses!AO368*F368*base_building_arch_areas!$P$6)/1000000</f>
        <v>71.015697441196068</v>
      </c>
      <c r="AB368" s="187"/>
    </row>
    <row r="369" spans="1:28">
      <c r="A369">
        <f>sim_annual_output!B369</f>
        <v>14</v>
      </c>
      <c r="B369" t="str">
        <f>sim_annual_output!C369</f>
        <v>Office</v>
      </c>
      <c r="C369" t="str">
        <f>sim_annual_output!D369</f>
        <v>1960-1979</v>
      </c>
      <c r="D369">
        <v>2015</v>
      </c>
      <c r="E369" t="str">
        <f>sim_annual_output!E369</f>
        <v>cooling_cop_3_0</v>
      </c>
      <c r="F369">
        <f t="array" ref="F369">INDEX(base_building_arch_areas!$M$2:$M$161,MATCH($A369&amp;$D369,base_building_arch_areas!$A$2:$A$161&amp;base_building_arch_areas!$E$2:$E$161,0))</f>
        <v>1.5037139141068242E-2</v>
      </c>
      <c r="G369" s="191">
        <f>(model_eui_end_uses!AO369*F369*base_building_arch_areas!$P$6)/1000000</f>
        <v>18.337039592863043</v>
      </c>
      <c r="AB369" s="187"/>
    </row>
    <row r="370" spans="1:28">
      <c r="A370">
        <f>sim_annual_output!B370</f>
        <v>14</v>
      </c>
      <c r="B370" t="str">
        <f>sim_annual_output!C370</f>
        <v>Office</v>
      </c>
      <c r="C370" t="str">
        <f>sim_annual_output!D370</f>
        <v>1960-1979</v>
      </c>
      <c r="D370">
        <v>2015</v>
      </c>
      <c r="E370" t="str">
        <f>sim_annual_output!E370</f>
        <v>dcv_enabled</v>
      </c>
      <c r="F370">
        <f t="array" ref="F370">INDEX(base_building_arch_areas!$M$2:$M$161,MATCH($A370&amp;$D370,base_building_arch_areas!$A$2:$A$161&amp;base_building_arch_areas!$E$2:$E$161,0))</f>
        <v>1.5037139141068242E-2</v>
      </c>
      <c r="G370" s="191">
        <f>(model_eui_end_uses!AO370*F370*base_building_arch_areas!$P$6)/1000000</f>
        <v>35.396362593453063</v>
      </c>
      <c r="AB370" s="187"/>
    </row>
    <row r="371" spans="1:28">
      <c r="A371">
        <f>sim_annual_output!B371</f>
        <v>14</v>
      </c>
      <c r="B371" t="str">
        <f>sim_annual_output!C371</f>
        <v>Office</v>
      </c>
      <c r="C371" t="str">
        <f>sim_annual_output!D371</f>
        <v>1960-1979</v>
      </c>
      <c r="D371">
        <v>2015</v>
      </c>
      <c r="E371" t="str">
        <f>sim_annual_output!E371</f>
        <v>ecm_cold_deck_reset_control</v>
      </c>
      <c r="F371">
        <f t="array" ref="F371">INDEX(base_building_arch_areas!$M$2:$M$161,MATCH($A371&amp;$D371,base_building_arch_areas!$A$2:$A$161&amp;base_building_arch_areas!$E$2:$E$161,0))</f>
        <v>1.5037139141068242E-2</v>
      </c>
      <c r="G371" s="191">
        <f>(model_eui_end_uses!AO371*F371*base_building_arch_areas!$P$6)/1000000</f>
        <v>94.413199759611658</v>
      </c>
      <c r="AB371" s="187"/>
    </row>
    <row r="372" spans="1:28">
      <c r="A372">
        <f>sim_annual_output!B372</f>
        <v>14</v>
      </c>
      <c r="B372" t="str">
        <f>sim_annual_output!C372</f>
        <v>Office</v>
      </c>
      <c r="C372" t="str">
        <f>sim_annual_output!D372</f>
        <v>1960-1979</v>
      </c>
      <c r="D372">
        <v>2015</v>
      </c>
      <c r="E372" t="str">
        <f>sim_annual_output!E372</f>
        <v>economizers_enabled</v>
      </c>
      <c r="F372">
        <f t="array" ref="F372">INDEX(base_building_arch_areas!$M$2:$M$161,MATCH($A372&amp;$D372,base_building_arch_areas!$A$2:$A$161&amp;base_building_arch_areas!$E$2:$E$161,0))</f>
        <v>1.5037139141068242E-2</v>
      </c>
      <c r="G372" s="191">
        <f>(model_eui_end_uses!AO372*F372*base_building_arch_areas!$P$6)/1000000</f>
        <v>3.856871971256246</v>
      </c>
      <c r="AB372" s="187"/>
    </row>
    <row r="373" spans="1:28">
      <c r="A373">
        <f>sim_annual_output!B373</f>
        <v>14</v>
      </c>
      <c r="B373" t="str">
        <f>sim_annual_output!C373</f>
        <v>Office</v>
      </c>
      <c r="C373" t="str">
        <f>sim_annual_output!D373</f>
        <v>1960-1979</v>
      </c>
      <c r="D373">
        <v>2015</v>
      </c>
      <c r="E373" t="str">
        <f>sim_annual_output!E373</f>
        <v>elec_reduce</v>
      </c>
      <c r="F373">
        <f t="array" ref="F373">INDEX(base_building_arch_areas!$M$2:$M$161,MATCH($A373&amp;$D373,base_building_arch_areas!$A$2:$A$161&amp;base_building_arch_areas!$E$2:$E$161,0))</f>
        <v>1.5037139141068242E-2</v>
      </c>
      <c r="G373" s="191">
        <f>(model_eui_end_uses!AO373*F373*base_building_arch_areas!$P$6)/1000000</f>
        <v>105.32299893711283</v>
      </c>
      <c r="AB373" s="187"/>
    </row>
    <row r="374" spans="1:28">
      <c r="A374">
        <f>sim_annual_output!B374</f>
        <v>14</v>
      </c>
      <c r="B374" t="str">
        <f>sim_annual_output!C374</f>
        <v>Office</v>
      </c>
      <c r="C374" t="str">
        <f>sim_annual_output!D374</f>
        <v>1960-1979</v>
      </c>
      <c r="D374">
        <v>2015</v>
      </c>
      <c r="E374" t="str">
        <f>sim_annual_output!E374</f>
        <v>envelope_ecm_roof</v>
      </c>
      <c r="F374">
        <f t="array" ref="F374">INDEX(base_building_arch_areas!$M$2:$M$161,MATCH($A374&amp;$D374,base_building_arch_areas!$A$2:$A$161&amp;base_building_arch_areas!$E$2:$E$161,0))</f>
        <v>1.5037139141068242E-2</v>
      </c>
      <c r="G374" s="191">
        <f>(model_eui_end_uses!AO374*F374*base_building_arch_areas!$P$6)/1000000</f>
        <v>53.054996064100415</v>
      </c>
      <c r="AB374" s="187"/>
    </row>
    <row r="375" spans="1:28">
      <c r="A375">
        <f>sim_annual_output!B375</f>
        <v>14</v>
      </c>
      <c r="B375" t="str">
        <f>sim_annual_output!C375</f>
        <v>Office</v>
      </c>
      <c r="C375" t="str">
        <f>sim_annual_output!D375</f>
        <v>1960-1979</v>
      </c>
      <c r="D375">
        <v>2015</v>
      </c>
      <c r="E375" t="str">
        <f>sim_annual_output!E375</f>
        <v>envelope_ecm_wall</v>
      </c>
      <c r="F375">
        <f t="array" ref="F375">INDEX(base_building_arch_areas!$M$2:$M$161,MATCH($A375&amp;$D375,base_building_arch_areas!$A$2:$A$161&amp;base_building_arch_areas!$E$2:$E$161,0))</f>
        <v>1.5037139141068242E-2</v>
      </c>
      <c r="G375" s="191">
        <f>(model_eui_end_uses!AO375*F375*base_building_arch_areas!$P$6)/1000000</f>
        <v>18.795278612688893</v>
      </c>
      <c r="AB375" s="187"/>
    </row>
    <row r="376" spans="1:28">
      <c r="A376">
        <f>sim_annual_output!B376</f>
        <v>14</v>
      </c>
      <c r="B376" t="str">
        <f>sim_annual_output!C376</f>
        <v>Office</v>
      </c>
      <c r="C376" t="str">
        <f>sim_annual_output!D376</f>
        <v>1960-1979</v>
      </c>
      <c r="D376">
        <v>2015</v>
      </c>
      <c r="E376" t="str">
        <f>sim_annual_output!E376</f>
        <v>envelope_ecm_windows</v>
      </c>
      <c r="F376">
        <f t="array" ref="F376">INDEX(base_building_arch_areas!$M$2:$M$161,MATCH($A376&amp;$D376,base_building_arch_areas!$A$2:$A$161&amp;base_building_arch_areas!$E$2:$E$161,0))</f>
        <v>1.5037139141068242E-2</v>
      </c>
      <c r="G376" s="191">
        <f>(model_eui_end_uses!AO376*F376*base_building_arch_areas!$P$6)/1000000</f>
        <v>4.9161045522793847</v>
      </c>
      <c r="AB376" s="187"/>
    </row>
    <row r="377" spans="1:28">
      <c r="A377">
        <f>sim_annual_output!B377</f>
        <v>14</v>
      </c>
      <c r="B377" t="str">
        <f>sim_annual_output!C377</f>
        <v>Office</v>
      </c>
      <c r="C377" t="str">
        <f>sim_annual_output!D377</f>
        <v>1960-1979</v>
      </c>
      <c r="D377">
        <v>2015</v>
      </c>
      <c r="E377" t="str">
        <f>sim_annual_output!E377</f>
        <v>exhaust_fans_occ_control</v>
      </c>
      <c r="F377">
        <f t="array" ref="F377">INDEX(base_building_arch_areas!$M$2:$M$161,MATCH($A377&amp;$D377,base_building_arch_areas!$A$2:$A$161&amp;base_building_arch_areas!$E$2:$E$161,0))</f>
        <v>1.5037139141068242E-2</v>
      </c>
      <c r="G377" s="191">
        <f>(model_eui_end_uses!AO377*F377*base_building_arch_areas!$P$6)/1000000</f>
        <v>45.060842877234968</v>
      </c>
      <c r="AB377" s="187"/>
    </row>
    <row r="378" spans="1:28">
      <c r="A378">
        <f>sim_annual_output!B378</f>
        <v>14</v>
      </c>
      <c r="B378" t="str">
        <f>sim_annual_output!C378</f>
        <v>Office</v>
      </c>
      <c r="C378" t="str">
        <f>sim_annual_output!D378</f>
        <v>1960-1979</v>
      </c>
      <c r="D378">
        <v>2015</v>
      </c>
      <c r="E378" t="str">
        <f>sim_annual_output!E378</f>
        <v>fans_to_variable</v>
      </c>
      <c r="F378">
        <f t="array" ref="F378">INDEX(base_building_arch_areas!$M$2:$M$161,MATCH($A378&amp;$D378,base_building_arch_areas!$A$2:$A$161&amp;base_building_arch_areas!$E$2:$E$161,0))</f>
        <v>1.5037139141068242E-2</v>
      </c>
      <c r="G378" s="191">
        <f>(model_eui_end_uses!AO378*F378*base_building_arch_areas!$P$6)/1000000</f>
        <v>3.6168472828408795</v>
      </c>
      <c r="AB378" s="187"/>
    </row>
    <row r="379" spans="1:28">
      <c r="A379">
        <f>sim_annual_output!B379</f>
        <v>14</v>
      </c>
      <c r="B379" t="str">
        <f>sim_annual_output!C379</f>
        <v>Office</v>
      </c>
      <c r="C379" t="str">
        <f>sim_annual_output!D379</f>
        <v>1960-1979</v>
      </c>
      <c r="D379">
        <v>2015</v>
      </c>
      <c r="E379" t="str">
        <f>sim_annual_output!E379</f>
        <v>hrv_enabled</v>
      </c>
      <c r="F379">
        <f t="array" ref="F379">INDEX(base_building_arch_areas!$M$2:$M$161,MATCH($A379&amp;$D379,base_building_arch_areas!$A$2:$A$161&amp;base_building_arch_areas!$E$2:$E$161,0))</f>
        <v>1.5037139141068242E-2</v>
      </c>
      <c r="G379" s="191">
        <f>(model_eui_end_uses!AO379*F379*base_building_arch_areas!$P$6)/1000000</f>
        <v>20.313771144358178</v>
      </c>
      <c r="AB379" s="187"/>
    </row>
    <row r="380" spans="1:28">
      <c r="A380">
        <f>sim_annual_output!B380</f>
        <v>14</v>
      </c>
      <c r="B380" t="str">
        <f>sim_annual_output!C380</f>
        <v>Office</v>
      </c>
      <c r="C380" t="str">
        <f>sim_annual_output!D380</f>
        <v>1960-1979</v>
      </c>
      <c r="D380">
        <v>2015</v>
      </c>
      <c r="E380" t="str">
        <f>sim_annual_output!E380</f>
        <v>infil_reduce</v>
      </c>
      <c r="F380">
        <f t="array" ref="F380">INDEX(base_building_arch_areas!$M$2:$M$161,MATCH($A380&amp;$D380,base_building_arch_areas!$A$2:$A$161&amp;base_building_arch_areas!$E$2:$E$161,0))</f>
        <v>1.5037139141068242E-2</v>
      </c>
      <c r="G380" s="191">
        <f>(model_eui_end_uses!AO380*F380*base_building_arch_areas!$P$6)/1000000</f>
        <v>74.10049288747652</v>
      </c>
      <c r="AB380" s="187"/>
    </row>
    <row r="381" spans="1:28">
      <c r="A381">
        <f>sim_annual_output!B381</f>
        <v>14</v>
      </c>
      <c r="B381" t="str">
        <f>sim_annual_output!C381</f>
        <v>Office</v>
      </c>
      <c r="C381" t="str">
        <f>sim_annual_output!D381</f>
        <v>1960-1979</v>
      </c>
      <c r="D381">
        <v>2015</v>
      </c>
      <c r="E381" t="str">
        <f>sim_annual_output!E381</f>
        <v>infil_reduce_plus_setback</v>
      </c>
      <c r="F381">
        <f t="array" ref="F381">INDEX(base_building_arch_areas!$M$2:$M$161,MATCH($A381&amp;$D381,base_building_arch_areas!$A$2:$A$161&amp;base_building_arch_areas!$E$2:$E$161,0))</f>
        <v>1.5037139141068242E-2</v>
      </c>
      <c r="G381" s="191">
        <f>(model_eui_end_uses!AO381*F381*base_building_arch_areas!$P$6)/1000000</f>
        <v>89.696489738527532</v>
      </c>
      <c r="AB381" s="187"/>
    </row>
    <row r="382" spans="1:28">
      <c r="A382">
        <f>sim_annual_output!B382</f>
        <v>14</v>
      </c>
      <c r="B382" t="str">
        <f>sim_annual_output!C382</f>
        <v>Office</v>
      </c>
      <c r="C382" t="str">
        <f>sim_annual_output!D382</f>
        <v>1960-1979</v>
      </c>
      <c r="D382">
        <v>2015</v>
      </c>
      <c r="E382" t="str">
        <f>sim_annual_output!E382</f>
        <v>lights_reduce_70p</v>
      </c>
      <c r="F382">
        <f t="array" ref="F382">INDEX(base_building_arch_areas!$M$2:$M$161,MATCH($A382&amp;$D382,base_building_arch_areas!$A$2:$A$161&amp;base_building_arch_areas!$E$2:$E$161,0))</f>
        <v>1.5037139141068242E-2</v>
      </c>
      <c r="G382" s="191">
        <f>(model_eui_end_uses!AO382*F382*base_building_arch_areas!$P$6)/1000000</f>
        <v>25.925437790774112</v>
      </c>
      <c r="AB382" s="187"/>
    </row>
    <row r="383" spans="1:28">
      <c r="A383">
        <f>sim_annual_output!B383</f>
        <v>14</v>
      </c>
      <c r="B383" t="str">
        <f>sim_annual_output!C383</f>
        <v>Office</v>
      </c>
      <c r="C383" t="str">
        <f>sim_annual_output!D383</f>
        <v>1960-1979</v>
      </c>
      <c r="D383">
        <v>2015</v>
      </c>
      <c r="E383" t="str">
        <f>sim_annual_output!E383</f>
        <v>load_reduce</v>
      </c>
      <c r="F383">
        <f t="array" ref="F383">INDEX(base_building_arch_areas!$M$2:$M$161,MATCH($A383&amp;$D383,base_building_arch_areas!$A$2:$A$161&amp;base_building_arch_areas!$E$2:$E$161,0))</f>
        <v>1.5037139141068242E-2</v>
      </c>
      <c r="G383" s="191">
        <f>(model_eui_end_uses!AO383*F383*base_building_arch_areas!$P$6)/1000000</f>
        <v>138.47056636260223</v>
      </c>
      <c r="AB383" s="187"/>
    </row>
    <row r="384" spans="1:28">
      <c r="A384">
        <f>sim_annual_output!B384</f>
        <v>14</v>
      </c>
      <c r="B384" t="str">
        <f>sim_annual_output!C384</f>
        <v>Office</v>
      </c>
      <c r="C384" t="str">
        <f>sim_annual_output!D384</f>
        <v>1960-1979</v>
      </c>
      <c r="D384">
        <v>2015</v>
      </c>
      <c r="E384" t="str">
        <f>sim_annual_output!E384</f>
        <v>occupancy_setback</v>
      </c>
      <c r="F384">
        <f t="array" ref="F384">INDEX(base_building_arch_areas!$M$2:$M$161,MATCH($A384&amp;$D384,base_building_arch_areas!$A$2:$A$161&amp;base_building_arch_areas!$E$2:$E$161,0))</f>
        <v>1.5037139141068242E-2</v>
      </c>
      <c r="G384" s="191">
        <f>(model_eui_end_uses!AO384*F384*base_building_arch_areas!$P$6)/1000000</f>
        <v>0.84028626147734109</v>
      </c>
      <c r="AB384" s="187"/>
    </row>
    <row r="385" spans="1:28">
      <c r="A385">
        <f>sim_annual_output!B385</f>
        <v>14</v>
      </c>
      <c r="B385" t="str">
        <f>sim_annual_output!C385</f>
        <v>Office</v>
      </c>
      <c r="C385" t="str">
        <f>sim_annual_output!D385</f>
        <v>1960-1979</v>
      </c>
      <c r="D385">
        <v>2015</v>
      </c>
      <c r="E385" t="str">
        <f>sim_annual_output!E385</f>
        <v>payback_less_than_20</v>
      </c>
      <c r="F385">
        <f t="array" ref="F385">INDEX(base_building_arch_areas!$M$2:$M$161,MATCH($A385&amp;$D385,base_building_arch_areas!$A$2:$A$161&amp;base_building_arch_areas!$E$2:$E$161,0))</f>
        <v>1.5037139141068242E-2</v>
      </c>
      <c r="G385" s="191">
        <f>(model_eui_end_uses!AO385*F385*base_building_arch_areas!$P$6)/1000000</f>
        <v>303.37568271120705</v>
      </c>
      <c r="AB385" s="187"/>
    </row>
    <row r="386" spans="1:28">
      <c r="A386">
        <f>sim_annual_output!B386</f>
        <v>14</v>
      </c>
      <c r="B386" t="str">
        <f>sim_annual_output!C386</f>
        <v>Office</v>
      </c>
      <c r="C386" t="str">
        <f>sim_annual_output!D386</f>
        <v>1960-1979</v>
      </c>
      <c r="D386">
        <v>2015</v>
      </c>
      <c r="E386" t="str">
        <f>sim_annual_output!E386</f>
        <v>plug_loads_90_percent</v>
      </c>
      <c r="F386">
        <f t="array" ref="F386">INDEX(base_building_arch_areas!$M$2:$M$161,MATCH($A386&amp;$D386,base_building_arch_areas!$A$2:$A$161&amp;base_building_arch_areas!$E$2:$E$161,0))</f>
        <v>1.5037139141068242E-2</v>
      </c>
      <c r="G386" s="191">
        <f>(model_eui_end_uses!AO386*F386*base_building_arch_areas!$P$6)/1000000</f>
        <v>3.0278279880804115</v>
      </c>
      <c r="AB386" s="187"/>
    </row>
    <row r="387" spans="1:28">
      <c r="A387">
        <f>sim_annual_output!B387</f>
        <v>14</v>
      </c>
      <c r="B387" t="str">
        <f>sim_annual_output!C387</f>
        <v>Office</v>
      </c>
      <c r="C387" t="str">
        <f>sim_annual_output!D387</f>
        <v>1960-1979</v>
      </c>
      <c r="D387">
        <v>2015</v>
      </c>
      <c r="E387" t="str">
        <f>sim_annual_output!E387</f>
        <v>pumps_to_variable</v>
      </c>
      <c r="F387">
        <f t="array" ref="F387">INDEX(base_building_arch_areas!$M$2:$M$161,MATCH($A387&amp;$D387,base_building_arch_areas!$A$2:$A$161&amp;base_building_arch_areas!$E$2:$E$161,0))</f>
        <v>1.5037139141068242E-2</v>
      </c>
      <c r="G387" s="191">
        <f>(model_eui_end_uses!AO387*F387*base_building_arch_areas!$P$6)/1000000</f>
        <v>22.477682175040997</v>
      </c>
      <c r="AB387" s="187"/>
    </row>
    <row r="388" spans="1:28">
      <c r="A388">
        <f>sim_annual_output!B388</f>
        <v>14</v>
      </c>
      <c r="B388" t="str">
        <f>sim_annual_output!C388</f>
        <v>Office</v>
      </c>
      <c r="C388" t="str">
        <f>sim_annual_output!D388</f>
        <v>1960-1979</v>
      </c>
      <c r="D388">
        <v>2015</v>
      </c>
      <c r="E388" t="str">
        <f>sim_annual_output!E388</f>
        <v>pump_fan_eff_</v>
      </c>
      <c r="F388">
        <f t="array" ref="F388">INDEX(base_building_arch_areas!$M$2:$M$161,MATCH($A388&amp;$D388,base_building_arch_areas!$A$2:$A$161&amp;base_building_arch_areas!$E$2:$E$161,0))</f>
        <v>1.5037139141068242E-2</v>
      </c>
      <c r="G388" s="191">
        <f>(model_eui_end_uses!AO388*F388*base_building_arch_areas!$P$6)/1000000</f>
        <v>10.186038685166027</v>
      </c>
      <c r="AB388" s="187"/>
    </row>
    <row r="389" spans="1:28">
      <c r="A389">
        <f>sim_annual_output!B389</f>
        <v>15</v>
      </c>
      <c r="B389" t="str">
        <f>sim_annual_output!C389</f>
        <v>Office</v>
      </c>
      <c r="C389" t="str">
        <f>sim_annual_output!D389</f>
        <v>1980-2004</v>
      </c>
      <c r="D389">
        <v>2015</v>
      </c>
      <c r="E389" t="str">
        <f>sim_annual_output!E389</f>
        <v>air_temp_reset_enabled</v>
      </c>
      <c r="F389">
        <f t="array" ref="F389">INDEX(base_building_arch_areas!$M$2:$M$161,MATCH($A389&amp;$D389,base_building_arch_areas!$A$2:$A$161&amp;base_building_arch_areas!$E$2:$E$161,0))</f>
        <v>7.6404222497807081E-2</v>
      </c>
      <c r="G389" s="191">
        <f>(model_eui_end_uses!AO389*F389*base_building_arch_areas!$P$6)/1000000</f>
        <v>171.11784958269178</v>
      </c>
      <c r="AB389" s="187"/>
    </row>
    <row r="390" spans="1:28">
      <c r="A390">
        <f>sim_annual_output!B390</f>
        <v>15</v>
      </c>
      <c r="B390" t="str">
        <f>sim_annual_output!C390</f>
        <v>Office</v>
      </c>
      <c r="C390" t="str">
        <f>sim_annual_output!D390</f>
        <v>1980-2004</v>
      </c>
      <c r="D390">
        <v>2015</v>
      </c>
      <c r="E390" t="str">
        <f>sim_annual_output!E390</f>
        <v>baseline</v>
      </c>
      <c r="F390">
        <f t="array" ref="F390">INDEX(base_building_arch_areas!$M$2:$M$161,MATCH($A390&amp;$D390,base_building_arch_areas!$A$2:$A$161&amp;base_building_arch_areas!$E$2:$E$161,0))</f>
        <v>7.6404222497807081E-2</v>
      </c>
      <c r="G390" s="191">
        <f>(model_eui_end_uses!AO390*F390*base_building_arch_areas!$P$6)/1000000</f>
        <v>0</v>
      </c>
      <c r="AB390" s="187"/>
    </row>
    <row r="391" spans="1:28">
      <c r="A391">
        <f>sim_annual_output!B391</f>
        <v>15</v>
      </c>
      <c r="B391" t="str">
        <f>sim_annual_output!C391</f>
        <v>Office</v>
      </c>
      <c r="C391" t="str">
        <f>sim_annual_output!D391</f>
        <v>1980-2004</v>
      </c>
      <c r="D391">
        <v>2015</v>
      </c>
      <c r="E391" t="str">
        <f>sim_annual_output!E391</f>
        <v>boiler_eff_upgrade</v>
      </c>
      <c r="F391">
        <f t="array" ref="F391">INDEX(base_building_arch_areas!$M$2:$M$161,MATCH($A391&amp;$D391,base_building_arch_areas!$A$2:$A$161&amp;base_building_arch_areas!$E$2:$E$161,0))</f>
        <v>7.6404222497807081E-2</v>
      </c>
      <c r="G391" s="191">
        <f>(model_eui_end_uses!AO391*F391*base_building_arch_areas!$P$6)/1000000</f>
        <v>-130.8097050860577</v>
      </c>
      <c r="AB391" s="187"/>
    </row>
    <row r="392" spans="1:28">
      <c r="A392">
        <f>sim_annual_output!B392</f>
        <v>15</v>
      </c>
      <c r="B392" t="str">
        <f>sim_annual_output!C392</f>
        <v>Office</v>
      </c>
      <c r="C392" t="str">
        <f>sim_annual_output!D392</f>
        <v>1980-2004</v>
      </c>
      <c r="D392">
        <v>2015</v>
      </c>
      <c r="E392" t="str">
        <f>sim_annual_output!E392</f>
        <v>boiler_reset</v>
      </c>
      <c r="F392">
        <f t="array" ref="F392">INDEX(base_building_arch_areas!$M$2:$M$161,MATCH($A392&amp;$D392,base_building_arch_areas!$A$2:$A$161&amp;base_building_arch_areas!$E$2:$E$161,0))</f>
        <v>7.6404222497807081E-2</v>
      </c>
      <c r="G392" s="191">
        <f>(model_eui_end_uses!AO392*F392*base_building_arch_areas!$P$6)/1000000</f>
        <v>116.02532822690503</v>
      </c>
      <c r="AB392" s="187"/>
    </row>
    <row r="393" spans="1:28">
      <c r="A393">
        <f>sim_annual_output!B393</f>
        <v>15</v>
      </c>
      <c r="B393" t="str">
        <f>sim_annual_output!C393</f>
        <v>Office</v>
      </c>
      <c r="C393" t="str">
        <f>sim_annual_output!D393</f>
        <v>1980-2004</v>
      </c>
      <c r="D393">
        <v>2015</v>
      </c>
      <c r="E393" t="str">
        <f>sim_annual_output!E393</f>
        <v>cooling_cop_3_0</v>
      </c>
      <c r="F393">
        <f t="array" ref="F393">INDEX(base_building_arch_areas!$M$2:$M$161,MATCH($A393&amp;$D393,base_building_arch_areas!$A$2:$A$161&amp;base_building_arch_areas!$E$2:$E$161,0))</f>
        <v>7.6404222497807081E-2</v>
      </c>
      <c r="G393" s="191">
        <f>(model_eui_end_uses!AO393*F393*base_building_arch_areas!$P$6)/1000000</f>
        <v>-103.06098959199947</v>
      </c>
      <c r="AB393" s="187"/>
    </row>
    <row r="394" spans="1:28">
      <c r="A394">
        <f>sim_annual_output!B394</f>
        <v>15</v>
      </c>
      <c r="B394" t="str">
        <f>sim_annual_output!C394</f>
        <v>Office</v>
      </c>
      <c r="C394" t="str">
        <f>sim_annual_output!D394</f>
        <v>1980-2004</v>
      </c>
      <c r="D394">
        <v>2015</v>
      </c>
      <c r="E394" t="str">
        <f>sim_annual_output!E394</f>
        <v>dcv_enabled</v>
      </c>
      <c r="F394">
        <f t="array" ref="F394">INDEX(base_building_arch_areas!$M$2:$M$161,MATCH($A394&amp;$D394,base_building_arch_areas!$A$2:$A$161&amp;base_building_arch_areas!$E$2:$E$161,0))</f>
        <v>7.6404222497807081E-2</v>
      </c>
      <c r="G394" s="191">
        <f>(model_eui_end_uses!AO394*F394*base_building_arch_areas!$P$6)/1000000</f>
        <v>34.178393127395061</v>
      </c>
      <c r="AB394" s="187"/>
    </row>
    <row r="395" spans="1:28">
      <c r="A395">
        <f>sim_annual_output!B395</f>
        <v>15</v>
      </c>
      <c r="B395" t="str">
        <f>sim_annual_output!C395</f>
        <v>Office</v>
      </c>
      <c r="C395" t="str">
        <f>sim_annual_output!D395</f>
        <v>1980-2004</v>
      </c>
      <c r="D395">
        <v>2015</v>
      </c>
      <c r="E395" t="str">
        <f>sim_annual_output!E395</f>
        <v>ecm_cold_deck_reset_control</v>
      </c>
      <c r="F395">
        <f t="array" ref="F395">INDEX(base_building_arch_areas!$M$2:$M$161,MATCH($A395&amp;$D395,base_building_arch_areas!$A$2:$A$161&amp;base_building_arch_areas!$E$2:$E$161,0))</f>
        <v>7.6404222497807081E-2</v>
      </c>
      <c r="G395" s="191">
        <f>(model_eui_end_uses!AO395*F395*base_building_arch_areas!$P$6)/1000000</f>
        <v>226.52319225794434</v>
      </c>
      <c r="AB395" s="187"/>
    </row>
    <row r="396" spans="1:28">
      <c r="A396">
        <f>sim_annual_output!B396</f>
        <v>15</v>
      </c>
      <c r="B396" t="str">
        <f>sim_annual_output!C396</f>
        <v>Office</v>
      </c>
      <c r="C396" t="str">
        <f>sim_annual_output!D396</f>
        <v>1980-2004</v>
      </c>
      <c r="D396">
        <v>2015</v>
      </c>
      <c r="E396" t="str">
        <f>sim_annual_output!E396</f>
        <v>economizers_enabled</v>
      </c>
      <c r="F396">
        <f t="array" ref="F396">INDEX(base_building_arch_areas!$M$2:$M$161,MATCH($A396&amp;$D396,base_building_arch_areas!$A$2:$A$161&amp;base_building_arch_areas!$E$2:$E$161,0))</f>
        <v>7.6404222497807081E-2</v>
      </c>
      <c r="G396" s="191">
        <f>(model_eui_end_uses!AO396*F396*base_building_arch_areas!$P$6)/1000000</f>
        <v>-128.53842582230484</v>
      </c>
      <c r="AB396" s="187"/>
    </row>
    <row r="397" spans="1:28">
      <c r="A397">
        <f>sim_annual_output!B397</f>
        <v>15</v>
      </c>
      <c r="B397" t="str">
        <f>sim_annual_output!C397</f>
        <v>Office</v>
      </c>
      <c r="C397" t="str">
        <f>sim_annual_output!D397</f>
        <v>1980-2004</v>
      </c>
      <c r="D397">
        <v>2015</v>
      </c>
      <c r="E397" t="str">
        <f>sim_annual_output!E397</f>
        <v>elec_reduce</v>
      </c>
      <c r="F397">
        <f t="array" ref="F397">INDEX(base_building_arch_areas!$M$2:$M$161,MATCH($A397&amp;$D397,base_building_arch_areas!$A$2:$A$161&amp;base_building_arch_areas!$E$2:$E$161,0))</f>
        <v>7.6404222497807081E-2</v>
      </c>
      <c r="G397" s="191">
        <f>(model_eui_end_uses!AO397*F397*base_building_arch_areas!$P$6)/1000000</f>
        <v>499.72215403740404</v>
      </c>
      <c r="AB397" s="187"/>
    </row>
    <row r="398" spans="1:28">
      <c r="A398">
        <f>sim_annual_output!B398</f>
        <v>15</v>
      </c>
      <c r="B398" t="str">
        <f>sim_annual_output!C398</f>
        <v>Office</v>
      </c>
      <c r="C398" t="str">
        <f>sim_annual_output!D398</f>
        <v>1980-2004</v>
      </c>
      <c r="D398">
        <v>2015</v>
      </c>
      <c r="E398" t="str">
        <f>sim_annual_output!E398</f>
        <v>envelope_ecm_roof</v>
      </c>
      <c r="F398">
        <f t="array" ref="F398">INDEX(base_building_arch_areas!$M$2:$M$161,MATCH($A398&amp;$D398,base_building_arch_areas!$A$2:$A$161&amp;base_building_arch_areas!$E$2:$E$161,0))</f>
        <v>7.6404222497807081E-2</v>
      </c>
      <c r="G398" s="191">
        <f>(model_eui_end_uses!AO398*F398*base_building_arch_areas!$P$6)/1000000</f>
        <v>-66.353342622692551</v>
      </c>
      <c r="AB398" s="187"/>
    </row>
    <row r="399" spans="1:28">
      <c r="A399">
        <f>sim_annual_output!B399</f>
        <v>15</v>
      </c>
      <c r="B399" t="str">
        <f>sim_annual_output!C399</f>
        <v>Office</v>
      </c>
      <c r="C399" t="str">
        <f>sim_annual_output!D399</f>
        <v>1980-2004</v>
      </c>
      <c r="D399">
        <v>2015</v>
      </c>
      <c r="E399" t="str">
        <f>sim_annual_output!E399</f>
        <v>envelope_ecm_wall</v>
      </c>
      <c r="F399">
        <f t="array" ref="F399">INDEX(base_building_arch_areas!$M$2:$M$161,MATCH($A399&amp;$D399,base_building_arch_areas!$A$2:$A$161&amp;base_building_arch_areas!$E$2:$E$161,0))</f>
        <v>7.6404222497807081E-2</v>
      </c>
      <c r="G399" s="191">
        <f>(model_eui_end_uses!AO399*F399*base_building_arch_areas!$P$6)/1000000</f>
        <v>-115.90627542991034</v>
      </c>
      <c r="AB399" s="187"/>
    </row>
    <row r="400" spans="1:28">
      <c r="A400">
        <f>sim_annual_output!B400</f>
        <v>15</v>
      </c>
      <c r="B400" t="str">
        <f>sim_annual_output!C400</f>
        <v>Office</v>
      </c>
      <c r="C400" t="str">
        <f>sim_annual_output!D400</f>
        <v>1980-2004</v>
      </c>
      <c r="D400">
        <v>2015</v>
      </c>
      <c r="E400" t="str">
        <f>sim_annual_output!E400</f>
        <v>envelope_ecm_windows</v>
      </c>
      <c r="F400">
        <f t="array" ref="F400">INDEX(base_building_arch_areas!$M$2:$M$161,MATCH($A400&amp;$D400,base_building_arch_areas!$A$2:$A$161&amp;base_building_arch_areas!$E$2:$E$161,0))</f>
        <v>7.6404222497807081E-2</v>
      </c>
      <c r="G400" s="191">
        <f>(model_eui_end_uses!AO400*F400*base_building_arch_areas!$P$6)/1000000</f>
        <v>-127.54142027003752</v>
      </c>
      <c r="AB400" s="187"/>
    </row>
    <row r="401" spans="1:28">
      <c r="A401">
        <f>sim_annual_output!B401</f>
        <v>15</v>
      </c>
      <c r="B401" t="str">
        <f>sim_annual_output!C401</f>
        <v>Office</v>
      </c>
      <c r="C401" t="str">
        <f>sim_annual_output!D401</f>
        <v>1980-2004</v>
      </c>
      <c r="D401">
        <v>2015</v>
      </c>
      <c r="E401" t="str">
        <f>sim_annual_output!E401</f>
        <v>exhaust_fans_occ_control</v>
      </c>
      <c r="F401">
        <f t="array" ref="F401">INDEX(base_building_arch_areas!$M$2:$M$161,MATCH($A401&amp;$D401,base_building_arch_areas!$A$2:$A$161&amp;base_building_arch_areas!$E$2:$E$161,0))</f>
        <v>7.6404222497807081E-2</v>
      </c>
      <c r="G401" s="191">
        <f>(model_eui_end_uses!AO401*F401*base_building_arch_areas!$P$6)/1000000</f>
        <v>80.299736375652628</v>
      </c>
      <c r="AB401" s="187"/>
    </row>
    <row r="402" spans="1:28">
      <c r="A402">
        <f>sim_annual_output!B402</f>
        <v>15</v>
      </c>
      <c r="B402" t="str">
        <f>sim_annual_output!C402</f>
        <v>Office</v>
      </c>
      <c r="C402" t="str">
        <f>sim_annual_output!D402</f>
        <v>1980-2004</v>
      </c>
      <c r="D402">
        <v>2015</v>
      </c>
      <c r="E402" t="str">
        <f>sim_annual_output!E402</f>
        <v>fans_to_variable</v>
      </c>
      <c r="F402">
        <f t="array" ref="F402">INDEX(base_building_arch_areas!$M$2:$M$161,MATCH($A402&amp;$D402,base_building_arch_areas!$A$2:$A$161&amp;base_building_arch_areas!$E$2:$E$161,0))</f>
        <v>7.6404222497807081E-2</v>
      </c>
      <c r="G402" s="191">
        <f>(model_eui_end_uses!AO402*F402*base_building_arch_areas!$P$6)/1000000</f>
        <v>-130.39011417626836</v>
      </c>
      <c r="AB402" s="187"/>
    </row>
    <row r="403" spans="1:28">
      <c r="A403">
        <f>sim_annual_output!B403</f>
        <v>15</v>
      </c>
      <c r="B403" t="str">
        <f>sim_annual_output!C403</f>
        <v>Office</v>
      </c>
      <c r="C403" t="str">
        <f>sim_annual_output!D403</f>
        <v>1980-2004</v>
      </c>
      <c r="D403">
        <v>2015</v>
      </c>
      <c r="E403" t="str">
        <f>sim_annual_output!E403</f>
        <v>hrv_enabled</v>
      </c>
      <c r="F403">
        <f t="array" ref="F403">INDEX(base_building_arch_areas!$M$2:$M$161,MATCH($A403&amp;$D403,base_building_arch_areas!$A$2:$A$161&amp;base_building_arch_areas!$E$2:$E$161,0))</f>
        <v>7.6404222497807081E-2</v>
      </c>
      <c r="G403" s="191">
        <f>(model_eui_end_uses!AO403*F403*base_building_arch_areas!$P$6)/1000000</f>
        <v>-43.344024883677001</v>
      </c>
      <c r="AB403" s="187"/>
    </row>
    <row r="404" spans="1:28">
      <c r="A404">
        <f>sim_annual_output!B404</f>
        <v>15</v>
      </c>
      <c r="B404" t="str">
        <f>sim_annual_output!C404</f>
        <v>Office</v>
      </c>
      <c r="C404" t="str">
        <f>sim_annual_output!D404</f>
        <v>1980-2004</v>
      </c>
      <c r="D404">
        <v>2015</v>
      </c>
      <c r="E404" t="str">
        <f>sim_annual_output!E404</f>
        <v>infil_reduce</v>
      </c>
      <c r="F404">
        <f t="array" ref="F404">INDEX(base_building_arch_areas!$M$2:$M$161,MATCH($A404&amp;$D404,base_building_arch_areas!$A$2:$A$161&amp;base_building_arch_areas!$E$2:$E$161,0))</f>
        <v>7.6404222497807081E-2</v>
      </c>
      <c r="G404" s="191">
        <f>(model_eui_end_uses!AO404*F404*base_building_arch_areas!$P$6)/1000000</f>
        <v>9.8566670586927643</v>
      </c>
      <c r="AB404" s="187"/>
    </row>
    <row r="405" spans="1:28">
      <c r="A405">
        <f>sim_annual_output!B405</f>
        <v>15</v>
      </c>
      <c r="B405" t="str">
        <f>sim_annual_output!C405</f>
        <v>Office</v>
      </c>
      <c r="C405" t="str">
        <f>sim_annual_output!D405</f>
        <v>1980-2004</v>
      </c>
      <c r="D405">
        <v>2015</v>
      </c>
      <c r="E405" t="str">
        <f>sim_annual_output!E405</f>
        <v>infil_reduce_plus_setback</v>
      </c>
      <c r="F405">
        <f t="array" ref="F405">INDEX(base_building_arch_areas!$M$2:$M$161,MATCH($A405&amp;$D405,base_building_arch_areas!$A$2:$A$161&amp;base_building_arch_areas!$E$2:$E$161,0))</f>
        <v>7.6404222497807081E-2</v>
      </c>
      <c r="G405" s="191">
        <f>(model_eui_end_uses!AO405*F405*base_building_arch_areas!$P$6)/1000000</f>
        <v>77.369414708686122</v>
      </c>
      <c r="AB405" s="187"/>
    </row>
    <row r="406" spans="1:28">
      <c r="A406">
        <f>sim_annual_output!B406</f>
        <v>15</v>
      </c>
      <c r="B406" t="str">
        <f>sim_annual_output!C406</f>
        <v>Office</v>
      </c>
      <c r="C406" t="str">
        <f>sim_annual_output!D406</f>
        <v>1980-2004</v>
      </c>
      <c r="D406">
        <v>2015</v>
      </c>
      <c r="E406" t="str">
        <f>sim_annual_output!E406</f>
        <v>lights_reduce_70p</v>
      </c>
      <c r="F406">
        <f t="array" ref="F406">INDEX(base_building_arch_areas!$M$2:$M$161,MATCH($A406&amp;$D406,base_building_arch_areas!$A$2:$A$161&amp;base_building_arch_areas!$E$2:$E$161,0))</f>
        <v>7.6404222497807081E-2</v>
      </c>
      <c r="G406" s="191">
        <f>(model_eui_end_uses!AO406*F406*base_building_arch_areas!$P$6)/1000000</f>
        <v>95.331162302449982</v>
      </c>
      <c r="AB406" s="187"/>
    </row>
    <row r="407" spans="1:28">
      <c r="A407">
        <f>sim_annual_output!B407</f>
        <v>15</v>
      </c>
      <c r="B407" t="str">
        <f>sim_annual_output!C407</f>
        <v>Office</v>
      </c>
      <c r="C407" t="str">
        <f>sim_annual_output!D407</f>
        <v>1980-2004</v>
      </c>
      <c r="D407">
        <v>2015</v>
      </c>
      <c r="E407" t="str">
        <f>sim_annual_output!E407</f>
        <v>load_reduce</v>
      </c>
      <c r="F407">
        <f t="array" ref="F407">INDEX(base_building_arch_areas!$M$2:$M$161,MATCH($A407&amp;$D407,base_building_arch_areas!$A$2:$A$161&amp;base_building_arch_areas!$E$2:$E$161,0))</f>
        <v>7.6404222497807081E-2</v>
      </c>
      <c r="G407" s="191">
        <f>(model_eui_end_uses!AO407*F407*base_building_arch_areas!$P$6)/1000000</f>
        <v>282.13757199391745</v>
      </c>
      <c r="AB407" s="187"/>
    </row>
    <row r="408" spans="1:28">
      <c r="A408">
        <f>sim_annual_output!B408</f>
        <v>15</v>
      </c>
      <c r="B408" t="str">
        <f>sim_annual_output!C408</f>
        <v>Office</v>
      </c>
      <c r="C408" t="str">
        <f>sim_annual_output!D408</f>
        <v>1980-2004</v>
      </c>
      <c r="D408">
        <v>2015</v>
      </c>
      <c r="E408" t="str">
        <f>sim_annual_output!E408</f>
        <v>occupancy_setback</v>
      </c>
      <c r="F408">
        <f t="array" ref="F408">INDEX(base_building_arch_areas!$M$2:$M$161,MATCH($A408&amp;$D408,base_building_arch_areas!$A$2:$A$161&amp;base_building_arch_areas!$E$2:$E$161,0))</f>
        <v>7.6404222497807081E-2</v>
      </c>
      <c r="G408" s="191">
        <f>(model_eui_end_uses!AO408*F408*base_building_arch_areas!$P$6)/1000000</f>
        <v>-59.631189409167789</v>
      </c>
      <c r="AB408" s="187"/>
    </row>
    <row r="409" spans="1:28">
      <c r="A409">
        <f>sim_annual_output!B409</f>
        <v>15</v>
      </c>
      <c r="B409" t="str">
        <f>sim_annual_output!C409</f>
        <v>Office</v>
      </c>
      <c r="C409" t="str">
        <f>sim_annual_output!D409</f>
        <v>1980-2004</v>
      </c>
      <c r="D409">
        <v>2015</v>
      </c>
      <c r="E409" t="str">
        <f>sim_annual_output!E409</f>
        <v>payback_less_than_20</v>
      </c>
      <c r="F409">
        <f t="array" ref="F409">INDEX(base_building_arch_areas!$M$2:$M$161,MATCH($A409&amp;$D409,base_building_arch_areas!$A$2:$A$161&amp;base_building_arch_areas!$E$2:$E$161,0))</f>
        <v>7.6404222497807081E-2</v>
      </c>
      <c r="G409" s="191">
        <f>(model_eui_end_uses!AO409*F409*base_building_arch_areas!$P$6)/1000000</f>
        <v>1120.330533975623</v>
      </c>
      <c r="AB409" s="187"/>
    </row>
    <row r="410" spans="1:28">
      <c r="A410">
        <f>sim_annual_output!B410</f>
        <v>15</v>
      </c>
      <c r="B410" t="str">
        <f>sim_annual_output!C410</f>
        <v>Office</v>
      </c>
      <c r="C410" t="str">
        <f>sim_annual_output!D410</f>
        <v>1980-2004</v>
      </c>
      <c r="D410">
        <v>2015</v>
      </c>
      <c r="E410" t="str">
        <f>sim_annual_output!E410</f>
        <v>plug_loads_90_percent</v>
      </c>
      <c r="F410">
        <f t="array" ref="F410">INDEX(base_building_arch_areas!$M$2:$M$161,MATCH($A410&amp;$D410,base_building_arch_areas!$A$2:$A$161&amp;base_building_arch_areas!$E$2:$E$161,0))</f>
        <v>7.6404222497807081E-2</v>
      </c>
      <c r="G410" s="191">
        <f>(model_eui_end_uses!AO410*F410*base_building_arch_areas!$P$6)/1000000</f>
        <v>-128.41159181945366</v>
      </c>
      <c r="AB410" s="187"/>
    </row>
    <row r="411" spans="1:28">
      <c r="A411">
        <f>sim_annual_output!B411</f>
        <v>15</v>
      </c>
      <c r="B411" t="str">
        <f>sim_annual_output!C411</f>
        <v>Office</v>
      </c>
      <c r="C411" t="str">
        <f>sim_annual_output!D411</f>
        <v>1980-2004</v>
      </c>
      <c r="D411">
        <v>2015</v>
      </c>
      <c r="E411" t="str">
        <f>sim_annual_output!E411</f>
        <v>pumps_to_variable</v>
      </c>
      <c r="F411">
        <f t="array" ref="F411">INDEX(base_building_arch_areas!$M$2:$M$161,MATCH($A411&amp;$D411,base_building_arch_areas!$A$2:$A$161&amp;base_building_arch_areas!$E$2:$E$161,0))</f>
        <v>7.6404222497807081E-2</v>
      </c>
      <c r="G411" s="191">
        <f>(model_eui_end_uses!AO411*F411*base_building_arch_areas!$P$6)/1000000</f>
        <v>-56.315312785383007</v>
      </c>
      <c r="AB411" s="187"/>
    </row>
    <row r="412" spans="1:28">
      <c r="A412">
        <f>sim_annual_output!B412</f>
        <v>15</v>
      </c>
      <c r="B412" t="str">
        <f>sim_annual_output!C412</f>
        <v>Office</v>
      </c>
      <c r="C412" t="str">
        <f>sim_annual_output!D412</f>
        <v>1980-2004</v>
      </c>
      <c r="D412">
        <v>2015</v>
      </c>
      <c r="E412" t="str">
        <f>sim_annual_output!E412</f>
        <v>pump_fan_eff_</v>
      </c>
      <c r="F412">
        <f t="array" ref="F412">INDEX(base_building_arch_areas!$M$2:$M$161,MATCH($A412&amp;$D412,base_building_arch_areas!$A$2:$A$161&amp;base_building_arch_areas!$E$2:$E$161,0))</f>
        <v>7.6404222497807081E-2</v>
      </c>
      <c r="G412" s="191">
        <f>(model_eui_end_uses!AO412*F412*base_building_arch_areas!$P$6)/1000000</f>
        <v>-105.47716082987854</v>
      </c>
      <c r="AB412" s="187"/>
    </row>
    <row r="413" spans="1:28">
      <c r="A413">
        <f>sim_annual_output!B413</f>
        <v>19</v>
      </c>
      <c r="B413" t="str">
        <f>sim_annual_output!C413</f>
        <v>Recreation Center</v>
      </c>
      <c r="C413" t="str">
        <f>sim_annual_output!D413</f>
        <v>1980-2004</v>
      </c>
      <c r="D413">
        <v>2015</v>
      </c>
      <c r="E413" t="str">
        <f>sim_annual_output!E413</f>
        <v>air_temp_reset_enabled</v>
      </c>
      <c r="F413">
        <f t="array" ref="F413">INDEX(base_building_arch_areas!$M$2:$M$161,MATCH($A413&amp;$D413,base_building_arch_areas!$A$2:$A$161&amp;base_building_arch_areas!$E$2:$E$161,0))</f>
        <v>6.8406020040876828E-2</v>
      </c>
      <c r="G413" s="191">
        <f>(model_eui_end_uses!AO413*F413*base_building_arch_areas!$P$6)/1000000</f>
        <v>-114.56605295773937</v>
      </c>
      <c r="AB413" s="187"/>
    </row>
    <row r="414" spans="1:28">
      <c r="A414">
        <f>sim_annual_output!B414</f>
        <v>19</v>
      </c>
      <c r="B414" t="str">
        <f>sim_annual_output!C414</f>
        <v>Recreation Center</v>
      </c>
      <c r="C414" t="str">
        <f>sim_annual_output!D414</f>
        <v>1980-2004</v>
      </c>
      <c r="D414">
        <v>2015</v>
      </c>
      <c r="E414" t="str">
        <f>sim_annual_output!E414</f>
        <v>baseline</v>
      </c>
      <c r="F414">
        <f t="array" ref="F414">INDEX(base_building_arch_areas!$M$2:$M$161,MATCH($A414&amp;$D414,base_building_arch_areas!$A$2:$A$161&amp;base_building_arch_areas!$E$2:$E$161,0))</f>
        <v>6.8406020040876828E-2</v>
      </c>
      <c r="G414" s="191">
        <f>(model_eui_end_uses!AO414*F414*base_building_arch_areas!$P$6)/1000000</f>
        <v>0</v>
      </c>
      <c r="AB414" s="187"/>
    </row>
    <row r="415" spans="1:28">
      <c r="A415">
        <f>sim_annual_output!B415</f>
        <v>19</v>
      </c>
      <c r="B415" t="str">
        <f>sim_annual_output!C415</f>
        <v>Recreation Center</v>
      </c>
      <c r="C415" t="str">
        <f>sim_annual_output!D415</f>
        <v>1980-2004</v>
      </c>
      <c r="D415">
        <v>2015</v>
      </c>
      <c r="E415" t="str">
        <f>sim_annual_output!E415</f>
        <v>boiler_eff_upgrade</v>
      </c>
      <c r="F415">
        <f t="array" ref="F415">INDEX(base_building_arch_areas!$M$2:$M$161,MATCH($A415&amp;$D415,base_building_arch_areas!$A$2:$A$161&amp;base_building_arch_areas!$E$2:$E$161,0))</f>
        <v>6.8406020040876828E-2</v>
      </c>
      <c r="G415" s="191">
        <f>(model_eui_end_uses!AO415*F415*base_building_arch_areas!$P$6)/1000000</f>
        <v>13.824189724233296</v>
      </c>
      <c r="AB415" s="187"/>
    </row>
    <row r="416" spans="1:28">
      <c r="A416">
        <f>sim_annual_output!B416</f>
        <v>19</v>
      </c>
      <c r="B416" t="str">
        <f>sim_annual_output!C416</f>
        <v>Recreation Center</v>
      </c>
      <c r="C416" t="str">
        <f>sim_annual_output!D416</f>
        <v>1980-2004</v>
      </c>
      <c r="D416">
        <v>2015</v>
      </c>
      <c r="E416" t="str">
        <f>sim_annual_output!E416</f>
        <v>boiler_reset</v>
      </c>
      <c r="F416">
        <f t="array" ref="F416">INDEX(base_building_arch_areas!$M$2:$M$161,MATCH($A416&amp;$D416,base_building_arch_areas!$A$2:$A$161&amp;base_building_arch_areas!$E$2:$E$161,0))</f>
        <v>6.8406020040876828E-2</v>
      </c>
      <c r="G416" s="191">
        <f>(model_eui_end_uses!AO416*F416*base_building_arch_areas!$P$6)/1000000</f>
        <v>77.577332563578452</v>
      </c>
      <c r="AB416" s="187"/>
    </row>
    <row r="417" spans="1:28">
      <c r="A417">
        <f>sim_annual_output!B417</f>
        <v>19</v>
      </c>
      <c r="B417" t="str">
        <f>sim_annual_output!C417</f>
        <v>Recreation Center</v>
      </c>
      <c r="C417" t="str">
        <f>sim_annual_output!D417</f>
        <v>1980-2004</v>
      </c>
      <c r="D417">
        <v>2015</v>
      </c>
      <c r="E417" t="str">
        <f>sim_annual_output!E417</f>
        <v>cooling_cop_3_0</v>
      </c>
      <c r="F417">
        <f t="array" ref="F417">INDEX(base_building_arch_areas!$M$2:$M$161,MATCH($A417&amp;$D417,base_building_arch_areas!$A$2:$A$161&amp;base_building_arch_areas!$E$2:$E$161,0))</f>
        <v>6.8406020040876828E-2</v>
      </c>
      <c r="G417" s="191">
        <f>(model_eui_end_uses!AO417*F417*base_building_arch_areas!$P$6)/1000000</f>
        <v>16.27801766926105</v>
      </c>
      <c r="AB417" s="187"/>
    </row>
    <row r="418" spans="1:28">
      <c r="A418">
        <f>sim_annual_output!B418</f>
        <v>19</v>
      </c>
      <c r="B418" t="str">
        <f>sim_annual_output!C418</f>
        <v>Recreation Center</v>
      </c>
      <c r="C418" t="str">
        <f>sim_annual_output!D418</f>
        <v>1980-2004</v>
      </c>
      <c r="D418">
        <v>2015</v>
      </c>
      <c r="E418" t="str">
        <f>sim_annual_output!E418</f>
        <v>dcv_enabled</v>
      </c>
      <c r="F418">
        <f t="array" ref="F418">INDEX(base_building_arch_areas!$M$2:$M$161,MATCH($A418&amp;$D418,base_building_arch_areas!$A$2:$A$161&amp;base_building_arch_areas!$E$2:$E$161,0))</f>
        <v>6.8406020040876828E-2</v>
      </c>
      <c r="G418" s="191">
        <f>(model_eui_end_uses!AO418*F418*base_building_arch_areas!$P$6)/1000000</f>
        <v>234.03256509780502</v>
      </c>
      <c r="AB418" s="187"/>
    </row>
    <row r="419" spans="1:28">
      <c r="A419">
        <f>sim_annual_output!B419</f>
        <v>19</v>
      </c>
      <c r="B419" t="str">
        <f>sim_annual_output!C419</f>
        <v>Recreation Center</v>
      </c>
      <c r="C419" t="str">
        <f>sim_annual_output!D419</f>
        <v>1980-2004</v>
      </c>
      <c r="D419">
        <v>2015</v>
      </c>
      <c r="E419" t="str">
        <f>sim_annual_output!E419</f>
        <v>ecm_cold_deck_reset_control</v>
      </c>
      <c r="F419">
        <f t="array" ref="F419">INDEX(base_building_arch_areas!$M$2:$M$161,MATCH($A419&amp;$D419,base_building_arch_areas!$A$2:$A$161&amp;base_building_arch_areas!$E$2:$E$161,0))</f>
        <v>6.8406020040876828E-2</v>
      </c>
      <c r="G419" s="191">
        <f>(model_eui_end_uses!AO419*F419*base_building_arch_areas!$P$6)/1000000</f>
        <v>16.339014517573727</v>
      </c>
      <c r="AB419" s="187"/>
    </row>
    <row r="420" spans="1:28">
      <c r="A420">
        <f>sim_annual_output!B420</f>
        <v>19</v>
      </c>
      <c r="B420" t="str">
        <f>sim_annual_output!C420</f>
        <v>Recreation Center</v>
      </c>
      <c r="C420" t="str">
        <f>sim_annual_output!D420</f>
        <v>1980-2004</v>
      </c>
      <c r="D420">
        <v>2015</v>
      </c>
      <c r="E420" t="str">
        <f>sim_annual_output!E420</f>
        <v>economizers_enabled</v>
      </c>
      <c r="F420">
        <f t="array" ref="F420">INDEX(base_building_arch_areas!$M$2:$M$161,MATCH($A420&amp;$D420,base_building_arch_areas!$A$2:$A$161&amp;base_building_arch_areas!$E$2:$E$161,0))</f>
        <v>6.8406020040876828E-2</v>
      </c>
      <c r="G420" s="191">
        <f>(model_eui_end_uses!AO420*F420*base_building_arch_areas!$P$6)/1000000</f>
        <v>14.117209142302677</v>
      </c>
      <c r="AB420" s="187"/>
    </row>
    <row r="421" spans="1:28">
      <c r="A421">
        <f>sim_annual_output!B421</f>
        <v>19</v>
      </c>
      <c r="B421" t="str">
        <f>sim_annual_output!C421</f>
        <v>Recreation Center</v>
      </c>
      <c r="C421" t="str">
        <f>sim_annual_output!D421</f>
        <v>1980-2004</v>
      </c>
      <c r="D421">
        <v>2015</v>
      </c>
      <c r="E421" t="str">
        <f>sim_annual_output!E421</f>
        <v>elec_reduce</v>
      </c>
      <c r="F421">
        <f t="array" ref="F421">INDEX(base_building_arch_areas!$M$2:$M$161,MATCH($A421&amp;$D421,base_building_arch_areas!$A$2:$A$161&amp;base_building_arch_areas!$E$2:$E$161,0))</f>
        <v>6.8406020040876828E-2</v>
      </c>
      <c r="G421" s="191">
        <f>(model_eui_end_uses!AO421*F421*base_building_arch_areas!$P$6)/1000000</f>
        <v>396.08122198254711</v>
      </c>
      <c r="AB421" s="187"/>
    </row>
    <row r="422" spans="1:28">
      <c r="A422">
        <f>sim_annual_output!B422</f>
        <v>19</v>
      </c>
      <c r="B422" t="str">
        <f>sim_annual_output!C422</f>
        <v>Recreation Center</v>
      </c>
      <c r="C422" t="str">
        <f>sim_annual_output!D422</f>
        <v>1980-2004</v>
      </c>
      <c r="D422">
        <v>2015</v>
      </c>
      <c r="E422" t="str">
        <f>sim_annual_output!E422</f>
        <v>envelope_ecm_roof</v>
      </c>
      <c r="F422">
        <f t="array" ref="F422">INDEX(base_building_arch_areas!$M$2:$M$161,MATCH($A422&amp;$D422,base_building_arch_areas!$A$2:$A$161&amp;base_building_arch_areas!$E$2:$E$161,0))</f>
        <v>6.8406020040876828E-2</v>
      </c>
      <c r="G422" s="191">
        <f>(model_eui_end_uses!AO422*F422*base_building_arch_areas!$P$6)/1000000</f>
        <v>24.412304406678768</v>
      </c>
      <c r="AB422" s="187"/>
    </row>
    <row r="423" spans="1:28">
      <c r="A423">
        <f>sim_annual_output!B423</f>
        <v>19</v>
      </c>
      <c r="B423" t="str">
        <f>sim_annual_output!C423</f>
        <v>Recreation Center</v>
      </c>
      <c r="C423" t="str">
        <f>sim_annual_output!D423</f>
        <v>1980-2004</v>
      </c>
      <c r="D423">
        <v>2015</v>
      </c>
      <c r="E423" t="str">
        <f>sim_annual_output!E423</f>
        <v>envelope_ecm_wall</v>
      </c>
      <c r="F423">
        <f t="array" ref="F423">INDEX(base_building_arch_areas!$M$2:$M$161,MATCH($A423&amp;$D423,base_building_arch_areas!$A$2:$A$161&amp;base_building_arch_areas!$E$2:$E$161,0))</f>
        <v>6.8406020040876828E-2</v>
      </c>
      <c r="G423" s="191">
        <f>(model_eui_end_uses!AO423*F423*base_building_arch_areas!$P$6)/1000000</f>
        <v>-41.185253086127275</v>
      </c>
      <c r="AB423" s="187"/>
    </row>
    <row r="424" spans="1:28">
      <c r="A424">
        <f>sim_annual_output!B424</f>
        <v>19</v>
      </c>
      <c r="B424" t="str">
        <f>sim_annual_output!C424</f>
        <v>Recreation Center</v>
      </c>
      <c r="C424" t="str">
        <f>sim_annual_output!D424</f>
        <v>1980-2004</v>
      </c>
      <c r="D424">
        <v>2015</v>
      </c>
      <c r="E424" t="str">
        <f>sim_annual_output!E424</f>
        <v>envelope_ecm_windows</v>
      </c>
      <c r="F424">
        <f t="array" ref="F424">INDEX(base_building_arch_areas!$M$2:$M$161,MATCH($A424&amp;$D424,base_building_arch_areas!$A$2:$A$161&amp;base_building_arch_areas!$E$2:$E$161,0))</f>
        <v>6.8406020040876828E-2</v>
      </c>
      <c r="G424" s="191">
        <f>(model_eui_end_uses!AO424*F424*base_building_arch_areas!$P$6)/1000000</f>
        <v>-58.290322108068935</v>
      </c>
      <c r="AB424" s="187"/>
    </row>
    <row r="425" spans="1:28">
      <c r="A425">
        <f>sim_annual_output!B425</f>
        <v>19</v>
      </c>
      <c r="B425" t="str">
        <f>sim_annual_output!C425</f>
        <v>Recreation Center</v>
      </c>
      <c r="C425" t="str">
        <f>sim_annual_output!D425</f>
        <v>1980-2004</v>
      </c>
      <c r="D425">
        <v>2015</v>
      </c>
      <c r="E425" t="str">
        <f>sim_annual_output!E425</f>
        <v>fans_to_variable</v>
      </c>
      <c r="F425">
        <f t="array" ref="F425">INDEX(base_building_arch_areas!$M$2:$M$161,MATCH($A425&amp;$D425,base_building_arch_areas!$A$2:$A$161&amp;base_building_arch_areas!$E$2:$E$161,0))</f>
        <v>6.8406020040876828E-2</v>
      </c>
      <c r="G425" s="191">
        <f>(model_eui_end_uses!AO425*F425*base_building_arch_areas!$P$6)/1000000</f>
        <v>15.491337946824123</v>
      </c>
      <c r="AB425" s="187"/>
    </row>
    <row r="426" spans="1:28">
      <c r="A426">
        <f>sim_annual_output!B426</f>
        <v>19</v>
      </c>
      <c r="B426" t="str">
        <f>sim_annual_output!C426</f>
        <v>Recreation Center</v>
      </c>
      <c r="C426" t="str">
        <f>sim_annual_output!D426</f>
        <v>1980-2004</v>
      </c>
      <c r="D426">
        <v>2015</v>
      </c>
      <c r="E426" t="str">
        <f>sim_annual_output!E426</f>
        <v>hrv_enabled</v>
      </c>
      <c r="F426">
        <f t="array" ref="F426">INDEX(base_building_arch_areas!$M$2:$M$161,MATCH($A426&amp;$D426,base_building_arch_areas!$A$2:$A$161&amp;base_building_arch_areas!$E$2:$E$161,0))</f>
        <v>6.8406020040876828E-2</v>
      </c>
      <c r="G426" s="191">
        <f>(model_eui_end_uses!AO426*F426*base_building_arch_areas!$P$6)/1000000</f>
        <v>266.46704020477097</v>
      </c>
      <c r="AB426" s="187"/>
    </row>
    <row r="427" spans="1:28">
      <c r="A427">
        <f>sim_annual_output!B427</f>
        <v>19</v>
      </c>
      <c r="B427" t="str">
        <f>sim_annual_output!C427</f>
        <v>Recreation Center</v>
      </c>
      <c r="C427" t="str">
        <f>sim_annual_output!D427</f>
        <v>1980-2004</v>
      </c>
      <c r="D427">
        <v>2015</v>
      </c>
      <c r="E427" t="str">
        <f>sim_annual_output!E427</f>
        <v>infil_reduce</v>
      </c>
      <c r="F427">
        <f t="array" ref="F427">INDEX(base_building_arch_areas!$M$2:$M$161,MATCH($A427&amp;$D427,base_building_arch_areas!$A$2:$A$161&amp;base_building_arch_areas!$E$2:$E$161,0))</f>
        <v>6.8406020040876828E-2</v>
      </c>
      <c r="G427" s="191">
        <f>(model_eui_end_uses!AO427*F427*base_building_arch_areas!$P$6)/1000000</f>
        <v>174.60595884402161</v>
      </c>
      <c r="AB427" s="187"/>
    </row>
    <row r="428" spans="1:28">
      <c r="A428">
        <f>sim_annual_output!B428</f>
        <v>19</v>
      </c>
      <c r="B428" t="str">
        <f>sim_annual_output!C428</f>
        <v>Recreation Center</v>
      </c>
      <c r="C428" t="str">
        <f>sim_annual_output!D428</f>
        <v>1980-2004</v>
      </c>
      <c r="D428">
        <v>2015</v>
      </c>
      <c r="E428" t="str">
        <f>sim_annual_output!E428</f>
        <v>infil_reduce_plus_setback</v>
      </c>
      <c r="F428">
        <f t="array" ref="F428">INDEX(base_building_arch_areas!$M$2:$M$161,MATCH($A428&amp;$D428,base_building_arch_areas!$A$2:$A$161&amp;base_building_arch_areas!$E$2:$E$161,0))</f>
        <v>6.8406020040876828E-2</v>
      </c>
      <c r="G428" s="191">
        <f>(model_eui_end_uses!AO428*F428*base_building_arch_areas!$P$6)/1000000</f>
        <v>-15.944285192982226</v>
      </c>
      <c r="AB428" s="187"/>
    </row>
    <row r="429" spans="1:28">
      <c r="A429">
        <f>sim_annual_output!B429</f>
        <v>19</v>
      </c>
      <c r="B429" t="str">
        <f>sim_annual_output!C429</f>
        <v>Recreation Center</v>
      </c>
      <c r="C429" t="str">
        <f>sim_annual_output!D429</f>
        <v>1980-2004</v>
      </c>
      <c r="D429">
        <v>2015</v>
      </c>
      <c r="E429" t="str">
        <f>sim_annual_output!E429</f>
        <v>lights_reduce_70p</v>
      </c>
      <c r="F429">
        <f t="array" ref="F429">INDEX(base_building_arch_areas!$M$2:$M$161,MATCH($A429&amp;$D429,base_building_arch_areas!$A$2:$A$161&amp;base_building_arch_areas!$E$2:$E$161,0))</f>
        <v>6.8406020040876828E-2</v>
      </c>
      <c r="G429" s="191">
        <f>(model_eui_end_uses!AO429*F429*base_building_arch_areas!$P$6)/1000000</f>
        <v>166.31889942110195</v>
      </c>
      <c r="AB429" s="187"/>
    </row>
    <row r="430" spans="1:28">
      <c r="A430">
        <f>sim_annual_output!B430</f>
        <v>19</v>
      </c>
      <c r="B430" t="str">
        <f>sim_annual_output!C430</f>
        <v>Recreation Center</v>
      </c>
      <c r="C430" t="str">
        <f>sim_annual_output!D430</f>
        <v>1980-2004</v>
      </c>
      <c r="D430">
        <v>2015</v>
      </c>
      <c r="E430" t="str">
        <f>sim_annual_output!E430</f>
        <v>load_reduce</v>
      </c>
      <c r="F430">
        <f t="array" ref="F430">INDEX(base_building_arch_areas!$M$2:$M$161,MATCH($A430&amp;$D430,base_building_arch_areas!$A$2:$A$161&amp;base_building_arch_areas!$E$2:$E$161,0))</f>
        <v>6.8406020040876828E-2</v>
      </c>
      <c r="G430" s="191">
        <f>(model_eui_end_uses!AO430*F430*base_building_arch_areas!$P$6)/1000000</f>
        <v>56.088162201051993</v>
      </c>
      <c r="AB430" s="187"/>
    </row>
    <row r="431" spans="1:28">
      <c r="A431">
        <f>sim_annual_output!B431</f>
        <v>19</v>
      </c>
      <c r="B431" t="str">
        <f>sim_annual_output!C431</f>
        <v>Recreation Center</v>
      </c>
      <c r="C431" t="str">
        <f>sim_annual_output!D431</f>
        <v>1980-2004</v>
      </c>
      <c r="D431">
        <v>2015</v>
      </c>
      <c r="E431" t="str">
        <f>sim_annual_output!E431</f>
        <v>occupancy_setback</v>
      </c>
      <c r="F431">
        <f t="array" ref="F431">INDEX(base_building_arch_areas!$M$2:$M$161,MATCH($A431&amp;$D431,base_building_arch_areas!$A$2:$A$161&amp;base_building_arch_areas!$E$2:$E$161,0))</f>
        <v>6.8406020040876828E-2</v>
      </c>
      <c r="G431" s="191">
        <f>(model_eui_end_uses!AO431*F431*base_building_arch_areas!$P$6)/1000000</f>
        <v>-206.47512424577664</v>
      </c>
      <c r="AB431" s="187"/>
    </row>
    <row r="432" spans="1:28">
      <c r="A432">
        <f>sim_annual_output!B432</f>
        <v>19</v>
      </c>
      <c r="B432" t="str">
        <f>sim_annual_output!C432</f>
        <v>Recreation Center</v>
      </c>
      <c r="C432" t="str">
        <f>sim_annual_output!D432</f>
        <v>1980-2004</v>
      </c>
      <c r="D432">
        <v>2015</v>
      </c>
      <c r="E432" t="str">
        <f>sim_annual_output!E432</f>
        <v>payback_less_than_20</v>
      </c>
      <c r="F432">
        <f t="array" ref="F432">INDEX(base_building_arch_areas!$M$2:$M$161,MATCH($A432&amp;$D432,base_building_arch_areas!$A$2:$A$161&amp;base_building_arch_areas!$E$2:$E$161,0))</f>
        <v>6.8406020040876828E-2</v>
      </c>
      <c r="G432" s="191">
        <f>(model_eui_end_uses!AO432*F432*base_building_arch_areas!$P$6)/1000000</f>
        <v>436.82187944745249</v>
      </c>
      <c r="AB432" s="187"/>
    </row>
    <row r="433" spans="1:28">
      <c r="A433">
        <f>sim_annual_output!B433</f>
        <v>19</v>
      </c>
      <c r="B433" t="str">
        <f>sim_annual_output!C433</f>
        <v>Recreation Center</v>
      </c>
      <c r="C433" t="str">
        <f>sim_annual_output!D433</f>
        <v>1980-2004</v>
      </c>
      <c r="D433">
        <v>2015</v>
      </c>
      <c r="E433" t="str">
        <f>sim_annual_output!E433</f>
        <v>plug_loads_90_percent</v>
      </c>
      <c r="F433">
        <f t="array" ref="F433">INDEX(base_building_arch_areas!$M$2:$M$161,MATCH($A433&amp;$D433,base_building_arch_areas!$A$2:$A$161&amp;base_building_arch_areas!$E$2:$E$161,0))</f>
        <v>6.8406020040876828E-2</v>
      </c>
      <c r="G433" s="191">
        <f>(model_eui_end_uses!AO433*F433*base_building_arch_areas!$P$6)/1000000</f>
        <v>13.320734890657711</v>
      </c>
      <c r="AB433" s="187"/>
    </row>
    <row r="434" spans="1:28">
      <c r="A434">
        <f>sim_annual_output!B434</f>
        <v>19</v>
      </c>
      <c r="B434" t="str">
        <f>sim_annual_output!C434</f>
        <v>Recreation Center</v>
      </c>
      <c r="C434" t="str">
        <f>sim_annual_output!D434</f>
        <v>1980-2004</v>
      </c>
      <c r="D434">
        <v>2015</v>
      </c>
      <c r="E434" t="str">
        <f>sim_annual_output!E434</f>
        <v>pumps_to_variable</v>
      </c>
      <c r="F434">
        <f t="array" ref="F434">INDEX(base_building_arch_areas!$M$2:$M$161,MATCH($A434&amp;$D434,base_building_arch_areas!$A$2:$A$161&amp;base_building_arch_areas!$E$2:$E$161,0))</f>
        <v>6.8406020040876828E-2</v>
      </c>
      <c r="G434" s="191">
        <f>(model_eui_end_uses!AO434*F434*base_building_arch_areas!$P$6)/1000000</f>
        <v>49.720806751445927</v>
      </c>
      <c r="AB434" s="187"/>
    </row>
    <row r="435" spans="1:28">
      <c r="A435">
        <f>sim_annual_output!B435</f>
        <v>19</v>
      </c>
      <c r="B435" t="str">
        <f>sim_annual_output!C435</f>
        <v>Recreation Center</v>
      </c>
      <c r="C435" t="str">
        <f>sim_annual_output!D435</f>
        <v>1980-2004</v>
      </c>
      <c r="D435">
        <v>2015</v>
      </c>
      <c r="E435" t="str">
        <f>sim_annual_output!E435</f>
        <v>pump_fan_eff_</v>
      </c>
      <c r="F435">
        <f t="array" ref="F435">INDEX(base_building_arch_areas!$M$2:$M$161,MATCH($A435&amp;$D435,base_building_arch_areas!$A$2:$A$161&amp;base_building_arch_areas!$E$2:$E$161,0))</f>
        <v>6.8406020040876828E-2</v>
      </c>
      <c r="G435" s="191">
        <f>(model_eui_end_uses!AO435*F435*base_building_arch_areas!$P$6)/1000000</f>
        <v>24.530628494907567</v>
      </c>
      <c r="AB435" s="187"/>
    </row>
    <row r="436" spans="1:28">
      <c r="A436">
        <f>sim_annual_output!B436</f>
        <v>20</v>
      </c>
      <c r="B436" t="str">
        <f>sim_annual_output!C436</f>
        <v>Storage Building</v>
      </c>
      <c r="C436" t="str">
        <f>sim_annual_output!D436</f>
        <v>1959-pre</v>
      </c>
      <c r="D436">
        <v>2015</v>
      </c>
      <c r="E436" t="str">
        <f>sim_annual_output!E436</f>
        <v>baseline</v>
      </c>
      <c r="F436">
        <f t="array" ref="F436">INDEX(base_building_arch_areas!$M$2:$M$161,MATCH($A436&amp;$D436,base_building_arch_areas!$A$2:$A$161&amp;base_building_arch_areas!$E$2:$E$161,0))</f>
        <v>1.4259356082047471E-3</v>
      </c>
      <c r="G436" s="191">
        <f>(model_eui_end_uses!AO436*F436*base_building_arch_areas!$P$6)/1000000</f>
        <v>0</v>
      </c>
      <c r="AB436" s="187"/>
    </row>
    <row r="437" spans="1:28">
      <c r="A437">
        <f>sim_annual_output!B437</f>
        <v>20</v>
      </c>
      <c r="B437" t="str">
        <f>sim_annual_output!C437</f>
        <v>Storage Building</v>
      </c>
      <c r="C437" t="str">
        <f>sim_annual_output!D437</f>
        <v>1959-pre</v>
      </c>
      <c r="D437">
        <v>2015</v>
      </c>
      <c r="E437" t="str">
        <f>sim_annual_output!E437</f>
        <v>dcv_enabled</v>
      </c>
      <c r="F437">
        <f t="array" ref="F437">INDEX(base_building_arch_areas!$M$2:$M$161,MATCH($A437&amp;$D437,base_building_arch_areas!$A$2:$A$161&amp;base_building_arch_areas!$E$2:$E$161,0))</f>
        <v>1.4259356082047471E-3</v>
      </c>
      <c r="G437" s="191">
        <f>(model_eui_end_uses!AO437*F437*base_building_arch_areas!$P$6)/1000000</f>
        <v>0.22746811744016571</v>
      </c>
      <c r="AB437" s="187"/>
    </row>
    <row r="438" spans="1:28">
      <c r="A438">
        <f>sim_annual_output!B438</f>
        <v>20</v>
      </c>
      <c r="B438" t="str">
        <f>sim_annual_output!C438</f>
        <v>Storage Building</v>
      </c>
      <c r="C438" t="str">
        <f>sim_annual_output!D438</f>
        <v>1959-pre</v>
      </c>
      <c r="D438">
        <v>2015</v>
      </c>
      <c r="E438" t="str">
        <f>sim_annual_output!E438</f>
        <v>ecm_cold_deck_reset_control</v>
      </c>
      <c r="F438">
        <f t="array" ref="F438">INDEX(base_building_arch_areas!$M$2:$M$161,MATCH($A438&amp;$D438,base_building_arch_areas!$A$2:$A$161&amp;base_building_arch_areas!$E$2:$E$161,0))</f>
        <v>1.4259356082047471E-3</v>
      </c>
      <c r="G438" s="191">
        <f>(model_eui_end_uses!AO438*F438*base_building_arch_areas!$P$6)/1000000</f>
        <v>0.22746811744016571</v>
      </c>
      <c r="AB438" s="187"/>
    </row>
    <row r="439" spans="1:28">
      <c r="A439">
        <f>sim_annual_output!B439</f>
        <v>20</v>
      </c>
      <c r="B439" t="str">
        <f>sim_annual_output!C439</f>
        <v>Storage Building</v>
      </c>
      <c r="C439" t="str">
        <f>sim_annual_output!D439</f>
        <v>1959-pre</v>
      </c>
      <c r="D439">
        <v>2015</v>
      </c>
      <c r="E439" t="str">
        <f>sim_annual_output!E439</f>
        <v>elec_reduce</v>
      </c>
      <c r="F439">
        <f t="array" ref="F439">INDEX(base_building_arch_areas!$M$2:$M$161,MATCH($A439&amp;$D439,base_building_arch_areas!$A$2:$A$161&amp;base_building_arch_areas!$E$2:$E$161,0))</f>
        <v>1.4259356082047471E-3</v>
      </c>
      <c r="G439" s="191">
        <f>(model_eui_end_uses!AO439*F439*base_building_arch_areas!$P$6)/1000000</f>
        <v>2.1471037217793119</v>
      </c>
      <c r="AB439" s="187"/>
    </row>
    <row r="440" spans="1:28">
      <c r="A440">
        <f>sim_annual_output!B440</f>
        <v>20</v>
      </c>
      <c r="B440" t="str">
        <f>sim_annual_output!C440</f>
        <v>Storage Building</v>
      </c>
      <c r="C440" t="str">
        <f>sim_annual_output!D440</f>
        <v>1959-pre</v>
      </c>
      <c r="D440">
        <v>2015</v>
      </c>
      <c r="E440" t="str">
        <f>sim_annual_output!E440</f>
        <v>envelope_ecm_roof</v>
      </c>
      <c r="F440">
        <f t="array" ref="F440">INDEX(base_building_arch_areas!$M$2:$M$161,MATCH($A440&amp;$D440,base_building_arch_areas!$A$2:$A$161&amp;base_building_arch_areas!$E$2:$E$161,0))</f>
        <v>1.4259356082047471E-3</v>
      </c>
      <c r="G440" s="191">
        <f>(model_eui_end_uses!AO440*F440*base_building_arch_areas!$P$6)/1000000</f>
        <v>1.8292041341072129</v>
      </c>
      <c r="AB440" s="187"/>
    </row>
    <row r="441" spans="1:28">
      <c r="A441">
        <f>sim_annual_output!B441</f>
        <v>20</v>
      </c>
      <c r="B441" t="str">
        <f>sim_annual_output!C441</f>
        <v>Storage Building</v>
      </c>
      <c r="C441" t="str">
        <f>sim_annual_output!D441</f>
        <v>1959-pre</v>
      </c>
      <c r="D441">
        <v>2015</v>
      </c>
      <c r="E441" t="str">
        <f>sim_annual_output!E441</f>
        <v>envelope_ecm_wall</v>
      </c>
      <c r="F441">
        <f t="array" ref="F441">INDEX(base_building_arch_areas!$M$2:$M$161,MATCH($A441&amp;$D441,base_building_arch_areas!$A$2:$A$161&amp;base_building_arch_areas!$E$2:$E$161,0))</f>
        <v>1.4259356082047471E-3</v>
      </c>
      <c r="G441" s="191">
        <f>(model_eui_end_uses!AO441*F441*base_building_arch_areas!$P$6)/1000000</f>
        <v>0.96080984010799086</v>
      </c>
      <c r="AB441" s="187"/>
    </row>
    <row r="442" spans="1:28">
      <c r="A442">
        <f>sim_annual_output!B442</f>
        <v>20</v>
      </c>
      <c r="B442" t="str">
        <f>sim_annual_output!C442</f>
        <v>Storage Building</v>
      </c>
      <c r="C442" t="str">
        <f>sim_annual_output!D442</f>
        <v>1959-pre</v>
      </c>
      <c r="D442">
        <v>2015</v>
      </c>
      <c r="E442" t="str">
        <f>sim_annual_output!E442</f>
        <v>envelope_ecm_windows</v>
      </c>
      <c r="F442">
        <f t="array" ref="F442">INDEX(base_building_arch_areas!$M$2:$M$161,MATCH($A442&amp;$D442,base_building_arch_areas!$A$2:$A$161&amp;base_building_arch_areas!$E$2:$E$161,0))</f>
        <v>1.4259356082047471E-3</v>
      </c>
      <c r="G442" s="191">
        <f>(model_eui_end_uses!AO442*F442*base_building_arch_areas!$P$6)/1000000</f>
        <v>0.22746811744016571</v>
      </c>
      <c r="AB442" s="187"/>
    </row>
    <row r="443" spans="1:28">
      <c r="A443">
        <f>sim_annual_output!B443</f>
        <v>20</v>
      </c>
      <c r="B443" t="str">
        <f>sim_annual_output!C443</f>
        <v>Storage Building</v>
      </c>
      <c r="C443" t="str">
        <f>sim_annual_output!D443</f>
        <v>1959-pre</v>
      </c>
      <c r="D443">
        <v>2015</v>
      </c>
      <c r="E443" t="str">
        <f>sim_annual_output!E443</f>
        <v>exhaust_fans_occ_control</v>
      </c>
      <c r="F443">
        <f t="array" ref="F443">INDEX(base_building_arch_areas!$M$2:$M$161,MATCH($A443&amp;$D443,base_building_arch_areas!$A$2:$A$161&amp;base_building_arch_areas!$E$2:$E$161,0))</f>
        <v>1.4259356082047471E-3</v>
      </c>
      <c r="G443" s="191">
        <f>(model_eui_end_uses!AO443*F443*base_building_arch_areas!$P$6)/1000000</f>
        <v>0.22746811744016571</v>
      </c>
      <c r="AB443" s="187"/>
    </row>
    <row r="444" spans="1:28">
      <c r="A444">
        <f>sim_annual_output!B444</f>
        <v>20</v>
      </c>
      <c r="B444" t="str">
        <f>sim_annual_output!C444</f>
        <v>Storage Building</v>
      </c>
      <c r="C444" t="str">
        <f>sim_annual_output!D444</f>
        <v>1959-pre</v>
      </c>
      <c r="D444">
        <v>2015</v>
      </c>
      <c r="E444" t="str">
        <f>sim_annual_output!E444</f>
        <v>hrv_enabled</v>
      </c>
      <c r="F444">
        <f t="array" ref="F444">INDEX(base_building_arch_areas!$M$2:$M$161,MATCH($A444&amp;$D444,base_building_arch_areas!$A$2:$A$161&amp;base_building_arch_areas!$E$2:$E$161,0))</f>
        <v>1.4259356082047471E-3</v>
      </c>
      <c r="G444" s="191">
        <f>(model_eui_end_uses!AO444*F444*base_building_arch_areas!$P$6)/1000000</f>
        <v>0.22746811744016571</v>
      </c>
      <c r="AB444" s="187"/>
    </row>
    <row r="445" spans="1:28">
      <c r="A445">
        <f>sim_annual_output!B445</f>
        <v>20</v>
      </c>
      <c r="B445" t="str">
        <f>sim_annual_output!C445</f>
        <v>Storage Building</v>
      </c>
      <c r="C445" t="str">
        <f>sim_annual_output!D445</f>
        <v>1959-pre</v>
      </c>
      <c r="D445">
        <v>2015</v>
      </c>
      <c r="E445" t="str">
        <f>sim_annual_output!E445</f>
        <v>infil_reduce</v>
      </c>
      <c r="F445">
        <f t="array" ref="F445">INDEX(base_building_arch_areas!$M$2:$M$161,MATCH($A445&amp;$D445,base_building_arch_areas!$A$2:$A$161&amp;base_building_arch_areas!$E$2:$E$161,0))</f>
        <v>1.4259356082047471E-3</v>
      </c>
      <c r="G445" s="191">
        <f>(model_eui_end_uses!AO445*F445*base_building_arch_areas!$P$6)/1000000</f>
        <v>11.598544515594995</v>
      </c>
      <c r="AB445" s="187"/>
    </row>
    <row r="446" spans="1:28">
      <c r="A446">
        <f>sim_annual_output!B446</f>
        <v>20</v>
      </c>
      <c r="B446" t="str">
        <f>sim_annual_output!C446</f>
        <v>Storage Building</v>
      </c>
      <c r="C446" t="str">
        <f>sim_annual_output!D446</f>
        <v>1959-pre</v>
      </c>
      <c r="D446">
        <v>2015</v>
      </c>
      <c r="E446" t="str">
        <f>sim_annual_output!E446</f>
        <v>infil_reduce_plus_setback</v>
      </c>
      <c r="F446">
        <f t="array" ref="F446">INDEX(base_building_arch_areas!$M$2:$M$161,MATCH($A446&amp;$D446,base_building_arch_areas!$A$2:$A$161&amp;base_building_arch_areas!$E$2:$E$161,0))</f>
        <v>1.4259356082047471E-3</v>
      </c>
      <c r="G446" s="191">
        <f>(model_eui_end_uses!AO446*F446*base_building_arch_areas!$P$6)/1000000</f>
        <v>12.905662926948812</v>
      </c>
      <c r="AB446" s="187"/>
    </row>
    <row r="447" spans="1:28">
      <c r="A447">
        <f>sim_annual_output!B447</f>
        <v>20</v>
      </c>
      <c r="B447" t="str">
        <f>sim_annual_output!C447</f>
        <v>Storage Building</v>
      </c>
      <c r="C447" t="str">
        <f>sim_annual_output!D447</f>
        <v>1959-pre</v>
      </c>
      <c r="D447">
        <v>2015</v>
      </c>
      <c r="E447" t="str">
        <f>sim_annual_output!E447</f>
        <v>lights_reduce_70p</v>
      </c>
      <c r="F447">
        <f t="array" ref="F447">INDEX(base_building_arch_areas!$M$2:$M$161,MATCH($A447&amp;$D447,base_building_arch_areas!$A$2:$A$161&amp;base_building_arch_areas!$E$2:$E$161,0))</f>
        <v>1.4259356082047471E-3</v>
      </c>
      <c r="G447" s="191">
        <f>(model_eui_end_uses!AO447*F447*base_building_arch_areas!$P$6)/1000000</f>
        <v>2.1594516994420538</v>
      </c>
      <c r="AB447" s="187"/>
    </row>
    <row r="448" spans="1:28">
      <c r="A448">
        <f>sim_annual_output!B448</f>
        <v>20</v>
      </c>
      <c r="B448" t="str">
        <f>sim_annual_output!C448</f>
        <v>Storage Building</v>
      </c>
      <c r="C448" t="str">
        <f>sim_annual_output!D448</f>
        <v>1959-pre</v>
      </c>
      <c r="D448">
        <v>2015</v>
      </c>
      <c r="E448" t="str">
        <f>sim_annual_output!E448</f>
        <v>load_reduce</v>
      </c>
      <c r="F448">
        <f t="array" ref="F448">INDEX(base_building_arch_areas!$M$2:$M$161,MATCH($A448&amp;$D448,base_building_arch_areas!$A$2:$A$161&amp;base_building_arch_areas!$E$2:$E$161,0))</f>
        <v>1.4259356082047471E-3</v>
      </c>
      <c r="G448" s="191">
        <f>(model_eui_end_uses!AO448*F448*base_building_arch_areas!$P$6)/1000000</f>
        <v>12.905662926948812</v>
      </c>
      <c r="AB448" s="187"/>
    </row>
    <row r="449" spans="1:28">
      <c r="A449">
        <f>sim_annual_output!B449</f>
        <v>20</v>
      </c>
      <c r="B449" t="str">
        <f>sim_annual_output!C449</f>
        <v>Storage Building</v>
      </c>
      <c r="C449" t="str">
        <f>sim_annual_output!D449</f>
        <v>1959-pre</v>
      </c>
      <c r="D449">
        <v>2015</v>
      </c>
      <c r="E449" t="str">
        <f>sim_annual_output!E449</f>
        <v>occupancy_setback</v>
      </c>
      <c r="F449">
        <f t="array" ref="F449">INDEX(base_building_arch_areas!$M$2:$M$161,MATCH($A449&amp;$D449,base_building_arch_areas!$A$2:$A$161&amp;base_building_arch_areas!$E$2:$E$161,0))</f>
        <v>1.4259356082047471E-3</v>
      </c>
      <c r="G449" s="191">
        <f>(model_eui_end_uses!AO449*F449*base_building_arch_areas!$P$6)/1000000</f>
        <v>2.3099529802714103</v>
      </c>
      <c r="AB449" s="187"/>
    </row>
    <row r="450" spans="1:28">
      <c r="A450">
        <f>sim_annual_output!B450</f>
        <v>20</v>
      </c>
      <c r="B450" t="str">
        <f>sim_annual_output!C450</f>
        <v>Storage Building</v>
      </c>
      <c r="C450" t="str">
        <f>sim_annual_output!D450</f>
        <v>1959-pre</v>
      </c>
      <c r="D450">
        <v>2015</v>
      </c>
      <c r="E450" t="str">
        <f>sim_annual_output!E450</f>
        <v>payback_less_than_20</v>
      </c>
      <c r="F450">
        <f t="array" ref="F450">INDEX(base_building_arch_areas!$M$2:$M$161,MATCH($A450&amp;$D450,base_building_arch_areas!$A$2:$A$161&amp;base_building_arch_areas!$E$2:$E$161,0))</f>
        <v>1.4259356082047471E-3</v>
      </c>
      <c r="G450" s="191">
        <f>(model_eui_end_uses!AO450*F450*base_building_arch_areas!$P$6)/1000000</f>
        <v>14.84195122748268</v>
      </c>
      <c r="AB450" s="187"/>
    </row>
    <row r="451" spans="1:28">
      <c r="A451">
        <f>sim_annual_output!B451</f>
        <v>20</v>
      </c>
      <c r="B451" t="str">
        <f>sim_annual_output!C451</f>
        <v>Storage Building</v>
      </c>
      <c r="C451" t="str">
        <f>sim_annual_output!D451</f>
        <v>1959-pre</v>
      </c>
      <c r="D451">
        <v>2015</v>
      </c>
      <c r="E451" t="str">
        <f>sim_annual_output!E451</f>
        <v>plug_loads_90_percent</v>
      </c>
      <c r="F451">
        <f t="array" ref="F451">INDEX(base_building_arch_areas!$M$2:$M$161,MATCH($A451&amp;$D451,base_building_arch_areas!$A$2:$A$161&amp;base_building_arch_areas!$E$2:$E$161,0))</f>
        <v>1.4259356082047471E-3</v>
      </c>
      <c r="G451" s="191">
        <f>(model_eui_end_uses!AO451*F451*base_building_arch_areas!$P$6)/1000000</f>
        <v>0.21702767860262764</v>
      </c>
      <c r="AB451" s="187"/>
    </row>
    <row r="452" spans="1:28">
      <c r="A452">
        <f>sim_annual_output!B452</f>
        <v>21</v>
      </c>
      <c r="B452" t="str">
        <f>sim_annual_output!C452</f>
        <v>Storage Building</v>
      </c>
      <c r="C452" t="str">
        <f>sim_annual_output!D452</f>
        <v>1960-1979</v>
      </c>
      <c r="D452">
        <v>2015</v>
      </c>
      <c r="E452" t="str">
        <f>sim_annual_output!E452</f>
        <v>baseline</v>
      </c>
      <c r="F452">
        <f t="array" ref="F452">INDEX(base_building_arch_areas!$M$2:$M$161,MATCH($A452&amp;$D452,base_building_arch_areas!$A$2:$A$161&amp;base_building_arch_areas!$E$2:$E$161,0))</f>
        <v>3.5950861394737866E-3</v>
      </c>
      <c r="G452" s="191">
        <f>(model_eui_end_uses!AO452*F452*base_building_arch_areas!$P$6)/1000000</f>
        <v>0</v>
      </c>
      <c r="AB452" s="187"/>
    </row>
    <row r="453" spans="1:28">
      <c r="A453">
        <f>sim_annual_output!B453</f>
        <v>21</v>
      </c>
      <c r="B453" t="str">
        <f>sim_annual_output!C453</f>
        <v>Storage Building</v>
      </c>
      <c r="C453" t="str">
        <f>sim_annual_output!D453</f>
        <v>1960-1979</v>
      </c>
      <c r="D453">
        <v>2015</v>
      </c>
      <c r="E453" t="str">
        <f>sim_annual_output!E453</f>
        <v>dcv_enabled</v>
      </c>
      <c r="F453">
        <f t="array" ref="F453">INDEX(base_building_arch_areas!$M$2:$M$161,MATCH($A453&amp;$D453,base_building_arch_areas!$A$2:$A$161&amp;base_building_arch_areas!$E$2:$E$161,0))</f>
        <v>3.5950861394737866E-3</v>
      </c>
      <c r="G453" s="191">
        <f>(model_eui_end_uses!AO453*F453*base_building_arch_areas!$P$6)/1000000</f>
        <v>0.77777477574013254</v>
      </c>
      <c r="AB453" s="187"/>
    </row>
    <row r="454" spans="1:28">
      <c r="A454">
        <f>sim_annual_output!B454</f>
        <v>21</v>
      </c>
      <c r="B454" t="str">
        <f>sim_annual_output!C454</f>
        <v>Storage Building</v>
      </c>
      <c r="C454" t="str">
        <f>sim_annual_output!D454</f>
        <v>1960-1979</v>
      </c>
      <c r="D454">
        <v>2015</v>
      </c>
      <c r="E454" t="str">
        <f>sim_annual_output!E454</f>
        <v>ecm_cold_deck_reset_control</v>
      </c>
      <c r="F454">
        <f t="array" ref="F454">INDEX(base_building_arch_areas!$M$2:$M$161,MATCH($A454&amp;$D454,base_building_arch_areas!$A$2:$A$161&amp;base_building_arch_areas!$E$2:$E$161,0))</f>
        <v>3.5950861394737866E-3</v>
      </c>
      <c r="G454" s="191">
        <f>(model_eui_end_uses!AO454*F454*base_building_arch_areas!$P$6)/1000000</f>
        <v>0.77777477574013254</v>
      </c>
      <c r="AB454" s="187"/>
    </row>
    <row r="455" spans="1:28">
      <c r="A455">
        <f>sim_annual_output!B455</f>
        <v>21</v>
      </c>
      <c r="B455" t="str">
        <f>sim_annual_output!C455</f>
        <v>Storage Building</v>
      </c>
      <c r="C455" t="str">
        <f>sim_annual_output!D455</f>
        <v>1960-1979</v>
      </c>
      <c r="D455">
        <v>2015</v>
      </c>
      <c r="E455" t="str">
        <f>sim_annual_output!E455</f>
        <v>elec_reduce</v>
      </c>
      <c r="F455">
        <f t="array" ref="F455">INDEX(base_building_arch_areas!$M$2:$M$161,MATCH($A455&amp;$D455,base_building_arch_areas!$A$2:$A$161&amp;base_building_arch_areas!$E$2:$E$161,0))</f>
        <v>3.5950861394737866E-3</v>
      </c>
      <c r="G455" s="191">
        <f>(model_eui_end_uses!AO455*F455*base_building_arch_areas!$P$6)/1000000</f>
        <v>5.6640906439265972</v>
      </c>
      <c r="AB455" s="187"/>
    </row>
    <row r="456" spans="1:28">
      <c r="A456">
        <f>sim_annual_output!B456</f>
        <v>21</v>
      </c>
      <c r="B456" t="str">
        <f>sim_annual_output!C456</f>
        <v>Storage Building</v>
      </c>
      <c r="C456" t="str">
        <f>sim_annual_output!D456</f>
        <v>1960-1979</v>
      </c>
      <c r="D456">
        <v>2015</v>
      </c>
      <c r="E456" t="str">
        <f>sim_annual_output!E456</f>
        <v>envelope_ecm_roof</v>
      </c>
      <c r="F456">
        <f t="array" ref="F456">INDEX(base_building_arch_areas!$M$2:$M$161,MATCH($A456&amp;$D456,base_building_arch_areas!$A$2:$A$161&amp;base_building_arch_areas!$E$2:$E$161,0))</f>
        <v>3.5950861394737866E-3</v>
      </c>
      <c r="G456" s="191">
        <f>(model_eui_end_uses!AO456*F456*base_building_arch_areas!$P$6)/1000000</f>
        <v>12.397495743566539</v>
      </c>
      <c r="AB456" s="187"/>
    </row>
    <row r="457" spans="1:28">
      <c r="A457">
        <f>sim_annual_output!B457</f>
        <v>21</v>
      </c>
      <c r="B457" t="str">
        <f>sim_annual_output!C457</f>
        <v>Storage Building</v>
      </c>
      <c r="C457" t="str">
        <f>sim_annual_output!D457</f>
        <v>1960-1979</v>
      </c>
      <c r="D457">
        <v>2015</v>
      </c>
      <c r="E457" t="str">
        <f>sim_annual_output!E457</f>
        <v>envelope_ecm_wall</v>
      </c>
      <c r="F457">
        <f t="array" ref="F457">INDEX(base_building_arch_areas!$M$2:$M$161,MATCH($A457&amp;$D457,base_building_arch_areas!$A$2:$A$161&amp;base_building_arch_areas!$E$2:$E$161,0))</f>
        <v>3.5950861394737866E-3</v>
      </c>
      <c r="G457" s="191">
        <f>(model_eui_end_uses!AO457*F457*base_building_arch_areas!$P$6)/1000000</f>
        <v>1.4267891821513516</v>
      </c>
      <c r="AB457" s="187"/>
    </row>
    <row r="458" spans="1:28">
      <c r="A458">
        <f>sim_annual_output!B458</f>
        <v>21</v>
      </c>
      <c r="B458" t="str">
        <f>sim_annual_output!C458</f>
        <v>Storage Building</v>
      </c>
      <c r="C458" t="str">
        <f>sim_annual_output!D458</f>
        <v>1960-1979</v>
      </c>
      <c r="D458">
        <v>2015</v>
      </c>
      <c r="E458" t="str">
        <f>sim_annual_output!E458</f>
        <v>envelope_ecm_windows</v>
      </c>
      <c r="F458">
        <f t="array" ref="F458">INDEX(base_building_arch_areas!$M$2:$M$161,MATCH($A458&amp;$D458,base_building_arch_areas!$A$2:$A$161&amp;base_building_arch_areas!$E$2:$E$161,0))</f>
        <v>3.5950861394737866E-3</v>
      </c>
      <c r="G458" s="191">
        <f>(model_eui_end_uses!AO458*F458*base_building_arch_areas!$P$6)/1000000</f>
        <v>0.77777477574013254</v>
      </c>
      <c r="AB458" s="187"/>
    </row>
    <row r="459" spans="1:28">
      <c r="A459">
        <f>sim_annual_output!B459</f>
        <v>21</v>
      </c>
      <c r="B459" t="str">
        <f>sim_annual_output!C459</f>
        <v>Storage Building</v>
      </c>
      <c r="C459" t="str">
        <f>sim_annual_output!D459</f>
        <v>1960-1979</v>
      </c>
      <c r="D459">
        <v>2015</v>
      </c>
      <c r="E459" t="str">
        <f>sim_annual_output!E459</f>
        <v>exhaust_fans_occ_control</v>
      </c>
      <c r="F459">
        <f t="array" ref="F459">INDEX(base_building_arch_areas!$M$2:$M$161,MATCH($A459&amp;$D459,base_building_arch_areas!$A$2:$A$161&amp;base_building_arch_areas!$E$2:$E$161,0))</f>
        <v>3.5950861394737866E-3</v>
      </c>
      <c r="G459" s="191">
        <f>(model_eui_end_uses!AO459*F459*base_building_arch_areas!$P$6)/1000000</f>
        <v>0.77777477574013254</v>
      </c>
      <c r="AB459" s="187"/>
    </row>
    <row r="460" spans="1:28">
      <c r="A460">
        <f>sim_annual_output!B460</f>
        <v>21</v>
      </c>
      <c r="B460" t="str">
        <f>sim_annual_output!C460</f>
        <v>Storage Building</v>
      </c>
      <c r="C460" t="str">
        <f>sim_annual_output!D460</f>
        <v>1960-1979</v>
      </c>
      <c r="D460">
        <v>2015</v>
      </c>
      <c r="E460" t="str">
        <f>sim_annual_output!E460</f>
        <v>hrv_enabled</v>
      </c>
      <c r="F460">
        <f t="array" ref="F460">INDEX(base_building_arch_areas!$M$2:$M$161,MATCH($A460&amp;$D460,base_building_arch_areas!$A$2:$A$161&amp;base_building_arch_areas!$E$2:$E$161,0))</f>
        <v>3.5950861394737866E-3</v>
      </c>
      <c r="G460" s="191">
        <f>(model_eui_end_uses!AO460*F460*base_building_arch_areas!$P$6)/1000000</f>
        <v>0.77777477574013254</v>
      </c>
      <c r="AB460" s="187"/>
    </row>
    <row r="461" spans="1:28">
      <c r="A461">
        <f>sim_annual_output!B461</f>
        <v>21</v>
      </c>
      <c r="B461" t="str">
        <f>sim_annual_output!C461</f>
        <v>Storage Building</v>
      </c>
      <c r="C461" t="str">
        <f>sim_annual_output!D461</f>
        <v>1960-1979</v>
      </c>
      <c r="D461">
        <v>2015</v>
      </c>
      <c r="E461" t="str">
        <f>sim_annual_output!E461</f>
        <v>infil_reduce</v>
      </c>
      <c r="F461">
        <f t="array" ref="F461">INDEX(base_building_arch_areas!$M$2:$M$161,MATCH($A461&amp;$D461,base_building_arch_areas!$A$2:$A$161&amp;base_building_arch_areas!$E$2:$E$161,0))</f>
        <v>3.5950861394737866E-3</v>
      </c>
      <c r="G461" s="191">
        <f>(model_eui_end_uses!AO461*F461*base_building_arch_areas!$P$6)/1000000</f>
        <v>15.089586186023338</v>
      </c>
      <c r="AB461" s="187"/>
    </row>
    <row r="462" spans="1:28">
      <c r="A462">
        <f>sim_annual_output!B462</f>
        <v>21</v>
      </c>
      <c r="B462" t="str">
        <f>sim_annual_output!C462</f>
        <v>Storage Building</v>
      </c>
      <c r="C462" t="str">
        <f>sim_annual_output!D462</f>
        <v>1960-1979</v>
      </c>
      <c r="D462">
        <v>2015</v>
      </c>
      <c r="E462" t="str">
        <f>sim_annual_output!E462</f>
        <v>infil_reduce_plus_setback</v>
      </c>
      <c r="F462">
        <f t="array" ref="F462">INDEX(base_building_arch_areas!$M$2:$M$161,MATCH($A462&amp;$D462,base_building_arch_areas!$A$2:$A$161&amp;base_building_arch_areas!$E$2:$E$161,0))</f>
        <v>3.5950861394737866E-3</v>
      </c>
      <c r="G462" s="191">
        <f>(model_eui_end_uses!AO462*F462*base_building_arch_areas!$P$6)/1000000</f>
        <v>19.174817958051271</v>
      </c>
      <c r="AB462" s="187"/>
    </row>
    <row r="463" spans="1:28">
      <c r="A463">
        <f>sim_annual_output!B463</f>
        <v>21</v>
      </c>
      <c r="B463" t="str">
        <f>sim_annual_output!C463</f>
        <v>Storage Building</v>
      </c>
      <c r="C463" t="str">
        <f>sim_annual_output!D463</f>
        <v>1960-1979</v>
      </c>
      <c r="D463">
        <v>2015</v>
      </c>
      <c r="E463" t="str">
        <f>sim_annual_output!E463</f>
        <v>lights_reduce_70p</v>
      </c>
      <c r="F463">
        <f t="array" ref="F463">INDEX(base_building_arch_areas!$M$2:$M$161,MATCH($A463&amp;$D463,base_building_arch_areas!$A$2:$A$161&amp;base_building_arch_areas!$E$2:$E$161,0))</f>
        <v>3.5950861394737866E-3</v>
      </c>
      <c r="G463" s="191">
        <f>(model_eui_end_uses!AO463*F463*base_building_arch_areas!$P$6)/1000000</f>
        <v>5.7005983536925182</v>
      </c>
      <c r="AB463" s="187"/>
    </row>
    <row r="464" spans="1:28">
      <c r="A464">
        <f>sim_annual_output!B464</f>
        <v>21</v>
      </c>
      <c r="B464" t="str">
        <f>sim_annual_output!C464</f>
        <v>Storage Building</v>
      </c>
      <c r="C464" t="str">
        <f>sim_annual_output!D464</f>
        <v>1960-1979</v>
      </c>
      <c r="D464">
        <v>2015</v>
      </c>
      <c r="E464" t="str">
        <f>sim_annual_output!E464</f>
        <v>load_reduce</v>
      </c>
      <c r="F464">
        <f t="array" ref="F464">INDEX(base_building_arch_areas!$M$2:$M$161,MATCH($A464&amp;$D464,base_building_arch_areas!$A$2:$A$161&amp;base_building_arch_areas!$E$2:$E$161,0))</f>
        <v>3.5950861394737866E-3</v>
      </c>
      <c r="G464" s="191">
        <f>(model_eui_end_uses!AO464*F464*base_building_arch_areas!$P$6)/1000000</f>
        <v>19.174817958051271</v>
      </c>
      <c r="AB464" s="187"/>
    </row>
    <row r="465" spans="1:28">
      <c r="A465">
        <f>sim_annual_output!B465</f>
        <v>21</v>
      </c>
      <c r="B465" t="str">
        <f>sim_annual_output!C465</f>
        <v>Storage Building</v>
      </c>
      <c r="C465" t="str">
        <f>sim_annual_output!D465</f>
        <v>1960-1979</v>
      </c>
      <c r="D465">
        <v>2015</v>
      </c>
      <c r="E465" t="str">
        <f>sim_annual_output!E465</f>
        <v>occupancy_setback</v>
      </c>
      <c r="F465">
        <f t="array" ref="F465">INDEX(base_building_arch_areas!$M$2:$M$161,MATCH($A465&amp;$D465,base_building_arch_areas!$A$2:$A$161&amp;base_building_arch_areas!$E$2:$E$161,0))</f>
        <v>3.5950861394737866E-3</v>
      </c>
      <c r="G465" s="191">
        <f>(model_eui_end_uses!AO465*F465*base_building_arch_areas!$P$6)/1000000</f>
        <v>5.8250219326697623</v>
      </c>
      <c r="AB465" s="187"/>
    </row>
    <row r="466" spans="1:28">
      <c r="A466">
        <f>sim_annual_output!B466</f>
        <v>21</v>
      </c>
      <c r="B466" t="str">
        <f>sim_annual_output!C466</f>
        <v>Storage Building</v>
      </c>
      <c r="C466" t="str">
        <f>sim_annual_output!D466</f>
        <v>1960-1979</v>
      </c>
      <c r="D466">
        <v>2015</v>
      </c>
      <c r="E466" t="str">
        <f>sim_annual_output!E466</f>
        <v>payback_less_than_20</v>
      </c>
      <c r="F466">
        <f t="array" ref="F466">INDEX(base_building_arch_areas!$M$2:$M$161,MATCH($A466&amp;$D466,base_building_arch_areas!$A$2:$A$161&amp;base_building_arch_areas!$E$2:$E$161,0))</f>
        <v>3.5950861394737866E-3</v>
      </c>
      <c r="G466" s="191">
        <f>(model_eui_end_uses!AO466*F466*base_building_arch_areas!$P$6)/1000000</f>
        <v>24.030660019305675</v>
      </c>
      <c r="AB466" s="187"/>
    </row>
    <row r="467" spans="1:28">
      <c r="A467">
        <f>sim_annual_output!B467</f>
        <v>21</v>
      </c>
      <c r="B467" t="str">
        <f>sim_annual_output!C467</f>
        <v>Storage Building</v>
      </c>
      <c r="C467" t="str">
        <f>sim_annual_output!D467</f>
        <v>1960-1979</v>
      </c>
      <c r="D467">
        <v>2015</v>
      </c>
      <c r="E467" t="str">
        <f>sim_annual_output!E467</f>
        <v>plug_loads_90_percent</v>
      </c>
      <c r="F467">
        <f t="array" ref="F467">INDEX(base_building_arch_areas!$M$2:$M$161,MATCH($A467&amp;$D467,base_building_arch_areas!$A$2:$A$161&amp;base_building_arch_areas!$E$2:$E$161,0))</f>
        <v>3.5950861394737866E-3</v>
      </c>
      <c r="G467" s="191">
        <f>(model_eui_end_uses!AO467*F467*base_building_arch_areas!$P$6)/1000000</f>
        <v>0.74221457921135248</v>
      </c>
      <c r="AB467" s="187"/>
    </row>
    <row r="468" spans="1:28">
      <c r="A468">
        <f>sim_annual_output!B468</f>
        <v>22</v>
      </c>
      <c r="B468" t="str">
        <f>sim_annual_output!C468</f>
        <v>Storage Building</v>
      </c>
      <c r="C468" t="str">
        <f>sim_annual_output!D468</f>
        <v>1980-2004</v>
      </c>
      <c r="D468">
        <v>2015</v>
      </c>
      <c r="E468" t="str">
        <f>sim_annual_output!E468</f>
        <v>baseline</v>
      </c>
      <c r="F468">
        <f t="array" ref="F468">INDEX(base_building_arch_areas!$M$2:$M$161,MATCH($A468&amp;$D468,base_building_arch_areas!$A$2:$A$161&amp;base_building_arch_areas!$E$2:$E$161,0))</f>
        <v>4.3745976052923817E-2</v>
      </c>
      <c r="G468" s="191">
        <f>(model_eui_end_uses!AO468*F468*base_building_arch_areas!$P$6)/1000000</f>
        <v>0</v>
      </c>
      <c r="AB468" s="187"/>
    </row>
    <row r="469" spans="1:28">
      <c r="A469">
        <f>sim_annual_output!B469</f>
        <v>22</v>
      </c>
      <c r="B469" t="str">
        <f>sim_annual_output!C469</f>
        <v>Storage Building</v>
      </c>
      <c r="C469" t="str">
        <f>sim_annual_output!D469</f>
        <v>1980-2004</v>
      </c>
      <c r="D469">
        <v>2015</v>
      </c>
      <c r="E469" t="str">
        <f>sim_annual_output!E469</f>
        <v>dcv_enabled</v>
      </c>
      <c r="F469">
        <f t="array" ref="F469">INDEX(base_building_arch_areas!$M$2:$M$161,MATCH($A469&amp;$D469,base_building_arch_areas!$A$2:$A$161&amp;base_building_arch_areas!$E$2:$E$161,0))</f>
        <v>4.3745976052923817E-2</v>
      </c>
      <c r="G469" s="191">
        <f>(model_eui_end_uses!AO469*F469*base_building_arch_areas!$P$6)/1000000</f>
        <v>6.0391001218844833</v>
      </c>
      <c r="AB469" s="187"/>
    </row>
    <row r="470" spans="1:28">
      <c r="A470">
        <f>sim_annual_output!B470</f>
        <v>22</v>
      </c>
      <c r="B470" t="str">
        <f>sim_annual_output!C470</f>
        <v>Storage Building</v>
      </c>
      <c r="C470" t="str">
        <f>sim_annual_output!D470</f>
        <v>1980-2004</v>
      </c>
      <c r="D470">
        <v>2015</v>
      </c>
      <c r="E470" t="str">
        <f>sim_annual_output!E470</f>
        <v>ecm_cold_deck_reset_control</v>
      </c>
      <c r="F470">
        <f t="array" ref="F470">INDEX(base_building_arch_areas!$M$2:$M$161,MATCH($A470&amp;$D470,base_building_arch_areas!$A$2:$A$161&amp;base_building_arch_areas!$E$2:$E$161,0))</f>
        <v>4.3745976052923817E-2</v>
      </c>
      <c r="G470" s="191">
        <f>(model_eui_end_uses!AO470*F470*base_building_arch_areas!$P$6)/1000000</f>
        <v>6.0391001218844833</v>
      </c>
      <c r="AB470" s="187"/>
    </row>
    <row r="471" spans="1:28">
      <c r="A471">
        <f>sim_annual_output!B471</f>
        <v>22</v>
      </c>
      <c r="B471" t="str">
        <f>sim_annual_output!C471</f>
        <v>Storage Building</v>
      </c>
      <c r="C471" t="str">
        <f>sim_annual_output!D471</f>
        <v>1980-2004</v>
      </c>
      <c r="D471">
        <v>2015</v>
      </c>
      <c r="E471" t="str">
        <f>sim_annual_output!E471</f>
        <v>elec_reduce</v>
      </c>
      <c r="F471">
        <f t="array" ref="F471">INDEX(base_building_arch_areas!$M$2:$M$161,MATCH($A471&amp;$D471,base_building_arch_areas!$A$2:$A$161&amp;base_building_arch_areas!$E$2:$E$161,0))</f>
        <v>4.3745976052923817E-2</v>
      </c>
      <c r="G471" s="191">
        <f>(model_eui_end_uses!AO471*F471*base_building_arch_areas!$P$6)/1000000</f>
        <v>65.969670078570488</v>
      </c>
      <c r="AB471" s="187"/>
    </row>
    <row r="472" spans="1:28">
      <c r="A472">
        <f>sim_annual_output!B472</f>
        <v>22</v>
      </c>
      <c r="B472" t="str">
        <f>sim_annual_output!C472</f>
        <v>Storage Building</v>
      </c>
      <c r="C472" t="str">
        <f>sim_annual_output!D472</f>
        <v>1980-2004</v>
      </c>
      <c r="D472">
        <v>2015</v>
      </c>
      <c r="E472" t="str">
        <f>sim_annual_output!E472</f>
        <v>envelope_ecm_roof</v>
      </c>
      <c r="F472">
        <f t="array" ref="F472">INDEX(base_building_arch_areas!$M$2:$M$161,MATCH($A472&amp;$D472,base_building_arch_areas!$A$2:$A$161&amp;base_building_arch_areas!$E$2:$E$161,0))</f>
        <v>4.3745976052923817E-2</v>
      </c>
      <c r="G472" s="191">
        <f>(model_eui_end_uses!AO472*F472*base_building_arch_areas!$P$6)/1000000</f>
        <v>55.379179084614726</v>
      </c>
      <c r="AB472" s="187"/>
    </row>
    <row r="473" spans="1:28">
      <c r="A473">
        <f>sim_annual_output!B473</f>
        <v>22</v>
      </c>
      <c r="B473" t="str">
        <f>sim_annual_output!C473</f>
        <v>Storage Building</v>
      </c>
      <c r="C473" t="str">
        <f>sim_annual_output!D473</f>
        <v>1980-2004</v>
      </c>
      <c r="D473">
        <v>2015</v>
      </c>
      <c r="E473" t="str">
        <f>sim_annual_output!E473</f>
        <v>envelope_ecm_wall</v>
      </c>
      <c r="F473">
        <f t="array" ref="F473">INDEX(base_building_arch_areas!$M$2:$M$161,MATCH($A473&amp;$D473,base_building_arch_areas!$A$2:$A$161&amp;base_building_arch_areas!$E$2:$E$161,0))</f>
        <v>4.3745976052923817E-2</v>
      </c>
      <c r="G473" s="191">
        <f>(model_eui_end_uses!AO473*F473*base_building_arch_areas!$P$6)/1000000</f>
        <v>11.50214188269198</v>
      </c>
      <c r="AB473" s="187"/>
    </row>
    <row r="474" spans="1:28">
      <c r="A474">
        <f>sim_annual_output!B474</f>
        <v>22</v>
      </c>
      <c r="B474" t="str">
        <f>sim_annual_output!C474</f>
        <v>Storage Building</v>
      </c>
      <c r="C474" t="str">
        <f>sim_annual_output!D474</f>
        <v>1980-2004</v>
      </c>
      <c r="D474">
        <v>2015</v>
      </c>
      <c r="E474" t="str">
        <f>sim_annual_output!E474</f>
        <v>envelope_ecm_windows</v>
      </c>
      <c r="F474">
        <f t="array" ref="F474">INDEX(base_building_arch_areas!$M$2:$M$161,MATCH($A474&amp;$D474,base_building_arch_areas!$A$2:$A$161&amp;base_building_arch_areas!$E$2:$E$161,0))</f>
        <v>4.3745976052923817E-2</v>
      </c>
      <c r="G474" s="191">
        <f>(model_eui_end_uses!AO474*F474*base_building_arch_areas!$P$6)/1000000</f>
        <v>6.0391001218844833</v>
      </c>
      <c r="AB474" s="187"/>
    </row>
    <row r="475" spans="1:28">
      <c r="A475">
        <f>sim_annual_output!B475</f>
        <v>22</v>
      </c>
      <c r="B475" t="str">
        <f>sim_annual_output!C475</f>
        <v>Storage Building</v>
      </c>
      <c r="C475" t="str">
        <f>sim_annual_output!D475</f>
        <v>1980-2004</v>
      </c>
      <c r="D475">
        <v>2015</v>
      </c>
      <c r="E475" t="str">
        <f>sim_annual_output!E475</f>
        <v>exhaust_fans_occ_control</v>
      </c>
      <c r="F475">
        <f t="array" ref="F475">INDEX(base_building_arch_areas!$M$2:$M$161,MATCH($A475&amp;$D475,base_building_arch_areas!$A$2:$A$161&amp;base_building_arch_areas!$E$2:$E$161,0))</f>
        <v>4.3745976052923817E-2</v>
      </c>
      <c r="G475" s="191">
        <f>(model_eui_end_uses!AO475*F475*base_building_arch_areas!$P$6)/1000000</f>
        <v>6.0391001218844833</v>
      </c>
      <c r="AB475" s="187"/>
    </row>
    <row r="476" spans="1:28">
      <c r="A476">
        <f>sim_annual_output!B476</f>
        <v>22</v>
      </c>
      <c r="B476" t="str">
        <f>sim_annual_output!C476</f>
        <v>Storage Building</v>
      </c>
      <c r="C476" t="str">
        <f>sim_annual_output!D476</f>
        <v>1980-2004</v>
      </c>
      <c r="D476">
        <v>2015</v>
      </c>
      <c r="E476" t="str">
        <f>sim_annual_output!E476</f>
        <v>hrv_enabled</v>
      </c>
      <c r="F476">
        <f t="array" ref="F476">INDEX(base_building_arch_areas!$M$2:$M$161,MATCH($A476&amp;$D476,base_building_arch_areas!$A$2:$A$161&amp;base_building_arch_areas!$E$2:$E$161,0))</f>
        <v>4.3745976052923817E-2</v>
      </c>
      <c r="G476" s="191">
        <f>(model_eui_end_uses!AO476*F476*base_building_arch_areas!$P$6)/1000000</f>
        <v>6.0391001218844833</v>
      </c>
      <c r="AB476" s="187"/>
    </row>
    <row r="477" spans="1:28">
      <c r="A477">
        <f>sim_annual_output!B477</f>
        <v>22</v>
      </c>
      <c r="B477" t="str">
        <f>sim_annual_output!C477</f>
        <v>Storage Building</v>
      </c>
      <c r="C477" t="str">
        <f>sim_annual_output!D477</f>
        <v>1980-2004</v>
      </c>
      <c r="D477">
        <v>2015</v>
      </c>
      <c r="E477" t="str">
        <f>sim_annual_output!E477</f>
        <v>infil_reduce</v>
      </c>
      <c r="F477">
        <f t="array" ref="F477">INDEX(base_building_arch_areas!$M$2:$M$161,MATCH($A477&amp;$D477,base_building_arch_areas!$A$2:$A$161&amp;base_building_arch_areas!$E$2:$E$161,0))</f>
        <v>4.3745976052923817E-2</v>
      </c>
      <c r="G477" s="191">
        <f>(model_eui_end_uses!AO477*F477*base_building_arch_areas!$P$6)/1000000</f>
        <v>49.328037609028861</v>
      </c>
      <c r="AB477" s="187"/>
    </row>
    <row r="478" spans="1:28">
      <c r="A478">
        <f>sim_annual_output!B478</f>
        <v>22</v>
      </c>
      <c r="B478" t="str">
        <f>sim_annual_output!C478</f>
        <v>Storage Building</v>
      </c>
      <c r="C478" t="str">
        <f>sim_annual_output!D478</f>
        <v>1980-2004</v>
      </c>
      <c r="D478">
        <v>2015</v>
      </c>
      <c r="E478" t="str">
        <f>sim_annual_output!E478</f>
        <v>infil_reduce_plus_setback</v>
      </c>
      <c r="F478">
        <f t="array" ref="F478">INDEX(base_building_arch_areas!$M$2:$M$161,MATCH($A478&amp;$D478,base_building_arch_areas!$A$2:$A$161&amp;base_building_arch_areas!$E$2:$E$161,0))</f>
        <v>4.3745976052923817E-2</v>
      </c>
      <c r="G478" s="191">
        <f>(model_eui_end_uses!AO478*F478*base_building_arch_areas!$P$6)/1000000</f>
        <v>88.084970803561191</v>
      </c>
      <c r="AB478" s="187"/>
    </row>
    <row r="479" spans="1:28">
      <c r="A479">
        <f>sim_annual_output!B479</f>
        <v>22</v>
      </c>
      <c r="B479" t="str">
        <f>sim_annual_output!C479</f>
        <v>Storage Building</v>
      </c>
      <c r="C479" t="str">
        <f>sim_annual_output!D479</f>
        <v>1980-2004</v>
      </c>
      <c r="D479">
        <v>2015</v>
      </c>
      <c r="E479" t="str">
        <f>sim_annual_output!E479</f>
        <v>lights_reduce_70p</v>
      </c>
      <c r="F479">
        <f t="array" ref="F479">INDEX(base_building_arch_areas!$M$2:$M$161,MATCH($A479&amp;$D479,base_building_arch_areas!$A$2:$A$161&amp;base_building_arch_areas!$E$2:$E$161,0))</f>
        <v>4.3745976052923817E-2</v>
      </c>
      <c r="G479" s="191">
        <f>(model_eui_end_uses!AO479*F479*base_building_arch_areas!$P$6)/1000000</f>
        <v>66.273804569684685</v>
      </c>
      <c r="AB479" s="187"/>
    </row>
    <row r="480" spans="1:28">
      <c r="A480">
        <f>sim_annual_output!B480</f>
        <v>22</v>
      </c>
      <c r="B480" t="str">
        <f>sim_annual_output!C480</f>
        <v>Storage Building</v>
      </c>
      <c r="C480" t="str">
        <f>sim_annual_output!D480</f>
        <v>1980-2004</v>
      </c>
      <c r="D480">
        <v>2015</v>
      </c>
      <c r="E480" t="str">
        <f>sim_annual_output!E480</f>
        <v>load_reduce</v>
      </c>
      <c r="F480">
        <f t="array" ref="F480">INDEX(base_building_arch_areas!$M$2:$M$161,MATCH($A480&amp;$D480,base_building_arch_areas!$A$2:$A$161&amp;base_building_arch_areas!$E$2:$E$161,0))</f>
        <v>4.3745976052923817E-2</v>
      </c>
      <c r="G480" s="191">
        <f>(model_eui_end_uses!AO480*F480*base_building_arch_areas!$P$6)/1000000</f>
        <v>88.084970803561191</v>
      </c>
      <c r="AB480" s="187"/>
    </row>
    <row r="481" spans="1:28">
      <c r="A481">
        <f>sim_annual_output!B481</f>
        <v>22</v>
      </c>
      <c r="B481" t="str">
        <f>sim_annual_output!C481</f>
        <v>Storage Building</v>
      </c>
      <c r="C481" t="str">
        <f>sim_annual_output!D481</f>
        <v>1980-2004</v>
      </c>
      <c r="D481">
        <v>2015</v>
      </c>
      <c r="E481" t="str">
        <f>sim_annual_output!E481</f>
        <v>occupancy_setback</v>
      </c>
      <c r="F481">
        <f t="array" ref="F481">INDEX(base_building_arch_areas!$M$2:$M$161,MATCH($A481&amp;$D481,base_building_arch_areas!$A$2:$A$161&amp;base_building_arch_areas!$E$2:$E$161,0))</f>
        <v>4.3745976052923817E-2</v>
      </c>
      <c r="G481" s="191">
        <f>(model_eui_end_uses!AO481*F481*base_building_arch_areas!$P$6)/1000000</f>
        <v>48.087928694701475</v>
      </c>
      <c r="AB481" s="187"/>
    </row>
    <row r="482" spans="1:28">
      <c r="A482">
        <f>sim_annual_output!B482</f>
        <v>22</v>
      </c>
      <c r="B482" t="str">
        <f>sim_annual_output!C482</f>
        <v>Storage Building</v>
      </c>
      <c r="C482" t="str">
        <f>sim_annual_output!D482</f>
        <v>1980-2004</v>
      </c>
      <c r="D482">
        <v>2015</v>
      </c>
      <c r="E482" t="str">
        <f>sim_annual_output!E482</f>
        <v>payback_less_than_20</v>
      </c>
      <c r="F482">
        <f t="array" ref="F482">INDEX(base_building_arch_areas!$M$2:$M$161,MATCH($A482&amp;$D482,base_building_arch_areas!$A$2:$A$161&amp;base_building_arch_areas!$E$2:$E$161,0))</f>
        <v>4.3745976052923817E-2</v>
      </c>
      <c r="G482" s="191">
        <f>(model_eui_end_uses!AO482*F482*base_building_arch_areas!$P$6)/1000000</f>
        <v>147.52566838828824</v>
      </c>
      <c r="AB482" s="187"/>
    </row>
    <row r="483" spans="1:28">
      <c r="A483">
        <f>sim_annual_output!B483</f>
        <v>22</v>
      </c>
      <c r="B483" t="str">
        <f>sim_annual_output!C483</f>
        <v>Storage Building</v>
      </c>
      <c r="C483" t="str">
        <f>sim_annual_output!D483</f>
        <v>1980-2004</v>
      </c>
      <c r="D483">
        <v>2015</v>
      </c>
      <c r="E483" t="str">
        <f>sim_annual_output!E483</f>
        <v>plug_loads_90_percent</v>
      </c>
      <c r="F483">
        <f t="array" ref="F483">INDEX(base_building_arch_areas!$M$2:$M$161,MATCH($A483&amp;$D483,base_building_arch_areas!$A$2:$A$161&amp;base_building_arch_areas!$E$2:$E$161,0))</f>
        <v>4.3745976052923817E-2</v>
      </c>
      <c r="G483" s="191">
        <f>(model_eui_end_uses!AO483*F483*base_building_arch_areas!$P$6)/1000000</f>
        <v>5.7880981039779229</v>
      </c>
      <c r="AB483" s="187"/>
    </row>
    <row r="484" spans="1:28">
      <c r="A484">
        <f>sim_annual_output!B484</f>
        <v>23</v>
      </c>
      <c r="B484" t="str">
        <f>sim_annual_output!C484</f>
        <v>Storage Building</v>
      </c>
      <c r="C484" t="str">
        <f>sim_annual_output!D484</f>
        <v>2005-2014</v>
      </c>
      <c r="D484">
        <v>2015</v>
      </c>
      <c r="E484" t="str">
        <f>sim_annual_output!E484</f>
        <v>baseline</v>
      </c>
      <c r="F484">
        <f t="array" ref="F484">INDEX(base_building_arch_areas!$M$2:$M$161,MATCH($A484&amp;$D484,base_building_arch_areas!$A$2:$A$161&amp;base_building_arch_areas!$E$2:$E$161,0))</f>
        <v>2.1648295142744798E-3</v>
      </c>
      <c r="G484" s="191">
        <f>(model_eui_end_uses!AO484*F484*base_building_arch_areas!$P$6)/1000000</f>
        <v>0</v>
      </c>
      <c r="AB484" s="187"/>
    </row>
    <row r="485" spans="1:28">
      <c r="A485">
        <f>sim_annual_output!B485</f>
        <v>23</v>
      </c>
      <c r="B485" t="str">
        <f>sim_annual_output!C485</f>
        <v>Storage Building</v>
      </c>
      <c r="C485" t="str">
        <f>sim_annual_output!D485</f>
        <v>2005-2014</v>
      </c>
      <c r="D485">
        <v>2015</v>
      </c>
      <c r="E485" t="str">
        <f>sim_annual_output!E485</f>
        <v>dcv_enabled</v>
      </c>
      <c r="F485">
        <f t="array" ref="F485">INDEX(base_building_arch_areas!$M$2:$M$161,MATCH($A485&amp;$D485,base_building_arch_areas!$A$2:$A$161&amp;base_building_arch_areas!$E$2:$E$161,0))</f>
        <v>2.1648295142744798E-3</v>
      </c>
      <c r="G485" s="191">
        <f>(model_eui_end_uses!AO485*F485*base_building_arch_areas!$P$6)/1000000</f>
        <v>0.24185694041990424</v>
      </c>
      <c r="AB485" s="187"/>
    </row>
    <row r="486" spans="1:28">
      <c r="A486">
        <f>sim_annual_output!B486</f>
        <v>23</v>
      </c>
      <c r="B486" t="str">
        <f>sim_annual_output!C486</f>
        <v>Storage Building</v>
      </c>
      <c r="C486" t="str">
        <f>sim_annual_output!D486</f>
        <v>2005-2014</v>
      </c>
      <c r="D486">
        <v>2015</v>
      </c>
      <c r="E486" t="str">
        <f>sim_annual_output!E486</f>
        <v>ecm_cold_deck_reset_control</v>
      </c>
      <c r="F486">
        <f t="array" ref="F486">INDEX(base_building_arch_areas!$M$2:$M$161,MATCH($A486&amp;$D486,base_building_arch_areas!$A$2:$A$161&amp;base_building_arch_areas!$E$2:$E$161,0))</f>
        <v>2.1648295142744798E-3</v>
      </c>
      <c r="G486" s="191">
        <f>(model_eui_end_uses!AO486*F486*base_building_arch_areas!$P$6)/1000000</f>
        <v>0.24185694041990424</v>
      </c>
      <c r="AB486" s="187"/>
    </row>
    <row r="487" spans="1:28">
      <c r="A487">
        <f>sim_annual_output!B487</f>
        <v>23</v>
      </c>
      <c r="B487" t="str">
        <f>sim_annual_output!C487</f>
        <v>Storage Building</v>
      </c>
      <c r="C487" t="str">
        <f>sim_annual_output!D487</f>
        <v>2005-2014</v>
      </c>
      <c r="D487">
        <v>2015</v>
      </c>
      <c r="E487" t="str">
        <f>sim_annual_output!E487</f>
        <v>elec_reduce</v>
      </c>
      <c r="F487">
        <f t="array" ref="F487">INDEX(base_building_arch_areas!$M$2:$M$161,MATCH($A487&amp;$D487,base_building_arch_areas!$A$2:$A$161&amp;base_building_arch_areas!$E$2:$E$161,0))</f>
        <v>2.1648295142744798E-3</v>
      </c>
      <c r="G487" s="191">
        <f>(model_eui_end_uses!AO487*F487*base_building_arch_areas!$P$6)/1000000</f>
        <v>3.258881941741643</v>
      </c>
      <c r="AB487" s="187"/>
    </row>
    <row r="488" spans="1:28">
      <c r="A488">
        <f>sim_annual_output!B488</f>
        <v>23</v>
      </c>
      <c r="B488" t="str">
        <f>sim_annual_output!C488</f>
        <v>Storage Building</v>
      </c>
      <c r="C488" t="str">
        <f>sim_annual_output!D488</f>
        <v>2005-2014</v>
      </c>
      <c r="D488">
        <v>2015</v>
      </c>
      <c r="E488" t="str">
        <f>sim_annual_output!E488</f>
        <v>envelope_ecm_roof</v>
      </c>
      <c r="F488">
        <f t="array" ref="F488">INDEX(base_building_arch_areas!$M$2:$M$161,MATCH($A488&amp;$D488,base_building_arch_areas!$A$2:$A$161&amp;base_building_arch_areas!$E$2:$E$161,0))</f>
        <v>2.1648295142744798E-3</v>
      </c>
      <c r="G488" s="191">
        <f>(model_eui_end_uses!AO488*F488*base_building_arch_areas!$P$6)/1000000</f>
        <v>1.8713016355586785</v>
      </c>
      <c r="AB488" s="187"/>
    </row>
    <row r="489" spans="1:28">
      <c r="A489">
        <f>sim_annual_output!B489</f>
        <v>23</v>
      </c>
      <c r="B489" t="str">
        <f>sim_annual_output!C489</f>
        <v>Storage Building</v>
      </c>
      <c r="C489" t="str">
        <f>sim_annual_output!D489</f>
        <v>2005-2014</v>
      </c>
      <c r="D489">
        <v>2015</v>
      </c>
      <c r="E489" t="str">
        <f>sim_annual_output!E489</f>
        <v>envelope_ecm_wall</v>
      </c>
      <c r="F489">
        <f t="array" ref="F489">INDEX(base_building_arch_areas!$M$2:$M$161,MATCH($A489&amp;$D489,base_building_arch_areas!$A$2:$A$161&amp;base_building_arch_areas!$E$2:$E$161,0))</f>
        <v>2.1648295142744798E-3</v>
      </c>
      <c r="G489" s="191">
        <f>(model_eui_end_uses!AO489*F489*base_building_arch_areas!$P$6)/1000000</f>
        <v>0.3347401832206145</v>
      </c>
      <c r="AB489" s="187"/>
    </row>
    <row r="490" spans="1:28">
      <c r="A490">
        <f>sim_annual_output!B490</f>
        <v>23</v>
      </c>
      <c r="B490" t="str">
        <f>sim_annual_output!C490</f>
        <v>Storage Building</v>
      </c>
      <c r="C490" t="str">
        <f>sim_annual_output!D490</f>
        <v>2005-2014</v>
      </c>
      <c r="D490">
        <v>2015</v>
      </c>
      <c r="E490" t="str">
        <f>sim_annual_output!E490</f>
        <v>envelope_ecm_windows</v>
      </c>
      <c r="F490">
        <f t="array" ref="F490">INDEX(base_building_arch_areas!$M$2:$M$161,MATCH($A490&amp;$D490,base_building_arch_areas!$A$2:$A$161&amp;base_building_arch_areas!$E$2:$E$161,0))</f>
        <v>2.1648295142744798E-3</v>
      </c>
      <c r="G490" s="191">
        <f>(model_eui_end_uses!AO490*F490*base_building_arch_areas!$P$6)/1000000</f>
        <v>0.24185694041990424</v>
      </c>
      <c r="AB490" s="187"/>
    </row>
    <row r="491" spans="1:28">
      <c r="A491">
        <f>sim_annual_output!B491</f>
        <v>23</v>
      </c>
      <c r="B491" t="str">
        <f>sim_annual_output!C491</f>
        <v>Storage Building</v>
      </c>
      <c r="C491" t="str">
        <f>sim_annual_output!D491</f>
        <v>2005-2014</v>
      </c>
      <c r="D491">
        <v>2015</v>
      </c>
      <c r="E491" t="str">
        <f>sim_annual_output!E491</f>
        <v>exhaust_fans_occ_control</v>
      </c>
      <c r="F491">
        <f t="array" ref="F491">INDEX(base_building_arch_areas!$M$2:$M$161,MATCH($A491&amp;$D491,base_building_arch_areas!$A$2:$A$161&amp;base_building_arch_areas!$E$2:$E$161,0))</f>
        <v>2.1648295142744798E-3</v>
      </c>
      <c r="G491" s="191">
        <f>(model_eui_end_uses!AO491*F491*base_building_arch_areas!$P$6)/1000000</f>
        <v>0.24185694041990424</v>
      </c>
      <c r="AB491" s="187"/>
    </row>
    <row r="492" spans="1:28">
      <c r="A492">
        <f>sim_annual_output!B492</f>
        <v>23</v>
      </c>
      <c r="B492" t="str">
        <f>sim_annual_output!C492</f>
        <v>Storage Building</v>
      </c>
      <c r="C492" t="str">
        <f>sim_annual_output!D492</f>
        <v>2005-2014</v>
      </c>
      <c r="D492">
        <v>2015</v>
      </c>
      <c r="E492" t="str">
        <f>sim_annual_output!E492</f>
        <v>hrv_enabled</v>
      </c>
      <c r="F492">
        <f t="array" ref="F492">INDEX(base_building_arch_areas!$M$2:$M$161,MATCH($A492&amp;$D492,base_building_arch_areas!$A$2:$A$161&amp;base_building_arch_areas!$E$2:$E$161,0))</f>
        <v>2.1648295142744798E-3</v>
      </c>
      <c r="G492" s="191">
        <f>(model_eui_end_uses!AO492*F492*base_building_arch_areas!$P$6)/1000000</f>
        <v>0.24185694041990424</v>
      </c>
      <c r="AB492" s="187"/>
    </row>
    <row r="493" spans="1:28">
      <c r="A493">
        <f>sim_annual_output!B493</f>
        <v>23</v>
      </c>
      <c r="B493" t="str">
        <f>sim_annual_output!C493</f>
        <v>Storage Building</v>
      </c>
      <c r="C493" t="str">
        <f>sim_annual_output!D493</f>
        <v>2005-2014</v>
      </c>
      <c r="D493">
        <v>2015</v>
      </c>
      <c r="E493" t="str">
        <f>sim_annual_output!E493</f>
        <v>lights_reduce_70p</v>
      </c>
      <c r="F493">
        <f t="array" ref="F493">INDEX(base_building_arch_areas!$M$2:$M$161,MATCH($A493&amp;$D493,base_building_arch_areas!$A$2:$A$161&amp;base_building_arch_areas!$E$2:$E$161,0))</f>
        <v>2.1648295142744798E-3</v>
      </c>
      <c r="G493" s="191">
        <f>(model_eui_end_uses!AO493*F493*base_building_arch_areas!$P$6)/1000000</f>
        <v>3.2710364626399739</v>
      </c>
      <c r="AB493" s="187"/>
    </row>
    <row r="494" spans="1:28">
      <c r="A494">
        <f>sim_annual_output!B494</f>
        <v>23</v>
      </c>
      <c r="B494" t="str">
        <f>sim_annual_output!C494</f>
        <v>Storage Building</v>
      </c>
      <c r="C494" t="str">
        <f>sim_annual_output!D494</f>
        <v>2005-2014</v>
      </c>
      <c r="D494">
        <v>2015</v>
      </c>
      <c r="E494" t="str">
        <f>sim_annual_output!E494</f>
        <v>load_reduce</v>
      </c>
      <c r="F494">
        <f t="array" ref="F494">INDEX(base_building_arch_areas!$M$2:$M$161,MATCH($A494&amp;$D494,base_building_arch_areas!$A$2:$A$161&amp;base_building_arch_areas!$E$2:$E$161,0))</f>
        <v>2.1648295142744798E-3</v>
      </c>
      <c r="G494" s="191">
        <f>(model_eui_end_uses!AO494*F494*base_building_arch_areas!$P$6)/1000000</f>
        <v>-2.1682866799574634</v>
      </c>
      <c r="AB494" s="187"/>
    </row>
    <row r="495" spans="1:28">
      <c r="A495">
        <f>sim_annual_output!B495</f>
        <v>23</v>
      </c>
      <c r="B495" t="str">
        <f>sim_annual_output!C495</f>
        <v>Storage Building</v>
      </c>
      <c r="C495" t="str">
        <f>sim_annual_output!D495</f>
        <v>2005-2014</v>
      </c>
      <c r="D495">
        <v>2015</v>
      </c>
      <c r="E495" t="str">
        <f>sim_annual_output!E495</f>
        <v>occupancy_setback</v>
      </c>
      <c r="F495">
        <f t="array" ref="F495">INDEX(base_building_arch_areas!$M$2:$M$161,MATCH($A495&amp;$D495,base_building_arch_areas!$A$2:$A$161&amp;base_building_arch_areas!$E$2:$E$161,0))</f>
        <v>2.1648295142744798E-3</v>
      </c>
      <c r="G495" s="191">
        <f>(model_eui_end_uses!AO495*F495*base_building_arch_areas!$P$6)/1000000</f>
        <v>1.6986326555018252</v>
      </c>
      <c r="AB495" s="187"/>
    </row>
    <row r="496" spans="1:28">
      <c r="A496">
        <f>sim_annual_output!B496</f>
        <v>23</v>
      </c>
      <c r="B496" t="str">
        <f>sim_annual_output!C496</f>
        <v>Storage Building</v>
      </c>
      <c r="C496" t="str">
        <f>sim_annual_output!D496</f>
        <v>2005-2014</v>
      </c>
      <c r="D496">
        <v>2015</v>
      </c>
      <c r="E496" t="str">
        <f>sim_annual_output!E496</f>
        <v>payback_less_than_20</v>
      </c>
      <c r="F496">
        <f t="array" ref="F496">INDEX(base_building_arch_areas!$M$2:$M$161,MATCH($A496&amp;$D496,base_building_arch_areas!$A$2:$A$161&amp;base_building_arch_areas!$E$2:$E$161,0))</f>
        <v>2.1648295142744798E-3</v>
      </c>
      <c r="G496" s="191">
        <f>(model_eui_end_uses!AO496*F496*base_building_arch_areas!$P$6)/1000000</f>
        <v>0.77809789649873162</v>
      </c>
      <c r="AB496" s="187"/>
    </row>
    <row r="497" spans="1:28">
      <c r="A497">
        <f>sim_annual_output!B497</f>
        <v>23</v>
      </c>
      <c r="B497" t="str">
        <f>sim_annual_output!C497</f>
        <v>Storage Building</v>
      </c>
      <c r="C497" t="str">
        <f>sim_annual_output!D497</f>
        <v>2005-2014</v>
      </c>
      <c r="D497">
        <v>2015</v>
      </c>
      <c r="E497" t="str">
        <f>sim_annual_output!E497</f>
        <v>plug_loads_90_percent</v>
      </c>
      <c r="F497">
        <f t="array" ref="F497">INDEX(base_building_arch_areas!$M$2:$M$161,MATCH($A497&amp;$D497,base_building_arch_areas!$A$2:$A$161&amp;base_building_arch_areas!$E$2:$E$161,0))</f>
        <v>2.1648295142744798E-3</v>
      </c>
      <c r="G497" s="191">
        <f>(model_eui_end_uses!AO497*F497*base_building_arch_areas!$P$6)/1000000</f>
        <v>0.23130236503509014</v>
      </c>
      <c r="AB497" s="187"/>
    </row>
    <row r="498" spans="1:28">
      <c r="A498">
        <f>sim_annual_output!B498</f>
        <v>24</v>
      </c>
      <c r="B498" t="str">
        <f>sim_annual_output!C498</f>
        <v>Training Building</v>
      </c>
      <c r="C498" t="str">
        <f>sim_annual_output!D498</f>
        <v>1959-pre</v>
      </c>
      <c r="D498">
        <v>2015</v>
      </c>
      <c r="E498" t="str">
        <f>sim_annual_output!E498</f>
        <v>air_temp_reset_enabled</v>
      </c>
      <c r="F498">
        <f t="array" ref="F498">INDEX(base_building_arch_areas!$M$2:$M$161,MATCH($A498&amp;$D498,base_building_arch_areas!$A$2:$A$161&amp;base_building_arch_areas!$E$2:$E$161,0))</f>
        <v>2.9521188106832824E-2</v>
      </c>
      <c r="G498" s="191">
        <f>(model_eui_end_uses!AO498*F498*base_building_arch_areas!$P$6)/1000000</f>
        <v>-88.359944254189514</v>
      </c>
      <c r="AB498" s="187"/>
    </row>
    <row r="499" spans="1:28">
      <c r="A499">
        <f>sim_annual_output!B499</f>
        <v>24</v>
      </c>
      <c r="B499" t="str">
        <f>sim_annual_output!C499</f>
        <v>Training Building</v>
      </c>
      <c r="C499" t="str">
        <f>sim_annual_output!D499</f>
        <v>1959-pre</v>
      </c>
      <c r="D499">
        <v>2015</v>
      </c>
      <c r="E499" t="str">
        <f>sim_annual_output!E499</f>
        <v>baseline</v>
      </c>
      <c r="F499">
        <f t="array" ref="F499">INDEX(base_building_arch_areas!$M$2:$M$161,MATCH($A499&amp;$D499,base_building_arch_areas!$A$2:$A$161&amp;base_building_arch_areas!$E$2:$E$161,0))</f>
        <v>2.9521188106832824E-2</v>
      </c>
      <c r="G499" s="191">
        <f>(model_eui_end_uses!AO499*F499*base_building_arch_areas!$P$6)/1000000</f>
        <v>0</v>
      </c>
      <c r="AB499" s="187"/>
    </row>
    <row r="500" spans="1:28">
      <c r="A500">
        <f>sim_annual_output!B500</f>
        <v>24</v>
      </c>
      <c r="B500" t="str">
        <f>sim_annual_output!C500</f>
        <v>Training Building</v>
      </c>
      <c r="C500" t="str">
        <f>sim_annual_output!D500</f>
        <v>1959-pre</v>
      </c>
      <c r="D500">
        <v>2015</v>
      </c>
      <c r="E500" t="str">
        <f>sim_annual_output!E500</f>
        <v>boiler_eff_upgrade</v>
      </c>
      <c r="F500">
        <f t="array" ref="F500">INDEX(base_building_arch_areas!$M$2:$M$161,MATCH($A500&amp;$D500,base_building_arch_areas!$A$2:$A$161&amp;base_building_arch_areas!$E$2:$E$161,0))</f>
        <v>2.9521188106832824E-2</v>
      </c>
      <c r="G500" s="191">
        <f>(model_eui_end_uses!AO500*F500*base_building_arch_areas!$P$6)/1000000</f>
        <v>-3.7691327949914144</v>
      </c>
      <c r="AB500" s="187"/>
    </row>
    <row r="501" spans="1:28">
      <c r="A501">
        <f>sim_annual_output!B501</f>
        <v>24</v>
      </c>
      <c r="B501" t="str">
        <f>sim_annual_output!C501</f>
        <v>Training Building</v>
      </c>
      <c r="C501" t="str">
        <f>sim_annual_output!D501</f>
        <v>1959-pre</v>
      </c>
      <c r="D501">
        <v>2015</v>
      </c>
      <c r="E501" t="str">
        <f>sim_annual_output!E501</f>
        <v>boiler_reset</v>
      </c>
      <c r="F501">
        <f t="array" ref="F501">INDEX(base_building_arch_areas!$M$2:$M$161,MATCH($A501&amp;$D501,base_building_arch_areas!$A$2:$A$161&amp;base_building_arch_areas!$E$2:$E$161,0))</f>
        <v>2.9521188106832824E-2</v>
      </c>
      <c r="G501" s="191">
        <f>(model_eui_end_uses!AO501*F501*base_building_arch_areas!$P$6)/1000000</f>
        <v>195.35350982707021</v>
      </c>
      <c r="AB501" s="187"/>
    </row>
    <row r="502" spans="1:28">
      <c r="A502">
        <f>sim_annual_output!B502</f>
        <v>24</v>
      </c>
      <c r="B502" t="str">
        <f>sim_annual_output!C502</f>
        <v>Training Building</v>
      </c>
      <c r="C502" t="str">
        <f>sim_annual_output!D502</f>
        <v>1959-pre</v>
      </c>
      <c r="D502">
        <v>2015</v>
      </c>
      <c r="E502" t="str">
        <f>sim_annual_output!E502</f>
        <v>cooling_cop_3_0</v>
      </c>
      <c r="F502">
        <f t="array" ref="F502">INDEX(base_building_arch_areas!$M$2:$M$161,MATCH($A502&amp;$D502,base_building_arch_areas!$A$2:$A$161&amp;base_building_arch_areas!$E$2:$E$161,0))</f>
        <v>2.9521188106832824E-2</v>
      </c>
      <c r="G502" s="191">
        <f>(model_eui_end_uses!AO502*F502*base_building_arch_areas!$P$6)/1000000</f>
        <v>0.64263159446449591</v>
      </c>
      <c r="AB502" s="187"/>
    </row>
    <row r="503" spans="1:28">
      <c r="A503">
        <f>sim_annual_output!B503</f>
        <v>24</v>
      </c>
      <c r="B503" t="str">
        <f>sim_annual_output!C503</f>
        <v>Training Building</v>
      </c>
      <c r="C503" t="str">
        <f>sim_annual_output!D503</f>
        <v>1959-pre</v>
      </c>
      <c r="D503">
        <v>2015</v>
      </c>
      <c r="E503" t="str">
        <f>sim_annual_output!E503</f>
        <v>dcv_enabled</v>
      </c>
      <c r="F503">
        <f t="array" ref="F503">INDEX(base_building_arch_areas!$M$2:$M$161,MATCH($A503&amp;$D503,base_building_arch_areas!$A$2:$A$161&amp;base_building_arch_areas!$E$2:$E$161,0))</f>
        <v>2.9521188106832824E-2</v>
      </c>
      <c r="G503" s="191">
        <f>(model_eui_end_uses!AO503*F503*base_building_arch_areas!$P$6)/1000000</f>
        <v>75.655873694491305</v>
      </c>
      <c r="AB503" s="187"/>
    </row>
    <row r="504" spans="1:28">
      <c r="A504">
        <f>sim_annual_output!B504</f>
        <v>24</v>
      </c>
      <c r="B504" t="str">
        <f>sim_annual_output!C504</f>
        <v>Training Building</v>
      </c>
      <c r="C504" t="str">
        <f>sim_annual_output!D504</f>
        <v>1959-pre</v>
      </c>
      <c r="D504">
        <v>2015</v>
      </c>
      <c r="E504" t="str">
        <f>sim_annual_output!E504</f>
        <v>ecm_cold_deck_reset_control</v>
      </c>
      <c r="F504">
        <f t="array" ref="F504">INDEX(base_building_arch_areas!$M$2:$M$161,MATCH($A504&amp;$D504,base_building_arch_areas!$A$2:$A$161&amp;base_building_arch_areas!$E$2:$E$161,0))</f>
        <v>2.9521188106832824E-2</v>
      </c>
      <c r="G504" s="191">
        <f>(model_eui_end_uses!AO504*F504*base_building_arch_areas!$P$6)/1000000</f>
        <v>-2.1576575265127897</v>
      </c>
      <c r="AB504" s="187"/>
    </row>
    <row r="505" spans="1:28">
      <c r="A505">
        <f>sim_annual_output!B505</f>
        <v>24</v>
      </c>
      <c r="B505" t="str">
        <f>sim_annual_output!C505</f>
        <v>Training Building</v>
      </c>
      <c r="C505" t="str">
        <f>sim_annual_output!D505</f>
        <v>1959-pre</v>
      </c>
      <c r="D505">
        <v>2015</v>
      </c>
      <c r="E505" t="str">
        <f>sim_annual_output!E505</f>
        <v>economizers_enabled</v>
      </c>
      <c r="F505">
        <f t="array" ref="F505">INDEX(base_building_arch_areas!$M$2:$M$161,MATCH($A505&amp;$D505,base_building_arch_areas!$A$2:$A$161&amp;base_building_arch_areas!$E$2:$E$161,0))</f>
        <v>2.9521188106832824E-2</v>
      </c>
      <c r="G505" s="191">
        <f>(model_eui_end_uses!AO505*F505*base_building_arch_areas!$P$6)/1000000</f>
        <v>-1.0001300881454465</v>
      </c>
      <c r="AB505" s="187"/>
    </row>
    <row r="506" spans="1:28">
      <c r="A506">
        <f>sim_annual_output!B506</f>
        <v>24</v>
      </c>
      <c r="B506" t="str">
        <f>sim_annual_output!C506</f>
        <v>Training Building</v>
      </c>
      <c r="C506" t="str">
        <f>sim_annual_output!D506</f>
        <v>1959-pre</v>
      </c>
      <c r="D506">
        <v>2015</v>
      </c>
      <c r="E506" t="str">
        <f>sim_annual_output!E506</f>
        <v>elec_reduce</v>
      </c>
      <c r="F506">
        <f t="array" ref="F506">INDEX(base_building_arch_areas!$M$2:$M$161,MATCH($A506&amp;$D506,base_building_arch_areas!$A$2:$A$161&amp;base_building_arch_areas!$E$2:$E$161,0))</f>
        <v>2.9521188106832824E-2</v>
      </c>
      <c r="G506" s="191">
        <f>(model_eui_end_uses!AO506*F506*base_building_arch_areas!$P$6)/1000000</f>
        <v>124.86300869199123</v>
      </c>
      <c r="AB506" s="187"/>
    </row>
    <row r="507" spans="1:28">
      <c r="A507">
        <f>sim_annual_output!B507</f>
        <v>24</v>
      </c>
      <c r="B507" t="str">
        <f>sim_annual_output!C507</f>
        <v>Training Building</v>
      </c>
      <c r="C507" t="str">
        <f>sim_annual_output!D507</f>
        <v>1959-pre</v>
      </c>
      <c r="D507">
        <v>2015</v>
      </c>
      <c r="E507" t="str">
        <f>sim_annual_output!E507</f>
        <v>envelope_ecm_roof</v>
      </c>
      <c r="F507">
        <f t="array" ref="F507">INDEX(base_building_arch_areas!$M$2:$M$161,MATCH($A507&amp;$D507,base_building_arch_areas!$A$2:$A$161&amp;base_building_arch_areas!$E$2:$E$161,0))</f>
        <v>2.9521188106832824E-2</v>
      </c>
      <c r="G507" s="191">
        <f>(model_eui_end_uses!AO507*F507*base_building_arch_areas!$P$6)/1000000</f>
        <v>59.152305527426861</v>
      </c>
      <c r="AB507" s="187"/>
    </row>
    <row r="508" spans="1:28">
      <c r="A508">
        <f>sim_annual_output!B508</f>
        <v>24</v>
      </c>
      <c r="B508" t="str">
        <f>sim_annual_output!C508</f>
        <v>Training Building</v>
      </c>
      <c r="C508" t="str">
        <f>sim_annual_output!D508</f>
        <v>1959-pre</v>
      </c>
      <c r="D508">
        <v>2015</v>
      </c>
      <c r="E508" t="str">
        <f>sim_annual_output!E508</f>
        <v>envelope_ecm_wall</v>
      </c>
      <c r="F508">
        <f t="array" ref="F508">INDEX(base_building_arch_areas!$M$2:$M$161,MATCH($A508&amp;$D508,base_building_arch_areas!$A$2:$A$161&amp;base_building_arch_areas!$E$2:$E$161,0))</f>
        <v>2.9521188106832824E-2</v>
      </c>
      <c r="G508" s="191">
        <f>(model_eui_end_uses!AO508*F508*base_building_arch_areas!$P$6)/1000000</f>
        <v>24.125983422642229</v>
      </c>
      <c r="AB508" s="187"/>
    </row>
    <row r="509" spans="1:28">
      <c r="A509">
        <f>sim_annual_output!B509</f>
        <v>24</v>
      </c>
      <c r="B509" t="str">
        <f>sim_annual_output!C509</f>
        <v>Training Building</v>
      </c>
      <c r="C509" t="str">
        <f>sim_annual_output!D509</f>
        <v>1959-pre</v>
      </c>
      <c r="D509">
        <v>2015</v>
      </c>
      <c r="E509" t="str">
        <f>sim_annual_output!E509</f>
        <v>envelope_ecm_windows</v>
      </c>
      <c r="F509">
        <f t="array" ref="F509">INDEX(base_building_arch_areas!$M$2:$M$161,MATCH($A509&amp;$D509,base_building_arch_areas!$A$2:$A$161&amp;base_building_arch_areas!$E$2:$E$161,0))</f>
        <v>2.9521188106832824E-2</v>
      </c>
      <c r="G509" s="191">
        <f>(model_eui_end_uses!AO509*F509*base_building_arch_areas!$P$6)/1000000</f>
        <v>6.4642108111807994</v>
      </c>
      <c r="AB509" s="187"/>
    </row>
    <row r="510" spans="1:28">
      <c r="A510">
        <f>sim_annual_output!B510</f>
        <v>24</v>
      </c>
      <c r="B510" t="str">
        <f>sim_annual_output!C510</f>
        <v>Training Building</v>
      </c>
      <c r="C510" t="str">
        <f>sim_annual_output!D510</f>
        <v>1959-pre</v>
      </c>
      <c r="D510">
        <v>2015</v>
      </c>
      <c r="E510" t="str">
        <f>sim_annual_output!E510</f>
        <v>exhaust_fans_occ_control</v>
      </c>
      <c r="F510">
        <f t="array" ref="F510">INDEX(base_building_arch_areas!$M$2:$M$161,MATCH($A510&amp;$D510,base_building_arch_areas!$A$2:$A$161&amp;base_building_arch_areas!$E$2:$E$161,0))</f>
        <v>2.9521188106832824E-2</v>
      </c>
      <c r="G510" s="191">
        <f>(model_eui_end_uses!AO510*F510*base_building_arch_areas!$P$6)/1000000</f>
        <v>-3.6386977558730091</v>
      </c>
      <c r="AB510" s="187"/>
    </row>
    <row r="511" spans="1:28">
      <c r="A511">
        <f>sim_annual_output!B511</f>
        <v>24</v>
      </c>
      <c r="B511" t="str">
        <f>sim_annual_output!C511</f>
        <v>Training Building</v>
      </c>
      <c r="C511" t="str">
        <f>sim_annual_output!D511</f>
        <v>1959-pre</v>
      </c>
      <c r="D511">
        <v>2015</v>
      </c>
      <c r="E511" t="str">
        <f>sim_annual_output!E511</f>
        <v>fans_to_variable</v>
      </c>
      <c r="F511">
        <f t="array" ref="F511">INDEX(base_building_arch_areas!$M$2:$M$161,MATCH($A511&amp;$D511,base_building_arch_areas!$A$2:$A$161&amp;base_building_arch_areas!$E$2:$E$161,0))</f>
        <v>2.9521188106832824E-2</v>
      </c>
      <c r="G511" s="191">
        <f>(model_eui_end_uses!AO511*F511*base_building_arch_areas!$P$6)/1000000</f>
        <v>-3.7691327949914144</v>
      </c>
      <c r="AB511" s="187"/>
    </row>
    <row r="512" spans="1:28">
      <c r="A512">
        <f>sim_annual_output!B512</f>
        <v>24</v>
      </c>
      <c r="B512" t="str">
        <f>sim_annual_output!C512</f>
        <v>Training Building</v>
      </c>
      <c r="C512" t="str">
        <f>sim_annual_output!D512</f>
        <v>1959-pre</v>
      </c>
      <c r="D512">
        <v>2015</v>
      </c>
      <c r="E512" t="str">
        <f>sim_annual_output!E512</f>
        <v>hrv_enabled</v>
      </c>
      <c r="F512">
        <f t="array" ref="F512">INDEX(base_building_arch_areas!$M$2:$M$161,MATCH($A512&amp;$D512,base_building_arch_areas!$A$2:$A$161&amp;base_building_arch_areas!$E$2:$E$161,0))</f>
        <v>2.9521188106832824E-2</v>
      </c>
      <c r="G512" s="191">
        <f>(model_eui_end_uses!AO512*F512*base_building_arch_areas!$P$6)/1000000</f>
        <v>67.034297998113814</v>
      </c>
      <c r="AB512" s="187"/>
    </row>
    <row r="513" spans="1:28">
      <c r="A513">
        <f>sim_annual_output!B513</f>
        <v>24</v>
      </c>
      <c r="B513" t="str">
        <f>sim_annual_output!C513</f>
        <v>Training Building</v>
      </c>
      <c r="C513" t="str">
        <f>sim_annual_output!D513</f>
        <v>1959-pre</v>
      </c>
      <c r="D513">
        <v>2015</v>
      </c>
      <c r="E513" t="str">
        <f>sim_annual_output!E513</f>
        <v>infil_reduce</v>
      </c>
      <c r="F513">
        <f t="array" ref="F513">INDEX(base_building_arch_areas!$M$2:$M$161,MATCH($A513&amp;$D513,base_building_arch_areas!$A$2:$A$161&amp;base_building_arch_areas!$E$2:$E$161,0))</f>
        <v>2.9521188106832824E-2</v>
      </c>
      <c r="G513" s="191">
        <f>(model_eui_end_uses!AO513*F513*base_building_arch_areas!$P$6)/1000000</f>
        <v>280.19401421334459</v>
      </c>
      <c r="AB513" s="187"/>
    </row>
    <row r="514" spans="1:28">
      <c r="A514">
        <f>sim_annual_output!B514</f>
        <v>24</v>
      </c>
      <c r="B514" t="str">
        <f>sim_annual_output!C514</f>
        <v>Training Building</v>
      </c>
      <c r="C514" t="str">
        <f>sim_annual_output!D514</f>
        <v>1959-pre</v>
      </c>
      <c r="D514">
        <v>2015</v>
      </c>
      <c r="E514" t="str">
        <f>sim_annual_output!E514</f>
        <v>infil_reduce_plus_setback</v>
      </c>
      <c r="F514">
        <f t="array" ref="F514">INDEX(base_building_arch_areas!$M$2:$M$161,MATCH($A514&amp;$D514,base_building_arch_areas!$A$2:$A$161&amp;base_building_arch_areas!$E$2:$E$161,0))</f>
        <v>2.9521188106832824E-2</v>
      </c>
      <c r="G514" s="191">
        <f>(model_eui_end_uses!AO514*F514*base_building_arch_areas!$P$6)/1000000</f>
        <v>307.17917754598159</v>
      </c>
      <c r="AB514" s="187"/>
    </row>
    <row r="515" spans="1:28">
      <c r="A515">
        <f>sim_annual_output!B515</f>
        <v>24</v>
      </c>
      <c r="B515" t="str">
        <f>sim_annual_output!C515</f>
        <v>Training Building</v>
      </c>
      <c r="C515" t="str">
        <f>sim_annual_output!D515</f>
        <v>1959-pre</v>
      </c>
      <c r="D515">
        <v>2015</v>
      </c>
      <c r="E515" t="str">
        <f>sim_annual_output!E515</f>
        <v>lights_reduce_70p</v>
      </c>
      <c r="F515">
        <f t="array" ref="F515">INDEX(base_building_arch_areas!$M$2:$M$161,MATCH($A515&amp;$D515,base_building_arch_areas!$A$2:$A$161&amp;base_building_arch_areas!$E$2:$E$161,0))</f>
        <v>2.9521188106832824E-2</v>
      </c>
      <c r="G515" s="191">
        <f>(model_eui_end_uses!AO515*F515*base_building_arch_areas!$P$6)/1000000</f>
        <v>44.468756692657223</v>
      </c>
      <c r="AB515" s="187"/>
    </row>
    <row r="516" spans="1:28">
      <c r="A516">
        <f>sim_annual_output!B516</f>
        <v>24</v>
      </c>
      <c r="B516" t="str">
        <f>sim_annual_output!C516</f>
        <v>Training Building</v>
      </c>
      <c r="C516" t="str">
        <f>sim_annual_output!D516</f>
        <v>1959-pre</v>
      </c>
      <c r="D516">
        <v>2015</v>
      </c>
      <c r="E516" t="str">
        <f>sim_annual_output!E516</f>
        <v>load_reduce</v>
      </c>
      <c r="F516">
        <f t="array" ref="F516">INDEX(base_building_arch_areas!$M$2:$M$161,MATCH($A516&amp;$D516,base_building_arch_areas!$A$2:$A$161&amp;base_building_arch_areas!$E$2:$E$161,0))</f>
        <v>2.9521188106832824E-2</v>
      </c>
      <c r="G516" s="191">
        <f>(model_eui_end_uses!AO516*F516*base_building_arch_areas!$P$6)/1000000</f>
        <v>403.14758636375717</v>
      </c>
      <c r="AB516" s="187"/>
    </row>
    <row r="517" spans="1:28">
      <c r="A517">
        <f>sim_annual_output!B517</f>
        <v>24</v>
      </c>
      <c r="B517" t="str">
        <f>sim_annual_output!C517</f>
        <v>Training Building</v>
      </c>
      <c r="C517" t="str">
        <f>sim_annual_output!D517</f>
        <v>1959-pre</v>
      </c>
      <c r="D517">
        <v>2015</v>
      </c>
      <c r="E517" t="str">
        <f>sim_annual_output!E517</f>
        <v>occupancy_setback</v>
      </c>
      <c r="F517">
        <f t="array" ref="F517">INDEX(base_building_arch_areas!$M$2:$M$161,MATCH($A517&amp;$D517,base_building_arch_areas!$A$2:$A$161&amp;base_building_arch_areas!$E$2:$E$161,0))</f>
        <v>2.9521188106832824E-2</v>
      </c>
      <c r="G517" s="191">
        <f>(model_eui_end_uses!AO517*F517*base_building_arch_areas!$P$6)/1000000</f>
        <v>54.506668313084127</v>
      </c>
      <c r="AB517" s="187"/>
    </row>
    <row r="518" spans="1:28">
      <c r="A518">
        <f>sim_annual_output!B518</f>
        <v>24</v>
      </c>
      <c r="B518" t="str">
        <f>sim_annual_output!C518</f>
        <v>Training Building</v>
      </c>
      <c r="C518" t="str">
        <f>sim_annual_output!D518</f>
        <v>1959-pre</v>
      </c>
      <c r="D518">
        <v>2015</v>
      </c>
      <c r="E518" t="str">
        <f>sim_annual_output!E518</f>
        <v>payback_less_than_20</v>
      </c>
      <c r="F518">
        <f t="array" ref="F518">INDEX(base_building_arch_areas!$M$2:$M$161,MATCH($A518&amp;$D518,base_building_arch_areas!$A$2:$A$161&amp;base_building_arch_areas!$E$2:$E$161,0))</f>
        <v>2.9521188106832824E-2</v>
      </c>
      <c r="G518" s="191">
        <f>(model_eui_end_uses!AO518*F518*base_building_arch_areas!$P$6)/1000000</f>
        <v>475.17488245057348</v>
      </c>
      <c r="AB518" s="187"/>
    </row>
    <row r="519" spans="1:28">
      <c r="A519">
        <f>sim_annual_output!B519</f>
        <v>24</v>
      </c>
      <c r="B519" t="str">
        <f>sim_annual_output!C519</f>
        <v>Training Building</v>
      </c>
      <c r="C519" t="str">
        <f>sim_annual_output!D519</f>
        <v>1959-pre</v>
      </c>
      <c r="D519">
        <v>2015</v>
      </c>
      <c r="E519" t="str">
        <f>sim_annual_output!E519</f>
        <v>plug_loads_90_percent</v>
      </c>
      <c r="F519">
        <f t="array" ref="F519">INDEX(base_building_arch_areas!$M$2:$M$161,MATCH($A519&amp;$D519,base_building_arch_areas!$A$2:$A$161&amp;base_building_arch_areas!$E$2:$E$161,0))</f>
        <v>2.9521188106832824E-2</v>
      </c>
      <c r="G519" s="191">
        <f>(model_eui_end_uses!AO519*F519*base_building_arch_areas!$P$6)/1000000</f>
        <v>-3.1901266639714221</v>
      </c>
      <c r="AB519" s="187"/>
    </row>
    <row r="520" spans="1:28">
      <c r="A520">
        <f>sim_annual_output!B520</f>
        <v>24</v>
      </c>
      <c r="B520" t="str">
        <f>sim_annual_output!C520</f>
        <v>Training Building</v>
      </c>
      <c r="C520" t="str">
        <f>sim_annual_output!D520</f>
        <v>1959-pre</v>
      </c>
      <c r="D520">
        <v>2015</v>
      </c>
      <c r="E520" t="str">
        <f>sim_annual_output!E520</f>
        <v>pumps_to_variable</v>
      </c>
      <c r="F520">
        <f t="array" ref="F520">INDEX(base_building_arch_areas!$M$2:$M$161,MATCH($A520&amp;$D520,base_building_arch_areas!$A$2:$A$161&amp;base_building_arch_areas!$E$2:$E$161,0))</f>
        <v>2.9521188106832824E-2</v>
      </c>
      <c r="G520" s="191">
        <f>(model_eui_end_uses!AO520*F520*base_building_arch_areas!$P$6)/1000000</f>
        <v>-3.7691327949914144</v>
      </c>
      <c r="AB520" s="187"/>
    </row>
    <row r="521" spans="1:28">
      <c r="A521">
        <f>sim_annual_output!B521</f>
        <v>24</v>
      </c>
      <c r="B521" t="str">
        <f>sim_annual_output!C521</f>
        <v>Training Building</v>
      </c>
      <c r="C521" t="str">
        <f>sim_annual_output!D521</f>
        <v>1959-pre</v>
      </c>
      <c r="D521">
        <v>2015</v>
      </c>
      <c r="E521" t="str">
        <f>sim_annual_output!E521</f>
        <v>pump_fan_eff_</v>
      </c>
      <c r="F521">
        <f t="array" ref="F521">INDEX(base_building_arch_areas!$M$2:$M$161,MATCH($A521&amp;$D521,base_building_arch_areas!$A$2:$A$161&amp;base_building_arch_areas!$E$2:$E$161,0))</f>
        <v>2.9521188106832824E-2</v>
      </c>
      <c r="G521" s="191">
        <f>(model_eui_end_uses!AO521*F521*base_building_arch_areas!$P$6)/1000000</f>
        <v>-2.9483394202089719</v>
      </c>
      <c r="AB521" s="187"/>
    </row>
    <row r="522" spans="1:28">
      <c r="A522">
        <f>sim_annual_output!B522</f>
        <v>25</v>
      </c>
      <c r="B522" t="str">
        <f>sim_annual_output!C522</f>
        <v>Training Building</v>
      </c>
      <c r="C522" t="str">
        <f>sim_annual_output!D522</f>
        <v>1980-2004</v>
      </c>
      <c r="D522">
        <v>2015</v>
      </c>
      <c r="E522" t="str">
        <f>sim_annual_output!E522</f>
        <v>air_temp_reset_enabled</v>
      </c>
      <c r="F522">
        <f t="array" ref="F522">INDEX(base_building_arch_areas!$M$2:$M$161,MATCH($A522&amp;$D522,base_building_arch_areas!$A$2:$A$161&amp;base_building_arch_areas!$E$2:$E$161,0))</f>
        <v>2.0874833100718585E-2</v>
      </c>
      <c r="G522" s="191">
        <f>(model_eui_end_uses!AO522*F522*base_building_arch_areas!$P$6)/1000000</f>
        <v>-44.110730181454059</v>
      </c>
      <c r="AB522" s="187"/>
    </row>
    <row r="523" spans="1:28">
      <c r="A523">
        <f>sim_annual_output!B523</f>
        <v>25</v>
      </c>
      <c r="B523" t="str">
        <f>sim_annual_output!C523</f>
        <v>Training Building</v>
      </c>
      <c r="C523" t="str">
        <f>sim_annual_output!D523</f>
        <v>1980-2004</v>
      </c>
      <c r="D523">
        <v>2015</v>
      </c>
      <c r="E523" t="str">
        <f>sim_annual_output!E523</f>
        <v>baseline</v>
      </c>
      <c r="F523">
        <f t="array" ref="F523">INDEX(base_building_arch_areas!$M$2:$M$161,MATCH($A523&amp;$D523,base_building_arch_areas!$A$2:$A$161&amp;base_building_arch_areas!$E$2:$E$161,0))</f>
        <v>2.0874833100718585E-2</v>
      </c>
      <c r="G523" s="191">
        <f>(model_eui_end_uses!AO523*F523*base_building_arch_areas!$P$6)/1000000</f>
        <v>0</v>
      </c>
      <c r="AB523" s="187"/>
    </row>
    <row r="524" spans="1:28">
      <c r="A524">
        <f>sim_annual_output!B524</f>
        <v>25</v>
      </c>
      <c r="B524" t="str">
        <f>sim_annual_output!C524</f>
        <v>Training Building</v>
      </c>
      <c r="C524" t="str">
        <f>sim_annual_output!D524</f>
        <v>1980-2004</v>
      </c>
      <c r="D524">
        <v>2015</v>
      </c>
      <c r="E524" t="str">
        <f>sim_annual_output!E524</f>
        <v>boiler_eff_upgrade</v>
      </c>
      <c r="F524">
        <f t="array" ref="F524">INDEX(base_building_arch_areas!$M$2:$M$161,MATCH($A524&amp;$D524,base_building_arch_areas!$A$2:$A$161&amp;base_building_arch_areas!$E$2:$E$161,0))</f>
        <v>2.0874833100718585E-2</v>
      </c>
      <c r="G524" s="191">
        <f>(model_eui_end_uses!AO524*F524*base_building_arch_areas!$P$6)/1000000</f>
        <v>-10.536417601368671</v>
      </c>
      <c r="AB524" s="187"/>
    </row>
    <row r="525" spans="1:28">
      <c r="A525">
        <f>sim_annual_output!B525</f>
        <v>25</v>
      </c>
      <c r="B525" t="str">
        <f>sim_annual_output!C525</f>
        <v>Training Building</v>
      </c>
      <c r="C525" t="str">
        <f>sim_annual_output!D525</f>
        <v>1980-2004</v>
      </c>
      <c r="D525">
        <v>2015</v>
      </c>
      <c r="E525" t="str">
        <f>sim_annual_output!E525</f>
        <v>boiler_reset</v>
      </c>
      <c r="F525">
        <f t="array" ref="F525">INDEX(base_building_arch_areas!$M$2:$M$161,MATCH($A525&amp;$D525,base_building_arch_areas!$A$2:$A$161&amp;base_building_arch_areas!$E$2:$E$161,0))</f>
        <v>2.0874833100718585E-2</v>
      </c>
      <c r="G525" s="191">
        <f>(model_eui_end_uses!AO525*F525*base_building_arch_areas!$P$6)/1000000</f>
        <v>68.808388103637412</v>
      </c>
      <c r="AB525" s="187"/>
    </row>
    <row r="526" spans="1:28">
      <c r="A526">
        <f>sim_annual_output!B526</f>
        <v>25</v>
      </c>
      <c r="B526" t="str">
        <f>sim_annual_output!C526</f>
        <v>Training Building</v>
      </c>
      <c r="C526" t="str">
        <f>sim_annual_output!D526</f>
        <v>1980-2004</v>
      </c>
      <c r="D526">
        <v>2015</v>
      </c>
      <c r="E526" t="str">
        <f>sim_annual_output!E526</f>
        <v>cooling_cop_3_0</v>
      </c>
      <c r="F526">
        <f t="array" ref="F526">INDEX(base_building_arch_areas!$M$2:$M$161,MATCH($A526&amp;$D526,base_building_arch_areas!$A$2:$A$161&amp;base_building_arch_areas!$E$2:$E$161,0))</f>
        <v>2.0874833100718585E-2</v>
      </c>
      <c r="G526" s="191">
        <f>(model_eui_end_uses!AO526*F526*base_building_arch_areas!$P$6)/1000000</f>
        <v>-8.6474496226013571</v>
      </c>
      <c r="AB526" s="187"/>
    </row>
    <row r="527" spans="1:28">
      <c r="A527">
        <f>sim_annual_output!B527</f>
        <v>25</v>
      </c>
      <c r="B527" t="str">
        <f>sim_annual_output!C527</f>
        <v>Training Building</v>
      </c>
      <c r="C527" t="str">
        <f>sim_annual_output!D527</f>
        <v>1980-2004</v>
      </c>
      <c r="D527">
        <v>2015</v>
      </c>
      <c r="E527" t="str">
        <f>sim_annual_output!E527</f>
        <v>dcv_enabled</v>
      </c>
      <c r="F527">
        <f t="array" ref="F527">INDEX(base_building_arch_areas!$M$2:$M$161,MATCH($A527&amp;$D527,base_building_arch_areas!$A$2:$A$161&amp;base_building_arch_areas!$E$2:$E$161,0))</f>
        <v>2.0874833100718585E-2</v>
      </c>
      <c r="G527" s="191">
        <f>(model_eui_end_uses!AO527*F527*base_building_arch_areas!$P$6)/1000000</f>
        <v>45.490027970355001</v>
      </c>
      <c r="AB527" s="187"/>
    </row>
    <row r="528" spans="1:28">
      <c r="A528">
        <f>sim_annual_output!B528</f>
        <v>25</v>
      </c>
      <c r="B528" t="str">
        <f>sim_annual_output!C528</f>
        <v>Training Building</v>
      </c>
      <c r="C528" t="str">
        <f>sim_annual_output!D528</f>
        <v>1980-2004</v>
      </c>
      <c r="D528">
        <v>2015</v>
      </c>
      <c r="E528" t="str">
        <f>sim_annual_output!E528</f>
        <v>ecm_cold_deck_reset_control</v>
      </c>
      <c r="F528">
        <f t="array" ref="F528">INDEX(base_building_arch_areas!$M$2:$M$161,MATCH($A528&amp;$D528,base_building_arch_areas!$A$2:$A$161&amp;base_building_arch_areas!$E$2:$E$161,0))</f>
        <v>2.0874833100718585E-2</v>
      </c>
      <c r="G528" s="191">
        <f>(model_eui_end_uses!AO528*F528*base_building_arch_areas!$P$6)/1000000</f>
        <v>-6.0421618594690329</v>
      </c>
      <c r="AB528" s="187"/>
    </row>
    <row r="529" spans="1:28">
      <c r="A529">
        <f>sim_annual_output!B529</f>
        <v>25</v>
      </c>
      <c r="B529" t="str">
        <f>sim_annual_output!C529</f>
        <v>Training Building</v>
      </c>
      <c r="C529" t="str">
        <f>sim_annual_output!D529</f>
        <v>1980-2004</v>
      </c>
      <c r="D529">
        <v>2015</v>
      </c>
      <c r="E529" t="str">
        <f>sim_annual_output!E529</f>
        <v>economizers_enabled</v>
      </c>
      <c r="F529">
        <f t="array" ref="F529">INDEX(base_building_arch_areas!$M$2:$M$161,MATCH($A529&amp;$D529,base_building_arch_areas!$A$2:$A$161&amp;base_building_arch_areas!$E$2:$E$161,0))</f>
        <v>2.0874833100718585E-2</v>
      </c>
      <c r="G529" s="191">
        <f>(model_eui_end_uses!AO529*F529*base_building_arch_areas!$P$6)/1000000</f>
        <v>-6.2847123774077414</v>
      </c>
      <c r="AB529" s="187"/>
    </row>
    <row r="530" spans="1:28">
      <c r="A530">
        <f>sim_annual_output!B530</f>
        <v>25</v>
      </c>
      <c r="B530" t="str">
        <f>sim_annual_output!C530</f>
        <v>Training Building</v>
      </c>
      <c r="C530" t="str">
        <f>sim_annual_output!D530</f>
        <v>1980-2004</v>
      </c>
      <c r="D530">
        <v>2015</v>
      </c>
      <c r="E530" t="str">
        <f>sim_annual_output!E530</f>
        <v>elec_reduce</v>
      </c>
      <c r="F530">
        <f t="array" ref="F530">INDEX(base_building_arch_areas!$M$2:$M$161,MATCH($A530&amp;$D530,base_building_arch_areas!$A$2:$A$161&amp;base_building_arch_areas!$E$2:$E$161,0))</f>
        <v>2.0874833100718585E-2</v>
      </c>
      <c r="G530" s="191">
        <f>(model_eui_end_uses!AO530*F530*base_building_arch_areas!$P$6)/1000000</f>
        <v>85.783279909105602</v>
      </c>
      <c r="AB530" s="187"/>
    </row>
    <row r="531" spans="1:28">
      <c r="A531">
        <f>sim_annual_output!B531</f>
        <v>25</v>
      </c>
      <c r="B531" t="str">
        <f>sim_annual_output!C531</f>
        <v>Training Building</v>
      </c>
      <c r="C531" t="str">
        <f>sim_annual_output!D531</f>
        <v>1980-2004</v>
      </c>
      <c r="D531">
        <v>2015</v>
      </c>
      <c r="E531" t="str">
        <f>sim_annual_output!E531</f>
        <v>envelope_ecm_roof</v>
      </c>
      <c r="F531">
        <f t="array" ref="F531">INDEX(base_building_arch_areas!$M$2:$M$161,MATCH($A531&amp;$D531,base_building_arch_areas!$A$2:$A$161&amp;base_building_arch_areas!$E$2:$E$161,0))</f>
        <v>2.0874833100718585E-2</v>
      </c>
      <c r="G531" s="191">
        <f>(model_eui_end_uses!AO531*F531*base_building_arch_areas!$P$6)/1000000</f>
        <v>11.894129743855043</v>
      </c>
      <c r="AB531" s="187"/>
    </row>
    <row r="532" spans="1:28">
      <c r="A532">
        <f>sim_annual_output!B532</f>
        <v>25</v>
      </c>
      <c r="B532" t="str">
        <f>sim_annual_output!C532</f>
        <v>Training Building</v>
      </c>
      <c r="C532" t="str">
        <f>sim_annual_output!D532</f>
        <v>1980-2004</v>
      </c>
      <c r="D532">
        <v>2015</v>
      </c>
      <c r="E532" t="str">
        <f>sim_annual_output!E532</f>
        <v>envelope_ecm_wall</v>
      </c>
      <c r="F532">
        <f t="array" ref="F532">INDEX(base_building_arch_areas!$M$2:$M$161,MATCH($A532&amp;$D532,base_building_arch_areas!$A$2:$A$161&amp;base_building_arch_areas!$E$2:$E$161,0))</f>
        <v>2.0874833100718585E-2</v>
      </c>
      <c r="G532" s="191">
        <f>(model_eui_end_uses!AO532*F532*base_building_arch_areas!$P$6)/1000000</f>
        <v>-4.1047474005674545</v>
      </c>
      <c r="AB532" s="187"/>
    </row>
    <row r="533" spans="1:28">
      <c r="A533">
        <f>sim_annual_output!B533</f>
        <v>25</v>
      </c>
      <c r="B533" t="str">
        <f>sim_annual_output!C533</f>
        <v>Training Building</v>
      </c>
      <c r="C533" t="str">
        <f>sim_annual_output!D533</f>
        <v>1980-2004</v>
      </c>
      <c r="D533">
        <v>2015</v>
      </c>
      <c r="E533" t="str">
        <f>sim_annual_output!E533</f>
        <v>envelope_ecm_windows</v>
      </c>
      <c r="F533">
        <f t="array" ref="F533">INDEX(base_building_arch_areas!$M$2:$M$161,MATCH($A533&amp;$D533,base_building_arch_areas!$A$2:$A$161&amp;base_building_arch_areas!$E$2:$E$161,0))</f>
        <v>2.0874833100718585E-2</v>
      </c>
      <c r="G533" s="191">
        <f>(model_eui_end_uses!AO533*F533*base_building_arch_areas!$P$6)/1000000</f>
        <v>-6.1271022583376764</v>
      </c>
      <c r="AB533" s="187"/>
    </row>
    <row r="534" spans="1:28">
      <c r="A534">
        <f>sim_annual_output!B534</f>
        <v>25</v>
      </c>
      <c r="B534" t="str">
        <f>sim_annual_output!C534</f>
        <v>Training Building</v>
      </c>
      <c r="C534" t="str">
        <f>sim_annual_output!D534</f>
        <v>1980-2004</v>
      </c>
      <c r="D534">
        <v>2015</v>
      </c>
      <c r="E534" t="str">
        <f>sim_annual_output!E534</f>
        <v>exhaust_fans_occ_control</v>
      </c>
      <c r="F534">
        <f t="array" ref="F534">INDEX(base_building_arch_areas!$M$2:$M$161,MATCH($A534&amp;$D534,base_building_arch_areas!$A$2:$A$161&amp;base_building_arch_areas!$E$2:$E$161,0))</f>
        <v>2.0874833100718585E-2</v>
      </c>
      <c r="G534" s="191">
        <f>(model_eui_end_uses!AO534*F534*base_building_arch_areas!$P$6)/1000000</f>
        <v>-10.305974070687741</v>
      </c>
      <c r="AB534" s="187"/>
    </row>
    <row r="535" spans="1:28">
      <c r="A535">
        <f>sim_annual_output!B535</f>
        <v>25</v>
      </c>
      <c r="B535" t="str">
        <f>sim_annual_output!C535</f>
        <v>Training Building</v>
      </c>
      <c r="C535" t="str">
        <f>sim_annual_output!D535</f>
        <v>1980-2004</v>
      </c>
      <c r="D535">
        <v>2015</v>
      </c>
      <c r="E535" t="str">
        <f>sim_annual_output!E535</f>
        <v>fans_to_variable</v>
      </c>
      <c r="F535">
        <f t="array" ref="F535">INDEX(base_building_arch_areas!$M$2:$M$161,MATCH($A535&amp;$D535,base_building_arch_areas!$A$2:$A$161&amp;base_building_arch_areas!$E$2:$E$161,0))</f>
        <v>2.0874833100718585E-2</v>
      </c>
      <c r="G535" s="191">
        <f>(model_eui_end_uses!AO535*F535*base_building_arch_areas!$P$6)/1000000</f>
        <v>-6.4486107174107898</v>
      </c>
      <c r="AB535" s="187"/>
    </row>
    <row r="536" spans="1:28">
      <c r="A536">
        <f>sim_annual_output!B536</f>
        <v>25</v>
      </c>
      <c r="B536" t="str">
        <f>sim_annual_output!C536</f>
        <v>Training Building</v>
      </c>
      <c r="C536" t="str">
        <f>sim_annual_output!D536</f>
        <v>1980-2004</v>
      </c>
      <c r="D536">
        <v>2015</v>
      </c>
      <c r="E536" t="str">
        <f>sim_annual_output!E536</f>
        <v>hrv_enabled</v>
      </c>
      <c r="F536">
        <f t="array" ref="F536">INDEX(base_building_arch_areas!$M$2:$M$161,MATCH($A536&amp;$D536,base_building_arch_areas!$A$2:$A$161&amp;base_building_arch_areas!$E$2:$E$161,0))</f>
        <v>2.0874833100718585E-2</v>
      </c>
      <c r="G536" s="191">
        <f>(model_eui_end_uses!AO536*F536*base_building_arch_areas!$P$6)/1000000</f>
        <v>37.371258360725186</v>
      </c>
      <c r="AB536" s="187"/>
    </row>
    <row r="537" spans="1:28">
      <c r="A537">
        <f>sim_annual_output!B537</f>
        <v>25</v>
      </c>
      <c r="B537" t="str">
        <f>sim_annual_output!C537</f>
        <v>Training Building</v>
      </c>
      <c r="C537" t="str">
        <f>sim_annual_output!D537</f>
        <v>1980-2004</v>
      </c>
      <c r="D537">
        <v>2015</v>
      </c>
      <c r="E537" t="str">
        <f>sim_annual_output!E537</f>
        <v>infil_reduce</v>
      </c>
      <c r="F537">
        <f t="array" ref="F537">INDEX(base_building_arch_areas!$M$2:$M$161,MATCH($A537&amp;$D537,base_building_arch_areas!$A$2:$A$161&amp;base_building_arch_areas!$E$2:$E$161,0))</f>
        <v>2.0874833100718585E-2</v>
      </c>
      <c r="G537" s="191">
        <f>(model_eui_end_uses!AO537*F537*base_building_arch_areas!$P$6)/1000000</f>
        <v>42.539252500937835</v>
      </c>
      <c r="AB537" s="187"/>
    </row>
    <row r="538" spans="1:28">
      <c r="A538">
        <f>sim_annual_output!B538</f>
        <v>25</v>
      </c>
      <c r="B538" t="str">
        <f>sim_annual_output!C538</f>
        <v>Training Building</v>
      </c>
      <c r="C538" t="str">
        <f>sim_annual_output!D538</f>
        <v>1980-2004</v>
      </c>
      <c r="D538">
        <v>2015</v>
      </c>
      <c r="E538" t="str">
        <f>sim_annual_output!E538</f>
        <v>infil_reduce_plus_setback</v>
      </c>
      <c r="F538">
        <f t="array" ref="F538">INDEX(base_building_arch_areas!$M$2:$M$161,MATCH($A538&amp;$D538,base_building_arch_areas!$A$2:$A$161&amp;base_building_arch_areas!$E$2:$E$161,0))</f>
        <v>2.0874833100718585E-2</v>
      </c>
      <c r="G538" s="191">
        <f>(model_eui_end_uses!AO538*F538*base_building_arch_areas!$P$6)/1000000</f>
        <v>60.586066690747046</v>
      </c>
      <c r="AB538" s="187"/>
    </row>
    <row r="539" spans="1:28">
      <c r="A539">
        <f>sim_annual_output!B539</f>
        <v>25</v>
      </c>
      <c r="B539" t="str">
        <f>sim_annual_output!C539</f>
        <v>Training Building</v>
      </c>
      <c r="C539" t="str">
        <f>sim_annual_output!D539</f>
        <v>1980-2004</v>
      </c>
      <c r="D539">
        <v>2015</v>
      </c>
      <c r="E539" t="str">
        <f>sim_annual_output!E539</f>
        <v>lights_reduce_70p</v>
      </c>
      <c r="F539">
        <f t="array" ref="F539">INDEX(base_building_arch_areas!$M$2:$M$161,MATCH($A539&amp;$D539,base_building_arch_areas!$A$2:$A$161&amp;base_building_arch_areas!$E$2:$E$161,0))</f>
        <v>2.0874833100718585E-2</v>
      </c>
      <c r="G539" s="191">
        <f>(model_eui_end_uses!AO539*F539*base_building_arch_areas!$P$6)/1000000</f>
        <v>30.22617775872131</v>
      </c>
      <c r="AB539" s="187"/>
    </row>
    <row r="540" spans="1:28">
      <c r="A540">
        <f>sim_annual_output!B540</f>
        <v>25</v>
      </c>
      <c r="B540" t="str">
        <f>sim_annual_output!C540</f>
        <v>Training Building</v>
      </c>
      <c r="C540" t="str">
        <f>sim_annual_output!D540</f>
        <v>1980-2004</v>
      </c>
      <c r="D540">
        <v>2015</v>
      </c>
      <c r="E540" t="str">
        <f>sim_annual_output!E540</f>
        <v>load_reduce</v>
      </c>
      <c r="F540">
        <f t="array" ref="F540">INDEX(base_building_arch_areas!$M$2:$M$161,MATCH($A540&amp;$D540,base_building_arch_areas!$A$2:$A$161&amp;base_building_arch_areas!$E$2:$E$161,0))</f>
        <v>2.0874833100718585E-2</v>
      </c>
      <c r="G540" s="191">
        <f>(model_eui_end_uses!AO540*F540*base_building_arch_areas!$P$6)/1000000</f>
        <v>115.55374387270399</v>
      </c>
      <c r="AB540" s="187"/>
    </row>
    <row r="541" spans="1:28">
      <c r="A541">
        <f>sim_annual_output!B541</f>
        <v>25</v>
      </c>
      <c r="B541" t="str">
        <f>sim_annual_output!C541</f>
        <v>Training Building</v>
      </c>
      <c r="C541" t="str">
        <f>sim_annual_output!D541</f>
        <v>1980-2004</v>
      </c>
      <c r="D541">
        <v>2015</v>
      </c>
      <c r="E541" t="str">
        <f>sim_annual_output!E541</f>
        <v>occupancy_setback</v>
      </c>
      <c r="F541">
        <f t="array" ref="F541">INDEX(base_building_arch_areas!$M$2:$M$161,MATCH($A541&amp;$D541,base_building_arch_areas!$A$2:$A$161&amp;base_building_arch_areas!$E$2:$E$161,0))</f>
        <v>2.0874833100718585E-2</v>
      </c>
      <c r="G541" s="191">
        <f>(model_eui_end_uses!AO541*F541*base_building_arch_areas!$P$6)/1000000</f>
        <v>7.5324269813258189</v>
      </c>
      <c r="AB541" s="187"/>
    </row>
    <row r="542" spans="1:28">
      <c r="A542">
        <f>sim_annual_output!B542</f>
        <v>25</v>
      </c>
      <c r="B542" t="str">
        <f>sim_annual_output!C542</f>
        <v>Training Building</v>
      </c>
      <c r="C542" t="str">
        <f>sim_annual_output!D542</f>
        <v>1980-2004</v>
      </c>
      <c r="D542">
        <v>2015</v>
      </c>
      <c r="E542" t="str">
        <f>sim_annual_output!E542</f>
        <v>payback_less_than_20</v>
      </c>
      <c r="F542">
        <f t="array" ref="F542">INDEX(base_building_arch_areas!$M$2:$M$161,MATCH($A542&amp;$D542,base_building_arch_areas!$A$2:$A$161&amp;base_building_arch_areas!$E$2:$E$161,0))</f>
        <v>2.0874833100718585E-2</v>
      </c>
      <c r="G542" s="191">
        <f>(model_eui_end_uses!AO542*F542*base_building_arch_areas!$P$6)/1000000</f>
        <v>175.86421600044304</v>
      </c>
      <c r="AB542" s="187"/>
    </row>
    <row r="543" spans="1:28">
      <c r="A543">
        <f>sim_annual_output!B543</f>
        <v>25</v>
      </c>
      <c r="B543" t="str">
        <f>sim_annual_output!C543</f>
        <v>Training Building</v>
      </c>
      <c r="C543" t="str">
        <f>sim_annual_output!D543</f>
        <v>1980-2004</v>
      </c>
      <c r="D543">
        <v>2015</v>
      </c>
      <c r="E543" t="str">
        <f>sim_annual_output!E543</f>
        <v>plug_loads_90_percent</v>
      </c>
      <c r="F543">
        <f t="array" ref="F543">INDEX(base_building_arch_areas!$M$2:$M$161,MATCH($A543&amp;$D543,base_building_arch_areas!$A$2:$A$161&amp;base_building_arch_areas!$E$2:$E$161,0))</f>
        <v>2.0874833100718585E-2</v>
      </c>
      <c r="G543" s="191">
        <f>(model_eui_end_uses!AO543*F543*base_building_arch_areas!$P$6)/1000000</f>
        <v>-8.8236526149603804</v>
      </c>
      <c r="AB543" s="187"/>
    </row>
    <row r="544" spans="1:28">
      <c r="A544">
        <f>sim_annual_output!B544</f>
        <v>25</v>
      </c>
      <c r="B544" t="str">
        <f>sim_annual_output!C544</f>
        <v>Training Building</v>
      </c>
      <c r="C544" t="str">
        <f>sim_annual_output!D544</f>
        <v>1980-2004</v>
      </c>
      <c r="D544">
        <v>2015</v>
      </c>
      <c r="E544" t="str">
        <f>sim_annual_output!E544</f>
        <v>pumps_to_variable</v>
      </c>
      <c r="F544">
        <f t="array" ref="F544">INDEX(base_building_arch_areas!$M$2:$M$161,MATCH($A544&amp;$D544,base_building_arch_areas!$A$2:$A$161&amp;base_building_arch_areas!$E$2:$E$161,0))</f>
        <v>2.0874833100718585E-2</v>
      </c>
      <c r="G544" s="191">
        <f>(model_eui_end_uses!AO544*F544*base_building_arch_areas!$P$6)/1000000</f>
        <v>-10.536417601368671</v>
      </c>
      <c r="AB544" s="187"/>
    </row>
    <row r="545" spans="1:28">
      <c r="A545">
        <f>sim_annual_output!B545</f>
        <v>25</v>
      </c>
      <c r="B545" t="str">
        <f>sim_annual_output!C545</f>
        <v>Training Building</v>
      </c>
      <c r="C545" t="str">
        <f>sim_annual_output!D545</f>
        <v>1980-2004</v>
      </c>
      <c r="D545">
        <v>2015</v>
      </c>
      <c r="E545" t="str">
        <f>sim_annual_output!E545</f>
        <v>pump_fan_eff_</v>
      </c>
      <c r="F545">
        <f t="array" ref="F545">INDEX(base_building_arch_areas!$M$2:$M$161,MATCH($A545&amp;$D545,base_building_arch_areas!$A$2:$A$161&amp;base_building_arch_areas!$E$2:$E$161,0))</f>
        <v>2.0874833100718585E-2</v>
      </c>
      <c r="G545" s="191">
        <f>(model_eui_end_uses!AO545*F545*base_building_arch_areas!$P$6)/1000000</f>
        <v>-9.9882675762356516</v>
      </c>
      <c r="AB545" s="187"/>
    </row>
    <row r="546" spans="1:28">
      <c r="A546">
        <f>sim_annual_output!B546</f>
        <v>26</v>
      </c>
      <c r="B546" t="str">
        <f>sim_annual_output!C546</f>
        <v>Training Building</v>
      </c>
      <c r="C546" t="str">
        <f>sim_annual_output!D546</f>
        <v>2005-2014</v>
      </c>
      <c r="D546">
        <v>2015</v>
      </c>
      <c r="E546" t="str">
        <f>sim_annual_output!E546</f>
        <v>air_temp_reset_enabled</v>
      </c>
      <c r="F546">
        <f t="array" ref="F546">INDEX(base_building_arch_areas!$M$2:$M$161,MATCH($A546&amp;$D546,base_building_arch_areas!$A$2:$A$161&amp;base_building_arch_areas!$E$2:$E$161,0))</f>
        <v>8.0759807628323407E-3</v>
      </c>
      <c r="G546" s="191">
        <f>(model_eui_end_uses!AO546*F546*base_building_arch_areas!$P$6)/1000000</f>
        <v>-20.578645513707425</v>
      </c>
      <c r="AB546" s="187"/>
    </row>
    <row r="547" spans="1:28">
      <c r="A547">
        <f>sim_annual_output!B547</f>
        <v>26</v>
      </c>
      <c r="B547" t="str">
        <f>sim_annual_output!C547</f>
        <v>Training Building</v>
      </c>
      <c r="C547" t="str">
        <f>sim_annual_output!D547</f>
        <v>2005-2014</v>
      </c>
      <c r="D547">
        <v>2015</v>
      </c>
      <c r="E547" t="str">
        <f>sim_annual_output!E547</f>
        <v>baseline</v>
      </c>
      <c r="F547">
        <f t="array" ref="F547">INDEX(base_building_arch_areas!$M$2:$M$161,MATCH($A547&amp;$D547,base_building_arch_areas!$A$2:$A$161&amp;base_building_arch_areas!$E$2:$E$161,0))</f>
        <v>8.0759807628323407E-3</v>
      </c>
      <c r="G547" s="191">
        <f>(model_eui_end_uses!AO547*F547*base_building_arch_areas!$P$6)/1000000</f>
        <v>0</v>
      </c>
      <c r="AB547" s="187"/>
    </row>
    <row r="548" spans="1:28">
      <c r="A548">
        <f>sim_annual_output!B548</f>
        <v>26</v>
      </c>
      <c r="B548" t="str">
        <f>sim_annual_output!C548</f>
        <v>Training Building</v>
      </c>
      <c r="C548" t="str">
        <f>sim_annual_output!D548</f>
        <v>2005-2014</v>
      </c>
      <c r="D548">
        <v>2015</v>
      </c>
      <c r="E548" t="str">
        <f>sim_annual_output!E548</f>
        <v>boiler_eff_upgrade</v>
      </c>
      <c r="F548">
        <f t="array" ref="F548">INDEX(base_building_arch_areas!$M$2:$M$161,MATCH($A548&amp;$D548,base_building_arch_areas!$A$2:$A$161&amp;base_building_arch_areas!$E$2:$E$161,0))</f>
        <v>8.0759807628323407E-3</v>
      </c>
      <c r="G548" s="191">
        <f>(model_eui_end_uses!AO548*F548*base_building_arch_areas!$P$6)/1000000</f>
        <v>-8.568814045045773</v>
      </c>
      <c r="AB548" s="187"/>
    </row>
    <row r="549" spans="1:28">
      <c r="A549">
        <f>sim_annual_output!B549</f>
        <v>26</v>
      </c>
      <c r="B549" t="str">
        <f>sim_annual_output!C549</f>
        <v>Training Building</v>
      </c>
      <c r="C549" t="str">
        <f>sim_annual_output!D549</f>
        <v>2005-2014</v>
      </c>
      <c r="D549">
        <v>2015</v>
      </c>
      <c r="E549" t="str">
        <f>sim_annual_output!E549</f>
        <v>boiler_reset</v>
      </c>
      <c r="F549">
        <f t="array" ref="F549">INDEX(base_building_arch_areas!$M$2:$M$161,MATCH($A549&amp;$D549,base_building_arch_areas!$A$2:$A$161&amp;base_building_arch_areas!$E$2:$E$161,0))</f>
        <v>8.0759807628323407E-3</v>
      </c>
      <c r="G549" s="191">
        <f>(model_eui_end_uses!AO549*F549*base_building_arch_areas!$P$6)/1000000</f>
        <v>13.579791374106243</v>
      </c>
      <c r="AB549" s="187"/>
    </row>
    <row r="550" spans="1:28">
      <c r="A550">
        <f>sim_annual_output!B550</f>
        <v>26</v>
      </c>
      <c r="B550" t="str">
        <f>sim_annual_output!C550</f>
        <v>Training Building</v>
      </c>
      <c r="C550" t="str">
        <f>sim_annual_output!D550</f>
        <v>2005-2014</v>
      </c>
      <c r="D550">
        <v>2015</v>
      </c>
      <c r="E550" t="str">
        <f>sim_annual_output!E550</f>
        <v>cooling_cop_3_0</v>
      </c>
      <c r="F550">
        <f t="array" ref="F550">INDEX(base_building_arch_areas!$M$2:$M$161,MATCH($A550&amp;$D550,base_building_arch_areas!$A$2:$A$161&amp;base_building_arch_areas!$E$2:$E$161,0))</f>
        <v>8.0759807628323407E-3</v>
      </c>
      <c r="G550" s="191">
        <f>(model_eui_end_uses!AO550*F550*base_building_arch_areas!$P$6)/1000000</f>
        <v>-8.568814045045773</v>
      </c>
      <c r="AB550" s="187"/>
    </row>
    <row r="551" spans="1:28">
      <c r="A551">
        <f>sim_annual_output!B551</f>
        <v>26</v>
      </c>
      <c r="B551" t="str">
        <f>sim_annual_output!C551</f>
        <v>Training Building</v>
      </c>
      <c r="C551" t="str">
        <f>sim_annual_output!D551</f>
        <v>2005-2014</v>
      </c>
      <c r="D551">
        <v>2015</v>
      </c>
      <c r="E551" t="str">
        <f>sim_annual_output!E551</f>
        <v>dcv_enabled</v>
      </c>
      <c r="F551">
        <f t="array" ref="F551">INDEX(base_building_arch_areas!$M$2:$M$161,MATCH($A551&amp;$D551,base_building_arch_areas!$A$2:$A$161&amp;base_building_arch_areas!$E$2:$E$161,0))</f>
        <v>8.0759807628323407E-3</v>
      </c>
      <c r="G551" s="191">
        <f>(model_eui_end_uses!AO551*F551*base_building_arch_areas!$P$6)/1000000</f>
        <v>13.599110104547272</v>
      </c>
      <c r="AB551" s="187"/>
    </row>
    <row r="552" spans="1:28">
      <c r="A552">
        <f>sim_annual_output!B552</f>
        <v>26</v>
      </c>
      <c r="B552" t="str">
        <f>sim_annual_output!C552</f>
        <v>Training Building</v>
      </c>
      <c r="C552" t="str">
        <f>sim_annual_output!D552</f>
        <v>2005-2014</v>
      </c>
      <c r="D552">
        <v>2015</v>
      </c>
      <c r="E552" t="str">
        <f>sim_annual_output!E552</f>
        <v>ecm_cold_deck_reset_control</v>
      </c>
      <c r="F552">
        <f t="array" ref="F552">INDEX(base_building_arch_areas!$M$2:$M$161,MATCH($A552&amp;$D552,base_building_arch_areas!$A$2:$A$161&amp;base_building_arch_areas!$E$2:$E$161,0))</f>
        <v>8.0759807628323407E-3</v>
      </c>
      <c r="G552" s="191">
        <f>(model_eui_end_uses!AO552*F552*base_building_arch_areas!$P$6)/1000000</f>
        <v>-7.4768648664481852</v>
      </c>
      <c r="AB552" s="187"/>
    </row>
    <row r="553" spans="1:28">
      <c r="A553">
        <f>sim_annual_output!B553</f>
        <v>26</v>
      </c>
      <c r="B553" t="str">
        <f>sim_annual_output!C553</f>
        <v>Training Building</v>
      </c>
      <c r="C553" t="str">
        <f>sim_annual_output!D553</f>
        <v>2005-2014</v>
      </c>
      <c r="D553">
        <v>2015</v>
      </c>
      <c r="E553" t="str">
        <f>sim_annual_output!E553</f>
        <v>economizers_enabled</v>
      </c>
      <c r="F553">
        <f t="array" ref="F553">INDEX(base_building_arch_areas!$M$2:$M$161,MATCH($A553&amp;$D553,base_building_arch_areas!$A$2:$A$161&amp;base_building_arch_areas!$E$2:$E$161,0))</f>
        <v>8.0759807628323407E-3</v>
      </c>
      <c r="G553" s="191">
        <f>(model_eui_end_uses!AO553*F553*base_building_arch_areas!$P$6)/1000000</f>
        <v>-6.4679487096886312</v>
      </c>
      <c r="AB553" s="187"/>
    </row>
    <row r="554" spans="1:28">
      <c r="A554">
        <f>sim_annual_output!B554</f>
        <v>26</v>
      </c>
      <c r="B554" t="str">
        <f>sim_annual_output!C554</f>
        <v>Training Building</v>
      </c>
      <c r="C554" t="str">
        <f>sim_annual_output!D554</f>
        <v>2005-2014</v>
      </c>
      <c r="D554">
        <v>2015</v>
      </c>
      <c r="E554" t="str">
        <f>sim_annual_output!E554</f>
        <v>elec_reduce</v>
      </c>
      <c r="F554">
        <f t="array" ref="F554">INDEX(base_building_arch_areas!$M$2:$M$161,MATCH($A554&amp;$D554,base_building_arch_areas!$A$2:$A$161&amp;base_building_arch_areas!$E$2:$E$161,0))</f>
        <v>8.0759807628323407E-3</v>
      </c>
      <c r="G554" s="191">
        <f>(model_eui_end_uses!AO554*F554*base_building_arch_areas!$P$6)/1000000</f>
        <v>30.455758683373979</v>
      </c>
      <c r="AB554" s="187"/>
    </row>
    <row r="555" spans="1:28">
      <c r="A555">
        <f>sim_annual_output!B555</f>
        <v>26</v>
      </c>
      <c r="B555" t="str">
        <f>sim_annual_output!C555</f>
        <v>Training Building</v>
      </c>
      <c r="C555" t="str">
        <f>sim_annual_output!D555</f>
        <v>2005-2014</v>
      </c>
      <c r="D555">
        <v>2015</v>
      </c>
      <c r="E555" t="str">
        <f>sim_annual_output!E555</f>
        <v>envelope_ecm_roof</v>
      </c>
      <c r="F555">
        <f t="array" ref="F555">INDEX(base_building_arch_areas!$M$2:$M$161,MATCH($A555&amp;$D555,base_building_arch_areas!$A$2:$A$161&amp;base_building_arch_areas!$E$2:$E$161,0))</f>
        <v>8.0759807628323407E-3</v>
      </c>
      <c r="G555" s="191">
        <f>(model_eui_end_uses!AO555*F555*base_building_arch_areas!$P$6)/1000000</f>
        <v>-3.7905516627581708</v>
      </c>
      <c r="AB555" s="187"/>
    </row>
    <row r="556" spans="1:28">
      <c r="A556">
        <f>sim_annual_output!B556</f>
        <v>26</v>
      </c>
      <c r="B556" t="str">
        <f>sim_annual_output!C556</f>
        <v>Training Building</v>
      </c>
      <c r="C556" t="str">
        <f>sim_annual_output!D556</f>
        <v>2005-2014</v>
      </c>
      <c r="D556">
        <v>2015</v>
      </c>
      <c r="E556" t="str">
        <f>sim_annual_output!E556</f>
        <v>envelope_ecm_wall</v>
      </c>
      <c r="F556">
        <f t="array" ref="F556">INDEX(base_building_arch_areas!$M$2:$M$161,MATCH($A556&amp;$D556,base_building_arch_areas!$A$2:$A$161&amp;base_building_arch_areas!$E$2:$E$161,0))</f>
        <v>8.0759807628323407E-3</v>
      </c>
      <c r="G556" s="191">
        <f>(model_eui_end_uses!AO556*F556*base_building_arch_areas!$P$6)/1000000</f>
        <v>-7.2818494040978665</v>
      </c>
      <c r="AB556" s="187"/>
    </row>
    <row r="557" spans="1:28">
      <c r="A557">
        <f>sim_annual_output!B557</f>
        <v>26</v>
      </c>
      <c r="B557" t="str">
        <f>sim_annual_output!C557</f>
        <v>Training Building</v>
      </c>
      <c r="C557" t="str">
        <f>sim_annual_output!D557</f>
        <v>2005-2014</v>
      </c>
      <c r="D557">
        <v>2015</v>
      </c>
      <c r="E557" t="str">
        <f>sim_annual_output!E557</f>
        <v>envelope_ecm_windows</v>
      </c>
      <c r="F557">
        <f t="array" ref="F557">INDEX(base_building_arch_areas!$M$2:$M$161,MATCH($A557&amp;$D557,base_building_arch_areas!$A$2:$A$161&amp;base_building_arch_areas!$E$2:$E$161,0))</f>
        <v>8.0759807628323407E-3</v>
      </c>
      <c r="G557" s="191">
        <f>(model_eui_end_uses!AO557*F557*base_building_arch_areas!$P$6)/1000000</f>
        <v>-6.8891335964617593</v>
      </c>
      <c r="AB557" s="187"/>
    </row>
    <row r="558" spans="1:28">
      <c r="A558">
        <f>sim_annual_output!B558</f>
        <v>26</v>
      </c>
      <c r="B558" t="str">
        <f>sim_annual_output!C558</f>
        <v>Training Building</v>
      </c>
      <c r="C558" t="str">
        <f>sim_annual_output!D558</f>
        <v>2005-2014</v>
      </c>
      <c r="D558">
        <v>2015</v>
      </c>
      <c r="E558" t="str">
        <f>sim_annual_output!E558</f>
        <v>exhaust_fans_occ_control</v>
      </c>
      <c r="F558">
        <f t="array" ref="F558">INDEX(base_building_arch_areas!$M$2:$M$161,MATCH($A558&amp;$D558,base_building_arch_areas!$A$2:$A$161&amp;base_building_arch_areas!$E$2:$E$161,0))</f>
        <v>8.0759807628323407E-3</v>
      </c>
      <c r="G558" s="191">
        <f>(model_eui_end_uses!AO558*F558*base_building_arch_areas!$P$6)/1000000</f>
        <v>-8.5314993102026957</v>
      </c>
      <c r="AB558" s="187"/>
    </row>
    <row r="559" spans="1:28">
      <c r="A559">
        <f>sim_annual_output!B559</f>
        <v>26</v>
      </c>
      <c r="B559" t="str">
        <f>sim_annual_output!C559</f>
        <v>Training Building</v>
      </c>
      <c r="C559" t="str">
        <f>sim_annual_output!D559</f>
        <v>2005-2014</v>
      </c>
      <c r="D559">
        <v>2015</v>
      </c>
      <c r="E559" t="str">
        <f>sim_annual_output!E559</f>
        <v>fans_to_variable</v>
      </c>
      <c r="F559">
        <f t="array" ref="F559">INDEX(base_building_arch_areas!$M$2:$M$161,MATCH($A559&amp;$D559,base_building_arch_areas!$A$2:$A$161&amp;base_building_arch_areas!$E$2:$E$161,0))</f>
        <v>8.0759807628323407E-3</v>
      </c>
      <c r="G559" s="191">
        <f>(model_eui_end_uses!AO559*F559*base_building_arch_areas!$P$6)/1000000</f>
        <v>-7.4546115243073299</v>
      </c>
      <c r="AB559" s="187"/>
    </row>
    <row r="560" spans="1:28">
      <c r="A560">
        <f>sim_annual_output!B560</f>
        <v>26</v>
      </c>
      <c r="B560" t="str">
        <f>sim_annual_output!C560</f>
        <v>Training Building</v>
      </c>
      <c r="C560" t="str">
        <f>sim_annual_output!D560</f>
        <v>2005-2014</v>
      </c>
      <c r="D560">
        <v>2015</v>
      </c>
      <c r="E560" t="str">
        <f>sim_annual_output!E560</f>
        <v>hrv_enabled</v>
      </c>
      <c r="F560">
        <f t="array" ref="F560">INDEX(base_building_arch_areas!$M$2:$M$161,MATCH($A560&amp;$D560,base_building_arch_areas!$A$2:$A$161&amp;base_building_arch_areas!$E$2:$E$161,0))</f>
        <v>8.0759807628323407E-3</v>
      </c>
      <c r="G560" s="191">
        <f>(model_eui_end_uses!AO560*F560*base_building_arch_areas!$P$6)/1000000</f>
        <v>9.435236641685691</v>
      </c>
      <c r="AB560" s="187"/>
    </row>
    <row r="561" spans="1:28">
      <c r="A561">
        <f>sim_annual_output!B561</f>
        <v>26</v>
      </c>
      <c r="B561" t="str">
        <f>sim_annual_output!C561</f>
        <v>Training Building</v>
      </c>
      <c r="C561" t="str">
        <f>sim_annual_output!D561</f>
        <v>2005-2014</v>
      </c>
      <c r="D561">
        <v>2015</v>
      </c>
      <c r="E561" t="str">
        <f>sim_annual_output!E561</f>
        <v>lights_reduce_70p</v>
      </c>
      <c r="F561">
        <f t="array" ref="F561">INDEX(base_building_arch_areas!$M$2:$M$161,MATCH($A561&amp;$D561,base_building_arch_areas!$A$2:$A$161&amp;base_building_arch_areas!$E$2:$E$161,0))</f>
        <v>8.0759807628323407E-3</v>
      </c>
      <c r="G561" s="191">
        <f>(model_eui_end_uses!AO561*F561*base_building_arch_areas!$P$6)/1000000</f>
        <v>9.3576331294421422</v>
      </c>
      <c r="AB561" s="187"/>
    </row>
    <row r="562" spans="1:28">
      <c r="A562">
        <f>sim_annual_output!B562</f>
        <v>26</v>
      </c>
      <c r="B562" t="str">
        <f>sim_annual_output!C562</f>
        <v>Training Building</v>
      </c>
      <c r="C562" t="str">
        <f>sim_annual_output!D562</f>
        <v>2005-2014</v>
      </c>
      <c r="D562">
        <v>2015</v>
      </c>
      <c r="E562" t="str">
        <f>sim_annual_output!E562</f>
        <v>load_reduce</v>
      </c>
      <c r="F562">
        <f t="array" ref="F562">INDEX(base_building_arch_areas!$M$2:$M$161,MATCH($A562&amp;$D562,base_building_arch_areas!$A$2:$A$161&amp;base_building_arch_areas!$E$2:$E$161,0))</f>
        <v>8.0759807628323407E-3</v>
      </c>
      <c r="G562" s="191">
        <f>(model_eui_end_uses!AO562*F562*base_building_arch_areas!$P$6)/1000000</f>
        <v>18.202208668939459</v>
      </c>
      <c r="AB562" s="187"/>
    </row>
    <row r="563" spans="1:28">
      <c r="A563">
        <f>sim_annual_output!B563</f>
        <v>26</v>
      </c>
      <c r="B563" t="str">
        <f>sim_annual_output!C563</f>
        <v>Training Building</v>
      </c>
      <c r="C563" t="str">
        <f>sim_annual_output!D563</f>
        <v>2005-2014</v>
      </c>
      <c r="D563">
        <v>2015</v>
      </c>
      <c r="E563" t="str">
        <f>sim_annual_output!E563</f>
        <v>occupancy_setback</v>
      </c>
      <c r="F563">
        <f t="array" ref="F563">INDEX(base_building_arch_areas!$M$2:$M$161,MATCH($A563&amp;$D563,base_building_arch_areas!$A$2:$A$161&amp;base_building_arch_areas!$E$2:$E$161,0))</f>
        <v>8.0759807628323407E-3</v>
      </c>
      <c r="G563" s="191">
        <f>(model_eui_end_uses!AO563*F563*base_building_arch_areas!$P$6)/1000000</f>
        <v>-0.33798458250927255</v>
      </c>
      <c r="AB563" s="187"/>
    </row>
    <row r="564" spans="1:28">
      <c r="A564">
        <f>sim_annual_output!B564</f>
        <v>26</v>
      </c>
      <c r="B564" t="str">
        <f>sim_annual_output!C564</f>
        <v>Training Building</v>
      </c>
      <c r="C564" t="str">
        <f>sim_annual_output!D564</f>
        <v>2005-2014</v>
      </c>
      <c r="D564">
        <v>2015</v>
      </c>
      <c r="E564" t="str">
        <f>sim_annual_output!E564</f>
        <v>payback_less_than_20</v>
      </c>
      <c r="F564">
        <f t="array" ref="F564">INDEX(base_building_arch_areas!$M$2:$M$161,MATCH($A564&amp;$D564,base_building_arch_areas!$A$2:$A$161&amp;base_building_arch_areas!$E$2:$E$161,0))</f>
        <v>8.0759807628323407E-3</v>
      </c>
      <c r="G564" s="191">
        <f>(model_eui_end_uses!AO564*F564*base_building_arch_areas!$P$6)/1000000</f>
        <v>43.107395466190063</v>
      </c>
      <c r="AB564" s="187"/>
    </row>
    <row r="565" spans="1:28">
      <c r="A565">
        <f>sim_annual_output!B565</f>
        <v>26</v>
      </c>
      <c r="B565" t="str">
        <f>sim_annual_output!C565</f>
        <v>Training Building</v>
      </c>
      <c r="C565" t="str">
        <f>sim_annual_output!D565</f>
        <v>2005-2014</v>
      </c>
      <c r="D565">
        <v>2015</v>
      </c>
      <c r="E565" t="str">
        <f>sim_annual_output!E565</f>
        <v>plug_loads_90_percent</v>
      </c>
      <c r="F565">
        <f t="array" ref="F565">INDEX(base_building_arch_areas!$M$2:$M$161,MATCH($A565&amp;$D565,base_building_arch_areas!$A$2:$A$161&amp;base_building_arch_areas!$E$2:$E$161,0))</f>
        <v>8.0759807628323407E-3</v>
      </c>
      <c r="G565" s="191">
        <f>(model_eui_end_uses!AO565*F565*base_building_arch_areas!$P$6)/1000000</f>
        <v>-7.8506682009632724</v>
      </c>
      <c r="AB565" s="187"/>
    </row>
    <row r="566" spans="1:28">
      <c r="A566">
        <f>sim_annual_output!B566</f>
        <v>26</v>
      </c>
      <c r="B566" t="str">
        <f>sim_annual_output!C566</f>
        <v>Training Building</v>
      </c>
      <c r="C566" t="str">
        <f>sim_annual_output!D566</f>
        <v>2005-2014</v>
      </c>
      <c r="D566">
        <v>2015</v>
      </c>
      <c r="E566" t="str">
        <f>sim_annual_output!E566</f>
        <v>pumps_to_variable</v>
      </c>
      <c r="F566">
        <f t="array" ref="F566">INDEX(base_building_arch_areas!$M$2:$M$161,MATCH($A566&amp;$D566,base_building_arch_areas!$A$2:$A$161&amp;base_building_arch_areas!$E$2:$E$161,0))</f>
        <v>8.0759807628323407E-3</v>
      </c>
      <c r="G566" s="191">
        <f>(model_eui_end_uses!AO566*F566*base_building_arch_areas!$P$6)/1000000</f>
        <v>-8.568814045045773</v>
      </c>
      <c r="AB566" s="187"/>
    </row>
    <row r="567" spans="1:28">
      <c r="A567">
        <f>sim_annual_output!B567</f>
        <v>26</v>
      </c>
      <c r="B567" t="str">
        <f>sim_annual_output!C567</f>
        <v>Training Building</v>
      </c>
      <c r="C567" t="str">
        <f>sim_annual_output!D567</f>
        <v>2005-2014</v>
      </c>
      <c r="D567">
        <v>2015</v>
      </c>
      <c r="E567" t="str">
        <f>sim_annual_output!E567</f>
        <v>pump_fan_eff_</v>
      </c>
      <c r="F567">
        <f t="array" ref="F567">INDEX(base_building_arch_areas!$M$2:$M$161,MATCH($A567&amp;$D567,base_building_arch_areas!$A$2:$A$161&amp;base_building_arch_areas!$E$2:$E$161,0))</f>
        <v>8.0759807628323407E-3</v>
      </c>
      <c r="G567" s="191">
        <f>(model_eui_end_uses!AO567*F567*base_building_arch_areas!$P$6)/1000000</f>
        <v>-8.4305551200500393</v>
      </c>
      <c r="AB567" s="187"/>
    </row>
    <row r="568" spans="1:28">
      <c r="A568">
        <f>sim_annual_output!B568</f>
        <v>27</v>
      </c>
      <c r="B568" t="str">
        <f>sim_annual_output!C568</f>
        <v>Vehicle Garage</v>
      </c>
      <c r="C568" t="str">
        <f>sim_annual_output!D568</f>
        <v>1959-pre</v>
      </c>
      <c r="D568">
        <v>2015</v>
      </c>
      <c r="E568" t="str">
        <f>sim_annual_output!E568</f>
        <v>air_temp_reset_enabled</v>
      </c>
      <c r="F568">
        <f t="array" ref="F568">INDEX(base_building_arch_areas!$M$2:$M$161,MATCH($A568&amp;$D568,base_building_arch_areas!$A$2:$A$161&amp;base_building_arch_areas!$E$2:$E$161,0))</f>
        <v>2.2560029728596921E-2</v>
      </c>
      <c r="G568" s="191">
        <f>(model_eui_end_uses!AO568*F568*base_building_arch_areas!$P$6)/1000000</f>
        <v>-2.2461999752094823</v>
      </c>
      <c r="AB568" s="187"/>
    </row>
    <row r="569" spans="1:28">
      <c r="A569">
        <f>sim_annual_output!B569</f>
        <v>27</v>
      </c>
      <c r="B569" t="str">
        <f>sim_annual_output!C569</f>
        <v>Vehicle Garage</v>
      </c>
      <c r="C569" t="str">
        <f>sim_annual_output!D569</f>
        <v>1959-pre</v>
      </c>
      <c r="D569">
        <v>2015</v>
      </c>
      <c r="E569" t="str">
        <f>sim_annual_output!E569</f>
        <v>baseline</v>
      </c>
      <c r="F569">
        <f t="array" ref="F569">INDEX(base_building_arch_areas!$M$2:$M$161,MATCH($A569&amp;$D569,base_building_arch_areas!$A$2:$A$161&amp;base_building_arch_areas!$E$2:$E$161,0))</f>
        <v>2.2560029728596921E-2</v>
      </c>
      <c r="G569" s="191">
        <f>(model_eui_end_uses!AO569*F569*base_building_arch_areas!$P$6)/1000000</f>
        <v>0</v>
      </c>
      <c r="AB569" s="187"/>
    </row>
    <row r="570" spans="1:28">
      <c r="A570">
        <f>sim_annual_output!B570</f>
        <v>27</v>
      </c>
      <c r="B570" t="str">
        <f>sim_annual_output!C570</f>
        <v>Vehicle Garage</v>
      </c>
      <c r="C570" t="str">
        <f>sim_annual_output!D570</f>
        <v>1959-pre</v>
      </c>
      <c r="D570">
        <v>2015</v>
      </c>
      <c r="E570" t="str">
        <f>sim_annual_output!E570</f>
        <v>boiler_eff_upgrade</v>
      </c>
      <c r="F570">
        <f t="array" ref="F570">INDEX(base_building_arch_areas!$M$2:$M$161,MATCH($A570&amp;$D570,base_building_arch_areas!$A$2:$A$161&amp;base_building_arch_areas!$E$2:$E$161,0))</f>
        <v>2.2560029728596921E-2</v>
      </c>
      <c r="G570" s="191">
        <f>(model_eui_end_uses!AO570*F570*base_building_arch_areas!$P$6)/1000000</f>
        <v>2.5949467025669</v>
      </c>
      <c r="AB570" s="187"/>
    </row>
    <row r="571" spans="1:28">
      <c r="A571">
        <f>sim_annual_output!B571</f>
        <v>27</v>
      </c>
      <c r="B571" t="str">
        <f>sim_annual_output!C571</f>
        <v>Vehicle Garage</v>
      </c>
      <c r="C571" t="str">
        <f>sim_annual_output!D571</f>
        <v>1959-pre</v>
      </c>
      <c r="D571">
        <v>2015</v>
      </c>
      <c r="E571" t="str">
        <f>sim_annual_output!E571</f>
        <v>boiler_reset</v>
      </c>
      <c r="F571">
        <f t="array" ref="F571">INDEX(base_building_arch_areas!$M$2:$M$161,MATCH($A571&amp;$D571,base_building_arch_areas!$A$2:$A$161&amp;base_building_arch_areas!$E$2:$E$161,0))</f>
        <v>2.2560029728596921E-2</v>
      </c>
      <c r="G571" s="191">
        <f>(model_eui_end_uses!AO571*F571*base_building_arch_areas!$P$6)/1000000</f>
        <v>38.41230112137319</v>
      </c>
      <c r="AB571" s="187"/>
    </row>
    <row r="572" spans="1:28">
      <c r="A572">
        <f>sim_annual_output!B572</f>
        <v>27</v>
      </c>
      <c r="B572" t="str">
        <f>sim_annual_output!C572</f>
        <v>Vehicle Garage</v>
      </c>
      <c r="C572" t="str">
        <f>sim_annual_output!D572</f>
        <v>1959-pre</v>
      </c>
      <c r="D572">
        <v>2015</v>
      </c>
      <c r="E572" t="str">
        <f>sim_annual_output!E572</f>
        <v>dcv_enabled</v>
      </c>
      <c r="F572">
        <f t="array" ref="F572">INDEX(base_building_arch_areas!$M$2:$M$161,MATCH($A572&amp;$D572,base_building_arch_areas!$A$2:$A$161&amp;base_building_arch_areas!$E$2:$E$161,0))</f>
        <v>2.2560029728596921E-2</v>
      </c>
      <c r="G572" s="191">
        <f>(model_eui_end_uses!AO572*F572*base_building_arch_areas!$P$6)/1000000</f>
        <v>15.163258480354932</v>
      </c>
      <c r="AB572" s="187"/>
    </row>
    <row r="573" spans="1:28">
      <c r="A573">
        <f>sim_annual_output!B573</f>
        <v>27</v>
      </c>
      <c r="B573" t="str">
        <f>sim_annual_output!C573</f>
        <v>Vehicle Garage</v>
      </c>
      <c r="C573" t="str">
        <f>sim_annual_output!D573</f>
        <v>1959-pre</v>
      </c>
      <c r="D573">
        <v>2015</v>
      </c>
      <c r="E573" t="str">
        <f>sim_annual_output!E573</f>
        <v>ecm_cold_deck_reset_control</v>
      </c>
      <c r="F573">
        <f t="array" ref="F573">INDEX(base_building_arch_areas!$M$2:$M$161,MATCH($A573&amp;$D573,base_building_arch_areas!$A$2:$A$161&amp;base_building_arch_areas!$E$2:$E$161,0))</f>
        <v>2.2560029728596921E-2</v>
      </c>
      <c r="G573" s="191">
        <f>(model_eui_end_uses!AO573*F573*base_building_arch_areas!$P$6)/1000000</f>
        <v>2.5949467025669</v>
      </c>
      <c r="AB573" s="187"/>
    </row>
    <row r="574" spans="1:28">
      <c r="A574">
        <f>sim_annual_output!B574</f>
        <v>27</v>
      </c>
      <c r="B574" t="str">
        <f>sim_annual_output!C574</f>
        <v>Vehicle Garage</v>
      </c>
      <c r="C574" t="str">
        <f>sim_annual_output!D574</f>
        <v>1959-pre</v>
      </c>
      <c r="D574">
        <v>2015</v>
      </c>
      <c r="E574" t="str">
        <f>sim_annual_output!E574</f>
        <v>economizers_enabled</v>
      </c>
      <c r="F574">
        <f t="array" ref="F574">INDEX(base_building_arch_areas!$M$2:$M$161,MATCH($A574&amp;$D574,base_building_arch_areas!$A$2:$A$161&amp;base_building_arch_areas!$E$2:$E$161,0))</f>
        <v>2.2560029728596921E-2</v>
      </c>
      <c r="G574" s="191">
        <f>(model_eui_end_uses!AO574*F574*base_building_arch_areas!$P$6)/1000000</f>
        <v>2.9805739244404288</v>
      </c>
      <c r="AB574" s="187"/>
    </row>
    <row r="575" spans="1:28">
      <c r="A575">
        <f>sim_annual_output!B575</f>
        <v>27</v>
      </c>
      <c r="B575" t="str">
        <f>sim_annual_output!C575</f>
        <v>Vehicle Garage</v>
      </c>
      <c r="C575" t="str">
        <f>sim_annual_output!D575</f>
        <v>1959-pre</v>
      </c>
      <c r="D575">
        <v>2015</v>
      </c>
      <c r="E575" t="str">
        <f>sim_annual_output!E575</f>
        <v>elec_reduce</v>
      </c>
      <c r="F575">
        <f t="array" ref="F575">INDEX(base_building_arch_areas!$M$2:$M$161,MATCH($A575&amp;$D575,base_building_arch_areas!$A$2:$A$161&amp;base_building_arch_areas!$E$2:$E$161,0))</f>
        <v>2.2560029728596921E-2</v>
      </c>
      <c r="G575" s="191">
        <f>(model_eui_end_uses!AO575*F575*base_building_arch_areas!$P$6)/1000000</f>
        <v>29.852038154343411</v>
      </c>
      <c r="AB575" s="187"/>
    </row>
    <row r="576" spans="1:28">
      <c r="A576">
        <f>sim_annual_output!B576</f>
        <v>27</v>
      </c>
      <c r="B576" t="str">
        <f>sim_annual_output!C576</f>
        <v>Vehicle Garage</v>
      </c>
      <c r="C576" t="str">
        <f>sim_annual_output!D576</f>
        <v>1959-pre</v>
      </c>
      <c r="D576">
        <v>2015</v>
      </c>
      <c r="E576" t="str">
        <f>sim_annual_output!E576</f>
        <v>envelope_ecm_roof</v>
      </c>
      <c r="F576">
        <f t="array" ref="F576">INDEX(base_building_arch_areas!$M$2:$M$161,MATCH($A576&amp;$D576,base_building_arch_areas!$A$2:$A$161&amp;base_building_arch_areas!$E$2:$E$161,0))</f>
        <v>2.2560029728596921E-2</v>
      </c>
      <c r="G576" s="191">
        <f>(model_eui_end_uses!AO576*F576*base_building_arch_areas!$P$6)/1000000</f>
        <v>5.8431648991637166</v>
      </c>
      <c r="AB576" s="187"/>
    </row>
    <row r="577" spans="1:28">
      <c r="A577">
        <f>sim_annual_output!B577</f>
        <v>27</v>
      </c>
      <c r="B577" t="str">
        <f>sim_annual_output!C577</f>
        <v>Vehicle Garage</v>
      </c>
      <c r="C577" t="str">
        <f>sim_annual_output!D577</f>
        <v>1959-pre</v>
      </c>
      <c r="D577">
        <v>2015</v>
      </c>
      <c r="E577" t="str">
        <f>sim_annual_output!E577</f>
        <v>envelope_ecm_wall</v>
      </c>
      <c r="F577">
        <f t="array" ref="F577">INDEX(base_building_arch_areas!$M$2:$M$161,MATCH($A577&amp;$D577,base_building_arch_areas!$A$2:$A$161&amp;base_building_arch_areas!$E$2:$E$161,0))</f>
        <v>2.2560029728596921E-2</v>
      </c>
      <c r="G577" s="191">
        <f>(model_eui_end_uses!AO577*F577*base_building_arch_areas!$P$6)/1000000</f>
        <v>11.562391022860151</v>
      </c>
      <c r="AB577" s="187"/>
    </row>
    <row r="578" spans="1:28">
      <c r="A578">
        <f>sim_annual_output!B578</f>
        <v>27</v>
      </c>
      <c r="B578" t="str">
        <f>sim_annual_output!C578</f>
        <v>Vehicle Garage</v>
      </c>
      <c r="C578" t="str">
        <f>sim_annual_output!D578</f>
        <v>1959-pre</v>
      </c>
      <c r="D578">
        <v>2015</v>
      </c>
      <c r="E578" t="str">
        <f>sim_annual_output!E578</f>
        <v>envelope_ecm_windows</v>
      </c>
      <c r="F578">
        <f t="array" ref="F578">INDEX(base_building_arch_areas!$M$2:$M$161,MATCH($A578&amp;$D578,base_building_arch_areas!$A$2:$A$161&amp;base_building_arch_areas!$E$2:$E$161,0))</f>
        <v>2.2560029728596921E-2</v>
      </c>
      <c r="G578" s="191">
        <f>(model_eui_end_uses!AO578*F578*base_building_arch_areas!$P$6)/1000000</f>
        <v>2.7398657980062469</v>
      </c>
      <c r="AB578" s="187"/>
    </row>
    <row r="579" spans="1:28">
      <c r="A579">
        <f>sim_annual_output!B579</f>
        <v>27</v>
      </c>
      <c r="B579" t="str">
        <f>sim_annual_output!C579</f>
        <v>Vehicle Garage</v>
      </c>
      <c r="C579" t="str">
        <f>sim_annual_output!D579</f>
        <v>1959-pre</v>
      </c>
      <c r="D579">
        <v>2015</v>
      </c>
      <c r="E579" t="str">
        <f>sim_annual_output!E579</f>
        <v>exhaust_fans_occ_control</v>
      </c>
      <c r="F579">
        <f t="array" ref="F579">INDEX(base_building_arch_areas!$M$2:$M$161,MATCH($A579&amp;$D579,base_building_arch_areas!$A$2:$A$161&amp;base_building_arch_areas!$E$2:$E$161,0))</f>
        <v>2.2560029728596921E-2</v>
      </c>
      <c r="G579" s="191">
        <f>(model_eui_end_uses!AO579*F579*base_building_arch_areas!$P$6)/1000000</f>
        <v>2.8506333608973207</v>
      </c>
      <c r="AB579" s="187"/>
    </row>
    <row r="580" spans="1:28">
      <c r="A580">
        <f>sim_annual_output!B580</f>
        <v>27</v>
      </c>
      <c r="B580" t="str">
        <f>sim_annual_output!C580</f>
        <v>Vehicle Garage</v>
      </c>
      <c r="C580" t="str">
        <f>sim_annual_output!D580</f>
        <v>1959-pre</v>
      </c>
      <c r="D580">
        <v>2015</v>
      </c>
      <c r="E580" t="str">
        <f>sim_annual_output!E580</f>
        <v>fans_to_variable</v>
      </c>
      <c r="F580">
        <f t="array" ref="F580">INDEX(base_building_arch_areas!$M$2:$M$161,MATCH($A580&amp;$D580,base_building_arch_areas!$A$2:$A$161&amp;base_building_arch_areas!$E$2:$E$161,0))</f>
        <v>2.2560029728596921E-2</v>
      </c>
      <c r="G580" s="191">
        <f>(model_eui_end_uses!AO580*F580*base_building_arch_areas!$P$6)/1000000</f>
        <v>2.7618317790453015</v>
      </c>
      <c r="AB580" s="187"/>
    </row>
    <row r="581" spans="1:28">
      <c r="A581">
        <f>sim_annual_output!B581</f>
        <v>27</v>
      </c>
      <c r="B581" t="str">
        <f>sim_annual_output!C581</f>
        <v>Vehicle Garage</v>
      </c>
      <c r="C581" t="str">
        <f>sim_annual_output!D581</f>
        <v>1959-pre</v>
      </c>
      <c r="D581">
        <v>2015</v>
      </c>
      <c r="E581" t="str">
        <f>sim_annual_output!E581</f>
        <v>hrv_enabled</v>
      </c>
      <c r="F581">
        <f t="array" ref="F581">INDEX(base_building_arch_areas!$M$2:$M$161,MATCH($A581&amp;$D581,base_building_arch_areas!$A$2:$A$161&amp;base_building_arch_areas!$E$2:$E$161,0))</f>
        <v>2.2560029728596921E-2</v>
      </c>
      <c r="G581" s="191">
        <f>(model_eui_end_uses!AO581*F581*base_building_arch_areas!$P$6)/1000000</f>
        <v>4.7709683181748552</v>
      </c>
      <c r="AB581" s="187"/>
    </row>
    <row r="582" spans="1:28">
      <c r="A582">
        <f>sim_annual_output!B582</f>
        <v>27</v>
      </c>
      <c r="B582" t="str">
        <f>sim_annual_output!C582</f>
        <v>Vehicle Garage</v>
      </c>
      <c r="C582" t="str">
        <f>sim_annual_output!D582</f>
        <v>1959-pre</v>
      </c>
      <c r="D582">
        <v>2015</v>
      </c>
      <c r="E582" t="str">
        <f>sim_annual_output!E582</f>
        <v>infil_reduce</v>
      </c>
      <c r="F582">
        <f t="array" ref="F582">INDEX(base_building_arch_areas!$M$2:$M$161,MATCH($A582&amp;$D582,base_building_arch_areas!$A$2:$A$161&amp;base_building_arch_areas!$E$2:$E$161,0))</f>
        <v>2.2560029728596921E-2</v>
      </c>
      <c r="G582" s="191">
        <f>(model_eui_end_uses!AO582*F582*base_building_arch_areas!$P$6)/1000000</f>
        <v>58.089207816092753</v>
      </c>
      <c r="AB582" s="187"/>
    </row>
    <row r="583" spans="1:28">
      <c r="A583">
        <f>sim_annual_output!B583</f>
        <v>27</v>
      </c>
      <c r="B583" t="str">
        <f>sim_annual_output!C583</f>
        <v>Vehicle Garage</v>
      </c>
      <c r="C583" t="str">
        <f>sim_annual_output!D583</f>
        <v>1959-pre</v>
      </c>
      <c r="D583">
        <v>2015</v>
      </c>
      <c r="E583" t="str">
        <f>sim_annual_output!E583</f>
        <v>infil_reduce_plus_setback</v>
      </c>
      <c r="F583">
        <f t="array" ref="F583">INDEX(base_building_arch_areas!$M$2:$M$161,MATCH($A583&amp;$D583,base_building_arch_areas!$A$2:$A$161&amp;base_building_arch_areas!$E$2:$E$161,0))</f>
        <v>2.2560029728596921E-2</v>
      </c>
      <c r="G583" s="191">
        <f>(model_eui_end_uses!AO583*F583*base_building_arch_areas!$P$6)/1000000</f>
        <v>78.762922604627562</v>
      </c>
      <c r="AB583" s="187"/>
    </row>
    <row r="584" spans="1:28">
      <c r="A584">
        <f>sim_annual_output!B584</f>
        <v>27</v>
      </c>
      <c r="B584" t="str">
        <f>sim_annual_output!C584</f>
        <v>Vehicle Garage</v>
      </c>
      <c r="C584" t="str">
        <f>sim_annual_output!D584</f>
        <v>1959-pre</v>
      </c>
      <c r="D584">
        <v>2015</v>
      </c>
      <c r="E584" t="str">
        <f>sim_annual_output!E584</f>
        <v>lights_reduce_70p</v>
      </c>
      <c r="F584">
        <f t="array" ref="F584">INDEX(base_building_arch_areas!$M$2:$M$161,MATCH($A584&amp;$D584,base_building_arch_areas!$A$2:$A$161&amp;base_building_arch_areas!$E$2:$E$161,0))</f>
        <v>2.2560029728596921E-2</v>
      </c>
      <c r="G584" s="191">
        <f>(model_eui_end_uses!AO584*F584*base_building_arch_areas!$P$6)/1000000</f>
        <v>10.719704656245867</v>
      </c>
      <c r="AB584" s="187"/>
    </row>
    <row r="585" spans="1:28">
      <c r="A585">
        <f>sim_annual_output!B585</f>
        <v>27</v>
      </c>
      <c r="B585" t="str">
        <f>sim_annual_output!C585</f>
        <v>Vehicle Garage</v>
      </c>
      <c r="C585" t="str">
        <f>sim_annual_output!D585</f>
        <v>1959-pre</v>
      </c>
      <c r="D585">
        <v>2015</v>
      </c>
      <c r="E585" t="str">
        <f>sim_annual_output!E585</f>
        <v>load_reduce</v>
      </c>
      <c r="F585">
        <f t="array" ref="F585">INDEX(base_building_arch_areas!$M$2:$M$161,MATCH($A585&amp;$D585,base_building_arch_areas!$A$2:$A$161&amp;base_building_arch_areas!$E$2:$E$161,0))</f>
        <v>2.2560029728596921E-2</v>
      </c>
      <c r="G585" s="191">
        <f>(model_eui_end_uses!AO585*F585*base_building_arch_areas!$P$6)/1000000</f>
        <v>98.800027806087584</v>
      </c>
      <c r="AB585" s="187"/>
    </row>
    <row r="586" spans="1:28">
      <c r="A586">
        <f>sim_annual_output!B586</f>
        <v>27</v>
      </c>
      <c r="B586" t="str">
        <f>sim_annual_output!C586</f>
        <v>Vehicle Garage</v>
      </c>
      <c r="C586" t="str">
        <f>sim_annual_output!D586</f>
        <v>1959-pre</v>
      </c>
      <c r="D586">
        <v>2015</v>
      </c>
      <c r="E586" t="str">
        <f>sim_annual_output!E586</f>
        <v>occupancy_setback</v>
      </c>
      <c r="F586">
        <f t="array" ref="F586">INDEX(base_building_arch_areas!$M$2:$M$161,MATCH($A586&amp;$D586,base_building_arch_areas!$A$2:$A$161&amp;base_building_arch_areas!$E$2:$E$161,0))</f>
        <v>2.2560029728596921E-2</v>
      </c>
      <c r="G586" s="191">
        <f>(model_eui_end_uses!AO586*F586*base_building_arch_areas!$P$6)/1000000</f>
        <v>8.3960029531338449</v>
      </c>
      <c r="AB586" s="187"/>
    </row>
    <row r="587" spans="1:28">
      <c r="A587">
        <f>sim_annual_output!B587</f>
        <v>27</v>
      </c>
      <c r="B587" t="str">
        <f>sim_annual_output!C587</f>
        <v>Vehicle Garage</v>
      </c>
      <c r="C587" t="str">
        <f>sim_annual_output!D587</f>
        <v>1959-pre</v>
      </c>
      <c r="D587">
        <v>2015</v>
      </c>
      <c r="E587" t="str">
        <f>sim_annual_output!E587</f>
        <v>payback_less_than_20</v>
      </c>
      <c r="F587">
        <f t="array" ref="F587">INDEX(base_building_arch_areas!$M$2:$M$161,MATCH($A587&amp;$D587,base_building_arch_areas!$A$2:$A$161&amp;base_building_arch_areas!$E$2:$E$161,0))</f>
        <v>2.2560029728596921E-2</v>
      </c>
      <c r="G587" s="191">
        <f>(model_eui_end_uses!AO587*F587*base_building_arch_areas!$P$6)/1000000</f>
        <v>102.77805757345773</v>
      </c>
      <c r="AB587" s="187"/>
    </row>
    <row r="588" spans="1:28">
      <c r="A588">
        <f>sim_annual_output!B588</f>
        <v>27</v>
      </c>
      <c r="B588" t="str">
        <f>sim_annual_output!C588</f>
        <v>Vehicle Garage</v>
      </c>
      <c r="C588" t="str">
        <f>sim_annual_output!D588</f>
        <v>1959-pre</v>
      </c>
      <c r="D588">
        <v>2015</v>
      </c>
      <c r="E588" t="str">
        <f>sim_annual_output!E588</f>
        <v>plug_loads_90_percent</v>
      </c>
      <c r="F588">
        <f t="array" ref="F588">INDEX(base_building_arch_areas!$M$2:$M$161,MATCH($A588&amp;$D588,base_building_arch_areas!$A$2:$A$161&amp;base_building_arch_areas!$E$2:$E$161,0))</f>
        <v>2.2560029728596921E-2</v>
      </c>
      <c r="G588" s="191">
        <f>(model_eui_end_uses!AO588*F588*base_building_arch_areas!$P$6)/1000000</f>
        <v>2.4539061912010482</v>
      </c>
      <c r="AB588" s="187"/>
    </row>
    <row r="589" spans="1:28">
      <c r="A589">
        <f>sim_annual_output!B589</f>
        <v>27</v>
      </c>
      <c r="B589" t="str">
        <f>sim_annual_output!C589</f>
        <v>Vehicle Garage</v>
      </c>
      <c r="C589" t="str">
        <f>sim_annual_output!D589</f>
        <v>1959-pre</v>
      </c>
      <c r="D589">
        <v>2015</v>
      </c>
      <c r="E589" t="str">
        <f>sim_annual_output!E589</f>
        <v>pump_fan_eff_</v>
      </c>
      <c r="F589">
        <f t="array" ref="F589">INDEX(base_building_arch_areas!$M$2:$M$161,MATCH($A589&amp;$D589,base_building_arch_areas!$A$2:$A$161&amp;base_building_arch_areas!$E$2:$E$161,0))</f>
        <v>2.2560029728596921E-2</v>
      </c>
      <c r="G589" s="191">
        <f>(model_eui_end_uses!AO589*F589*base_building_arch_areas!$P$6)/1000000</f>
        <v>9.0010280810088137</v>
      </c>
      <c r="AB589" s="187"/>
    </row>
    <row r="590" spans="1:28">
      <c r="A590">
        <f>sim_annual_output!B590</f>
        <v>28</v>
      </c>
      <c r="B590" t="str">
        <f>sim_annual_output!C590</f>
        <v>Vehicle Garage</v>
      </c>
      <c r="C590" t="str">
        <f>sim_annual_output!D590</f>
        <v>1980-2004</v>
      </c>
      <c r="D590">
        <v>2015</v>
      </c>
      <c r="E590" t="str">
        <f>sim_annual_output!E590</f>
        <v>air_temp_reset_enabled</v>
      </c>
      <c r="F590">
        <f t="array" ref="F590">INDEX(base_building_arch_areas!$M$2:$M$161,MATCH($A590&amp;$D590,base_building_arch_areas!$A$2:$A$161&amp;base_building_arch_areas!$E$2:$E$161,0))</f>
        <v>5.1035531722746268E-2</v>
      </c>
      <c r="G590" s="191">
        <f>(model_eui_end_uses!AO590*F590*base_building_arch_areas!$P$6)/1000000</f>
        <v>-7.402208791137137</v>
      </c>
      <c r="AB590" s="187"/>
    </row>
    <row r="591" spans="1:28">
      <c r="A591">
        <f>sim_annual_output!B591</f>
        <v>28</v>
      </c>
      <c r="B591" t="str">
        <f>sim_annual_output!C591</f>
        <v>Vehicle Garage</v>
      </c>
      <c r="C591" t="str">
        <f>sim_annual_output!D591</f>
        <v>1980-2004</v>
      </c>
      <c r="D591">
        <v>2015</v>
      </c>
      <c r="E591" t="str">
        <f>sim_annual_output!E591</f>
        <v>baseline</v>
      </c>
      <c r="F591">
        <f t="array" ref="F591">INDEX(base_building_arch_areas!$M$2:$M$161,MATCH($A591&amp;$D591,base_building_arch_areas!$A$2:$A$161&amp;base_building_arch_areas!$E$2:$E$161,0))</f>
        <v>5.1035531722746268E-2</v>
      </c>
      <c r="G591" s="191">
        <f>(model_eui_end_uses!AO591*F591*base_building_arch_areas!$P$6)/1000000</f>
        <v>0</v>
      </c>
      <c r="AB591" s="187"/>
    </row>
    <row r="592" spans="1:28">
      <c r="A592">
        <f>sim_annual_output!B592</f>
        <v>28</v>
      </c>
      <c r="B592" t="str">
        <f>sim_annual_output!C592</f>
        <v>Vehicle Garage</v>
      </c>
      <c r="C592" t="str">
        <f>sim_annual_output!D592</f>
        <v>1980-2004</v>
      </c>
      <c r="D592">
        <v>2015</v>
      </c>
      <c r="E592" t="str">
        <f>sim_annual_output!E592</f>
        <v>boiler_eff_upgrade</v>
      </c>
      <c r="F592">
        <f t="array" ref="F592">INDEX(base_building_arch_areas!$M$2:$M$161,MATCH($A592&amp;$D592,base_building_arch_areas!$A$2:$A$161&amp;base_building_arch_areas!$E$2:$E$161,0))</f>
        <v>5.1035531722746268E-2</v>
      </c>
      <c r="G592" s="191">
        <f>(model_eui_end_uses!AO592*F592*base_building_arch_areas!$P$6)/1000000</f>
        <v>1.8933263227595019</v>
      </c>
      <c r="AB592" s="187"/>
    </row>
    <row r="593" spans="1:28">
      <c r="A593">
        <f>sim_annual_output!B593</f>
        <v>28</v>
      </c>
      <c r="B593" t="str">
        <f>sim_annual_output!C593</f>
        <v>Vehicle Garage</v>
      </c>
      <c r="C593" t="str">
        <f>sim_annual_output!D593</f>
        <v>1980-2004</v>
      </c>
      <c r="D593">
        <v>2015</v>
      </c>
      <c r="E593" t="str">
        <f>sim_annual_output!E593</f>
        <v>boiler_reset</v>
      </c>
      <c r="F593">
        <f t="array" ref="F593">INDEX(base_building_arch_areas!$M$2:$M$161,MATCH($A593&amp;$D593,base_building_arch_areas!$A$2:$A$161&amp;base_building_arch_areas!$E$2:$E$161,0))</f>
        <v>5.1035531722746268E-2</v>
      </c>
      <c r="G593" s="191">
        <f>(model_eui_end_uses!AO593*F593*base_building_arch_areas!$P$6)/1000000</f>
        <v>57.570278902562514</v>
      </c>
      <c r="AB593" s="187"/>
    </row>
    <row r="594" spans="1:28">
      <c r="A594">
        <f>sim_annual_output!B594</f>
        <v>28</v>
      </c>
      <c r="B594" t="str">
        <f>sim_annual_output!C594</f>
        <v>Vehicle Garage</v>
      </c>
      <c r="C594" t="str">
        <f>sim_annual_output!D594</f>
        <v>1980-2004</v>
      </c>
      <c r="D594">
        <v>2015</v>
      </c>
      <c r="E594" t="str">
        <f>sim_annual_output!E594</f>
        <v>dcv_enabled</v>
      </c>
      <c r="F594">
        <f t="array" ref="F594">INDEX(base_building_arch_areas!$M$2:$M$161,MATCH($A594&amp;$D594,base_building_arch_areas!$A$2:$A$161&amp;base_building_arch_areas!$E$2:$E$161,0))</f>
        <v>5.1035531722746268E-2</v>
      </c>
      <c r="G594" s="191">
        <f>(model_eui_end_uses!AO594*F594*base_building_arch_areas!$P$6)/1000000</f>
        <v>29.94268804819799</v>
      </c>
      <c r="AB594" s="187"/>
    </row>
    <row r="595" spans="1:28">
      <c r="A595">
        <f>sim_annual_output!B595</f>
        <v>28</v>
      </c>
      <c r="B595" t="str">
        <f>sim_annual_output!C595</f>
        <v>Vehicle Garage</v>
      </c>
      <c r="C595" t="str">
        <f>sim_annual_output!D595</f>
        <v>1980-2004</v>
      </c>
      <c r="D595">
        <v>2015</v>
      </c>
      <c r="E595" t="str">
        <f>sim_annual_output!E595</f>
        <v>ecm_cold_deck_reset_control</v>
      </c>
      <c r="F595">
        <f t="array" ref="F595">INDEX(base_building_arch_areas!$M$2:$M$161,MATCH($A595&amp;$D595,base_building_arch_areas!$A$2:$A$161&amp;base_building_arch_areas!$E$2:$E$161,0))</f>
        <v>5.1035531722746268E-2</v>
      </c>
      <c r="G595" s="191">
        <f>(model_eui_end_uses!AO595*F595*base_building_arch_areas!$P$6)/1000000</f>
        <v>1.8933263227595019</v>
      </c>
      <c r="AB595" s="187"/>
    </row>
    <row r="596" spans="1:28">
      <c r="A596">
        <f>sim_annual_output!B596</f>
        <v>28</v>
      </c>
      <c r="B596" t="str">
        <f>sim_annual_output!C596</f>
        <v>Vehicle Garage</v>
      </c>
      <c r="C596" t="str">
        <f>sim_annual_output!D596</f>
        <v>1980-2004</v>
      </c>
      <c r="D596">
        <v>2015</v>
      </c>
      <c r="E596" t="str">
        <f>sim_annual_output!E596</f>
        <v>economizers_enabled</v>
      </c>
      <c r="F596">
        <f t="array" ref="F596">INDEX(base_building_arch_areas!$M$2:$M$161,MATCH($A596&amp;$D596,base_building_arch_areas!$A$2:$A$161&amp;base_building_arch_areas!$E$2:$E$161,0))</f>
        <v>5.1035531722746268E-2</v>
      </c>
      <c r="G596" s="191">
        <f>(model_eui_end_uses!AO596*F596*base_building_arch_areas!$P$6)/1000000</f>
        <v>2.8587747944009401</v>
      </c>
      <c r="AB596" s="187"/>
    </row>
    <row r="597" spans="1:28">
      <c r="A597">
        <f>sim_annual_output!B597</f>
        <v>28</v>
      </c>
      <c r="B597" t="str">
        <f>sim_annual_output!C597</f>
        <v>Vehicle Garage</v>
      </c>
      <c r="C597" t="str">
        <f>sim_annual_output!D597</f>
        <v>1980-2004</v>
      </c>
      <c r="D597">
        <v>2015</v>
      </c>
      <c r="E597" t="str">
        <f>sim_annual_output!E597</f>
        <v>elec_reduce</v>
      </c>
      <c r="F597">
        <f t="array" ref="F597">INDEX(base_building_arch_areas!$M$2:$M$161,MATCH($A597&amp;$D597,base_building_arch_areas!$A$2:$A$161&amp;base_building_arch_areas!$E$2:$E$161,0))</f>
        <v>5.1035531722746268E-2</v>
      </c>
      <c r="G597" s="191">
        <f>(model_eui_end_uses!AO597*F597*base_building_arch_areas!$P$6)/1000000</f>
        <v>59.156721719621693</v>
      </c>
      <c r="AB597" s="187"/>
    </row>
    <row r="598" spans="1:28">
      <c r="A598">
        <f>sim_annual_output!B598</f>
        <v>28</v>
      </c>
      <c r="B598" t="str">
        <f>sim_annual_output!C598</f>
        <v>Vehicle Garage</v>
      </c>
      <c r="C598" t="str">
        <f>sim_annual_output!D598</f>
        <v>1980-2004</v>
      </c>
      <c r="D598">
        <v>2015</v>
      </c>
      <c r="E598" t="str">
        <f>sim_annual_output!E598</f>
        <v>envelope_ecm_roof</v>
      </c>
      <c r="F598">
        <f t="array" ref="F598">INDEX(base_building_arch_areas!$M$2:$M$161,MATCH($A598&amp;$D598,base_building_arch_areas!$A$2:$A$161&amp;base_building_arch_areas!$E$2:$E$161,0))</f>
        <v>5.1035531722746268E-2</v>
      </c>
      <c r="G598" s="191">
        <f>(model_eui_end_uses!AO598*F598*base_building_arch_areas!$P$6)/1000000</f>
        <v>8.5247330996839654</v>
      </c>
      <c r="AB598" s="187"/>
    </row>
    <row r="599" spans="1:28">
      <c r="A599">
        <f>sim_annual_output!B599</f>
        <v>28</v>
      </c>
      <c r="B599" t="str">
        <f>sim_annual_output!C599</f>
        <v>Vehicle Garage</v>
      </c>
      <c r="C599" t="str">
        <f>sim_annual_output!D599</f>
        <v>1980-2004</v>
      </c>
      <c r="D599">
        <v>2015</v>
      </c>
      <c r="E599" t="str">
        <f>sim_annual_output!E599</f>
        <v>envelope_ecm_wall</v>
      </c>
      <c r="F599">
        <f t="array" ref="F599">INDEX(base_building_arch_areas!$M$2:$M$161,MATCH($A599&amp;$D599,base_building_arch_areas!$A$2:$A$161&amp;base_building_arch_areas!$E$2:$E$161,0))</f>
        <v>5.1035531722746268E-2</v>
      </c>
      <c r="G599" s="191">
        <f>(model_eui_end_uses!AO599*F599*base_building_arch_areas!$P$6)/1000000</f>
        <v>13.935390111412907</v>
      </c>
      <c r="AB599" s="187"/>
    </row>
    <row r="600" spans="1:28">
      <c r="A600">
        <f>sim_annual_output!B600</f>
        <v>28</v>
      </c>
      <c r="B600" t="str">
        <f>sim_annual_output!C600</f>
        <v>Vehicle Garage</v>
      </c>
      <c r="C600" t="str">
        <f>sim_annual_output!D600</f>
        <v>1980-2004</v>
      </c>
      <c r="D600">
        <v>2015</v>
      </c>
      <c r="E600" t="str">
        <f>sim_annual_output!E600</f>
        <v>envelope_ecm_windows</v>
      </c>
      <c r="F600">
        <f t="array" ref="F600">INDEX(base_building_arch_areas!$M$2:$M$161,MATCH($A600&amp;$D600,base_building_arch_areas!$A$2:$A$161&amp;base_building_arch_areas!$E$2:$E$161,0))</f>
        <v>5.1035531722746268E-2</v>
      </c>
      <c r="G600" s="191">
        <f>(model_eui_end_uses!AO600*F600*base_building_arch_areas!$P$6)/1000000</f>
        <v>2.137985539645928</v>
      </c>
      <c r="AB600" s="187"/>
    </row>
    <row r="601" spans="1:28">
      <c r="A601">
        <f>sim_annual_output!B601</f>
        <v>28</v>
      </c>
      <c r="B601" t="str">
        <f>sim_annual_output!C601</f>
        <v>Vehicle Garage</v>
      </c>
      <c r="C601" t="str">
        <f>sim_annual_output!D601</f>
        <v>1980-2004</v>
      </c>
      <c r="D601">
        <v>2015</v>
      </c>
      <c r="E601" t="str">
        <f>sim_annual_output!E601</f>
        <v>exhaust_fans_occ_control</v>
      </c>
      <c r="F601">
        <f t="array" ref="F601">INDEX(base_building_arch_areas!$M$2:$M$161,MATCH($A601&amp;$D601,base_building_arch_areas!$A$2:$A$161&amp;base_building_arch_areas!$E$2:$E$161,0))</f>
        <v>5.1035531722746268E-2</v>
      </c>
      <c r="G601" s="191">
        <f>(model_eui_end_uses!AO601*F601*base_building_arch_areas!$P$6)/1000000</f>
        <v>2.4717433159678466</v>
      </c>
      <c r="AB601" s="187"/>
    </row>
    <row r="602" spans="1:28">
      <c r="A602">
        <f>sim_annual_output!B602</f>
        <v>28</v>
      </c>
      <c r="B602" t="str">
        <f>sim_annual_output!C602</f>
        <v>Vehicle Garage</v>
      </c>
      <c r="C602" t="str">
        <f>sim_annual_output!D602</f>
        <v>1980-2004</v>
      </c>
      <c r="D602">
        <v>2015</v>
      </c>
      <c r="E602" t="str">
        <f>sim_annual_output!E602</f>
        <v>fans_to_variable</v>
      </c>
      <c r="F602">
        <f t="array" ref="F602">INDEX(base_building_arch_areas!$M$2:$M$161,MATCH($A602&amp;$D602,base_building_arch_areas!$A$2:$A$161&amp;base_building_arch_areas!$E$2:$E$161,0))</f>
        <v>5.1035531722746268E-2</v>
      </c>
      <c r="G602" s="191">
        <f>(model_eui_end_uses!AO602*F602*base_building_arch_areas!$P$6)/1000000</f>
        <v>2.158668164635734</v>
      </c>
      <c r="AB602" s="187"/>
    </row>
    <row r="603" spans="1:28">
      <c r="A603">
        <f>sim_annual_output!B603</f>
        <v>28</v>
      </c>
      <c r="B603" t="str">
        <f>sim_annual_output!C603</f>
        <v>Vehicle Garage</v>
      </c>
      <c r="C603" t="str">
        <f>sim_annual_output!D603</f>
        <v>1980-2004</v>
      </c>
      <c r="D603">
        <v>2015</v>
      </c>
      <c r="E603" t="str">
        <f>sim_annual_output!E603</f>
        <v>hrv_enabled</v>
      </c>
      <c r="F603">
        <f t="array" ref="F603">INDEX(base_building_arch_areas!$M$2:$M$161,MATCH($A603&amp;$D603,base_building_arch_areas!$A$2:$A$161&amp;base_building_arch_areas!$E$2:$E$161,0))</f>
        <v>5.1035531722746268E-2</v>
      </c>
      <c r="G603" s="191">
        <f>(model_eui_end_uses!AO603*F603*base_building_arch_areas!$P$6)/1000000</f>
        <v>6.4936387205770387</v>
      </c>
      <c r="AB603" s="187"/>
    </row>
    <row r="604" spans="1:28">
      <c r="A604">
        <f>sim_annual_output!B604</f>
        <v>28</v>
      </c>
      <c r="B604" t="str">
        <f>sim_annual_output!C604</f>
        <v>Vehicle Garage</v>
      </c>
      <c r="C604" t="str">
        <f>sim_annual_output!D604</f>
        <v>1980-2004</v>
      </c>
      <c r="D604">
        <v>2015</v>
      </c>
      <c r="E604" t="str">
        <f>sim_annual_output!E604</f>
        <v>infil_reduce</v>
      </c>
      <c r="F604">
        <f t="array" ref="F604">INDEX(base_building_arch_areas!$M$2:$M$161,MATCH($A604&amp;$D604,base_building_arch_areas!$A$2:$A$161&amp;base_building_arch_areas!$E$2:$E$161,0))</f>
        <v>5.1035531722746268E-2</v>
      </c>
      <c r="G604" s="191">
        <f>(model_eui_end_uses!AO604*F604*base_building_arch_areas!$P$6)/1000000</f>
        <v>42.474635616813501</v>
      </c>
      <c r="AB604" s="187"/>
    </row>
    <row r="605" spans="1:28">
      <c r="A605">
        <f>sim_annual_output!B605</f>
        <v>28</v>
      </c>
      <c r="B605" t="str">
        <f>sim_annual_output!C605</f>
        <v>Vehicle Garage</v>
      </c>
      <c r="C605" t="str">
        <f>sim_annual_output!D605</f>
        <v>1980-2004</v>
      </c>
      <c r="D605">
        <v>2015</v>
      </c>
      <c r="E605" t="str">
        <f>sim_annual_output!E605</f>
        <v>infil_reduce_plus_setback</v>
      </c>
      <c r="F605">
        <f t="array" ref="F605">INDEX(base_building_arch_areas!$M$2:$M$161,MATCH($A605&amp;$D605,base_building_arch_areas!$A$2:$A$161&amp;base_building_arch_areas!$E$2:$E$161,0))</f>
        <v>5.1035531722746268E-2</v>
      </c>
      <c r="G605" s="191">
        <f>(model_eui_end_uses!AO605*F605*base_building_arch_areas!$P$6)/1000000</f>
        <v>85.343353659861663</v>
      </c>
      <c r="AB605" s="187"/>
    </row>
    <row r="606" spans="1:28">
      <c r="A606">
        <f>sim_annual_output!B606</f>
        <v>28</v>
      </c>
      <c r="B606" t="str">
        <f>sim_annual_output!C606</f>
        <v>Vehicle Garage</v>
      </c>
      <c r="C606" t="str">
        <f>sim_annual_output!D606</f>
        <v>1980-2004</v>
      </c>
      <c r="D606">
        <v>2015</v>
      </c>
      <c r="E606" t="str">
        <f>sim_annual_output!E606</f>
        <v>lights_reduce_70p</v>
      </c>
      <c r="F606">
        <f t="array" ref="F606">INDEX(base_building_arch_areas!$M$2:$M$161,MATCH($A606&amp;$D606,base_building_arch_areas!$A$2:$A$161&amp;base_building_arch_areas!$E$2:$E$161,0))</f>
        <v>5.1035531722746268E-2</v>
      </c>
      <c r="G606" s="191">
        <f>(model_eui_end_uses!AO606*F606*base_building_arch_areas!$P$6)/1000000</f>
        <v>20.486893119324808</v>
      </c>
      <c r="AB606" s="187"/>
    </row>
    <row r="607" spans="1:28">
      <c r="A607">
        <f>sim_annual_output!B607</f>
        <v>28</v>
      </c>
      <c r="B607" t="str">
        <f>sim_annual_output!C607</f>
        <v>Vehicle Garage</v>
      </c>
      <c r="C607" t="str">
        <f>sim_annual_output!D607</f>
        <v>1980-2004</v>
      </c>
      <c r="D607">
        <v>2015</v>
      </c>
      <c r="E607" t="str">
        <f>sim_annual_output!E607</f>
        <v>load_reduce</v>
      </c>
      <c r="F607">
        <f t="array" ref="F607">INDEX(base_building_arch_areas!$M$2:$M$161,MATCH($A607&amp;$D607,base_building_arch_areas!$A$2:$A$161&amp;base_building_arch_areas!$E$2:$E$161,0))</f>
        <v>5.1035531722746268E-2</v>
      </c>
      <c r="G607" s="191">
        <f>(model_eui_end_uses!AO607*F607*base_building_arch_areas!$P$6)/1000000</f>
        <v>126.05934649926738</v>
      </c>
      <c r="AB607" s="187"/>
    </row>
    <row r="608" spans="1:28">
      <c r="A608">
        <f>sim_annual_output!B608</f>
        <v>28</v>
      </c>
      <c r="B608" t="str">
        <f>sim_annual_output!C608</f>
        <v>Vehicle Garage</v>
      </c>
      <c r="C608" t="str">
        <f>sim_annual_output!D608</f>
        <v>1980-2004</v>
      </c>
      <c r="D608">
        <v>2015</v>
      </c>
      <c r="E608" t="str">
        <f>sim_annual_output!E608</f>
        <v>occupancy_setback</v>
      </c>
      <c r="F608">
        <f t="array" ref="F608">INDEX(base_building_arch_areas!$M$2:$M$161,MATCH($A608&amp;$D608,base_building_arch_areas!$A$2:$A$161&amp;base_building_arch_areas!$E$2:$E$161,0))</f>
        <v>5.1035531722746268E-2</v>
      </c>
      <c r="G608" s="191">
        <f>(model_eui_end_uses!AO608*F608*base_building_arch_areas!$P$6)/1000000</f>
        <v>11.83408425836307</v>
      </c>
      <c r="AB608" s="187"/>
    </row>
    <row r="609" spans="1:28">
      <c r="A609">
        <f>sim_annual_output!B609</f>
        <v>28</v>
      </c>
      <c r="B609" t="str">
        <f>sim_annual_output!C609</f>
        <v>Vehicle Garage</v>
      </c>
      <c r="C609" t="str">
        <f>sim_annual_output!D609</f>
        <v>1980-2004</v>
      </c>
      <c r="D609">
        <v>2015</v>
      </c>
      <c r="E609" t="str">
        <f>sim_annual_output!E609</f>
        <v>payback_less_than_20</v>
      </c>
      <c r="F609">
        <f t="array" ref="F609">INDEX(base_building_arch_areas!$M$2:$M$161,MATCH($A609&amp;$D609,base_building_arch_areas!$A$2:$A$161&amp;base_building_arch_areas!$E$2:$E$161,0))</f>
        <v>5.1035531722746268E-2</v>
      </c>
      <c r="G609" s="191">
        <f>(model_eui_end_uses!AO609*F609*base_building_arch_areas!$P$6)/1000000</f>
        <v>137.91033684530086</v>
      </c>
      <c r="AB609" s="187"/>
    </row>
    <row r="610" spans="1:28">
      <c r="A610">
        <f>sim_annual_output!B610</f>
        <v>28</v>
      </c>
      <c r="B610" t="str">
        <f>sim_annual_output!C610</f>
        <v>Vehicle Garage</v>
      </c>
      <c r="C610" t="str">
        <f>sim_annual_output!D610</f>
        <v>1980-2004</v>
      </c>
      <c r="D610">
        <v>2015</v>
      </c>
      <c r="E610" t="str">
        <f>sim_annual_output!E610</f>
        <v>plug_loads_90_percent</v>
      </c>
      <c r="F610">
        <f t="array" ref="F610">INDEX(base_building_arch_areas!$M$2:$M$161,MATCH($A610&amp;$D610,base_building_arch_areas!$A$2:$A$161&amp;base_building_arch_areas!$E$2:$E$161,0))</f>
        <v>5.1035531722746268E-2</v>
      </c>
      <c r="G610" s="191">
        <f>(model_eui_end_uses!AO610*F610*base_building_arch_areas!$P$6)/1000000</f>
        <v>1.6632756514049352</v>
      </c>
      <c r="AB610" s="187"/>
    </row>
    <row r="611" spans="1:28">
      <c r="A611">
        <f>sim_annual_output!B611</f>
        <v>28</v>
      </c>
      <c r="B611" t="str">
        <f>sim_annual_output!C611</f>
        <v>Vehicle Garage</v>
      </c>
      <c r="C611" t="str">
        <f>sim_annual_output!D611</f>
        <v>1980-2004</v>
      </c>
      <c r="D611">
        <v>2015</v>
      </c>
      <c r="E611" t="str">
        <f>sim_annual_output!E611</f>
        <v>pump_fan_eff_</v>
      </c>
      <c r="F611">
        <f t="array" ref="F611">INDEX(base_building_arch_areas!$M$2:$M$161,MATCH($A611&amp;$D611,base_building_arch_areas!$A$2:$A$161&amp;base_building_arch_areas!$E$2:$E$161,0))</f>
        <v>5.1035531722746268E-2</v>
      </c>
      <c r="G611" s="191">
        <f>(model_eui_end_uses!AO611*F611*base_building_arch_areas!$P$6)/1000000</f>
        <v>11.974308204390328</v>
      </c>
      <c r="AB611" s="187"/>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dimension ref="A1:I115"/>
  <sheetViews>
    <sheetView workbookViewId="0">
      <selection activeCell="H21" sqref="H21"/>
    </sheetView>
  </sheetViews>
  <sheetFormatPr defaultRowHeight="14.4"/>
  <cols>
    <col min="1" max="1" width="40.6640625" customWidth="1"/>
  </cols>
  <sheetData>
    <row r="1" spans="1:3">
      <c r="A1" t="s">
        <v>1092</v>
      </c>
      <c r="B1" t="s">
        <v>1181</v>
      </c>
      <c r="C1" t="s">
        <v>1180</v>
      </c>
    </row>
    <row r="2" spans="1:3">
      <c r="A2">
        <v>2015</v>
      </c>
      <c r="B2">
        <v>424</v>
      </c>
      <c r="C2">
        <v>424</v>
      </c>
    </row>
    <row r="3" spans="1:3">
      <c r="A3">
        <v>2018</v>
      </c>
      <c r="B3">
        <v>409</v>
      </c>
      <c r="C3">
        <v>409</v>
      </c>
    </row>
    <row r="4" spans="1:3">
      <c r="A4">
        <v>2020</v>
      </c>
      <c r="B4">
        <v>388</v>
      </c>
      <c r="C4">
        <v>388</v>
      </c>
    </row>
    <row r="5" spans="1:3">
      <c r="A5">
        <v>2023</v>
      </c>
      <c r="B5">
        <f>base_energy_ecm!AO27</f>
        <v>164.33210065067601</v>
      </c>
      <c r="C5">
        <v>336</v>
      </c>
    </row>
    <row r="6" spans="1:3">
      <c r="A6">
        <v>2025</v>
      </c>
      <c r="B6">
        <f>base_energy_ecm!AP27</f>
        <v>159.64724401597257</v>
      </c>
      <c r="C6">
        <v>336</v>
      </c>
    </row>
    <row r="7" spans="1:3">
      <c r="A7">
        <v>2030</v>
      </c>
      <c r="B7">
        <v>159.64724401597257</v>
      </c>
      <c r="C7">
        <v>336</v>
      </c>
    </row>
    <row r="8" spans="1:3">
      <c r="A8">
        <v>2033</v>
      </c>
      <c r="B8">
        <v>159.64724401597257</v>
      </c>
      <c r="C8">
        <v>336</v>
      </c>
    </row>
    <row r="9" spans="1:3">
      <c r="A9">
        <v>2035</v>
      </c>
      <c r="B9">
        <v>159.64724401597257</v>
      </c>
      <c r="C9">
        <v>336</v>
      </c>
    </row>
    <row r="19" spans="1:3">
      <c r="A19" t="s">
        <v>1106</v>
      </c>
      <c r="B19">
        <v>2015</v>
      </c>
      <c r="C19">
        <v>2023</v>
      </c>
    </row>
    <row r="20" spans="1:3">
      <c r="A20" t="s">
        <v>1107</v>
      </c>
      <c r="B20">
        <f>model_eui_end_uses!AC3</f>
        <v>133.44228566505163</v>
      </c>
      <c r="C20">
        <f>SUM(model_eui_end_uses!G21:Q21)</f>
        <v>72.234829039018678</v>
      </c>
    </row>
    <row r="21" spans="1:3">
      <c r="A21" t="s">
        <v>1108</v>
      </c>
      <c r="B21">
        <f>model_eui_end_uses!AC25</f>
        <v>736.43347355995718</v>
      </c>
      <c r="C21">
        <f>SUM(model_eui_end_uses!G43:Q43)</f>
        <v>340.10634460820216</v>
      </c>
    </row>
    <row r="22" spans="1:3">
      <c r="A22" t="s">
        <v>1109</v>
      </c>
      <c r="B22">
        <f>model_eui_end_uses!AC47</f>
        <v>784.94170401012786</v>
      </c>
      <c r="C22">
        <f>SUM(model_eui_end_uses!G66:Q66)</f>
        <v>283.89094466709224</v>
      </c>
    </row>
    <row r="23" spans="1:3">
      <c r="A23" t="s">
        <v>1110</v>
      </c>
      <c r="B23">
        <f>model_eui_end_uses!AC70</f>
        <v>486.95221786805138</v>
      </c>
      <c r="C23">
        <f>SUM(model_eui_end_uses!G87:Q87)</f>
        <v>268.66471650648703</v>
      </c>
    </row>
    <row r="24" spans="1:3">
      <c r="A24" t="s">
        <v>1111</v>
      </c>
      <c r="B24">
        <f>model_eui_end_uses!AC91</f>
        <v>543.98768415620748</v>
      </c>
      <c r="C24">
        <f>SUM(model_eui_end_uses!G110:Q110)</f>
        <v>214.01572821279936</v>
      </c>
    </row>
    <row r="25" spans="1:3">
      <c r="A25" t="s">
        <v>1112</v>
      </c>
      <c r="B25">
        <f>model_eui_end_uses!AC115</f>
        <v>529.62981427851935</v>
      </c>
      <c r="C25">
        <f>SUM(model_eui_end_uses!G134:Q134)</f>
        <v>215.65834859719121</v>
      </c>
    </row>
    <row r="26" spans="1:3">
      <c r="A26" t="s">
        <v>1113</v>
      </c>
      <c r="B26">
        <f>model_eui_end_uses!AC139</f>
        <v>361.5386180367347</v>
      </c>
      <c r="C26">
        <f>SUM(model_eui_end_uses!G158:Q158)</f>
        <v>183.51380296085827</v>
      </c>
    </row>
    <row r="27" spans="1:3">
      <c r="A27" t="s">
        <v>1114</v>
      </c>
      <c r="B27">
        <f>model_eui_end_uses!AC163</f>
        <v>892.50134540776628</v>
      </c>
      <c r="C27">
        <f>SUM(model_eui_end_uses!G182:Q182)</f>
        <v>344.7148379630828</v>
      </c>
    </row>
    <row r="28" spans="1:3">
      <c r="A28" t="s">
        <v>1115</v>
      </c>
      <c r="B28">
        <f>model_eui_end_uses!AC186</f>
        <v>834.66107765201707</v>
      </c>
      <c r="C28">
        <f>SUM(model_eui_end_uses!G205:Q205)</f>
        <v>326.24252872104267</v>
      </c>
    </row>
    <row r="29" spans="1:3">
      <c r="A29" t="s">
        <v>1116</v>
      </c>
      <c r="B29">
        <f>model_eui_end_uses!AC209</f>
        <v>478.01061102494657</v>
      </c>
      <c r="C29">
        <f>SUM(model_eui_end_uses!G228:Q228)</f>
        <v>241.34414551616243</v>
      </c>
    </row>
    <row r="30" spans="1:3">
      <c r="A30" t="s">
        <v>1117</v>
      </c>
      <c r="B30">
        <f>model_eui_end_uses!AC232</f>
        <v>653.2777748217112</v>
      </c>
      <c r="C30">
        <f>SUM(model_eui_end_uses!G251:Q251)</f>
        <v>199.70006586369021</v>
      </c>
    </row>
    <row r="31" spans="1:3">
      <c r="A31" t="s">
        <v>1118</v>
      </c>
      <c r="B31">
        <f>model_eui_end_uses!AC255</f>
        <v>393.22277705007139</v>
      </c>
      <c r="C31">
        <f>SUM(model_eui_end_uses!G274:Q274)</f>
        <v>144.95860798890277</v>
      </c>
    </row>
    <row r="32" spans="1:3">
      <c r="A32" t="s">
        <v>1119</v>
      </c>
      <c r="B32">
        <f>model_eui_end_uses!AC278</f>
        <v>93.698606153898126</v>
      </c>
      <c r="C32">
        <f>SUM(model_eui_end_uses!G296:Q296)</f>
        <v>50.808585927524305</v>
      </c>
    </row>
    <row r="33" spans="1:3">
      <c r="A33" t="s">
        <v>1120</v>
      </c>
      <c r="B33">
        <f>model_eui_end_uses!AC300</f>
        <v>62.108348233898013</v>
      </c>
      <c r="C33">
        <f>SUM(model_eui_end_uses!G318:Q318)</f>
        <v>38.009999627465476</v>
      </c>
    </row>
    <row r="34" spans="1:3">
      <c r="A34" t="s">
        <v>1121</v>
      </c>
      <c r="B34">
        <f>model_eui_end_uses!AC322</f>
        <v>43.371942985405305</v>
      </c>
      <c r="C34">
        <f>SUM(model_eui_end_uses!G338:Q338)</f>
        <v>34.057348741464075</v>
      </c>
    </row>
    <row r="35" spans="1:3">
      <c r="A35" t="s">
        <v>1122</v>
      </c>
      <c r="B35">
        <f>model_eui_end_uses!AC342</f>
        <v>599.95004196727552</v>
      </c>
      <c r="C35">
        <f>SUM(model_eui_end_uses!G361:Q361)</f>
        <v>175.44370376446741</v>
      </c>
    </row>
    <row r="36" spans="1:3">
      <c r="A36" t="s">
        <v>1123</v>
      </c>
      <c r="B36">
        <f>model_eui_end_uses!AC366</f>
        <v>567.69041716882373</v>
      </c>
      <c r="C36">
        <f>SUM(model_eui_end_uses!G385:Q385)</f>
        <v>198.96929231893745</v>
      </c>
    </row>
    <row r="37" spans="1:3">
      <c r="A37" t="s">
        <v>1124</v>
      </c>
      <c r="B37">
        <f>model_eui_end_uses!AC390</f>
        <v>409.13219179657733</v>
      </c>
      <c r="C37">
        <f>SUM(model_eui_end_uses!G409:Q409)</f>
        <v>162.89477310526823</v>
      </c>
    </row>
    <row r="38" spans="1:3">
      <c r="A38" t="s">
        <v>1125</v>
      </c>
      <c r="B38">
        <f>model_eui_end_uses!AC414</f>
        <v>475.11281184912553</v>
      </c>
      <c r="C38">
        <f>SUM(model_eui_end_uses!G432:Q432)</f>
        <v>375.70724168723268</v>
      </c>
    </row>
    <row r="39" spans="1:3">
      <c r="A39" t="s">
        <v>1126</v>
      </c>
      <c r="B39">
        <f>model_eui_end_uses!AC436</f>
        <v>452.06533959713278</v>
      </c>
      <c r="C39">
        <f>SUM(model_eui_end_uses!G450:Q450)</f>
        <v>225.54380706244612</v>
      </c>
    </row>
    <row r="40" spans="1:3">
      <c r="A40" t="s">
        <v>1127</v>
      </c>
      <c r="B40">
        <f>model_eui_end_uses!AC452</f>
        <v>415.8615621107424</v>
      </c>
      <c r="C40">
        <f>SUM(model_eui_end_uses!G466:Q466)</f>
        <v>279.1860167215828</v>
      </c>
    </row>
    <row r="41" spans="1:3">
      <c r="A41" t="s">
        <v>1128</v>
      </c>
      <c r="B41">
        <f>model_eui_end_uses!AC468</f>
        <v>267.32061974060724</v>
      </c>
      <c r="C41">
        <f>SUM(model_eui_end_uses!G482:Q482)</f>
        <v>214.49201734944214</v>
      </c>
    </row>
    <row r="42" spans="1:3">
      <c r="A42" t="s">
        <v>1129</v>
      </c>
      <c r="B42">
        <f>model_eui_end_uses!AC484</f>
        <v>175.42490098006175</v>
      </c>
      <c r="C42">
        <f>SUM(model_eui_end_uses!G496:Q496)</f>
        <v>197.66815547353269</v>
      </c>
    </row>
    <row r="43" spans="1:3">
      <c r="A43" t="s">
        <v>1130</v>
      </c>
      <c r="B43">
        <f>model_eui_end_uses!AC499</f>
        <v>600.93304013964485</v>
      </c>
      <c r="C43">
        <f>SUM(model_eui_end_uses!G518:Q518)</f>
        <v>185.67143878120731</v>
      </c>
    </row>
    <row r="44" spans="1:3">
      <c r="A44" t="s">
        <v>1131</v>
      </c>
      <c r="B44">
        <f>model_eui_end_uses!AC523</f>
        <v>374.42705338644384</v>
      </c>
      <c r="C44">
        <f>SUM(model_eui_end_uses!G542:Q542)</f>
        <v>152.74328214389024</v>
      </c>
    </row>
    <row r="45" spans="1:3">
      <c r="A45" t="s">
        <v>1132</v>
      </c>
      <c r="B45">
        <f>model_eui_end_uses!AC547</f>
        <v>275.42636082665422</v>
      </c>
      <c r="C45">
        <f>SUM(model_eui_end_uses!G564:Q564)</f>
        <v>135.70899166886605</v>
      </c>
    </row>
    <row r="46" spans="1:3">
      <c r="A46" t="s">
        <v>1133</v>
      </c>
      <c r="B46">
        <f>model_eui_end_uses!AC569</f>
        <v>149.2886285138934</v>
      </c>
      <c r="C46">
        <f>SUM(model_eui_end_uses!G587:Q587)</f>
        <v>52.41499953896458</v>
      </c>
    </row>
    <row r="47" spans="1:3">
      <c r="A47" t="s">
        <v>1134</v>
      </c>
      <c r="B47">
        <f>model_eui_end_uses!AC591</f>
        <v>106.36838951912934</v>
      </c>
      <c r="C47">
        <f>SUM(model_eui_end_uses!G609:Q609)</f>
        <v>47.887517816530085</v>
      </c>
    </row>
    <row r="49" spans="1:6">
      <c r="A49" t="s">
        <v>1092</v>
      </c>
      <c r="B49" t="s">
        <v>1141</v>
      </c>
      <c r="C49" t="s">
        <v>1179</v>
      </c>
      <c r="D49" t="s">
        <v>1142</v>
      </c>
      <c r="E49" t="s">
        <v>1143</v>
      </c>
      <c r="F49" t="s">
        <v>1144</v>
      </c>
    </row>
    <row r="50" spans="1:6">
      <c r="A50">
        <v>2015</v>
      </c>
      <c r="B50">
        <f>base_energy_ecm!AL3</f>
        <v>437.6287230650629</v>
      </c>
      <c r="C50">
        <v>437.6287230650629</v>
      </c>
      <c r="D50">
        <v>437.6287230650629</v>
      </c>
      <c r="E50">
        <v>437.6287230650629</v>
      </c>
      <c r="F50">
        <v>437.6287230650629</v>
      </c>
    </row>
    <row r="51" spans="1:6">
      <c r="A51">
        <v>2018</v>
      </c>
      <c r="B51">
        <f>base_energy_ecm!AM3</f>
        <v>438.68011970428034</v>
      </c>
      <c r="C51">
        <f>B51/1.12</f>
        <v>391.67867830739311</v>
      </c>
      <c r="D51">
        <f>B51/1.15</f>
        <v>381.460973655896</v>
      </c>
      <c r="E51">
        <f>B51/1.2</f>
        <v>365.56676642023365</v>
      </c>
      <c r="F51">
        <f>B51/1.3</f>
        <v>337.4462459263695</v>
      </c>
    </row>
    <row r="52" spans="1:6">
      <c r="A52">
        <v>2020</v>
      </c>
      <c r="B52">
        <f>base_energy_ecm!AN3</f>
        <v>424.13264785985632</v>
      </c>
      <c r="C52">
        <f t="shared" ref="C52:C54" si="0">B52/1.12</f>
        <v>378.68986416058596</v>
      </c>
      <c r="D52">
        <f>B52/1.15</f>
        <v>368.81099813900551</v>
      </c>
      <c r="E52">
        <f>B52/1.2</f>
        <v>353.44387321654693</v>
      </c>
      <c r="F52">
        <f>B52/1.3</f>
        <v>326.25588296912025</v>
      </c>
    </row>
    <row r="53" spans="1:6">
      <c r="A53">
        <v>2023</v>
      </c>
      <c r="B53">
        <f>base_energy_ecm!AO3</f>
        <v>383.59336521319528</v>
      </c>
      <c r="C53">
        <f t="shared" si="0"/>
        <v>342.49407608321002</v>
      </c>
      <c r="D53">
        <f>B53/1.15</f>
        <v>333.55944801147416</v>
      </c>
      <c r="E53">
        <f>B53/1.2</f>
        <v>319.66113767766274</v>
      </c>
      <c r="F53">
        <f>B53/1.3</f>
        <v>295.07181939476561</v>
      </c>
    </row>
    <row r="54" spans="1:6">
      <c r="A54">
        <v>2025</v>
      </c>
      <c r="B54">
        <f>base_energy_ecm!AP3</f>
        <v>372.65770556464406</v>
      </c>
      <c r="C54">
        <f t="shared" si="0"/>
        <v>332.73009425414648</v>
      </c>
      <c r="D54">
        <f>B54/1.15</f>
        <v>324.05017875186445</v>
      </c>
      <c r="E54">
        <f>B54/1.2</f>
        <v>310.54808797053676</v>
      </c>
      <c r="F54">
        <f>B54/1.3</f>
        <v>286.65977351126463</v>
      </c>
    </row>
    <row r="58" spans="1:6" ht="16.2">
      <c r="B58" t="s">
        <v>1145</v>
      </c>
      <c r="C58" t="s">
        <v>1178</v>
      </c>
    </row>
    <row r="59" spans="1:6">
      <c r="A59" s="184" t="s">
        <v>1146</v>
      </c>
      <c r="B59">
        <v>0.33828574846339227</v>
      </c>
      <c r="C59" s="191">
        <f>base_energy_ecm!AH2</f>
        <v>666.72472342592675</v>
      </c>
    </row>
    <row r="60" spans="1:6">
      <c r="A60" s="184" t="s">
        <v>1147</v>
      </c>
      <c r="B60">
        <v>0.49244453741197725</v>
      </c>
      <c r="C60" s="191">
        <f>base_energy_ecm!AH4</f>
        <v>928.49162204408844</v>
      </c>
    </row>
    <row r="61" spans="1:6">
      <c r="A61" s="184" t="s">
        <v>1148</v>
      </c>
      <c r="B61">
        <v>2.1061369986472624</v>
      </c>
      <c r="C61" s="191">
        <f>base_energy_ecm!AH5</f>
        <v>4300.3904799177517</v>
      </c>
    </row>
    <row r="62" spans="1:6">
      <c r="A62" s="184" t="s">
        <v>1149</v>
      </c>
      <c r="B62">
        <v>0.81162954192390657</v>
      </c>
      <c r="C62" s="191">
        <f>base_energy_ecm!AH6</f>
        <v>1491.1031896154675</v>
      </c>
    </row>
    <row r="63" spans="1:6">
      <c r="A63" s="184" t="s">
        <v>1173</v>
      </c>
      <c r="B63">
        <v>0.8653395663773511</v>
      </c>
      <c r="C63" s="191">
        <f>base_energy_ecm!AH7</f>
        <v>2009.9367401544205</v>
      </c>
    </row>
    <row r="64" spans="1:6">
      <c r="A64" s="184" t="s">
        <v>1150</v>
      </c>
      <c r="B64">
        <v>0.39310629709291678</v>
      </c>
      <c r="C64" s="191">
        <f>base_energy_ecm!AH8</f>
        <v>837.14203304460023</v>
      </c>
    </row>
    <row r="65" spans="1:3">
      <c r="A65" s="184" t="s">
        <v>1151</v>
      </c>
      <c r="B65">
        <v>0.41303826425024681</v>
      </c>
      <c r="C65">
        <v>793.04369101371412</v>
      </c>
    </row>
    <row r="66" spans="1:3">
      <c r="A66" s="184" t="s">
        <v>1152</v>
      </c>
      <c r="B66">
        <v>0.43278061916336352</v>
      </c>
      <c r="C66">
        <v>926.9487274206632</v>
      </c>
    </row>
    <row r="67" spans="1:3">
      <c r="A67" s="184" t="s">
        <v>1153</v>
      </c>
      <c r="B67">
        <v>0.22327121817364962</v>
      </c>
      <c r="C67">
        <v>491.19752169544506</v>
      </c>
    </row>
    <row r="68" spans="1:3">
      <c r="A68" s="184" t="s">
        <v>1154</v>
      </c>
      <c r="B68">
        <v>-6.2037534033312358E-3</v>
      </c>
      <c r="C68">
        <v>42.818942370309834</v>
      </c>
    </row>
    <row r="69" spans="1:3">
      <c r="A69" s="184" t="s">
        <v>1155</v>
      </c>
      <c r="B69">
        <v>2.0386014825190517</v>
      </c>
      <c r="C69">
        <v>3622.7424376392978</v>
      </c>
    </row>
    <row r="70" spans="1:3">
      <c r="A70" s="184" t="s">
        <v>1160</v>
      </c>
      <c r="B70">
        <v>0.40721207265365256</v>
      </c>
      <c r="C70">
        <v>782.50585505121092</v>
      </c>
    </row>
    <row r="71" spans="1:3">
      <c r="A71" s="184" t="s">
        <v>1156</v>
      </c>
      <c r="B71">
        <v>0.49774719282324409</v>
      </c>
      <c r="C71">
        <v>1430.1090230642519</v>
      </c>
    </row>
    <row r="72" spans="1:3">
      <c r="A72" s="184" t="s">
        <v>1174</v>
      </c>
      <c r="B72">
        <v>2.6279107608276173</v>
      </c>
      <c r="C72">
        <v>5436.3154124663779</v>
      </c>
    </row>
    <row r="73" spans="1:3">
      <c r="A73" s="184" t="s">
        <v>1157</v>
      </c>
      <c r="B73">
        <v>1.2173594311049141</v>
      </c>
      <c r="C73">
        <v>1794.8503038213612</v>
      </c>
    </row>
    <row r="74" spans="1:3">
      <c r="A74" s="184" t="s">
        <v>1175</v>
      </c>
      <c r="B74">
        <v>0.35214607455158481</v>
      </c>
      <c r="C74">
        <v>857.00504258019453</v>
      </c>
    </row>
    <row r="75" spans="1:3">
      <c r="A75" s="184" t="s">
        <v>1158</v>
      </c>
      <c r="B75">
        <v>-6.5611338485984258E-2</v>
      </c>
      <c r="C75">
        <v>-83.88754833920737</v>
      </c>
    </row>
    <row r="76" spans="1:3">
      <c r="A76" s="184" t="s">
        <v>1159</v>
      </c>
      <c r="B76">
        <v>0.60609636710816317</v>
      </c>
      <c r="C76">
        <v>1094.9565134388499</v>
      </c>
    </row>
    <row r="77" spans="1:3">
      <c r="A77" s="184" t="s">
        <v>1161</v>
      </c>
      <c r="B77">
        <v>4.4754895000791217</v>
      </c>
      <c r="C77">
        <v>8064.1967933518536</v>
      </c>
    </row>
    <row r="78" spans="1:3">
      <c r="A78" s="184" t="s">
        <v>1162</v>
      </c>
      <c r="B78">
        <v>3.9218455008126343</v>
      </c>
      <c r="C78">
        <v>8170.4682543053068</v>
      </c>
    </row>
    <row r="79" spans="1:3">
      <c r="A79" s="184" t="s">
        <v>1163</v>
      </c>
      <c r="B79">
        <v>3.0450030261471794</v>
      </c>
      <c r="C79">
        <v>6292.3416161508439</v>
      </c>
    </row>
    <row r="80" spans="1:3">
      <c r="A80" s="184" t="s">
        <v>1176</v>
      </c>
      <c r="B80">
        <v>2.7599476138955903</v>
      </c>
      <c r="C80">
        <v>4841.3188159981664</v>
      </c>
    </row>
    <row r="81" spans="1:9">
      <c r="A81" s="184" t="s">
        <v>1054</v>
      </c>
      <c r="B81">
        <v>0.93767479113920116</v>
      </c>
      <c r="C81">
        <v>1870.8715338178802</v>
      </c>
    </row>
    <row r="82" spans="1:9">
      <c r="A82" s="184" t="s">
        <v>1177</v>
      </c>
      <c r="B82">
        <v>0.15646937486982915</v>
      </c>
      <c r="C82">
        <v>275.91123758046746</v>
      </c>
    </row>
    <row r="83" spans="1:9">
      <c r="A83" t="s">
        <v>1164</v>
      </c>
      <c r="B83">
        <v>6.5820763978237586</v>
      </c>
      <c r="C83">
        <v>12746.086184958373</v>
      </c>
    </row>
    <row r="95" spans="1:9">
      <c r="B95">
        <v>2015</v>
      </c>
      <c r="C95">
        <v>2018</v>
      </c>
      <c r="D95">
        <v>2020</v>
      </c>
      <c r="E95">
        <v>2023</v>
      </c>
      <c r="F95">
        <v>2025</v>
      </c>
      <c r="G95">
        <v>2030</v>
      </c>
      <c r="H95">
        <v>2033</v>
      </c>
      <c r="I95">
        <v>2035</v>
      </c>
    </row>
    <row r="96" spans="1:9">
      <c r="A96" t="s">
        <v>1165</v>
      </c>
      <c r="B96">
        <f>(base_energy_ecm!D3+base_energy_ecm!G3)*constants!O2</f>
        <v>5.7919298535881607</v>
      </c>
      <c r="C96">
        <f>B96*(1+constants!$R$2)^3</f>
        <v>6.1464422960665841</v>
      </c>
      <c r="D96">
        <f>C96*(1+constants!$R$2)^2</f>
        <v>6.3947585648276739</v>
      </c>
      <c r="E96">
        <f>D96*(1+constants!$R$2)^3</f>
        <v>6.7861689470636462</v>
      </c>
      <c r="F96">
        <f>E96*(1+constants!$R$2)^2</f>
        <v>7.0603301725250178</v>
      </c>
      <c r="G96">
        <f>F96*(1+constants!$R$2)^5</f>
        <v>7.7951750077386164</v>
      </c>
      <c r="H96">
        <f>G96*(1+constants!$R$2)^3</f>
        <v>8.272302079612281</v>
      </c>
      <c r="I96">
        <f>H96*(1+constants!$R$2)^2</f>
        <v>8.6065030836286169</v>
      </c>
    </row>
    <row r="97" spans="1:9">
      <c r="A97" t="s">
        <v>1166</v>
      </c>
      <c r="B97">
        <f>(base_energy_ecm!C3+base_energy_ecm!E3+base_energy_ecm!F3+base_energy_ecm!H3+base_energy_ecm!I3+base_energy_ecm!J3+base_energy_ecm!K3+base_energy_ecm!L3+base_energy_ecm!M3)*constants!N2</f>
        <v>9.0515473449038275</v>
      </c>
      <c r="C97">
        <f>B97*(1+constants!$Q$2)^3</f>
        <v>10.1817597525779</v>
      </c>
      <c r="D97">
        <f>C97*(1+constants!$Q$2)^2</f>
        <v>11.012591348388257</v>
      </c>
      <c r="E97">
        <f>D97*(1+constants!$Q$2)^3</f>
        <v>12.38766755451341</v>
      </c>
      <c r="F97">
        <f>E97*(1+constants!$Q$2)^2</f>
        <v>13.398501226961706</v>
      </c>
      <c r="G97">
        <f>F97*(1+constants!$Q$2)^5</f>
        <v>16.301325405592927</v>
      </c>
      <c r="H97">
        <f>G97*(1+constants!$Q$2)^3</f>
        <v>18.336774101036884</v>
      </c>
      <c r="I97">
        <f>H97*(1+constants!$Q$2)^2</f>
        <v>19.833054867681497</v>
      </c>
    </row>
    <row r="98" spans="1:9">
      <c r="A98" t="s">
        <v>1167</v>
      </c>
      <c r="B98">
        <f>B96</f>
        <v>5.7919298535881607</v>
      </c>
      <c r="C98">
        <f>B98*(1+constants!$R$2)^3</f>
        <v>6.1464422960665841</v>
      </c>
      <c r="D98">
        <f>C98*(1+constants!$R$2)^2</f>
        <v>6.3947585648276739</v>
      </c>
      <c r="E98">
        <f>(base_energy_ecm!D3+base_energy_ecm!G3-base_energy_ecm!Z27)*constants!O2*(1+constants!R$2)^3</f>
        <v>2.295278106895474</v>
      </c>
      <c r="F98">
        <f>E98*(1+constants!$R$2)^2</f>
        <v>2.3880073424140509</v>
      </c>
      <c r="G98">
        <f>F98*(1+constants!$R$2)^5</f>
        <v>2.6365530646600028</v>
      </c>
      <c r="H98">
        <f>G98*(1+constants!$R$2)^3</f>
        <v>2.7979312046417122</v>
      </c>
      <c r="I98">
        <f>H98*(1+constants!$R$2)^2</f>
        <v>2.9109676253092371</v>
      </c>
    </row>
    <row r="99" spans="1:9">
      <c r="A99" t="s">
        <v>1170</v>
      </c>
      <c r="B99">
        <f>B97</f>
        <v>9.0515473449038275</v>
      </c>
      <c r="C99">
        <f>B99*(1+constants!$Q$2)^3</f>
        <v>10.1817597525779</v>
      </c>
      <c r="D99">
        <f>C99*(1+constants!$Q$2)^2</f>
        <v>11.012591348388257</v>
      </c>
      <c r="E99">
        <f>(base_energy_ecm!C3+base_energy_ecm!E3+base_energy_ecm!F3+base_energy_ecm!H3+base_energy_ecm!I3+base_energy_ecm!J3+base_energy_ecm!K3+base_energy_ecm!L3+base_energy_ecm!M3-base_energy_ecm!Y27)*constants!N2*(1+constants!$Q$2)^3</f>
        <v>6.8599932013909246</v>
      </c>
      <c r="F99">
        <f>E99*(1+constants!$Q$2)^2</f>
        <v>7.4197686466244246</v>
      </c>
      <c r="G99">
        <f>F99*(1+constants!$Q$2)^5</f>
        <v>9.0272830590521291</v>
      </c>
      <c r="H99">
        <f>G99*(1+constants!$Q$2)^3</f>
        <v>10.154465730937615</v>
      </c>
      <c r="I99">
        <f>H99*(1+constants!$Q$2)^2</f>
        <v>10.983070134582125</v>
      </c>
    </row>
    <row r="100" spans="1:9">
      <c r="A100" t="s">
        <v>1172</v>
      </c>
      <c r="B100">
        <f>B96+B97</f>
        <v>14.843477198491989</v>
      </c>
      <c r="C100">
        <f t="shared" ref="C100:H100" si="1">C96+C97</f>
        <v>16.328202048644485</v>
      </c>
      <c r="D100">
        <f t="shared" si="1"/>
        <v>17.407349913215931</v>
      </c>
      <c r="E100">
        <f t="shared" si="1"/>
        <v>19.173836501577057</v>
      </c>
      <c r="F100">
        <f t="shared" si="1"/>
        <v>20.458831399486723</v>
      </c>
      <c r="G100">
        <f t="shared" si="1"/>
        <v>24.096500413331544</v>
      </c>
      <c r="H100">
        <f t="shared" si="1"/>
        <v>26.609076180649165</v>
      </c>
      <c r="I100">
        <f t="shared" ref="I100" si="2">I96+I97</f>
        <v>28.439557951310114</v>
      </c>
    </row>
    <row r="101" spans="1:9">
      <c r="A101" t="s">
        <v>1171</v>
      </c>
      <c r="B101">
        <f>B98+B97</f>
        <v>14.843477198491989</v>
      </c>
      <c r="C101">
        <f t="shared" ref="C101:H101" si="3">C98+C97</f>
        <v>16.328202048644485</v>
      </c>
      <c r="D101">
        <f t="shared" si="3"/>
        <v>17.407349913215931</v>
      </c>
      <c r="E101">
        <f t="shared" si="3"/>
        <v>14.682945661408883</v>
      </c>
      <c r="F101">
        <f t="shared" si="3"/>
        <v>15.786508569375757</v>
      </c>
      <c r="G101">
        <f t="shared" si="3"/>
        <v>18.937878470252929</v>
      </c>
      <c r="H101">
        <f t="shared" si="3"/>
        <v>21.134705305678597</v>
      </c>
      <c r="I101">
        <f t="shared" ref="I101" si="4">I98+I97</f>
        <v>22.744022492990734</v>
      </c>
    </row>
    <row r="113" spans="1:9">
      <c r="B113">
        <v>2015</v>
      </c>
      <c r="C113">
        <v>2018</v>
      </c>
      <c r="D113">
        <v>2020</v>
      </c>
      <c r="E113">
        <v>2023</v>
      </c>
      <c r="F113">
        <v>2025</v>
      </c>
      <c r="G113">
        <v>2030</v>
      </c>
      <c r="H113">
        <v>2033</v>
      </c>
      <c r="I113">
        <v>2035</v>
      </c>
    </row>
    <row r="114" spans="1:9">
      <c r="A114" t="s">
        <v>1172</v>
      </c>
      <c r="B114">
        <f>base_building_arch_areas!P$2*B100</f>
        <v>3435181.3976154057</v>
      </c>
      <c r="C114">
        <f>base_building_arch_areas!P$3*C100</f>
        <v>3787865.2958506937</v>
      </c>
      <c r="D114">
        <f>base_building_arch_areas!P$4*D100</f>
        <v>3904294.5120352013</v>
      </c>
      <c r="E114">
        <f>base_building_arch_areas!P$5*E100</f>
        <v>3889451.0820179093</v>
      </c>
      <c r="F114">
        <f>base_building_arch_areas!P$6*F100</f>
        <v>4031801.445065449</v>
      </c>
      <c r="G114">
        <f>base_building_arch_areas!P$8*G100</f>
        <v>4748673.2399548339</v>
      </c>
      <c r="H114">
        <f>base_building_arch_areas!P$9*H100</f>
        <v>5243824.0338443499</v>
      </c>
      <c r="I114">
        <f>base_building_arch_areas!P$9*I100</f>
        <v>5604555.245906733</v>
      </c>
    </row>
    <row r="115" spans="1:9">
      <c r="A115" t="s">
        <v>1171</v>
      </c>
      <c r="B115">
        <f>base_building_arch_areas!P$2*B101</f>
        <v>3435181.3976154057</v>
      </c>
      <c r="C115">
        <f>base_building_arch_areas!P$3*C101</f>
        <v>3787865.2958506937</v>
      </c>
      <c r="D115">
        <f>base_building_arch_areas!P$4*D101</f>
        <v>3904294.5120352013</v>
      </c>
      <c r="E115">
        <f>base_building_arch_areas!P$5*E101</f>
        <v>2978464.8933081147</v>
      </c>
      <c r="F115">
        <f>base_building_arch_areas!P$6*F101</f>
        <v>3111031.4572583111</v>
      </c>
      <c r="G115">
        <f>base_building_arch_areas!P$8*G101</f>
        <v>3732068.7722542747</v>
      </c>
      <c r="H115">
        <f>base_building_arch_areas!P$9*H101</f>
        <v>4164995.2398847756</v>
      </c>
      <c r="I115">
        <f>base_building_arch_areas!P$9*I101</f>
        <v>4482141.7686711913</v>
      </c>
    </row>
  </sheetData>
  <pageMargins left="0.7" right="0.7" top="0.75" bottom="0.75" header="0.3" footer="0.3"/>
  <pageSetup orientation="portrait" r:id="rId1"/>
  <drawing r:id="rId2"/>
  <legacyDrawing r:id="rId3"/>
</worksheet>
</file>

<file path=xl/worksheets/sheet43.xml><?xml version="1.0" encoding="utf-8"?>
<worksheet xmlns="http://schemas.openxmlformats.org/spreadsheetml/2006/main" xmlns:r="http://schemas.openxmlformats.org/officeDocument/2006/relationships">
  <dimension ref="A1:B22"/>
  <sheetViews>
    <sheetView workbookViewId="0">
      <selection activeCell="Q31" sqref="Q31"/>
    </sheetView>
  </sheetViews>
  <sheetFormatPr defaultRowHeight="14.4"/>
  <cols>
    <col min="1" max="1" width="28" bestFit="1" customWidth="1"/>
    <col min="2" max="3" width="36.44140625" bestFit="1" customWidth="1"/>
  </cols>
  <sheetData>
    <row r="1" spans="1:2">
      <c r="A1" s="183" t="s">
        <v>989</v>
      </c>
      <c r="B1" t="s">
        <v>999</v>
      </c>
    </row>
    <row r="2" spans="1:2">
      <c r="A2" s="184" t="s">
        <v>832</v>
      </c>
      <c r="B2" s="185">
        <v>0.33638893752674531</v>
      </c>
    </row>
    <row r="3" spans="1:2">
      <c r="A3" s="184" t="s">
        <v>869</v>
      </c>
      <c r="B3" s="185">
        <v>0</v>
      </c>
    </row>
    <row r="4" spans="1:2">
      <c r="A4" s="184" t="s">
        <v>896</v>
      </c>
      <c r="B4" s="185">
        <v>0.50569150899177295</v>
      </c>
    </row>
    <row r="5" spans="1:2">
      <c r="A5" s="184" t="s">
        <v>840</v>
      </c>
      <c r="B5" s="185">
        <v>2.0559446715980862</v>
      </c>
    </row>
    <row r="6" spans="1:2">
      <c r="A6" s="184" t="s">
        <v>839</v>
      </c>
      <c r="B6" s="185">
        <v>0.82849434434123459</v>
      </c>
    </row>
    <row r="7" spans="1:2">
      <c r="A7" s="184" t="s">
        <v>805</v>
      </c>
      <c r="B7" s="185">
        <v>0.86132818458458416</v>
      </c>
    </row>
    <row r="8" spans="1:2">
      <c r="A8" s="184" t="s">
        <v>877</v>
      </c>
      <c r="B8" s="185">
        <v>0.38160024335141729</v>
      </c>
    </row>
    <row r="9" spans="1:2">
      <c r="A9" s="184" t="s">
        <v>838</v>
      </c>
      <c r="B9" s="185">
        <v>0.42553423887594494</v>
      </c>
    </row>
    <row r="10" spans="1:2">
      <c r="A10" s="184" t="s">
        <v>893</v>
      </c>
      <c r="B10" s="185">
        <v>0.43204639432229658</v>
      </c>
    </row>
    <row r="11" spans="1:2">
      <c r="A11" s="184" t="s">
        <v>892</v>
      </c>
      <c r="B11" s="185">
        <v>0.22271765653193767</v>
      </c>
    </row>
    <row r="12" spans="1:2">
      <c r="A12" s="184" t="s">
        <v>894</v>
      </c>
      <c r="B12" s="185">
        <v>-5.2807880084476122E-3</v>
      </c>
    </row>
    <row r="13" spans="1:2">
      <c r="A13" s="184" t="s">
        <v>837</v>
      </c>
      <c r="B13" s="185">
        <v>2.0305326216005213</v>
      </c>
    </row>
    <row r="14" spans="1:2">
      <c r="A14" s="184" t="s">
        <v>833</v>
      </c>
      <c r="B14" s="185">
        <v>0.42045987456536343</v>
      </c>
    </row>
    <row r="15" spans="1:2">
      <c r="A15" s="184" t="s">
        <v>835</v>
      </c>
      <c r="B15" s="185">
        <v>0.4941636742844307</v>
      </c>
    </row>
    <row r="16" spans="1:2">
      <c r="A16" s="184" t="s">
        <v>863</v>
      </c>
      <c r="B16" s="185">
        <v>2.6121533704270385</v>
      </c>
    </row>
    <row r="17" spans="1:2">
      <c r="A17" s="184" t="s">
        <v>860</v>
      </c>
      <c r="B17" s="185">
        <v>1.2165502592545721</v>
      </c>
    </row>
    <row r="18" spans="1:2">
      <c r="A18" s="184" t="s">
        <v>836</v>
      </c>
      <c r="B18" s="185">
        <v>0.34945274371265722</v>
      </c>
    </row>
    <row r="19" spans="1:2">
      <c r="A19" s="184" t="s">
        <v>859</v>
      </c>
      <c r="B19" s="185">
        <v>-6.5156726968862377E-2</v>
      </c>
    </row>
    <row r="20" spans="1:2">
      <c r="A20" s="184" t="s">
        <v>865</v>
      </c>
      <c r="B20" s="185">
        <v>0.619960676751938</v>
      </c>
    </row>
    <row r="21" spans="1:2">
      <c r="A21" s="184" t="s">
        <v>834</v>
      </c>
      <c r="B21" s="185">
        <v>4.48197643466108</v>
      </c>
    </row>
    <row r="22" spans="1:2">
      <c r="A22" s="184" t="s">
        <v>990</v>
      </c>
      <c r="B22" s="185">
        <v>18.20455832040431</v>
      </c>
    </row>
  </sheetData>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K23"/>
  <sheetViews>
    <sheetView workbookViewId="0">
      <selection activeCell="F3" sqref="F3"/>
    </sheetView>
  </sheetViews>
  <sheetFormatPr defaultRowHeight="14.4"/>
  <cols>
    <col min="1" max="1" width="31.6640625" bestFit="1" customWidth="1"/>
    <col min="2" max="2" width="40.109375" bestFit="1" customWidth="1"/>
    <col min="3" max="3" width="41.6640625" bestFit="1" customWidth="1"/>
    <col min="4" max="4" width="40" bestFit="1" customWidth="1"/>
    <col min="5" max="5" width="46.88671875" bestFit="1" customWidth="1"/>
    <col min="6" max="6" width="48.44140625" bestFit="1" customWidth="1"/>
    <col min="7" max="7" width="47.6640625" bestFit="1" customWidth="1"/>
    <col min="8" max="8" width="50.5546875" bestFit="1" customWidth="1"/>
    <col min="9" max="9" width="55.5546875" bestFit="1" customWidth="1"/>
    <col min="10" max="10" width="37.109375" bestFit="1" customWidth="1"/>
    <col min="11" max="12" width="39.33203125" bestFit="1" customWidth="1"/>
  </cols>
  <sheetData>
    <row r="1" spans="1:11">
      <c r="A1" s="183" t="s">
        <v>989</v>
      </c>
      <c r="B1" t="s">
        <v>1000</v>
      </c>
      <c r="C1" t="s">
        <v>1001</v>
      </c>
      <c r="D1" t="s">
        <v>1002</v>
      </c>
      <c r="E1" t="s">
        <v>1003</v>
      </c>
      <c r="F1" t="s">
        <v>1004</v>
      </c>
      <c r="G1" t="s">
        <v>1005</v>
      </c>
      <c r="H1" t="s">
        <v>1006</v>
      </c>
      <c r="I1" t="s">
        <v>1007</v>
      </c>
      <c r="J1" t="s">
        <v>1008</v>
      </c>
      <c r="K1" t="s">
        <v>1009</v>
      </c>
    </row>
    <row r="2" spans="1:11">
      <c r="A2" s="184">
        <v>2013</v>
      </c>
      <c r="B2" s="185">
        <v>0.70515552442555929</v>
      </c>
      <c r="C2" s="185">
        <v>632.9300101244811</v>
      </c>
      <c r="D2" s="185">
        <v>-9.0048734112001938</v>
      </c>
      <c r="E2" s="185">
        <v>2.8296231491621007</v>
      </c>
      <c r="F2" s="185">
        <v>5.264124340379885</v>
      </c>
      <c r="G2" s="185">
        <v>43.1618045243697</v>
      </c>
      <c r="H2" s="185">
        <v>4.1682155447642959</v>
      </c>
      <c r="I2" s="185">
        <v>0.34803627309544122</v>
      </c>
      <c r="J2" s="185">
        <v>16.825967293686137</v>
      </c>
      <c r="K2" s="185">
        <v>13.898149278329685</v>
      </c>
    </row>
    <row r="3" spans="1:11">
      <c r="A3" s="186" t="s">
        <v>832</v>
      </c>
      <c r="B3" s="185">
        <v>0.17253087026191005</v>
      </c>
      <c r="C3" s="185">
        <v>12.540337929774353</v>
      </c>
      <c r="D3" s="185">
        <v>-0.66882355280999084</v>
      </c>
      <c r="E3" s="185">
        <v>-1.5498303745165032E-4</v>
      </c>
      <c r="F3" s="185">
        <v>6.634520578501224E-4</v>
      </c>
      <c r="G3" s="185">
        <v>1.8263770015153398</v>
      </c>
      <c r="H3" s="185">
        <v>0.16919366313487139</v>
      </c>
      <c r="I3" s="185">
        <v>0</v>
      </c>
      <c r="J3" s="185">
        <v>0.18430879335000583</v>
      </c>
      <c r="K3" s="185">
        <v>-0.50445201240527204</v>
      </c>
    </row>
    <row r="4" spans="1:11">
      <c r="A4" s="186" t="s">
        <v>869</v>
      </c>
      <c r="B4" s="185">
        <v>0</v>
      </c>
      <c r="C4" s="185">
        <v>0</v>
      </c>
      <c r="D4" s="185">
        <v>0</v>
      </c>
      <c r="E4" s="185">
        <v>0</v>
      </c>
      <c r="F4" s="185">
        <v>0</v>
      </c>
      <c r="G4" s="185">
        <v>0</v>
      </c>
      <c r="H4" s="185">
        <v>0</v>
      </c>
      <c r="I4" s="185">
        <v>0</v>
      </c>
      <c r="J4" s="185">
        <v>0</v>
      </c>
      <c r="K4" s="185">
        <v>0</v>
      </c>
    </row>
    <row r="5" spans="1:11">
      <c r="A5" s="186" t="s">
        <v>896</v>
      </c>
      <c r="B5" s="185">
        <v>1.3896962634690757E-2</v>
      </c>
      <c r="C5" s="185">
        <v>14.773585007200609</v>
      </c>
      <c r="D5" s="185">
        <v>-0.60583495549613531</v>
      </c>
      <c r="E5" s="185">
        <v>7.0142335067265638E-2</v>
      </c>
      <c r="F5" s="185">
        <v>3.0149978176297054E-5</v>
      </c>
      <c r="G5" s="185">
        <v>2.160969651921306</v>
      </c>
      <c r="H5" s="185">
        <v>0.24931669932341016</v>
      </c>
      <c r="I5" s="185">
        <v>0</v>
      </c>
      <c r="J5" s="185">
        <v>0.53866145506798091</v>
      </c>
      <c r="K5" s="185">
        <v>-6.9993356965627029E-2</v>
      </c>
    </row>
    <row r="6" spans="1:11">
      <c r="A6" s="186" t="s">
        <v>840</v>
      </c>
      <c r="B6" s="185">
        <v>-2.8973225147709281E-3</v>
      </c>
      <c r="C6" s="185">
        <v>92.188499660399998</v>
      </c>
      <c r="D6" s="185">
        <v>-0.63974187477616251</v>
      </c>
      <c r="E6" s="185">
        <v>1.7641914419108673E-5</v>
      </c>
      <c r="F6" s="185">
        <v>3.0149978176297054E-5</v>
      </c>
      <c r="G6" s="185">
        <v>1.8263770015153398</v>
      </c>
      <c r="H6" s="185">
        <v>0.16919366313487139</v>
      </c>
      <c r="I6" s="185">
        <v>0</v>
      </c>
      <c r="J6" s="185">
        <v>0.36508054046179872</v>
      </c>
      <c r="K6" s="185">
        <v>3.2597622853968939</v>
      </c>
    </row>
    <row r="7" spans="1:11">
      <c r="A7" s="186" t="s">
        <v>839</v>
      </c>
      <c r="B7" s="185">
        <v>-2.8973225147709281E-3</v>
      </c>
      <c r="C7" s="185">
        <v>20.718263939784265</v>
      </c>
      <c r="D7" s="185">
        <v>0.20774680836590464</v>
      </c>
      <c r="E7" s="185">
        <v>5.5294967977092657E-2</v>
      </c>
      <c r="F7" s="185">
        <v>3.0149978176297054E-5</v>
      </c>
      <c r="G7" s="185">
        <v>2.6031635676397968</v>
      </c>
      <c r="H7" s="185">
        <v>0.33671401414093349</v>
      </c>
      <c r="I7" s="185">
        <v>0</v>
      </c>
      <c r="J7" s="185">
        <v>0.78251934821514801</v>
      </c>
      <c r="K7" s="185">
        <v>0.37903366119432924</v>
      </c>
    </row>
    <row r="8" spans="1:11">
      <c r="A8" s="186" t="s">
        <v>805</v>
      </c>
      <c r="B8" s="185">
        <v>2.2458809132759439E-2</v>
      </c>
      <c r="C8" s="185">
        <v>59.653015323251566</v>
      </c>
      <c r="D8" s="185">
        <v>-0.87053626688532759</v>
      </c>
      <c r="E8" s="185">
        <v>1.7641914419108673E-5</v>
      </c>
      <c r="F8" s="185">
        <v>4.5224967266221938E-5</v>
      </c>
      <c r="G8" s="185">
        <v>0</v>
      </c>
      <c r="H8" s="185">
        <v>0</v>
      </c>
      <c r="I8" s="185">
        <v>0</v>
      </c>
      <c r="J8" s="185">
        <v>-0.11339630373795195</v>
      </c>
      <c r="K8" s="185">
        <v>3.1797745270251809E-2</v>
      </c>
    </row>
    <row r="9" spans="1:11">
      <c r="A9" s="186" t="s">
        <v>877</v>
      </c>
      <c r="B9" s="185">
        <v>-0.14446515068391586</v>
      </c>
      <c r="C9" s="185">
        <v>19.922378623040288</v>
      </c>
      <c r="D9" s="185">
        <v>0.84435803539773779</v>
      </c>
      <c r="E9" s="185">
        <v>-5.9223132086216879E-4</v>
      </c>
      <c r="F9" s="185">
        <v>9.381258991680852E-5</v>
      </c>
      <c r="G9" s="185">
        <v>0</v>
      </c>
      <c r="H9" s="185">
        <v>0</v>
      </c>
      <c r="I9" s="185">
        <v>0</v>
      </c>
      <c r="J9" s="185">
        <v>-0.17755639685785951</v>
      </c>
      <c r="K9" s="185">
        <v>-8.9301853325984837E-4</v>
      </c>
    </row>
    <row r="10" spans="1:11">
      <c r="A10" s="186" t="s">
        <v>838</v>
      </c>
      <c r="B10" s="185">
        <v>-3.0932973729266289E-3</v>
      </c>
      <c r="C10" s="185">
        <v>13.712648681113876</v>
      </c>
      <c r="D10" s="185">
        <v>-0.51407059136435151</v>
      </c>
      <c r="E10" s="185">
        <v>1.7641914419108673E-5</v>
      </c>
      <c r="F10" s="185">
        <v>3.0149978176297054E-5</v>
      </c>
      <c r="G10" s="185">
        <v>1.8263770015153398</v>
      </c>
      <c r="H10" s="185">
        <v>0.16919366313487139</v>
      </c>
      <c r="I10" s="185">
        <v>0</v>
      </c>
      <c r="J10" s="185">
        <v>0.364744850555903</v>
      </c>
      <c r="K10" s="185">
        <v>-4.3268013407558925E-2</v>
      </c>
    </row>
    <row r="11" spans="1:11">
      <c r="A11" s="186" t="s">
        <v>893</v>
      </c>
      <c r="B11" s="185">
        <v>3.0391647477303385E-2</v>
      </c>
      <c r="C11" s="185">
        <v>22.757532517191009</v>
      </c>
      <c r="D11" s="185">
        <v>-0.41505654413753401</v>
      </c>
      <c r="E11" s="185">
        <v>2.259938957469565E-4</v>
      </c>
      <c r="F11" s="185">
        <v>1.8089986906666411E-4</v>
      </c>
      <c r="G11" s="185">
        <v>0</v>
      </c>
      <c r="H11" s="185">
        <v>0</v>
      </c>
      <c r="I11" s="185">
        <v>0</v>
      </c>
      <c r="J11" s="185">
        <v>0.58718724412286072</v>
      </c>
      <c r="K11" s="185">
        <v>0.35806083533121047</v>
      </c>
    </row>
    <row r="12" spans="1:11">
      <c r="A12" s="186" t="s">
        <v>892</v>
      </c>
      <c r="B12" s="185">
        <v>-7.2105173628453367E-2</v>
      </c>
      <c r="C12" s="185">
        <v>12.874998559618007</v>
      </c>
      <c r="D12" s="185">
        <v>-0.5649449232301178</v>
      </c>
      <c r="E12" s="185">
        <v>3.1285023368221587E-4</v>
      </c>
      <c r="F12" s="185">
        <v>1.6582487997673923E-4</v>
      </c>
      <c r="G12" s="185">
        <v>0</v>
      </c>
      <c r="H12" s="185">
        <v>0</v>
      </c>
      <c r="I12" s="185">
        <v>0</v>
      </c>
      <c r="J12" s="185">
        <v>0.39942825279157468</v>
      </c>
      <c r="K12" s="185">
        <v>0.36244167970119356</v>
      </c>
    </row>
    <row r="13" spans="1:11">
      <c r="A13" s="186" t="s">
        <v>894</v>
      </c>
      <c r="B13" s="185">
        <v>-0.12529118128475714</v>
      </c>
      <c r="C13" s="185">
        <v>4.7454547297301133</v>
      </c>
      <c r="D13" s="185">
        <v>-0.66856680326359408</v>
      </c>
      <c r="E13" s="185">
        <v>1.7641914419108673E-5</v>
      </c>
      <c r="F13" s="185">
        <v>1.6582487997673923E-4</v>
      </c>
      <c r="G13" s="185">
        <v>0</v>
      </c>
      <c r="H13" s="185">
        <v>0</v>
      </c>
      <c r="I13" s="185">
        <v>0</v>
      </c>
      <c r="J13" s="185">
        <v>3.4047857549484917E-2</v>
      </c>
      <c r="K13" s="185">
        <v>3.2714246207181219E-2</v>
      </c>
    </row>
    <row r="14" spans="1:11">
      <c r="A14" s="186" t="s">
        <v>837</v>
      </c>
      <c r="B14" s="185">
        <v>0.83273947266115045</v>
      </c>
      <c r="C14" s="185">
        <v>36.03289006617365</v>
      </c>
      <c r="D14" s="185">
        <v>-0.43362797451269541</v>
      </c>
      <c r="E14" s="185">
        <v>0.12405802523089582</v>
      </c>
      <c r="F14" s="185">
        <v>3.2812638530772134</v>
      </c>
      <c r="G14" s="185">
        <v>5.0626100624268204</v>
      </c>
      <c r="H14" s="185">
        <v>0.84934282716427312</v>
      </c>
      <c r="I14" s="185">
        <v>0.34803627309544122</v>
      </c>
      <c r="J14" s="185">
        <v>5.1948459048886644</v>
      </c>
      <c r="K14" s="185">
        <v>0.65326301386222774</v>
      </c>
    </row>
    <row r="15" spans="1:11">
      <c r="A15" s="186" t="s">
        <v>833</v>
      </c>
      <c r="B15" s="185">
        <v>-2.9537960711016886E-3</v>
      </c>
      <c r="C15" s="185">
        <v>13.595288406809289</v>
      </c>
      <c r="D15" s="185">
        <v>-0.6369772446699784</v>
      </c>
      <c r="E15" s="185">
        <v>1.7641914419108673E-5</v>
      </c>
      <c r="F15" s="185">
        <v>3.0149978176297054E-5</v>
      </c>
      <c r="G15" s="185">
        <v>1.8263770015153398</v>
      </c>
      <c r="H15" s="185">
        <v>0.16919366313487139</v>
      </c>
      <c r="I15" s="185">
        <v>0</v>
      </c>
      <c r="J15" s="185">
        <v>0.48074337337056683</v>
      </c>
      <c r="K15" s="185">
        <v>-6.4580161801139013E-2</v>
      </c>
    </row>
    <row r="16" spans="1:11">
      <c r="A16" s="186" t="s">
        <v>835</v>
      </c>
      <c r="B16" s="185">
        <v>5.2442962430582107E-2</v>
      </c>
      <c r="C16" s="185">
        <v>59.085883118763377</v>
      </c>
      <c r="D16" s="185">
        <v>-1.0488942928667737</v>
      </c>
      <c r="E16" s="185">
        <v>1.7641914419108673E-5</v>
      </c>
      <c r="F16" s="185">
        <v>7.5514649735097805E-5</v>
      </c>
      <c r="G16" s="185">
        <v>0</v>
      </c>
      <c r="H16" s="185">
        <v>0</v>
      </c>
      <c r="I16" s="185">
        <v>0</v>
      </c>
      <c r="J16" s="185">
        <v>-0.11295604418016758</v>
      </c>
      <c r="K16" s="185">
        <v>3.6758981139426439E-2</v>
      </c>
    </row>
    <row r="17" spans="1:11">
      <c r="A17" s="186" t="s">
        <v>863</v>
      </c>
      <c r="B17" s="185">
        <v>0.25076349642934281</v>
      </c>
      <c r="C17" s="185">
        <v>120.53899013935558</v>
      </c>
      <c r="D17" s="185">
        <v>-0.54896297388502102</v>
      </c>
      <c r="E17" s="185">
        <v>6.5443678608476219E-2</v>
      </c>
      <c r="F17" s="185">
        <v>3.7715547053451814E-4</v>
      </c>
      <c r="G17" s="185">
        <v>0.41016838557134605</v>
      </c>
      <c r="H17" s="185">
        <v>8.855058019858042E-2</v>
      </c>
      <c r="I17" s="185">
        <v>0</v>
      </c>
      <c r="J17" s="185">
        <v>2.9654677849478297</v>
      </c>
      <c r="K17" s="185">
        <v>2.6041055105263986</v>
      </c>
    </row>
    <row r="18" spans="1:11">
      <c r="A18" s="186" t="s">
        <v>860</v>
      </c>
      <c r="B18" s="185">
        <v>-6.3314891139585439E-2</v>
      </c>
      <c r="C18" s="185">
        <v>-9.6715019939472882</v>
      </c>
      <c r="D18" s="185">
        <v>-8.9955375188587983E-2</v>
      </c>
      <c r="E18" s="185">
        <v>-6.3020640421740381E-5</v>
      </c>
      <c r="F18" s="185">
        <v>-4.5224967267998295E-5</v>
      </c>
      <c r="G18" s="185">
        <v>12.551964845310515</v>
      </c>
      <c r="H18" s="185">
        <v>0</v>
      </c>
      <c r="I18" s="185">
        <v>0</v>
      </c>
      <c r="J18" s="185">
        <v>-0.11724654256202349</v>
      </c>
      <c r="K18" s="185">
        <v>-0.12891312019593393</v>
      </c>
    </row>
    <row r="19" spans="1:11">
      <c r="A19" s="186" t="s">
        <v>836</v>
      </c>
      <c r="B19" s="185">
        <v>-0.26162446237507009</v>
      </c>
      <c r="C19" s="185">
        <v>28.0937370896375</v>
      </c>
      <c r="D19" s="185">
        <v>-0.83046039158449902</v>
      </c>
      <c r="E19" s="185">
        <v>-2.2744264165108774E-4</v>
      </c>
      <c r="F19" s="185">
        <v>4.7377665993586504E-4</v>
      </c>
      <c r="G19" s="185">
        <v>0</v>
      </c>
      <c r="H19" s="185">
        <v>0</v>
      </c>
      <c r="I19" s="185">
        <v>0</v>
      </c>
      <c r="J19" s="185">
        <v>7.7783496672690688E-2</v>
      </c>
      <c r="K19" s="185">
        <v>7.9365328058075946E-2</v>
      </c>
    </row>
    <row r="20" spans="1:11">
      <c r="A20" s="186" t="s">
        <v>859</v>
      </c>
      <c r="B20" s="185">
        <v>-2.4408141258365212E-3</v>
      </c>
      <c r="C20" s="185">
        <v>1.6696318820771694</v>
      </c>
      <c r="D20" s="185">
        <v>-0.61159518541944413</v>
      </c>
      <c r="E20" s="185">
        <v>1.7641914419108673E-5</v>
      </c>
      <c r="F20" s="185">
        <v>1.5074989088148527E-5</v>
      </c>
      <c r="G20" s="185">
        <v>0</v>
      </c>
      <c r="H20" s="185">
        <v>0</v>
      </c>
      <c r="I20" s="185">
        <v>0</v>
      </c>
      <c r="J20" s="185">
        <v>-0.128679319835177</v>
      </c>
      <c r="K20" s="185">
        <v>-7.3275841767021177E-2</v>
      </c>
    </row>
    <row r="21" spans="1:11">
      <c r="A21" s="186" t="s">
        <v>865</v>
      </c>
      <c r="B21" s="185">
        <v>-2.8973225147709281E-3</v>
      </c>
      <c r="C21" s="185">
        <v>13.769993801410521</v>
      </c>
      <c r="D21" s="185">
        <v>-0.63974187477616251</v>
      </c>
      <c r="E21" s="185">
        <v>1.7641914419108673E-5</v>
      </c>
      <c r="F21" s="185">
        <v>3.0149978176297054E-5</v>
      </c>
      <c r="G21" s="185">
        <v>1.8263770015153398</v>
      </c>
      <c r="H21" s="185">
        <v>0.16919366313487139</v>
      </c>
      <c r="I21" s="185">
        <v>0</v>
      </c>
      <c r="J21" s="185">
        <v>0.36508054046179872</v>
      </c>
      <c r="K21" s="185">
        <v>1.7942383922064611</v>
      </c>
    </row>
    <row r="22" spans="1:11">
      <c r="A22" s="186" t="s">
        <v>834</v>
      </c>
      <c r="B22" s="185">
        <v>1.3912037623779683E-2</v>
      </c>
      <c r="C22" s="185">
        <v>95.928382643097279</v>
      </c>
      <c r="D22" s="185">
        <v>-0.26918743009746038</v>
      </c>
      <c r="E22" s="185">
        <v>2.5150418404739749</v>
      </c>
      <c r="F22" s="185">
        <v>1.9804682513875349</v>
      </c>
      <c r="G22" s="185">
        <v>11.24104300392322</v>
      </c>
      <c r="H22" s="185">
        <v>1.7983231082627418</v>
      </c>
      <c r="I22" s="185">
        <v>0</v>
      </c>
      <c r="J22" s="185">
        <v>5.1359024584030095</v>
      </c>
      <c r="K22" s="185">
        <v>5.1919831245118466</v>
      </c>
    </row>
    <row r="23" spans="1:11">
      <c r="A23" s="184" t="s">
        <v>990</v>
      </c>
      <c r="B23" s="185">
        <v>0.70515552442555929</v>
      </c>
      <c r="C23" s="185">
        <v>632.9300101244811</v>
      </c>
      <c r="D23" s="185">
        <v>-9.0048734112001938</v>
      </c>
      <c r="E23" s="185">
        <v>2.8296231491621007</v>
      </c>
      <c r="F23" s="185">
        <v>5.264124340379885</v>
      </c>
      <c r="G23" s="185">
        <v>43.1618045243697</v>
      </c>
      <c r="H23" s="185">
        <v>4.1682155447642959</v>
      </c>
      <c r="I23" s="185">
        <v>0.34803627309544122</v>
      </c>
      <c r="J23" s="185">
        <v>16.825967293686137</v>
      </c>
      <c r="K23" s="185">
        <v>13.898149278329685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17</vt:i4>
      </vt:variant>
    </vt:vector>
  </HeadingPairs>
  <TitlesOfParts>
    <vt:vector size="61" baseType="lpstr">
      <vt:lpstr>Instructions</vt:lpstr>
      <vt:lpstr>Infiltration Rates Reference</vt:lpstr>
      <vt:lpstr>Simulation Assumptions</vt:lpstr>
      <vt:lpstr>Proposed ECMs</vt:lpstr>
      <vt:lpstr>District Heating</vt:lpstr>
      <vt:lpstr>Demolition and New Construction</vt:lpstr>
      <vt:lpstr>Costs</vt:lpstr>
      <vt:lpstr>Planning</vt:lpstr>
      <vt:lpstr>Project team - assumptions</vt:lpstr>
      <vt:lpstr>Infiltration Rates</vt:lpstr>
      <vt:lpstr>Indexes</vt:lpstr>
      <vt:lpstr>Equipment_Efficiencies</vt:lpstr>
      <vt:lpstr>Schedules</vt:lpstr>
      <vt:lpstr>baseline</vt:lpstr>
      <vt:lpstr>ecm_cold_deck_reset_control</vt:lpstr>
      <vt:lpstr>ecm_cop</vt:lpstr>
      <vt:lpstr>ecm_dcv</vt:lpstr>
      <vt:lpstr>ecm_economizers</vt:lpstr>
      <vt:lpstr>ecm_envelope</vt:lpstr>
      <vt:lpstr>ecm_erv</vt:lpstr>
      <vt:lpstr>ecm_exhaust_fans</vt:lpstr>
      <vt:lpstr>ecm_fans_pumps</vt:lpstr>
      <vt:lpstr>ecm_hw_boiler</vt:lpstr>
      <vt:lpstr>ecm_infiltration</vt:lpstr>
      <vt:lpstr>ecm_lighting_reduction</vt:lpstr>
      <vt:lpstr>ecm_plug</vt:lpstr>
      <vt:lpstr>ecm_occ_temp_setback</vt:lpstr>
      <vt:lpstr>ecm_sat_reset</vt:lpstr>
      <vt:lpstr>ecm_elec_reduce</vt:lpstr>
      <vt:lpstr>ecm_infil_andsetback</vt:lpstr>
      <vt:lpstr>ecm_load_reduce</vt:lpstr>
      <vt:lpstr>ecm_payback</vt:lpstr>
      <vt:lpstr>constants</vt:lpstr>
      <vt:lpstr>sim_annual_output</vt:lpstr>
      <vt:lpstr>retro-x</vt:lpstr>
      <vt:lpstr>solar dhw ecm</vt:lpstr>
      <vt:lpstr>model_eui_end_uses</vt:lpstr>
      <vt:lpstr>base_building_arch_areas</vt:lpstr>
      <vt:lpstr>base_scenario_arch_measures</vt:lpstr>
      <vt:lpstr>base_energy_ecm</vt:lpstr>
      <vt:lpstr>base_scenario_arch_ghg</vt:lpstr>
      <vt:lpstr>ChartsAfterThis!</vt:lpstr>
      <vt:lpstr>ECM Base Cost Savings Intensity</vt:lpstr>
      <vt:lpstr>ECMBaseEnergySavingIntensity</vt:lpstr>
      <vt:lpstr>BuildingData</vt:lpstr>
      <vt:lpstr>BuildingInformation</vt:lpstr>
      <vt:lpstr>CLBuildingTypes</vt:lpstr>
      <vt:lpstr>CLVintages</vt:lpstr>
      <vt:lpstr>ColdLakeBuidingTypes</vt:lpstr>
      <vt:lpstr>ColdLakeBuildingTypes</vt:lpstr>
      <vt:lpstr>EfficiencyVintages</vt:lpstr>
      <vt:lpstr>equipment_efficiencies</vt:lpstr>
      <vt:lpstr>'Infiltration Rates Reference'!InfiltrationBuildingType</vt:lpstr>
      <vt:lpstr>InfiltrationBuildingType</vt:lpstr>
      <vt:lpstr>'Infiltration Rates Reference'!InfiltrationRates</vt:lpstr>
      <vt:lpstr>InfiltrationRates</vt:lpstr>
      <vt:lpstr>'Infiltration Rates Reference'!InfiltrationVintages</vt:lpstr>
      <vt:lpstr>InfiltrationVintages</vt:lpstr>
      <vt:lpstr>osm_file_names</vt:lpstr>
      <vt:lpstr>pump_fan_type</vt:lpstr>
      <vt:lpstr>schedule_names</vt:lpstr>
    </vt:vector>
  </TitlesOfParts>
  <Company>NRCan / RNCan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mmottill</dc:creator>
  <cp:lastModifiedBy>Phylroy Lopez</cp:lastModifiedBy>
  <cp:lastPrinted>2015-03-16T19:07:03Z</cp:lastPrinted>
  <dcterms:created xsi:type="dcterms:W3CDTF">2014-05-30T17:24:05Z</dcterms:created>
  <dcterms:modified xsi:type="dcterms:W3CDTF">2016-05-06T01:31:53Z</dcterms:modified>
</cp:coreProperties>
</file>